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projects\epc-test\测试文件\"/>
    </mc:Choice>
  </mc:AlternateContent>
  <xr:revisionPtr revIDLastSave="0" documentId="13_ncr:1_{50AA90AE-417C-4639-85D0-10F6EA87441F}" xr6:coauthVersionLast="47" xr6:coauthVersionMax="47" xr10:uidLastSave="{00000000-0000-0000-0000-000000000000}"/>
  <bookViews>
    <workbookView xWindow="6990" yWindow="1995" windowWidth="21600" windowHeight="13275" tabRatio="878" firstSheet="10" activeTab="13" xr2:uid="{00000000-000D-0000-FFFF-FFFF00000000}"/>
  </bookViews>
  <sheets>
    <sheet name="累计税金汇总表" sheetId="61" r:id="rId1"/>
    <sheet name="累计项目税收明细表202512" sheetId="68" r:id="rId2"/>
    <sheet name="累计项目税收明细表2017-202302" sheetId="69" state="hidden" r:id="rId3"/>
    <sheet name="增值税表一 累计销项" sheetId="63" r:id="rId4"/>
    <sheet name="账税差异监控" sheetId="64" r:id="rId5"/>
    <sheet name="12月BS" sheetId="71" r:id="rId6"/>
    <sheet name="12月PL" sheetId="72" r:id="rId7"/>
    <sheet name="09月CL" sheetId="84" state="hidden" r:id="rId8"/>
    <sheet name="收入" sheetId="83" r:id="rId9"/>
    <sheet name="销项明细" sheetId="73" r:id="rId10"/>
    <sheet name="进项明细" sheetId="74" r:id="rId11"/>
    <sheet name="所得税明细" sheetId="75" r:id="rId12"/>
    <sheet name="印花税明细" sheetId="70" r:id="rId13"/>
    <sheet name="Ref 1_202512_Summary" sheetId="26" r:id="rId14"/>
    <sheet name="Ref 2_202512增值税销项 （样式）" sheetId="76" r:id="rId15"/>
    <sheet name="Ref 3_202512增值税进项认证清单" sheetId="77" r:id="rId16"/>
    <sheet name="Ref 4_202512增值税变动表" sheetId="78" r:id="rId17"/>
    <sheet name="预开票收入计提及冲回统计（导入）" sheetId="85" r:id="rId18"/>
    <sheet name="未开票数监控" sheetId="79" r:id="rId19"/>
    <sheet name="睿景项目累计申报" sheetId="80" r:id="rId20"/>
    <sheet name="睿景项目累计缴纳" sheetId="81" r:id="rId21"/>
  </sheets>
  <definedNames>
    <definedName name="\A">#REF!</definedName>
    <definedName name="_epmOfflineCondition_" localSheetId="5">1</definedName>
    <definedName name="_epmOfflineCondition_" localSheetId="6">1</definedName>
    <definedName name="_xlnm._FilterDatabase" localSheetId="14" hidden="1">'Ref 2_202512增值税销项 （样式）'!#REF!</definedName>
    <definedName name="_xlnm._FilterDatabase" localSheetId="10" hidden="1">进项明细!$A$1:$AA$1</definedName>
    <definedName name="_xlnm._FilterDatabase" localSheetId="2" hidden="1">'累计项目税收明细表2017-202302'!$A$2:$GX$369</definedName>
    <definedName name="_xlnm._FilterDatabase" localSheetId="1" hidden="1">累计项目税收明细表202512!$B$2:$XET$405</definedName>
    <definedName name="_xlnm._FilterDatabase" localSheetId="8" hidden="1">收入!$A$1:$AA$709</definedName>
    <definedName name="_xlnm._FilterDatabase" localSheetId="9" hidden="1">销项明细!$A$1:$S$735</definedName>
    <definedName name="_xlnm._FilterDatabase" localSheetId="3" hidden="1">'增值税表一 累计销项'!$A$3:$J$45</definedName>
    <definedName name="DATA1" localSheetId="5">#REF!</definedName>
    <definedName name="DATA1" localSheetId="6">#REF!</definedName>
    <definedName name="DATA1" localSheetId="2">#REF!</definedName>
    <definedName name="DATA1" localSheetId="12">#REF!</definedName>
    <definedName name="DATA1">#REF!</definedName>
    <definedName name="DATA2" localSheetId="5">#REF!</definedName>
    <definedName name="DATA2" localSheetId="6">#REF!</definedName>
    <definedName name="DATA2" localSheetId="2">#REF!</definedName>
    <definedName name="DATA2" localSheetId="12">#REF!</definedName>
    <definedName name="DATA2">#REF!</definedName>
    <definedName name="DATA3" localSheetId="5">#REF!</definedName>
    <definedName name="DATA3" localSheetId="6">#REF!</definedName>
    <definedName name="DATA3" localSheetId="2">#REF!</definedName>
    <definedName name="DATA3" localSheetId="12">#REF!</definedName>
    <definedName name="DATA3">#REF!</definedName>
    <definedName name="DATA4" localSheetId="5">#REF!</definedName>
    <definedName name="DATA4" localSheetId="6">#REF!</definedName>
    <definedName name="DATA4" localSheetId="2">#REF!</definedName>
    <definedName name="DATA4" localSheetId="12">#REF!</definedName>
    <definedName name="DATA4">#REF!</definedName>
    <definedName name="_xlnm.Print_Area" localSheetId="6">'12月PL'!$A$66:$G$97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 localSheetId="5">#REF!</definedName>
    <definedName name="TEST0" localSheetId="6">#REF!</definedName>
    <definedName name="TEST0" localSheetId="2">#REF!</definedName>
    <definedName name="TEST0" localSheetId="12">#REF!</definedName>
    <definedName name="TEST0">#REF!</definedName>
    <definedName name="TESTHKEY" localSheetId="5">#REF!</definedName>
    <definedName name="TESTHKEY" localSheetId="6">#REF!</definedName>
    <definedName name="TESTHKEY" localSheetId="2">#REF!</definedName>
    <definedName name="TESTHKEY" localSheetId="12">#REF!</definedName>
    <definedName name="TESTHKEY">#REF!</definedName>
    <definedName name="TESTKEYS" localSheetId="5">#REF!</definedName>
    <definedName name="TESTKEYS" localSheetId="6">#REF!</definedName>
    <definedName name="TESTKEYS" localSheetId="2">#REF!</definedName>
    <definedName name="TESTKEYS" localSheetId="12">#REF!</definedName>
    <definedName name="TESTKEYS">#REF!</definedName>
    <definedName name="TESTVKEY" localSheetId="5">#REF!</definedName>
    <definedName name="TESTVKEY" localSheetId="6">#REF!</definedName>
    <definedName name="TESTVKEY" localSheetId="2">#REF!</definedName>
    <definedName name="TESTVKEY" localSheetId="12">#REF!</definedName>
    <definedName name="TESTVKEY">#REF!</definedName>
    <definedName name="设备发票明细" localSheetId="5">#REF!</definedName>
    <definedName name="设备发票明细" localSheetId="6">#REF!</definedName>
    <definedName name="设备发票明细" localSheetId="2">#REF!</definedName>
    <definedName name="设备发票明细" localSheetId="12">#REF!</definedName>
    <definedName name="设备发票明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74" i="72" l="1"/>
  <c r="Q374" i="72"/>
  <c r="G21" i="68"/>
  <c r="W50" i="78" l="1"/>
  <c r="F25" i="78" s="1"/>
  <c r="H29" i="26" s="1"/>
  <c r="R16" i="81" l="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R15" i="81"/>
  <c r="P15" i="81"/>
  <c r="R14" i="81"/>
  <c r="P14" i="81"/>
  <c r="R13" i="81"/>
  <c r="P13" i="81"/>
  <c r="R12" i="81"/>
  <c r="Q12" i="81"/>
  <c r="P12" i="81"/>
  <c r="R11" i="81"/>
  <c r="P11" i="81"/>
  <c r="R10" i="81"/>
  <c r="P10" i="81"/>
  <c r="R9" i="81"/>
  <c r="Q9" i="81"/>
  <c r="P9" i="81"/>
  <c r="R8" i="81"/>
  <c r="P8" i="81"/>
  <c r="R7" i="81"/>
  <c r="P7" i="81"/>
  <c r="P6" i="81"/>
  <c r="R5" i="81"/>
  <c r="P5" i="81"/>
  <c r="R4" i="81"/>
  <c r="P4" i="81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P15" i="80"/>
  <c r="P14" i="80"/>
  <c r="P13" i="80"/>
  <c r="P12" i="80"/>
  <c r="P11" i="80"/>
  <c r="P10" i="80"/>
  <c r="P9" i="80"/>
  <c r="P8" i="80"/>
  <c r="P7" i="80"/>
  <c r="P6" i="80"/>
  <c r="P5" i="80"/>
  <c r="P4" i="80"/>
  <c r="I15" i="79"/>
  <c r="H15" i="79"/>
  <c r="G15" i="79"/>
  <c r="F15" i="79"/>
  <c r="E15" i="79"/>
  <c r="D15" i="79"/>
  <c r="C15" i="79"/>
  <c r="B15" i="79"/>
  <c r="I14" i="79"/>
  <c r="H14" i="79"/>
  <c r="I13" i="79"/>
  <c r="H13" i="79"/>
  <c r="I12" i="79"/>
  <c r="H12" i="79"/>
  <c r="I11" i="79"/>
  <c r="H11" i="79"/>
  <c r="I10" i="79"/>
  <c r="H10" i="79"/>
  <c r="I9" i="79"/>
  <c r="H9" i="79"/>
  <c r="I8" i="79"/>
  <c r="H8" i="79"/>
  <c r="I7" i="79"/>
  <c r="H7" i="79"/>
  <c r="I6" i="79"/>
  <c r="H6" i="79"/>
  <c r="I5" i="79"/>
  <c r="H5" i="79"/>
  <c r="I4" i="79"/>
  <c r="H4" i="79"/>
  <c r="I3" i="79"/>
  <c r="H3" i="79"/>
  <c r="J60" i="85"/>
  <c r="I60" i="85"/>
  <c r="H60" i="85"/>
  <c r="H56" i="85"/>
  <c r="J54" i="85"/>
  <c r="I54" i="85"/>
  <c r="H54" i="85"/>
  <c r="K53" i="85"/>
  <c r="H53" i="85"/>
  <c r="J49" i="85"/>
  <c r="I49" i="85"/>
  <c r="H49" i="85"/>
  <c r="H45" i="85"/>
  <c r="J43" i="85"/>
  <c r="I43" i="85"/>
  <c r="H43" i="85"/>
  <c r="K42" i="85"/>
  <c r="I42" i="85"/>
  <c r="H42" i="85"/>
  <c r="J38" i="85"/>
  <c r="I38" i="85"/>
  <c r="H38" i="85"/>
  <c r="L35" i="85"/>
  <c r="H34" i="85"/>
  <c r="J32" i="85"/>
  <c r="I32" i="85"/>
  <c r="H32" i="85"/>
  <c r="H31" i="85"/>
  <c r="H30" i="85"/>
  <c r="K29" i="85"/>
  <c r="H29" i="85"/>
  <c r="K28" i="85"/>
  <c r="H28" i="85"/>
  <c r="K27" i="85"/>
  <c r="H27" i="85"/>
  <c r="J23" i="85"/>
  <c r="I23" i="85"/>
  <c r="H23" i="85"/>
  <c r="H20" i="85"/>
  <c r="K19" i="85"/>
  <c r="H19" i="85"/>
  <c r="K17" i="85"/>
  <c r="J17" i="85"/>
  <c r="I17" i="85"/>
  <c r="H17" i="85"/>
  <c r="K16" i="85"/>
  <c r="H16" i="85"/>
  <c r="P11" i="85"/>
  <c r="O11" i="85"/>
  <c r="P9" i="85"/>
  <c r="O9" i="85"/>
  <c r="N9" i="85"/>
  <c r="M9" i="85"/>
  <c r="L9" i="85"/>
  <c r="K9" i="85"/>
  <c r="H9" i="85"/>
  <c r="O8" i="85"/>
  <c r="N8" i="85"/>
  <c r="M8" i="85"/>
  <c r="L8" i="85"/>
  <c r="K8" i="85"/>
  <c r="I8" i="85"/>
  <c r="H8" i="85"/>
  <c r="O7" i="85"/>
  <c r="N7" i="85"/>
  <c r="M7" i="85"/>
  <c r="L7" i="85"/>
  <c r="K7" i="85"/>
  <c r="H7" i="85"/>
  <c r="O6" i="85"/>
  <c r="N6" i="85"/>
  <c r="M6" i="85"/>
  <c r="L6" i="85"/>
  <c r="K6" i="85"/>
  <c r="H6" i="85"/>
  <c r="O5" i="85"/>
  <c r="N5" i="85"/>
  <c r="M5" i="85"/>
  <c r="L5" i="85"/>
  <c r="K5" i="85"/>
  <c r="H5" i="85"/>
  <c r="P4" i="85"/>
  <c r="O4" i="85"/>
  <c r="N4" i="85"/>
  <c r="M4" i="85"/>
  <c r="L4" i="85"/>
  <c r="K4" i="85"/>
  <c r="H4" i="85"/>
  <c r="Y52" i="78"/>
  <c r="W52" i="78"/>
  <c r="Y50" i="78"/>
  <c r="G25" i="78"/>
  <c r="F26" i="78" s="1"/>
  <c r="H30" i="26" s="1"/>
  <c r="F24" i="78"/>
  <c r="F23" i="78"/>
  <c r="F20" i="78"/>
  <c r="F19" i="78"/>
  <c r="F18" i="78"/>
  <c r="D18" i="78"/>
  <c r="F17" i="78"/>
  <c r="D17" i="78"/>
  <c r="C17" i="78"/>
  <c r="F16" i="78"/>
  <c r="F15" i="78"/>
  <c r="D15" i="78"/>
  <c r="C15" i="78"/>
  <c r="X14" i="78"/>
  <c r="W14" i="78"/>
  <c r="U14" i="78"/>
  <c r="F14" i="78"/>
  <c r="D14" i="78"/>
  <c r="F13" i="78"/>
  <c r="D13" i="78"/>
  <c r="C13" i="78"/>
  <c r="U12" i="78"/>
  <c r="F12" i="78"/>
  <c r="X11" i="78"/>
  <c r="U11" i="78"/>
  <c r="X9" i="78"/>
  <c r="F9" i="78"/>
  <c r="F8" i="78"/>
  <c r="F7" i="78"/>
  <c r="D7" i="78"/>
  <c r="F6" i="78"/>
  <c r="D6" i="78"/>
  <c r="C6" i="78"/>
  <c r="F5" i="78"/>
  <c r="D5" i="78"/>
  <c r="F4" i="78"/>
  <c r="D4" i="78"/>
  <c r="C4" i="78"/>
  <c r="F3" i="78"/>
  <c r="D3" i="78"/>
  <c r="F2" i="78"/>
  <c r="D2" i="78"/>
  <c r="C2" i="78"/>
  <c r="J44" i="26"/>
  <c r="H43" i="26"/>
  <c r="B42" i="26"/>
  <c r="H39" i="26"/>
  <c r="H42" i="26" s="1"/>
  <c r="H37" i="26"/>
  <c r="K36" i="26"/>
  <c r="H36" i="26"/>
  <c r="K34" i="26"/>
  <c r="H34" i="26"/>
  <c r="F33" i="26"/>
  <c r="E33" i="26"/>
  <c r="E35" i="26" s="1"/>
  <c r="J29" i="26"/>
  <c r="K29" i="26" s="1"/>
  <c r="H28" i="26"/>
  <c r="J27" i="26"/>
  <c r="H27" i="26"/>
  <c r="E27" i="26"/>
  <c r="K26" i="26"/>
  <c r="H25" i="26"/>
  <c r="H24" i="26"/>
  <c r="J23" i="26"/>
  <c r="E23" i="26"/>
  <c r="H23" i="26" s="1"/>
  <c r="K23" i="26" s="1"/>
  <c r="J22" i="26"/>
  <c r="E22" i="26"/>
  <c r="H22" i="26" s="1"/>
  <c r="K22" i="26" s="1"/>
  <c r="J21" i="26"/>
  <c r="E21" i="26"/>
  <c r="H21" i="26" s="1"/>
  <c r="K21" i="26" s="1"/>
  <c r="E18" i="26"/>
  <c r="H18" i="26" s="1"/>
  <c r="H17" i="26"/>
  <c r="E16" i="26"/>
  <c r="H16" i="26" s="1"/>
  <c r="E15" i="26"/>
  <c r="H15" i="26" s="1"/>
  <c r="E14" i="26"/>
  <c r="H14" i="26" s="1"/>
  <c r="H13" i="26"/>
  <c r="E12" i="26"/>
  <c r="H12" i="26" s="1"/>
  <c r="E11" i="26"/>
  <c r="H11" i="26" s="1"/>
  <c r="E10" i="26"/>
  <c r="H10" i="26" s="1"/>
  <c r="E9" i="26"/>
  <c r="H9" i="26" s="1"/>
  <c r="E8" i="26"/>
  <c r="H8" i="26" s="1"/>
  <c r="E7" i="26"/>
  <c r="H7" i="26" s="1"/>
  <c r="E6" i="26"/>
  <c r="H6" i="26" s="1"/>
  <c r="E5" i="26"/>
  <c r="H5" i="26" s="1"/>
  <c r="E4" i="26"/>
  <c r="K498" i="74"/>
  <c r="K737" i="73"/>
  <c r="K711" i="83"/>
  <c r="R378" i="72"/>
  <c r="Q378" i="72"/>
  <c r="K378" i="72"/>
  <c r="J378" i="72"/>
  <c r="R376" i="72"/>
  <c r="Q376" i="72"/>
  <c r="R375" i="72"/>
  <c r="Q375" i="72"/>
  <c r="K372" i="72"/>
  <c r="M369" i="72"/>
  <c r="L369" i="72"/>
  <c r="K369" i="72"/>
  <c r="J369" i="72"/>
  <c r="K368" i="72"/>
  <c r="J368" i="72"/>
  <c r="K367" i="72"/>
  <c r="J367" i="72"/>
  <c r="K366" i="72"/>
  <c r="J366" i="72"/>
  <c r="E364" i="72"/>
  <c r="R346" i="72"/>
  <c r="Q346" i="72"/>
  <c r="K346" i="72"/>
  <c r="J346" i="72"/>
  <c r="R344" i="72"/>
  <c r="Q344" i="72"/>
  <c r="R343" i="72"/>
  <c r="Q343" i="72"/>
  <c r="R342" i="72"/>
  <c r="Q342" i="72"/>
  <c r="K340" i="72"/>
  <c r="M337" i="72"/>
  <c r="L337" i="72"/>
  <c r="K337" i="72"/>
  <c r="J337" i="72"/>
  <c r="K336" i="72"/>
  <c r="J336" i="72"/>
  <c r="K335" i="72"/>
  <c r="J335" i="72"/>
  <c r="K334" i="72"/>
  <c r="J334" i="72"/>
  <c r="E332" i="72"/>
  <c r="R313" i="72"/>
  <c r="Q313" i="72"/>
  <c r="K313" i="72"/>
  <c r="J313" i="72"/>
  <c r="R311" i="72"/>
  <c r="Q311" i="72"/>
  <c r="R310" i="72"/>
  <c r="Q310" i="72"/>
  <c r="R309" i="72"/>
  <c r="Q309" i="72"/>
  <c r="K309" i="72"/>
  <c r="K307" i="72"/>
  <c r="M304" i="72"/>
  <c r="L304" i="72"/>
  <c r="K304" i="72"/>
  <c r="J304" i="72"/>
  <c r="K303" i="72"/>
  <c r="J303" i="72"/>
  <c r="K302" i="72"/>
  <c r="J302" i="72"/>
  <c r="K301" i="72"/>
  <c r="J301" i="72"/>
  <c r="E299" i="72"/>
  <c r="K280" i="72"/>
  <c r="J280" i="72"/>
  <c r="K274" i="72"/>
  <c r="M271" i="72"/>
  <c r="L271" i="72"/>
  <c r="K271" i="72"/>
  <c r="J271" i="72"/>
  <c r="K270" i="72"/>
  <c r="J270" i="72"/>
  <c r="K269" i="72"/>
  <c r="J269" i="72"/>
  <c r="K268" i="72"/>
  <c r="J268" i="72"/>
  <c r="E267" i="72"/>
  <c r="M250" i="72"/>
  <c r="P247" i="72"/>
  <c r="O247" i="72"/>
  <c r="N247" i="72"/>
  <c r="M247" i="72"/>
  <c r="L247" i="72"/>
  <c r="K247" i="72"/>
  <c r="J247" i="72"/>
  <c r="P245" i="72"/>
  <c r="O245" i="72"/>
  <c r="P244" i="72"/>
  <c r="O244" i="72"/>
  <c r="P243" i="72"/>
  <c r="O243" i="72"/>
  <c r="K241" i="72"/>
  <c r="M238" i="72"/>
  <c r="L238" i="72"/>
  <c r="K238" i="72"/>
  <c r="J238" i="72"/>
  <c r="K237" i="72"/>
  <c r="J237" i="72"/>
  <c r="K236" i="72"/>
  <c r="J236" i="72"/>
  <c r="K235" i="72"/>
  <c r="J235" i="72"/>
  <c r="E235" i="72"/>
  <c r="K214" i="72"/>
  <c r="J214" i="72"/>
  <c r="K208" i="72"/>
  <c r="M205" i="72"/>
  <c r="L205" i="72"/>
  <c r="K205" i="72"/>
  <c r="J205" i="72"/>
  <c r="K204" i="72"/>
  <c r="J204" i="72"/>
  <c r="K203" i="72"/>
  <c r="J203" i="72"/>
  <c r="E203" i="72"/>
  <c r="K202" i="72"/>
  <c r="J202" i="72"/>
  <c r="K182" i="72"/>
  <c r="J182" i="72"/>
  <c r="K176" i="72"/>
  <c r="M173" i="72"/>
  <c r="L173" i="72"/>
  <c r="K173" i="72"/>
  <c r="J173" i="72"/>
  <c r="K172" i="72"/>
  <c r="J172" i="72"/>
  <c r="K171" i="72"/>
  <c r="J171" i="72"/>
  <c r="E171" i="72"/>
  <c r="K170" i="72"/>
  <c r="J170" i="72"/>
  <c r="K152" i="72"/>
  <c r="J152" i="72"/>
  <c r="K146" i="72"/>
  <c r="M143" i="72"/>
  <c r="L143" i="72"/>
  <c r="K143" i="72"/>
  <c r="J143" i="72"/>
  <c r="K142" i="72"/>
  <c r="J142" i="72"/>
  <c r="K141" i="72"/>
  <c r="J141" i="72"/>
  <c r="K140" i="72"/>
  <c r="J140" i="72"/>
  <c r="E139" i="72"/>
  <c r="H134" i="72"/>
  <c r="H133" i="72"/>
  <c r="K120" i="72"/>
  <c r="J120" i="72"/>
  <c r="K114" i="72"/>
  <c r="M111" i="72"/>
  <c r="L111" i="72"/>
  <c r="K111" i="72"/>
  <c r="J111" i="72"/>
  <c r="K110" i="72"/>
  <c r="J110" i="72"/>
  <c r="K109" i="72"/>
  <c r="J109" i="72"/>
  <c r="K108" i="72"/>
  <c r="J108" i="72"/>
  <c r="E107" i="72"/>
  <c r="K85" i="72"/>
  <c r="J85" i="72"/>
  <c r="K79" i="72"/>
  <c r="M76" i="72"/>
  <c r="L76" i="72"/>
  <c r="K76" i="72"/>
  <c r="J76" i="72"/>
  <c r="M75" i="72"/>
  <c r="K75" i="72"/>
  <c r="J75" i="72"/>
  <c r="E75" i="72"/>
  <c r="M74" i="72"/>
  <c r="K74" i="72"/>
  <c r="J74" i="72"/>
  <c r="M73" i="72"/>
  <c r="K73" i="72"/>
  <c r="J73" i="72"/>
  <c r="K53" i="72"/>
  <c r="J53" i="72"/>
  <c r="K51" i="72"/>
  <c r="J51" i="72"/>
  <c r="K50" i="72"/>
  <c r="J50" i="72"/>
  <c r="K49" i="72"/>
  <c r="J49" i="72"/>
  <c r="K47" i="72"/>
  <c r="M44" i="72"/>
  <c r="L44" i="72"/>
  <c r="K44" i="72"/>
  <c r="J44" i="72"/>
  <c r="M43" i="72"/>
  <c r="K43" i="72"/>
  <c r="E43" i="72"/>
  <c r="M42" i="72"/>
  <c r="K42" i="72"/>
  <c r="M41" i="72"/>
  <c r="K41" i="72"/>
  <c r="K18" i="72"/>
  <c r="J18" i="72"/>
  <c r="K16" i="72"/>
  <c r="J16" i="72"/>
  <c r="K15" i="72"/>
  <c r="J15" i="72"/>
  <c r="K14" i="72"/>
  <c r="J14" i="72"/>
  <c r="K12" i="72"/>
  <c r="M9" i="72"/>
  <c r="L9" i="72"/>
  <c r="K9" i="72"/>
  <c r="J9" i="72"/>
  <c r="E9" i="72"/>
  <c r="D9" i="72"/>
  <c r="K8" i="72"/>
  <c r="K7" i="72"/>
  <c r="K6" i="72"/>
  <c r="A6" i="72"/>
  <c r="K292" i="71"/>
  <c r="K15" i="64"/>
  <c r="J15" i="64"/>
  <c r="I15" i="64"/>
  <c r="K14" i="64"/>
  <c r="J14" i="64"/>
  <c r="I14" i="64"/>
  <c r="K13" i="64"/>
  <c r="J13" i="64"/>
  <c r="I13" i="64"/>
  <c r="K12" i="64"/>
  <c r="J12" i="64"/>
  <c r="I12" i="64"/>
  <c r="K11" i="64"/>
  <c r="J11" i="64"/>
  <c r="I11" i="64"/>
  <c r="K10" i="64"/>
  <c r="J10" i="64"/>
  <c r="I10" i="64"/>
  <c r="K9" i="64"/>
  <c r="J9" i="64"/>
  <c r="I9" i="64"/>
  <c r="K8" i="64"/>
  <c r="J8" i="64"/>
  <c r="I8" i="64"/>
  <c r="K7" i="64"/>
  <c r="J7" i="64"/>
  <c r="I7" i="64"/>
  <c r="K6" i="64"/>
  <c r="J6" i="64"/>
  <c r="I6" i="64"/>
  <c r="K5" i="64"/>
  <c r="J5" i="64"/>
  <c r="I5" i="64"/>
  <c r="K4" i="64"/>
  <c r="J4" i="64"/>
  <c r="I4" i="64"/>
  <c r="J39" i="63"/>
  <c r="I39" i="63"/>
  <c r="J38" i="63"/>
  <c r="I38" i="63"/>
  <c r="J37" i="63"/>
  <c r="I37" i="63"/>
  <c r="J36" i="63"/>
  <c r="I36" i="63"/>
  <c r="J35" i="63"/>
  <c r="I35" i="63"/>
  <c r="J34" i="63"/>
  <c r="I34" i="63"/>
  <c r="J33" i="63"/>
  <c r="I33" i="63"/>
  <c r="J32" i="63"/>
  <c r="I32" i="63"/>
  <c r="J31" i="63"/>
  <c r="I31" i="63"/>
  <c r="J30" i="63"/>
  <c r="I30" i="63"/>
  <c r="G30" i="63"/>
  <c r="D30" i="63"/>
  <c r="J29" i="63"/>
  <c r="I29" i="63"/>
  <c r="G29" i="63"/>
  <c r="D29" i="63"/>
  <c r="J28" i="63"/>
  <c r="I28" i="63"/>
  <c r="G28" i="63"/>
  <c r="D28" i="63"/>
  <c r="J27" i="63"/>
  <c r="I27" i="63"/>
  <c r="J26" i="63"/>
  <c r="I26" i="63"/>
  <c r="J25" i="63"/>
  <c r="I25" i="63"/>
  <c r="D25" i="63"/>
  <c r="J24" i="63"/>
  <c r="I24" i="63"/>
  <c r="G24" i="63"/>
  <c r="D24" i="63"/>
  <c r="J23" i="63"/>
  <c r="I23" i="63"/>
  <c r="G23" i="63"/>
  <c r="D23" i="63"/>
  <c r="J22" i="63"/>
  <c r="I22" i="63"/>
  <c r="G22" i="63"/>
  <c r="D22" i="63"/>
  <c r="J21" i="63"/>
  <c r="I21" i="63"/>
  <c r="G21" i="63"/>
  <c r="D21" i="63"/>
  <c r="J20" i="63"/>
  <c r="I20" i="63"/>
  <c r="G20" i="63"/>
  <c r="D20" i="63"/>
  <c r="J19" i="63"/>
  <c r="I19" i="63"/>
  <c r="G19" i="63"/>
  <c r="D19" i="63"/>
  <c r="J18" i="63"/>
  <c r="I18" i="63"/>
  <c r="G18" i="63"/>
  <c r="D18" i="63"/>
  <c r="J17" i="63"/>
  <c r="I17" i="63"/>
  <c r="G17" i="63"/>
  <c r="D17" i="63"/>
  <c r="J16" i="63"/>
  <c r="I16" i="63"/>
  <c r="G16" i="63"/>
  <c r="D16" i="63"/>
  <c r="J15" i="63"/>
  <c r="I15" i="63"/>
  <c r="G15" i="63"/>
  <c r="D15" i="63"/>
  <c r="J14" i="63"/>
  <c r="I14" i="63"/>
  <c r="G14" i="63"/>
  <c r="D14" i="63"/>
  <c r="J13" i="63"/>
  <c r="I13" i="63"/>
  <c r="G13" i="63"/>
  <c r="D13" i="63"/>
  <c r="J12" i="63"/>
  <c r="I12" i="63"/>
  <c r="J11" i="63"/>
  <c r="I11" i="63"/>
  <c r="J10" i="63"/>
  <c r="I10" i="63"/>
  <c r="J9" i="63"/>
  <c r="I9" i="63"/>
  <c r="G9" i="63"/>
  <c r="D9" i="63"/>
  <c r="J8" i="63"/>
  <c r="I8" i="63"/>
  <c r="G8" i="63"/>
  <c r="D8" i="63"/>
  <c r="J7" i="63"/>
  <c r="I7" i="63"/>
  <c r="G7" i="63"/>
  <c r="D7" i="63"/>
  <c r="J6" i="63"/>
  <c r="I6" i="63"/>
  <c r="G6" i="63"/>
  <c r="D6" i="63"/>
  <c r="J5" i="63"/>
  <c r="I5" i="63"/>
  <c r="G5" i="63"/>
  <c r="D5" i="63"/>
  <c r="J4" i="63"/>
  <c r="I4" i="63"/>
  <c r="G4" i="63"/>
  <c r="D4" i="63"/>
  <c r="K369" i="69"/>
  <c r="J369" i="69"/>
  <c r="I369" i="69"/>
  <c r="H369" i="69"/>
  <c r="G369" i="69"/>
  <c r="K368" i="69"/>
  <c r="J368" i="69"/>
  <c r="I368" i="69"/>
  <c r="H368" i="69"/>
  <c r="G368" i="69"/>
  <c r="J367" i="69"/>
  <c r="I367" i="69"/>
  <c r="H367" i="69"/>
  <c r="G367" i="69"/>
  <c r="K366" i="69"/>
  <c r="J366" i="69"/>
  <c r="I366" i="69"/>
  <c r="H366" i="69"/>
  <c r="G366" i="69"/>
  <c r="J365" i="69"/>
  <c r="I365" i="69"/>
  <c r="H365" i="69"/>
  <c r="G365" i="69"/>
  <c r="K364" i="69"/>
  <c r="J364" i="69"/>
  <c r="I364" i="69"/>
  <c r="H364" i="69"/>
  <c r="G364" i="69"/>
  <c r="K363" i="69"/>
  <c r="J363" i="69"/>
  <c r="I363" i="69"/>
  <c r="H363" i="69"/>
  <c r="G363" i="69"/>
  <c r="K362" i="69"/>
  <c r="J362" i="69"/>
  <c r="I362" i="69"/>
  <c r="H362" i="69"/>
  <c r="G362" i="69"/>
  <c r="J361" i="69"/>
  <c r="I361" i="69"/>
  <c r="H361" i="69"/>
  <c r="G361" i="69"/>
  <c r="DE360" i="69"/>
  <c r="DD360" i="69"/>
  <c r="DC360" i="69"/>
  <c r="K360" i="69"/>
  <c r="J360" i="69"/>
  <c r="I360" i="69"/>
  <c r="H360" i="69"/>
  <c r="G360" i="69"/>
  <c r="DF357" i="69"/>
  <c r="CA357" i="69"/>
  <c r="M357" i="69"/>
  <c r="J357" i="69"/>
  <c r="GX355" i="69"/>
  <c r="GW355" i="69"/>
  <c r="GV355" i="69"/>
  <c r="GU355" i="69"/>
  <c r="GT355" i="69"/>
  <c r="GS355" i="69"/>
  <c r="GR355" i="69"/>
  <c r="GQ355" i="69"/>
  <c r="GP355" i="69"/>
  <c r="GO355" i="69"/>
  <c r="GN355" i="69"/>
  <c r="GM355" i="69"/>
  <c r="GL355" i="69"/>
  <c r="GK355" i="69"/>
  <c r="GJ355" i="69"/>
  <c r="GI355" i="69"/>
  <c r="GH355" i="69"/>
  <c r="GG355" i="69"/>
  <c r="GF355" i="69"/>
  <c r="GE355" i="69"/>
  <c r="GD355" i="69"/>
  <c r="GC355" i="69"/>
  <c r="GB355" i="69"/>
  <c r="GA355" i="69"/>
  <c r="FZ355" i="69"/>
  <c r="FY355" i="69"/>
  <c r="FX355" i="69"/>
  <c r="FW355" i="69"/>
  <c r="FV355" i="69"/>
  <c r="FU355" i="69"/>
  <c r="FT355" i="69"/>
  <c r="FS355" i="69"/>
  <c r="FR355" i="69"/>
  <c r="FQ355" i="69"/>
  <c r="FP355" i="69"/>
  <c r="FO355" i="69"/>
  <c r="FN355" i="69"/>
  <c r="FM355" i="69"/>
  <c r="FL355" i="69"/>
  <c r="FK355" i="69"/>
  <c r="FJ355" i="69"/>
  <c r="FI355" i="69"/>
  <c r="FH355" i="69"/>
  <c r="FG355" i="69"/>
  <c r="FF355" i="69"/>
  <c r="FE355" i="69"/>
  <c r="FD355" i="69"/>
  <c r="FC355" i="69"/>
  <c r="FB355" i="69"/>
  <c r="FA355" i="69"/>
  <c r="EZ355" i="69"/>
  <c r="EY355" i="69"/>
  <c r="EX355" i="69"/>
  <c r="EW355" i="69"/>
  <c r="EV355" i="69"/>
  <c r="EU355" i="69"/>
  <c r="ET355" i="69"/>
  <c r="ES355" i="69"/>
  <c r="ER355" i="69"/>
  <c r="EQ355" i="69"/>
  <c r="EP355" i="69"/>
  <c r="EO355" i="69"/>
  <c r="EN355" i="69"/>
  <c r="EM355" i="69"/>
  <c r="EL355" i="69"/>
  <c r="EK355" i="69"/>
  <c r="EJ355" i="69"/>
  <c r="EI355" i="69"/>
  <c r="EH355" i="69"/>
  <c r="EG355" i="69"/>
  <c r="EF355" i="69"/>
  <c r="EE355" i="69"/>
  <c r="ED355" i="69"/>
  <c r="EC355" i="69"/>
  <c r="EB355" i="69"/>
  <c r="EA355" i="69"/>
  <c r="DZ355" i="69"/>
  <c r="DY355" i="69"/>
  <c r="DX355" i="69"/>
  <c r="DW355" i="69"/>
  <c r="DV355" i="69"/>
  <c r="DU355" i="69"/>
  <c r="DT355" i="69"/>
  <c r="DS355" i="69"/>
  <c r="DR355" i="69"/>
  <c r="DQ355" i="69"/>
  <c r="DP355" i="69"/>
  <c r="DO355" i="69"/>
  <c r="DN355" i="69"/>
  <c r="DM355" i="69"/>
  <c r="DL355" i="69"/>
  <c r="DK355" i="69"/>
  <c r="DJ355" i="69"/>
  <c r="DI355" i="69"/>
  <c r="DH355" i="69"/>
  <c r="DG355" i="69"/>
  <c r="DF355" i="69"/>
  <c r="DE355" i="69"/>
  <c r="DD355" i="69"/>
  <c r="DC355" i="69"/>
  <c r="DB355" i="69"/>
  <c r="DA355" i="69"/>
  <c r="CZ355" i="69"/>
  <c r="CY355" i="69"/>
  <c r="CX355" i="69"/>
  <c r="CW355" i="69"/>
  <c r="CV355" i="69"/>
  <c r="CU355" i="69"/>
  <c r="CT355" i="69"/>
  <c r="CS355" i="69"/>
  <c r="CR355" i="69"/>
  <c r="CQ355" i="69"/>
  <c r="CP355" i="69"/>
  <c r="CO355" i="69"/>
  <c r="CN355" i="69"/>
  <c r="CM355" i="69"/>
  <c r="CL355" i="69"/>
  <c r="CK355" i="69"/>
  <c r="CJ355" i="69"/>
  <c r="CI355" i="69"/>
  <c r="CH355" i="69"/>
  <c r="CG355" i="69"/>
  <c r="CF355" i="69"/>
  <c r="CE355" i="69"/>
  <c r="CD355" i="69"/>
  <c r="CC355" i="69"/>
  <c r="CB355" i="69"/>
  <c r="CA355" i="69"/>
  <c r="BZ355" i="69"/>
  <c r="BY355" i="69"/>
  <c r="BX355" i="69"/>
  <c r="BW355" i="69"/>
  <c r="BV355" i="69"/>
  <c r="BU355" i="69"/>
  <c r="BT355" i="69"/>
  <c r="BS355" i="69"/>
  <c r="BR355" i="69"/>
  <c r="BQ355" i="69"/>
  <c r="BP355" i="69"/>
  <c r="BO355" i="69"/>
  <c r="BN355" i="69"/>
  <c r="BM355" i="69"/>
  <c r="BL355" i="69"/>
  <c r="BK355" i="69"/>
  <c r="BJ355" i="69"/>
  <c r="BI355" i="69"/>
  <c r="BH355" i="69"/>
  <c r="BG355" i="69"/>
  <c r="BF355" i="69"/>
  <c r="BE355" i="69"/>
  <c r="BD355" i="69"/>
  <c r="BC355" i="69"/>
  <c r="BB355" i="69"/>
  <c r="BA355" i="69"/>
  <c r="AZ355" i="69"/>
  <c r="AY355" i="69"/>
  <c r="AX355" i="69"/>
  <c r="AW355" i="69"/>
  <c r="AV355" i="69"/>
  <c r="AU355" i="69"/>
  <c r="AT355" i="69"/>
  <c r="AS355" i="69"/>
  <c r="AR355" i="69"/>
  <c r="AQ355" i="69"/>
  <c r="AP355" i="69"/>
  <c r="AO355" i="69"/>
  <c r="AN355" i="69"/>
  <c r="AM355" i="69"/>
  <c r="AL355" i="69"/>
  <c r="AK355" i="69"/>
  <c r="AJ355" i="69"/>
  <c r="AI355" i="69"/>
  <c r="AH355" i="69"/>
  <c r="AG355" i="69"/>
  <c r="AF355" i="69"/>
  <c r="AE355" i="69"/>
  <c r="AD355" i="69"/>
  <c r="AC355" i="69"/>
  <c r="AB355" i="69"/>
  <c r="AA355" i="69"/>
  <c r="Z355" i="69"/>
  <c r="Y355" i="69"/>
  <c r="X355" i="69"/>
  <c r="W355" i="69"/>
  <c r="V355" i="69"/>
  <c r="U355" i="69"/>
  <c r="T355" i="69"/>
  <c r="S355" i="69"/>
  <c r="R355" i="69"/>
  <c r="Q355" i="69"/>
  <c r="P355" i="69"/>
  <c r="O355" i="69"/>
  <c r="N355" i="69"/>
  <c r="M355" i="69"/>
  <c r="L355" i="69"/>
  <c r="K355" i="69"/>
  <c r="J355" i="69"/>
  <c r="I355" i="69"/>
  <c r="H355" i="69"/>
  <c r="G355" i="69"/>
  <c r="FE354" i="69"/>
  <c r="FD354" i="69"/>
  <c r="EZ354" i="69"/>
  <c r="EY354" i="69"/>
  <c r="K354" i="69"/>
  <c r="J354" i="69"/>
  <c r="I354" i="69"/>
  <c r="G354" i="69"/>
  <c r="FE353" i="69"/>
  <c r="FD353" i="69"/>
  <c r="DZ353" i="69"/>
  <c r="DP353" i="69"/>
  <c r="DF353" i="69"/>
  <c r="BQ353" i="69"/>
  <c r="AE353" i="69"/>
  <c r="U353" i="69"/>
  <c r="L353" i="69"/>
  <c r="K353" i="69"/>
  <c r="J353" i="69"/>
  <c r="I353" i="69"/>
  <c r="H353" i="69"/>
  <c r="G353" i="69"/>
  <c r="FE352" i="69"/>
  <c r="FD352" i="69"/>
  <c r="DZ352" i="69"/>
  <c r="DQ352" i="69"/>
  <c r="DG352" i="69"/>
  <c r="DF352" i="69"/>
  <c r="DB352" i="69"/>
  <c r="DA352" i="69"/>
  <c r="CW352" i="69"/>
  <c r="CM352" i="69"/>
  <c r="CL352" i="69"/>
  <c r="CH352" i="69"/>
  <c r="CG352" i="69"/>
  <c r="CF352" i="69"/>
  <c r="BQ352" i="69"/>
  <c r="AE352" i="69"/>
  <c r="Y352" i="69"/>
  <c r="U352" i="69"/>
  <c r="T352" i="69"/>
  <c r="S352" i="69"/>
  <c r="L352" i="69"/>
  <c r="K352" i="69"/>
  <c r="J352" i="69"/>
  <c r="I352" i="69"/>
  <c r="H352" i="69"/>
  <c r="G352" i="69"/>
  <c r="FE351" i="69"/>
  <c r="FD351" i="69"/>
  <c r="DZ351" i="69"/>
  <c r="DP351" i="69"/>
  <c r="DF351" i="69"/>
  <c r="BQ351" i="69"/>
  <c r="AE351" i="69"/>
  <c r="Z351" i="69"/>
  <c r="U351" i="69"/>
  <c r="O351" i="69"/>
  <c r="N351" i="69"/>
  <c r="M351" i="69"/>
  <c r="L351" i="69"/>
  <c r="K351" i="69"/>
  <c r="J351" i="69"/>
  <c r="I351" i="69"/>
  <c r="H351" i="69"/>
  <c r="G351" i="69"/>
  <c r="GX350" i="69"/>
  <c r="GW350" i="69"/>
  <c r="GV350" i="69"/>
  <c r="GU350" i="69"/>
  <c r="GT350" i="69"/>
  <c r="GS350" i="69"/>
  <c r="GR350" i="69"/>
  <c r="GQ350" i="69"/>
  <c r="GP350" i="69"/>
  <c r="GO350" i="69"/>
  <c r="GN350" i="69"/>
  <c r="GM350" i="69"/>
  <c r="GL350" i="69"/>
  <c r="GK350" i="69"/>
  <c r="GJ350" i="69"/>
  <c r="GI350" i="69"/>
  <c r="GH350" i="69"/>
  <c r="GG350" i="69"/>
  <c r="GF350" i="69"/>
  <c r="GE350" i="69"/>
  <c r="GD350" i="69"/>
  <c r="GC350" i="69"/>
  <c r="GB350" i="69"/>
  <c r="GA350" i="69"/>
  <c r="FZ350" i="69"/>
  <c r="FY350" i="69"/>
  <c r="FX350" i="69"/>
  <c r="FW350" i="69"/>
  <c r="FV350" i="69"/>
  <c r="FU350" i="69"/>
  <c r="FT350" i="69"/>
  <c r="FS350" i="69"/>
  <c r="FR350" i="69"/>
  <c r="FQ350" i="69"/>
  <c r="FP350" i="69"/>
  <c r="FO350" i="69"/>
  <c r="FN350" i="69"/>
  <c r="FM350" i="69"/>
  <c r="FL350" i="69"/>
  <c r="FK350" i="69"/>
  <c r="FJ350" i="69"/>
  <c r="FI350" i="69"/>
  <c r="FH350" i="69"/>
  <c r="FG350" i="69"/>
  <c r="FF350" i="69"/>
  <c r="FE350" i="69"/>
  <c r="FD350" i="69"/>
  <c r="FC350" i="69"/>
  <c r="FB350" i="69"/>
  <c r="FA350" i="69"/>
  <c r="EZ350" i="69"/>
  <c r="EY350" i="69"/>
  <c r="EX350" i="69"/>
  <c r="EW350" i="69"/>
  <c r="EV350" i="69"/>
  <c r="EU350" i="69"/>
  <c r="ET350" i="69"/>
  <c r="ES350" i="69"/>
  <c r="ER350" i="69"/>
  <c r="EQ350" i="69"/>
  <c r="EP350" i="69"/>
  <c r="EO350" i="69"/>
  <c r="EN350" i="69"/>
  <c r="EM350" i="69"/>
  <c r="EL350" i="69"/>
  <c r="EK350" i="69"/>
  <c r="EJ350" i="69"/>
  <c r="EI350" i="69"/>
  <c r="EH350" i="69"/>
  <c r="EG350" i="69"/>
  <c r="EF350" i="69"/>
  <c r="EE350" i="69"/>
  <c r="ED350" i="69"/>
  <c r="EC350" i="69"/>
  <c r="EB350" i="69"/>
  <c r="EA350" i="69"/>
  <c r="DZ350" i="69"/>
  <c r="DY350" i="69"/>
  <c r="DX350" i="69"/>
  <c r="DW350" i="69"/>
  <c r="DV350" i="69"/>
  <c r="DU350" i="69"/>
  <c r="DT350" i="69"/>
  <c r="DS350" i="69"/>
  <c r="DR350" i="69"/>
  <c r="DQ350" i="69"/>
  <c r="DP350" i="69"/>
  <c r="DO350" i="69"/>
  <c r="DN350" i="69"/>
  <c r="DM350" i="69"/>
  <c r="DL350" i="69"/>
  <c r="DK350" i="69"/>
  <c r="DJ350" i="69"/>
  <c r="DI350" i="69"/>
  <c r="DH350" i="69"/>
  <c r="DG350" i="69"/>
  <c r="DF350" i="69"/>
  <c r="DE350" i="69"/>
  <c r="DD350" i="69"/>
  <c r="DC350" i="69"/>
  <c r="DB350" i="69"/>
  <c r="DA350" i="69"/>
  <c r="CZ350" i="69"/>
  <c r="CY350" i="69"/>
  <c r="CX350" i="69"/>
  <c r="CW350" i="69"/>
  <c r="CV350" i="69"/>
  <c r="CU350" i="69"/>
  <c r="CT350" i="69"/>
  <c r="CS350" i="69"/>
  <c r="CR350" i="69"/>
  <c r="CQ350" i="69"/>
  <c r="CP350" i="69"/>
  <c r="CO350" i="69"/>
  <c r="CN350" i="69"/>
  <c r="CM350" i="69"/>
  <c r="CL350" i="69"/>
  <c r="CK350" i="69"/>
  <c r="CJ350" i="69"/>
  <c r="CI350" i="69"/>
  <c r="CH350" i="69"/>
  <c r="CG350" i="69"/>
  <c r="CF350" i="69"/>
  <c r="CE350" i="69"/>
  <c r="CD350" i="69"/>
  <c r="CC350" i="69"/>
  <c r="CB350" i="69"/>
  <c r="CA350" i="69"/>
  <c r="BZ350" i="69"/>
  <c r="BY350" i="69"/>
  <c r="BX350" i="69"/>
  <c r="BW350" i="69"/>
  <c r="BV350" i="69"/>
  <c r="BU350" i="69"/>
  <c r="BT350" i="69"/>
  <c r="BS350" i="69"/>
  <c r="BR350" i="69"/>
  <c r="BQ350" i="69"/>
  <c r="BP350" i="69"/>
  <c r="BO350" i="69"/>
  <c r="BN350" i="69"/>
  <c r="BM350" i="69"/>
  <c r="BL350" i="69"/>
  <c r="BK350" i="69"/>
  <c r="BJ350" i="69"/>
  <c r="BI350" i="69"/>
  <c r="BH350" i="69"/>
  <c r="BG350" i="69"/>
  <c r="BF350" i="69"/>
  <c r="BE350" i="69"/>
  <c r="BD350" i="69"/>
  <c r="BC350" i="69"/>
  <c r="BB350" i="69"/>
  <c r="BA350" i="69"/>
  <c r="AZ350" i="69"/>
  <c r="AY350" i="69"/>
  <c r="AX350" i="69"/>
  <c r="AW350" i="69"/>
  <c r="AV350" i="69"/>
  <c r="AU350" i="69"/>
  <c r="AT350" i="69"/>
  <c r="AS350" i="69"/>
  <c r="AR350" i="69"/>
  <c r="AQ350" i="69"/>
  <c r="AP350" i="69"/>
  <c r="AO350" i="69"/>
  <c r="AN350" i="69"/>
  <c r="AM350" i="69"/>
  <c r="AL350" i="69"/>
  <c r="AK350" i="69"/>
  <c r="AJ350" i="69"/>
  <c r="AI350" i="69"/>
  <c r="AH350" i="69"/>
  <c r="AG350" i="69"/>
  <c r="AF350" i="69"/>
  <c r="AE350" i="69"/>
  <c r="AD350" i="69"/>
  <c r="AC350" i="69"/>
  <c r="AB350" i="69"/>
  <c r="AA350" i="69"/>
  <c r="Z350" i="69"/>
  <c r="Y350" i="69"/>
  <c r="X350" i="69"/>
  <c r="W350" i="69"/>
  <c r="V350" i="69"/>
  <c r="U350" i="69"/>
  <c r="T350" i="69"/>
  <c r="S350" i="69"/>
  <c r="R350" i="69"/>
  <c r="Q350" i="69"/>
  <c r="P350" i="69"/>
  <c r="O350" i="69"/>
  <c r="N350" i="69"/>
  <c r="M350" i="69"/>
  <c r="L350" i="69"/>
  <c r="K350" i="69"/>
  <c r="J350" i="69"/>
  <c r="I350" i="69"/>
  <c r="H350" i="69"/>
  <c r="G350" i="69"/>
  <c r="GX349" i="69"/>
  <c r="GW349" i="69"/>
  <c r="GS349" i="69"/>
  <c r="GR349" i="69"/>
  <c r="GN349" i="69"/>
  <c r="GM349" i="69"/>
  <c r="GI349" i="69"/>
  <c r="GH349" i="69"/>
  <c r="GD349" i="69"/>
  <c r="GC349" i="69"/>
  <c r="FY349" i="69"/>
  <c r="FX349" i="69"/>
  <c r="FT349" i="69"/>
  <c r="FS349" i="69"/>
  <c r="FO349" i="69"/>
  <c r="FN349" i="69"/>
  <c r="FJ349" i="69"/>
  <c r="FI349" i="69"/>
  <c r="FE349" i="69"/>
  <c r="FD349" i="69"/>
  <c r="EZ349" i="69"/>
  <c r="EY349" i="69"/>
  <c r="EU349" i="69"/>
  <c r="ET349" i="69"/>
  <c r="EP349" i="69"/>
  <c r="EO349" i="69"/>
  <c r="EK349" i="69"/>
  <c r="EJ349" i="69"/>
  <c r="EF349" i="69"/>
  <c r="EA349" i="69"/>
  <c r="DZ349" i="69"/>
  <c r="DV349" i="69"/>
  <c r="DU349" i="69"/>
  <c r="DQ349" i="69"/>
  <c r="DP349" i="69"/>
  <c r="DL349" i="69"/>
  <c r="DK349" i="69"/>
  <c r="DG349" i="69"/>
  <c r="DF349" i="69"/>
  <c r="DB349" i="69"/>
  <c r="DA349" i="69"/>
  <c r="CW349" i="69"/>
  <c r="CR349" i="69"/>
  <c r="CM349" i="69"/>
  <c r="CL349" i="69"/>
  <c r="L349" i="69"/>
  <c r="K349" i="69"/>
  <c r="J349" i="69"/>
  <c r="I349" i="69"/>
  <c r="H349" i="69"/>
  <c r="G349" i="69"/>
  <c r="GX348" i="69"/>
  <c r="GW348" i="69"/>
  <c r="GS348" i="69"/>
  <c r="GR348" i="69"/>
  <c r="GN348" i="69"/>
  <c r="GM348" i="69"/>
  <c r="GI348" i="69"/>
  <c r="GH348" i="69"/>
  <c r="GD348" i="69"/>
  <c r="GC348" i="69"/>
  <c r="FY348" i="69"/>
  <c r="FX348" i="69"/>
  <c r="FT348" i="69"/>
  <c r="FS348" i="69"/>
  <c r="FO348" i="69"/>
  <c r="FN348" i="69"/>
  <c r="FJ348" i="69"/>
  <c r="FI348" i="69"/>
  <c r="FE348" i="69"/>
  <c r="FD348" i="69"/>
  <c r="EZ348" i="69"/>
  <c r="EY348" i="69"/>
  <c r="EU348" i="69"/>
  <c r="ET348" i="69"/>
  <c r="EP348" i="69"/>
  <c r="EO348" i="69"/>
  <c r="EK348" i="69"/>
  <c r="EJ348" i="69"/>
  <c r="EF348" i="69"/>
  <c r="EA348" i="69"/>
  <c r="DZ348" i="69"/>
  <c r="DV348" i="69"/>
  <c r="DU348" i="69"/>
  <c r="DQ348" i="69"/>
  <c r="DP348" i="69"/>
  <c r="DL348" i="69"/>
  <c r="DK348" i="69"/>
  <c r="DG348" i="69"/>
  <c r="DF348" i="69"/>
  <c r="DB348" i="69"/>
  <c r="DA348" i="69"/>
  <c r="CW348" i="69"/>
  <c r="CR348" i="69"/>
  <c r="CM348" i="69"/>
  <c r="CL348" i="69"/>
  <c r="CH348" i="69"/>
  <c r="CG348" i="69"/>
  <c r="CC348" i="69"/>
  <c r="CB348" i="69"/>
  <c r="BX348" i="69"/>
  <c r="BV348" i="69"/>
  <c r="BT348" i="69"/>
  <c r="BS348" i="69"/>
  <c r="BR348" i="69"/>
  <c r="BN348" i="69"/>
  <c r="BM348" i="69"/>
  <c r="BI348" i="69"/>
  <c r="BH348" i="69"/>
  <c r="BD348" i="69"/>
  <c r="BC348" i="69"/>
  <c r="BB348" i="69"/>
  <c r="L348" i="69"/>
  <c r="K348" i="69"/>
  <c r="J348" i="69"/>
  <c r="I348" i="69"/>
  <c r="H348" i="69"/>
  <c r="G348" i="69"/>
  <c r="GX347" i="69"/>
  <c r="GW347" i="69"/>
  <c r="GS347" i="69"/>
  <c r="GR347" i="69"/>
  <c r="GN347" i="69"/>
  <c r="GM347" i="69"/>
  <c r="GI347" i="69"/>
  <c r="GH347" i="69"/>
  <c r="GD347" i="69"/>
  <c r="GC347" i="69"/>
  <c r="FY347" i="69"/>
  <c r="FX347" i="69"/>
  <c r="FT347" i="69"/>
  <c r="FS347" i="69"/>
  <c r="FO347" i="69"/>
  <c r="FN347" i="69"/>
  <c r="FJ347" i="69"/>
  <c r="FI347" i="69"/>
  <c r="FE347" i="69"/>
  <c r="FD347" i="69"/>
  <c r="EZ347" i="69"/>
  <c r="EY347" i="69"/>
  <c r="EU347" i="69"/>
  <c r="ET347" i="69"/>
  <c r="EP347" i="69"/>
  <c r="EO347" i="69"/>
  <c r="EK347" i="69"/>
  <c r="EJ347" i="69"/>
  <c r="EF347" i="69"/>
  <c r="EA347" i="69"/>
  <c r="DZ347" i="69"/>
  <c r="DV347" i="69"/>
  <c r="DU347" i="69"/>
  <c r="DQ347" i="69"/>
  <c r="DP347" i="69"/>
  <c r="DL347" i="69"/>
  <c r="DK347" i="69"/>
  <c r="DG347" i="69"/>
  <c r="DF347" i="69"/>
  <c r="DB347" i="69"/>
  <c r="DA347" i="69"/>
  <c r="CW347" i="69"/>
  <c r="CR347" i="69"/>
  <c r="CM347" i="69"/>
  <c r="CL347" i="69"/>
  <c r="CH347" i="69"/>
  <c r="CG347" i="69"/>
  <c r="CC347" i="69"/>
  <c r="CB347" i="69"/>
  <c r="BX347" i="69"/>
  <c r="BS347" i="69"/>
  <c r="BR347" i="69"/>
  <c r="BN347" i="69"/>
  <c r="BM347" i="69"/>
  <c r="BI347" i="69"/>
  <c r="BH347" i="69"/>
  <c r="BG347" i="69"/>
  <c r="BD347" i="69"/>
  <c r="BC347" i="69"/>
  <c r="BB347" i="69"/>
  <c r="L347" i="69"/>
  <c r="K347" i="69"/>
  <c r="J347" i="69"/>
  <c r="I347" i="69"/>
  <c r="H347" i="69"/>
  <c r="G347" i="69"/>
  <c r="GX346" i="69"/>
  <c r="GW346" i="69"/>
  <c r="GS346" i="69"/>
  <c r="GR346" i="69"/>
  <c r="GN346" i="69"/>
  <c r="GM346" i="69"/>
  <c r="GI346" i="69"/>
  <c r="GH346" i="69"/>
  <c r="GD346" i="69"/>
  <c r="GC346" i="69"/>
  <c r="FY346" i="69"/>
  <c r="FX346" i="69"/>
  <c r="FT346" i="69"/>
  <c r="FS346" i="69"/>
  <c r="FO346" i="69"/>
  <c r="FN346" i="69"/>
  <c r="FJ346" i="69"/>
  <c r="FI346" i="69"/>
  <c r="FE346" i="69"/>
  <c r="FD346" i="69"/>
  <c r="EZ346" i="69"/>
  <c r="EY346" i="69"/>
  <c r="EU346" i="69"/>
  <c r="ET346" i="69"/>
  <c r="EP346" i="69"/>
  <c r="EO346" i="69"/>
  <c r="EK346" i="69"/>
  <c r="EJ346" i="69"/>
  <c r="EF346" i="69"/>
  <c r="EA346" i="69"/>
  <c r="DZ346" i="69"/>
  <c r="DV346" i="69"/>
  <c r="DU346" i="69"/>
  <c r="DQ346" i="69"/>
  <c r="DP346" i="69"/>
  <c r="DL346" i="69"/>
  <c r="DK346" i="69"/>
  <c r="DG346" i="69"/>
  <c r="DF346" i="69"/>
  <c r="DB346" i="69"/>
  <c r="DA346" i="69"/>
  <c r="CW346" i="69"/>
  <c r="CR346" i="69"/>
  <c r="CM346" i="69"/>
  <c r="CL346" i="69"/>
  <c r="CH346" i="69"/>
  <c r="CG346" i="69"/>
  <c r="CC346" i="69"/>
  <c r="CB346" i="69"/>
  <c r="BX346" i="69"/>
  <c r="BT346" i="69"/>
  <c r="BS346" i="69"/>
  <c r="BR346" i="69"/>
  <c r="BN346" i="69"/>
  <c r="BM346" i="69"/>
  <c r="BI346" i="69"/>
  <c r="BH346" i="69"/>
  <c r="L346" i="69"/>
  <c r="K346" i="69"/>
  <c r="J346" i="69"/>
  <c r="I346" i="69"/>
  <c r="H346" i="69"/>
  <c r="G346" i="69"/>
  <c r="GX345" i="69"/>
  <c r="GW345" i="69"/>
  <c r="GS345" i="69"/>
  <c r="GR345" i="69"/>
  <c r="GN345" i="69"/>
  <c r="GM345" i="69"/>
  <c r="GI345" i="69"/>
  <c r="GH345" i="69"/>
  <c r="GD345" i="69"/>
  <c r="GC345" i="69"/>
  <c r="FY345" i="69"/>
  <c r="FX345" i="69"/>
  <c r="FT345" i="69"/>
  <c r="FS345" i="69"/>
  <c r="FO345" i="69"/>
  <c r="FN345" i="69"/>
  <c r="FJ345" i="69"/>
  <c r="FI345" i="69"/>
  <c r="FE345" i="69"/>
  <c r="FD345" i="69"/>
  <c r="EZ345" i="69"/>
  <c r="EY345" i="69"/>
  <c r="EU345" i="69"/>
  <c r="ET345" i="69"/>
  <c r="EP345" i="69"/>
  <c r="EO345" i="69"/>
  <c r="EK345" i="69"/>
  <c r="EJ345" i="69"/>
  <c r="EF345" i="69"/>
  <c r="EA345" i="69"/>
  <c r="DZ345" i="69"/>
  <c r="DV345" i="69"/>
  <c r="DU345" i="69"/>
  <c r="DQ345" i="69"/>
  <c r="DP345" i="69"/>
  <c r="DL345" i="69"/>
  <c r="DK345" i="69"/>
  <c r="DG345" i="69"/>
  <c r="DF345" i="69"/>
  <c r="DB345" i="69"/>
  <c r="DA345" i="69"/>
  <c r="CW345" i="69"/>
  <c r="CR345" i="69"/>
  <c r="CM345" i="69"/>
  <c r="CL345" i="69"/>
  <c r="CH345" i="69"/>
  <c r="CG345" i="69"/>
  <c r="CC345" i="69"/>
  <c r="CB345" i="69"/>
  <c r="BX345" i="69"/>
  <c r="BS345" i="69"/>
  <c r="BR345" i="69"/>
  <c r="L345" i="69"/>
  <c r="K345" i="69"/>
  <c r="J345" i="69"/>
  <c r="I345" i="69"/>
  <c r="H345" i="69"/>
  <c r="G345" i="69"/>
  <c r="GX344" i="69"/>
  <c r="GW344" i="69"/>
  <c r="GS344" i="69"/>
  <c r="GR344" i="69"/>
  <c r="I344" i="69"/>
  <c r="H344" i="69"/>
  <c r="G344" i="69"/>
  <c r="GX343" i="69"/>
  <c r="GW343" i="69"/>
  <c r="GS343" i="69"/>
  <c r="GR343" i="69"/>
  <c r="GN343" i="69"/>
  <c r="GM343" i="69"/>
  <c r="GI343" i="69"/>
  <c r="GH343" i="69"/>
  <c r="GD343" i="69"/>
  <c r="GC343" i="69"/>
  <c r="FY343" i="69"/>
  <c r="FX343" i="69"/>
  <c r="FT343" i="69"/>
  <c r="FS343" i="69"/>
  <c r="FO343" i="69"/>
  <c r="FN343" i="69"/>
  <c r="FJ343" i="69"/>
  <c r="FI343" i="69"/>
  <c r="FE343" i="69"/>
  <c r="FD343" i="69"/>
  <c r="EZ343" i="69"/>
  <c r="EY343" i="69"/>
  <c r="EU343" i="69"/>
  <c r="ET343" i="69"/>
  <c r="EP343" i="69"/>
  <c r="EO343" i="69"/>
  <c r="EK343" i="69"/>
  <c r="EJ343" i="69"/>
  <c r="EF343" i="69"/>
  <c r="EA343" i="69"/>
  <c r="DZ343" i="69"/>
  <c r="DV343" i="69"/>
  <c r="DU343" i="69"/>
  <c r="DQ343" i="69"/>
  <c r="DP343" i="69"/>
  <c r="DL343" i="69"/>
  <c r="DK343" i="69"/>
  <c r="DG343" i="69"/>
  <c r="DF343" i="69"/>
  <c r="DB343" i="69"/>
  <c r="DA343" i="69"/>
  <c r="CW343" i="69"/>
  <c r="CR343" i="69"/>
  <c r="CM343" i="69"/>
  <c r="CL343" i="69"/>
  <c r="CH343" i="69"/>
  <c r="CG343" i="69"/>
  <c r="CC343" i="69"/>
  <c r="CB343" i="69"/>
  <c r="BX343" i="69"/>
  <c r="BS343" i="69"/>
  <c r="BR343" i="69"/>
  <c r="L343" i="69"/>
  <c r="K343" i="69"/>
  <c r="J343" i="69"/>
  <c r="I343" i="69"/>
  <c r="H343" i="69"/>
  <c r="G343" i="69"/>
  <c r="GX342" i="69"/>
  <c r="GW342" i="69"/>
  <c r="GS342" i="69"/>
  <c r="GR342" i="69"/>
  <c r="GN342" i="69"/>
  <c r="GM342" i="69"/>
  <c r="GI342" i="69"/>
  <c r="GH342" i="69"/>
  <c r="L342" i="69"/>
  <c r="K342" i="69"/>
  <c r="J342" i="69"/>
  <c r="I342" i="69"/>
  <c r="H342" i="69"/>
  <c r="G342" i="69"/>
  <c r="GX341" i="69"/>
  <c r="GW341" i="69"/>
  <c r="GS341" i="69"/>
  <c r="GR341" i="69"/>
  <c r="GN341" i="69"/>
  <c r="GM341" i="69"/>
  <c r="GI341" i="69"/>
  <c r="GH341" i="69"/>
  <c r="L341" i="69"/>
  <c r="K341" i="69"/>
  <c r="J341" i="69"/>
  <c r="I341" i="69"/>
  <c r="H341" i="69"/>
  <c r="G341" i="69"/>
  <c r="GX340" i="69"/>
  <c r="GW340" i="69"/>
  <c r="GS340" i="69"/>
  <c r="GR340" i="69"/>
  <c r="GN340" i="69"/>
  <c r="GM340" i="69"/>
  <c r="GI340" i="69"/>
  <c r="GH340" i="69"/>
  <c r="GD340" i="69"/>
  <c r="GC340" i="69"/>
  <c r="FY340" i="69"/>
  <c r="FX340" i="69"/>
  <c r="FT340" i="69"/>
  <c r="FS340" i="69"/>
  <c r="FO340" i="69"/>
  <c r="FN340" i="69"/>
  <c r="FJ340" i="69"/>
  <c r="FI340" i="69"/>
  <c r="FE340" i="69"/>
  <c r="FD340" i="69"/>
  <c r="EZ340" i="69"/>
  <c r="EY340" i="69"/>
  <c r="EU340" i="69"/>
  <c r="ET340" i="69"/>
  <c r="EP340" i="69"/>
  <c r="EO340" i="69"/>
  <c r="EK340" i="69"/>
  <c r="EJ340" i="69"/>
  <c r="EF340" i="69"/>
  <c r="EA340" i="69"/>
  <c r="DZ340" i="69"/>
  <c r="DV340" i="69"/>
  <c r="DU340" i="69"/>
  <c r="DQ340" i="69"/>
  <c r="DP340" i="69"/>
  <c r="DL340" i="69"/>
  <c r="DK340" i="69"/>
  <c r="DG340" i="69"/>
  <c r="DF340" i="69"/>
  <c r="DB340" i="69"/>
  <c r="DA340" i="69"/>
  <c r="CW340" i="69"/>
  <c r="CR340" i="69"/>
  <c r="CM340" i="69"/>
  <c r="CL340" i="69"/>
  <c r="CH340" i="69"/>
  <c r="CG340" i="69"/>
  <c r="CC340" i="69"/>
  <c r="CB340" i="69"/>
  <c r="BX340" i="69"/>
  <c r="BS340" i="69"/>
  <c r="BR340" i="69"/>
  <c r="BN340" i="69"/>
  <c r="BM340" i="69"/>
  <c r="BI340" i="69"/>
  <c r="BH340" i="69"/>
  <c r="BD340" i="69"/>
  <c r="BC340" i="69"/>
  <c r="AY340" i="69"/>
  <c r="AX340" i="69"/>
  <c r="AT340" i="69"/>
  <c r="AS340" i="69"/>
  <c r="AO340" i="69"/>
  <c r="AN340" i="69"/>
  <c r="AJ340" i="69"/>
  <c r="AI340" i="69"/>
  <c r="AE340" i="69"/>
  <c r="AD340" i="69"/>
  <c r="Z340" i="69"/>
  <c r="U340" i="69"/>
  <c r="L340" i="69"/>
  <c r="K340" i="69"/>
  <c r="J340" i="69"/>
  <c r="I340" i="69"/>
  <c r="H340" i="69"/>
  <c r="G340" i="69"/>
  <c r="GX339" i="69"/>
  <c r="GW339" i="69"/>
  <c r="GS339" i="69"/>
  <c r="GR339" i="69"/>
  <c r="GN339" i="69"/>
  <c r="GM339" i="69"/>
  <c r="GI339" i="69"/>
  <c r="GH339" i="69"/>
  <c r="GD339" i="69"/>
  <c r="GC339" i="69"/>
  <c r="FY339" i="69"/>
  <c r="FX339" i="69"/>
  <c r="FT339" i="69"/>
  <c r="FS339" i="69"/>
  <c r="FO339" i="69"/>
  <c r="FN339" i="69"/>
  <c r="FJ339" i="69"/>
  <c r="FI339" i="69"/>
  <c r="FE339" i="69"/>
  <c r="FD339" i="69"/>
  <c r="EZ339" i="69"/>
  <c r="EY339" i="69"/>
  <c r="EU339" i="69"/>
  <c r="ET339" i="69"/>
  <c r="EP339" i="69"/>
  <c r="EO339" i="69"/>
  <c r="EK339" i="69"/>
  <c r="EJ339" i="69"/>
  <c r="EF339" i="69"/>
  <c r="EA339" i="69"/>
  <c r="DZ339" i="69"/>
  <c r="DV339" i="69"/>
  <c r="DU339" i="69"/>
  <c r="DQ339" i="69"/>
  <c r="DP339" i="69"/>
  <c r="DL339" i="69"/>
  <c r="DK339" i="69"/>
  <c r="DG339" i="69"/>
  <c r="DF339" i="69"/>
  <c r="DB339" i="69"/>
  <c r="DA339" i="69"/>
  <c r="CW339" i="69"/>
  <c r="CR339" i="69"/>
  <c r="CM339" i="69"/>
  <c r="CL339" i="69"/>
  <c r="CH339" i="69"/>
  <c r="CG339" i="69"/>
  <c r="CC339" i="69"/>
  <c r="CB339" i="69"/>
  <c r="BX339" i="69"/>
  <c r="BS339" i="69"/>
  <c r="BR339" i="69"/>
  <c r="BN339" i="69"/>
  <c r="BM339" i="69"/>
  <c r="BI339" i="69"/>
  <c r="BH339" i="69"/>
  <c r="BD339" i="69"/>
  <c r="BC339" i="69"/>
  <c r="AY339" i="69"/>
  <c r="AX339" i="69"/>
  <c r="AT339" i="69"/>
  <c r="AS339" i="69"/>
  <c r="AO339" i="69"/>
  <c r="AN339" i="69"/>
  <c r="L339" i="69"/>
  <c r="K339" i="69"/>
  <c r="J339" i="69"/>
  <c r="I339" i="69"/>
  <c r="H339" i="69"/>
  <c r="G339" i="69"/>
  <c r="GX338" i="69"/>
  <c r="GW338" i="69"/>
  <c r="GS338" i="69"/>
  <c r="GR338" i="69"/>
  <c r="GN338" i="69"/>
  <c r="GM338" i="69"/>
  <c r="GI338" i="69"/>
  <c r="GH338" i="69"/>
  <c r="GD338" i="69"/>
  <c r="GC338" i="69"/>
  <c r="FY338" i="69"/>
  <c r="FX338" i="69"/>
  <c r="FT338" i="69"/>
  <c r="FS338" i="69"/>
  <c r="FO338" i="69"/>
  <c r="FN338" i="69"/>
  <c r="FJ338" i="69"/>
  <c r="FI338" i="69"/>
  <c r="FE338" i="69"/>
  <c r="FD338" i="69"/>
  <c r="EZ338" i="69"/>
  <c r="EY338" i="69"/>
  <c r="EU338" i="69"/>
  <c r="ET338" i="69"/>
  <c r="EP338" i="69"/>
  <c r="EO338" i="69"/>
  <c r="EK338" i="69"/>
  <c r="EJ338" i="69"/>
  <c r="EF338" i="69"/>
  <c r="EA338" i="69"/>
  <c r="DZ338" i="69"/>
  <c r="DV338" i="69"/>
  <c r="DU338" i="69"/>
  <c r="DQ338" i="69"/>
  <c r="DP338" i="69"/>
  <c r="DL338" i="69"/>
  <c r="DK338" i="69"/>
  <c r="DG338" i="69"/>
  <c r="DF338" i="69"/>
  <c r="DB338" i="69"/>
  <c r="DA338" i="69"/>
  <c r="CW338" i="69"/>
  <c r="CR338" i="69"/>
  <c r="CM338" i="69"/>
  <c r="CL338" i="69"/>
  <c r="CH338" i="69"/>
  <c r="CG338" i="69"/>
  <c r="CC338" i="69"/>
  <c r="CB338" i="69"/>
  <c r="BX338" i="69"/>
  <c r="BS338" i="69"/>
  <c r="BR338" i="69"/>
  <c r="BN338" i="69"/>
  <c r="BM338" i="69"/>
  <c r="BI338" i="69"/>
  <c r="BH338" i="69"/>
  <c r="BD338" i="69"/>
  <c r="BC338" i="69"/>
  <c r="AY338" i="69"/>
  <c r="AX338" i="69"/>
  <c r="AT338" i="69"/>
  <c r="AS338" i="69"/>
  <c r="AO338" i="69"/>
  <c r="AN338" i="69"/>
  <c r="L338" i="69"/>
  <c r="K338" i="69"/>
  <c r="J338" i="69"/>
  <c r="I338" i="69"/>
  <c r="H338" i="69"/>
  <c r="G338" i="69"/>
  <c r="GX337" i="69"/>
  <c r="GW337" i="69"/>
  <c r="GS337" i="69"/>
  <c r="GR337" i="69"/>
  <c r="GN337" i="69"/>
  <c r="GM337" i="69"/>
  <c r="GI337" i="69"/>
  <c r="GH337" i="69"/>
  <c r="GD337" i="69"/>
  <c r="GC337" i="69"/>
  <c r="FY337" i="69"/>
  <c r="FX337" i="69"/>
  <c r="FT337" i="69"/>
  <c r="FS337" i="69"/>
  <c r="FO337" i="69"/>
  <c r="FN337" i="69"/>
  <c r="FJ337" i="69"/>
  <c r="FI337" i="69"/>
  <c r="FE337" i="69"/>
  <c r="FD337" i="69"/>
  <c r="EZ337" i="69"/>
  <c r="EY337" i="69"/>
  <c r="EU337" i="69"/>
  <c r="ET337" i="69"/>
  <c r="EP337" i="69"/>
  <c r="EO337" i="69"/>
  <c r="EK337" i="69"/>
  <c r="EJ337" i="69"/>
  <c r="EF337" i="69"/>
  <c r="EA337" i="69"/>
  <c r="DZ337" i="69"/>
  <c r="DV337" i="69"/>
  <c r="DU337" i="69"/>
  <c r="DQ337" i="69"/>
  <c r="DP337" i="69"/>
  <c r="DL337" i="69"/>
  <c r="DK337" i="69"/>
  <c r="DG337" i="69"/>
  <c r="DF337" i="69"/>
  <c r="DB337" i="69"/>
  <c r="DA337" i="69"/>
  <c r="CW337" i="69"/>
  <c r="CR337" i="69"/>
  <c r="CM337" i="69"/>
  <c r="CL337" i="69"/>
  <c r="CH337" i="69"/>
  <c r="CG337" i="69"/>
  <c r="CC337" i="69"/>
  <c r="CB337" i="69"/>
  <c r="BX337" i="69"/>
  <c r="BS337" i="69"/>
  <c r="BR337" i="69"/>
  <c r="BN337" i="69"/>
  <c r="BM337" i="69"/>
  <c r="BI337" i="69"/>
  <c r="BH337" i="69"/>
  <c r="BD337" i="69"/>
  <c r="BC337" i="69"/>
  <c r="AY337" i="69"/>
  <c r="AX337" i="69"/>
  <c r="AT337" i="69"/>
  <c r="AS337" i="69"/>
  <c r="AO337" i="69"/>
  <c r="AN337" i="69"/>
  <c r="L337" i="69"/>
  <c r="K337" i="69"/>
  <c r="J337" i="69"/>
  <c r="I337" i="69"/>
  <c r="H337" i="69"/>
  <c r="G337" i="69"/>
  <c r="GX336" i="69"/>
  <c r="GW336" i="69"/>
  <c r="GS336" i="69"/>
  <c r="GR336" i="69"/>
  <c r="GN336" i="69"/>
  <c r="GM336" i="69"/>
  <c r="GI336" i="69"/>
  <c r="GH336" i="69"/>
  <c r="GD336" i="69"/>
  <c r="GC336" i="69"/>
  <c r="FY336" i="69"/>
  <c r="FX336" i="69"/>
  <c r="FT336" i="69"/>
  <c r="FS336" i="69"/>
  <c r="FO336" i="69"/>
  <c r="FN336" i="69"/>
  <c r="FJ336" i="69"/>
  <c r="FI336" i="69"/>
  <c r="FE336" i="69"/>
  <c r="FD336" i="69"/>
  <c r="EZ336" i="69"/>
  <c r="EY336" i="69"/>
  <c r="EU336" i="69"/>
  <c r="ET336" i="69"/>
  <c r="EP336" i="69"/>
  <c r="EO336" i="69"/>
  <c r="EK336" i="69"/>
  <c r="EJ336" i="69"/>
  <c r="EF336" i="69"/>
  <c r="EA336" i="69"/>
  <c r="DZ336" i="69"/>
  <c r="DV336" i="69"/>
  <c r="DU336" i="69"/>
  <c r="DQ336" i="69"/>
  <c r="DP336" i="69"/>
  <c r="DL336" i="69"/>
  <c r="DK336" i="69"/>
  <c r="DG336" i="69"/>
  <c r="DF336" i="69"/>
  <c r="DB336" i="69"/>
  <c r="DA336" i="69"/>
  <c r="CW336" i="69"/>
  <c r="CR336" i="69"/>
  <c r="CM336" i="69"/>
  <c r="CL336" i="69"/>
  <c r="CH336" i="69"/>
  <c r="CG336" i="69"/>
  <c r="CC336" i="69"/>
  <c r="CB336" i="69"/>
  <c r="BX336" i="69"/>
  <c r="BS336" i="69"/>
  <c r="BR336" i="69"/>
  <c r="BN336" i="69"/>
  <c r="BM336" i="69"/>
  <c r="BI336" i="69"/>
  <c r="BH336" i="69"/>
  <c r="BD336" i="69"/>
  <c r="BC336" i="69"/>
  <c r="AY336" i="69"/>
  <c r="AX336" i="69"/>
  <c r="AT336" i="69"/>
  <c r="AS336" i="69"/>
  <c r="AO336" i="69"/>
  <c r="AN336" i="69"/>
  <c r="AJ336" i="69"/>
  <c r="AI336" i="69"/>
  <c r="AE336" i="69"/>
  <c r="AD336" i="69"/>
  <c r="Z336" i="69"/>
  <c r="U336" i="69"/>
  <c r="L336" i="69"/>
  <c r="K336" i="69"/>
  <c r="J336" i="69"/>
  <c r="I336" i="69"/>
  <c r="H336" i="69"/>
  <c r="G336" i="69"/>
  <c r="GX335" i="69"/>
  <c r="GW335" i="69"/>
  <c r="GS335" i="69"/>
  <c r="GR335" i="69"/>
  <c r="GN335" i="69"/>
  <c r="GM335" i="69"/>
  <c r="GI335" i="69"/>
  <c r="GH335" i="69"/>
  <c r="GD335" i="69"/>
  <c r="GC335" i="69"/>
  <c r="FY335" i="69"/>
  <c r="FX335" i="69"/>
  <c r="FT335" i="69"/>
  <c r="FS335" i="69"/>
  <c r="FO335" i="69"/>
  <c r="FN335" i="69"/>
  <c r="FJ335" i="69"/>
  <c r="FI335" i="69"/>
  <c r="FE335" i="69"/>
  <c r="FD335" i="69"/>
  <c r="EZ335" i="69"/>
  <c r="EY335" i="69"/>
  <c r="EU335" i="69"/>
  <c r="ET335" i="69"/>
  <c r="EP335" i="69"/>
  <c r="EO335" i="69"/>
  <c r="EK335" i="69"/>
  <c r="EJ335" i="69"/>
  <c r="EF335" i="69"/>
  <c r="EA335" i="69"/>
  <c r="DZ335" i="69"/>
  <c r="DV335" i="69"/>
  <c r="DU335" i="69"/>
  <c r="DQ335" i="69"/>
  <c r="DP335" i="69"/>
  <c r="DL335" i="69"/>
  <c r="DK335" i="69"/>
  <c r="DG335" i="69"/>
  <c r="DF335" i="69"/>
  <c r="DB335" i="69"/>
  <c r="DA335" i="69"/>
  <c r="CW335" i="69"/>
  <c r="CR335" i="69"/>
  <c r="CM335" i="69"/>
  <c r="CL335" i="69"/>
  <c r="CH335" i="69"/>
  <c r="CG335" i="69"/>
  <c r="CC335" i="69"/>
  <c r="CB335" i="69"/>
  <c r="BX335" i="69"/>
  <c r="BS335" i="69"/>
  <c r="BR335" i="69"/>
  <c r="BN335" i="69"/>
  <c r="BM335" i="69"/>
  <c r="BI335" i="69"/>
  <c r="BH335" i="69"/>
  <c r="BD335" i="69"/>
  <c r="BC335" i="69"/>
  <c r="AY335" i="69"/>
  <c r="AX335" i="69"/>
  <c r="AT335" i="69"/>
  <c r="AS335" i="69"/>
  <c r="AO335" i="69"/>
  <c r="AN335" i="69"/>
  <c r="AJ335" i="69"/>
  <c r="AI335" i="69"/>
  <c r="AE335" i="69"/>
  <c r="AD335" i="69"/>
  <c r="Z335" i="69"/>
  <c r="U335" i="69"/>
  <c r="L335" i="69"/>
  <c r="K335" i="69"/>
  <c r="J335" i="69"/>
  <c r="I335" i="69"/>
  <c r="H335" i="69"/>
  <c r="G335" i="69"/>
  <c r="GX334" i="69"/>
  <c r="GW334" i="69"/>
  <c r="GS334" i="69"/>
  <c r="GR334" i="69"/>
  <c r="GN334" i="69"/>
  <c r="GM334" i="69"/>
  <c r="GI334" i="69"/>
  <c r="GH334" i="69"/>
  <c r="GD334" i="69"/>
  <c r="GC334" i="69"/>
  <c r="L334" i="69"/>
  <c r="K334" i="69"/>
  <c r="J334" i="69"/>
  <c r="I334" i="69"/>
  <c r="H334" i="69"/>
  <c r="G334" i="69"/>
  <c r="GX333" i="69"/>
  <c r="GW333" i="69"/>
  <c r="GS333" i="69"/>
  <c r="GR333" i="69"/>
  <c r="GN333" i="69"/>
  <c r="GM333" i="69"/>
  <c r="GI333" i="69"/>
  <c r="GH333" i="69"/>
  <c r="L333" i="69"/>
  <c r="K333" i="69"/>
  <c r="J333" i="69"/>
  <c r="I333" i="69"/>
  <c r="H333" i="69"/>
  <c r="G333" i="69"/>
  <c r="GX332" i="69"/>
  <c r="GW332" i="69"/>
  <c r="GS332" i="69"/>
  <c r="GR332" i="69"/>
  <c r="GN332" i="69"/>
  <c r="GM332" i="69"/>
  <c r="GI332" i="69"/>
  <c r="GH332" i="69"/>
  <c r="L332" i="69"/>
  <c r="K332" i="69"/>
  <c r="J332" i="69"/>
  <c r="I332" i="69"/>
  <c r="H332" i="69"/>
  <c r="G332" i="69"/>
  <c r="GX331" i="69"/>
  <c r="GW331" i="69"/>
  <c r="GS331" i="69"/>
  <c r="GR331" i="69"/>
  <c r="L331" i="69"/>
  <c r="K331" i="69"/>
  <c r="J331" i="69"/>
  <c r="I331" i="69"/>
  <c r="H331" i="69"/>
  <c r="G331" i="69"/>
  <c r="GX330" i="69"/>
  <c r="GW330" i="69"/>
  <c r="GS330" i="69"/>
  <c r="GR330" i="69"/>
  <c r="L330" i="69"/>
  <c r="K330" i="69"/>
  <c r="J330" i="69"/>
  <c r="I330" i="69"/>
  <c r="H330" i="69"/>
  <c r="G330" i="69"/>
  <c r="GX329" i="69"/>
  <c r="GW329" i="69"/>
  <c r="GS329" i="69"/>
  <c r="GR329" i="69"/>
  <c r="L329" i="69"/>
  <c r="K329" i="69"/>
  <c r="J329" i="69"/>
  <c r="I329" i="69"/>
  <c r="H329" i="69"/>
  <c r="G329" i="69"/>
  <c r="GX328" i="69"/>
  <c r="GW328" i="69"/>
  <c r="GS328" i="69"/>
  <c r="GR328" i="69"/>
  <c r="L328" i="69"/>
  <c r="K328" i="69"/>
  <c r="J328" i="69"/>
  <c r="I328" i="69"/>
  <c r="H328" i="69"/>
  <c r="G328" i="69"/>
  <c r="GX327" i="69"/>
  <c r="GW327" i="69"/>
  <c r="GS327" i="69"/>
  <c r="GR327" i="69"/>
  <c r="L327" i="69"/>
  <c r="K327" i="69"/>
  <c r="J327" i="69"/>
  <c r="I327" i="69"/>
  <c r="H327" i="69"/>
  <c r="G327" i="69"/>
  <c r="GX326" i="69"/>
  <c r="GW326" i="69"/>
  <c r="GS326" i="69"/>
  <c r="GR326" i="69"/>
  <c r="L326" i="69"/>
  <c r="K326" i="69"/>
  <c r="J326" i="69"/>
  <c r="I326" i="69"/>
  <c r="H326" i="69"/>
  <c r="G326" i="69"/>
  <c r="GX325" i="69"/>
  <c r="GW325" i="69"/>
  <c r="GS325" i="69"/>
  <c r="GR325" i="69"/>
  <c r="GN325" i="69"/>
  <c r="GM325" i="69"/>
  <c r="GI325" i="69"/>
  <c r="GH325" i="69"/>
  <c r="GD325" i="69"/>
  <c r="GC325" i="69"/>
  <c r="L325" i="69"/>
  <c r="K325" i="69"/>
  <c r="J325" i="69"/>
  <c r="I325" i="69"/>
  <c r="H325" i="69"/>
  <c r="G325" i="69"/>
  <c r="GX324" i="69"/>
  <c r="GW324" i="69"/>
  <c r="GS324" i="69"/>
  <c r="GR324" i="69"/>
  <c r="GN324" i="69"/>
  <c r="GM324" i="69"/>
  <c r="L324" i="69"/>
  <c r="K324" i="69"/>
  <c r="J324" i="69"/>
  <c r="I324" i="69"/>
  <c r="H324" i="69"/>
  <c r="G324" i="69"/>
  <c r="GX323" i="69"/>
  <c r="GW323" i="69"/>
  <c r="GS323" i="69"/>
  <c r="GR323" i="69"/>
  <c r="GN323" i="69"/>
  <c r="GM323" i="69"/>
  <c r="L323" i="69"/>
  <c r="K323" i="69"/>
  <c r="J323" i="69"/>
  <c r="I323" i="69"/>
  <c r="H323" i="69"/>
  <c r="G323" i="69"/>
  <c r="GX322" i="69"/>
  <c r="GW322" i="69"/>
  <c r="GS322" i="69"/>
  <c r="GR322" i="69"/>
  <c r="GN322" i="69"/>
  <c r="GM322" i="69"/>
  <c r="L322" i="69"/>
  <c r="K322" i="69"/>
  <c r="J322" i="69"/>
  <c r="I322" i="69"/>
  <c r="H322" i="69"/>
  <c r="G322" i="69"/>
  <c r="GX321" i="69"/>
  <c r="GW321" i="69"/>
  <c r="GS321" i="69"/>
  <c r="GR321" i="69"/>
  <c r="GN321" i="69"/>
  <c r="GM321" i="69"/>
  <c r="L321" i="69"/>
  <c r="K321" i="69"/>
  <c r="J321" i="69"/>
  <c r="I321" i="69"/>
  <c r="H321" i="69"/>
  <c r="G321" i="69"/>
  <c r="GX320" i="69"/>
  <c r="GW320" i="69"/>
  <c r="GS320" i="69"/>
  <c r="GR320" i="69"/>
  <c r="GN320" i="69"/>
  <c r="GM320" i="69"/>
  <c r="L320" i="69"/>
  <c r="K320" i="69"/>
  <c r="J320" i="69"/>
  <c r="I320" i="69"/>
  <c r="H320" i="69"/>
  <c r="G320" i="69"/>
  <c r="GX319" i="69"/>
  <c r="GW319" i="69"/>
  <c r="GS319" i="69"/>
  <c r="GR319" i="69"/>
  <c r="GN319" i="69"/>
  <c r="GM319" i="69"/>
  <c r="L319" i="69"/>
  <c r="K319" i="69"/>
  <c r="J319" i="69"/>
  <c r="I319" i="69"/>
  <c r="H319" i="69"/>
  <c r="G319" i="69"/>
  <c r="GX318" i="69"/>
  <c r="GW318" i="69"/>
  <c r="GS318" i="69"/>
  <c r="GR318" i="69"/>
  <c r="GN318" i="69"/>
  <c r="GM318" i="69"/>
  <c r="GI318" i="69"/>
  <c r="GH318" i="69"/>
  <c r="L318" i="69"/>
  <c r="K318" i="69"/>
  <c r="J318" i="69"/>
  <c r="I318" i="69"/>
  <c r="H318" i="69"/>
  <c r="G318" i="69"/>
  <c r="GX317" i="69"/>
  <c r="GW317" i="69"/>
  <c r="GS317" i="69"/>
  <c r="GR317" i="69"/>
  <c r="GN317" i="69"/>
  <c r="GM317" i="69"/>
  <c r="GI317" i="69"/>
  <c r="GH317" i="69"/>
  <c r="L317" i="69"/>
  <c r="K317" i="69"/>
  <c r="J317" i="69"/>
  <c r="I317" i="69"/>
  <c r="H317" i="69"/>
  <c r="G317" i="69"/>
  <c r="GX316" i="69"/>
  <c r="GW316" i="69"/>
  <c r="GS316" i="69"/>
  <c r="GR316" i="69"/>
  <c r="GN316" i="69"/>
  <c r="GM316" i="69"/>
  <c r="GI316" i="69"/>
  <c r="GH316" i="69"/>
  <c r="L316" i="69"/>
  <c r="K316" i="69"/>
  <c r="J316" i="69"/>
  <c r="I316" i="69"/>
  <c r="H316" i="69"/>
  <c r="G316" i="69"/>
  <c r="GX315" i="69"/>
  <c r="GW315" i="69"/>
  <c r="GS315" i="69"/>
  <c r="GR315" i="69"/>
  <c r="GN315" i="69"/>
  <c r="GM315" i="69"/>
  <c r="GI315" i="69"/>
  <c r="GH315" i="69"/>
  <c r="L315" i="69"/>
  <c r="K315" i="69"/>
  <c r="J315" i="69"/>
  <c r="I315" i="69"/>
  <c r="H315" i="69"/>
  <c r="G315" i="69"/>
  <c r="GX314" i="69"/>
  <c r="GW314" i="69"/>
  <c r="GS314" i="69"/>
  <c r="GR314" i="69"/>
  <c r="GN314" i="69"/>
  <c r="GM314" i="69"/>
  <c r="GI314" i="69"/>
  <c r="GH314" i="69"/>
  <c r="L314" i="69"/>
  <c r="K314" i="69"/>
  <c r="J314" i="69"/>
  <c r="I314" i="69"/>
  <c r="H314" i="69"/>
  <c r="G314" i="69"/>
  <c r="GX313" i="69"/>
  <c r="GW313" i="69"/>
  <c r="GS313" i="69"/>
  <c r="GR313" i="69"/>
  <c r="GN313" i="69"/>
  <c r="GM313" i="69"/>
  <c r="GI313" i="69"/>
  <c r="GH313" i="69"/>
  <c r="GD313" i="69"/>
  <c r="GC313" i="69"/>
  <c r="L313" i="69"/>
  <c r="K313" i="69"/>
  <c r="J313" i="69"/>
  <c r="I313" i="69"/>
  <c r="H313" i="69"/>
  <c r="G313" i="69"/>
  <c r="GX312" i="69"/>
  <c r="GW312" i="69"/>
  <c r="GS312" i="69"/>
  <c r="GR312" i="69"/>
  <c r="GN312" i="69"/>
  <c r="GM312" i="69"/>
  <c r="GI312" i="69"/>
  <c r="GH312" i="69"/>
  <c r="GD312" i="69"/>
  <c r="GC312" i="69"/>
  <c r="L312" i="69"/>
  <c r="K312" i="69"/>
  <c r="J312" i="69"/>
  <c r="I312" i="69"/>
  <c r="H312" i="69"/>
  <c r="G312" i="69"/>
  <c r="GX311" i="69"/>
  <c r="GW311" i="69"/>
  <c r="GS311" i="69"/>
  <c r="GR311" i="69"/>
  <c r="GN311" i="69"/>
  <c r="GM311" i="69"/>
  <c r="GI311" i="69"/>
  <c r="GH311" i="69"/>
  <c r="GD311" i="69"/>
  <c r="GC311" i="69"/>
  <c r="L311" i="69"/>
  <c r="K311" i="69"/>
  <c r="J311" i="69"/>
  <c r="I311" i="69"/>
  <c r="H311" i="69"/>
  <c r="G311" i="69"/>
  <c r="GX310" i="69"/>
  <c r="GW310" i="69"/>
  <c r="GS310" i="69"/>
  <c r="GR310" i="69"/>
  <c r="GN310" i="69"/>
  <c r="GM310" i="69"/>
  <c r="GI310" i="69"/>
  <c r="GH310" i="69"/>
  <c r="GD310" i="69"/>
  <c r="GC310" i="69"/>
  <c r="L310" i="69"/>
  <c r="K310" i="69"/>
  <c r="J310" i="69"/>
  <c r="I310" i="69"/>
  <c r="H310" i="69"/>
  <c r="G310" i="69"/>
  <c r="GX309" i="69"/>
  <c r="GW309" i="69"/>
  <c r="GS309" i="69"/>
  <c r="GR309" i="69"/>
  <c r="GN309" i="69"/>
  <c r="GM309" i="69"/>
  <c r="GI309" i="69"/>
  <c r="GH309" i="69"/>
  <c r="GD309" i="69"/>
  <c r="GC309" i="69"/>
  <c r="L309" i="69"/>
  <c r="K309" i="69"/>
  <c r="J309" i="69"/>
  <c r="I309" i="69"/>
  <c r="H309" i="69"/>
  <c r="G309" i="69"/>
  <c r="GX308" i="69"/>
  <c r="GW308" i="69"/>
  <c r="GS308" i="69"/>
  <c r="GR308" i="69"/>
  <c r="GN308" i="69"/>
  <c r="GM308" i="69"/>
  <c r="GI308" i="69"/>
  <c r="GH308" i="69"/>
  <c r="GD308" i="69"/>
  <c r="GC308" i="69"/>
  <c r="L308" i="69"/>
  <c r="K308" i="69"/>
  <c r="J308" i="69"/>
  <c r="I308" i="69"/>
  <c r="H308" i="69"/>
  <c r="G308" i="69"/>
  <c r="GX307" i="69"/>
  <c r="GW307" i="69"/>
  <c r="GS307" i="69"/>
  <c r="GR307" i="69"/>
  <c r="GN307" i="69"/>
  <c r="GM307" i="69"/>
  <c r="GI307" i="69"/>
  <c r="GH307" i="69"/>
  <c r="GD307" i="69"/>
  <c r="GC307" i="69"/>
  <c r="L307" i="69"/>
  <c r="K307" i="69"/>
  <c r="J307" i="69"/>
  <c r="I307" i="69"/>
  <c r="H307" i="69"/>
  <c r="G307" i="69"/>
  <c r="GX306" i="69"/>
  <c r="GW306" i="69"/>
  <c r="GS306" i="69"/>
  <c r="GR306" i="69"/>
  <c r="GN306" i="69"/>
  <c r="GM306" i="69"/>
  <c r="GI306" i="69"/>
  <c r="GH306" i="69"/>
  <c r="GD306" i="69"/>
  <c r="GC306" i="69"/>
  <c r="L306" i="69"/>
  <c r="K306" i="69"/>
  <c r="J306" i="69"/>
  <c r="I306" i="69"/>
  <c r="H306" i="69"/>
  <c r="G306" i="69"/>
  <c r="GX305" i="69"/>
  <c r="GW305" i="69"/>
  <c r="GS305" i="69"/>
  <c r="GR305" i="69"/>
  <c r="GN305" i="69"/>
  <c r="GM305" i="69"/>
  <c r="GI305" i="69"/>
  <c r="GH305" i="69"/>
  <c r="GD305" i="69"/>
  <c r="GC305" i="69"/>
  <c r="L305" i="69"/>
  <c r="K305" i="69"/>
  <c r="J305" i="69"/>
  <c r="I305" i="69"/>
  <c r="H305" i="69"/>
  <c r="G305" i="69"/>
  <c r="GX304" i="69"/>
  <c r="GW304" i="69"/>
  <c r="GS304" i="69"/>
  <c r="GR304" i="69"/>
  <c r="GN304" i="69"/>
  <c r="GM304" i="69"/>
  <c r="GI304" i="69"/>
  <c r="GH304" i="69"/>
  <c r="GD304" i="69"/>
  <c r="GC304" i="69"/>
  <c r="L304" i="69"/>
  <c r="K304" i="69"/>
  <c r="J304" i="69"/>
  <c r="I304" i="69"/>
  <c r="H304" i="69"/>
  <c r="G304" i="69"/>
  <c r="GX303" i="69"/>
  <c r="GW303" i="69"/>
  <c r="GS303" i="69"/>
  <c r="GR303" i="69"/>
  <c r="GN303" i="69"/>
  <c r="GM303" i="69"/>
  <c r="GI303" i="69"/>
  <c r="GH303" i="69"/>
  <c r="GD303" i="69"/>
  <c r="GC303" i="69"/>
  <c r="L303" i="69"/>
  <c r="K303" i="69"/>
  <c r="J303" i="69"/>
  <c r="I303" i="69"/>
  <c r="H303" i="69"/>
  <c r="G303" i="69"/>
  <c r="GX302" i="69"/>
  <c r="GW302" i="69"/>
  <c r="GS302" i="69"/>
  <c r="GR302" i="69"/>
  <c r="GN302" i="69"/>
  <c r="GM302" i="69"/>
  <c r="GI302" i="69"/>
  <c r="GH302" i="69"/>
  <c r="GD302" i="69"/>
  <c r="GC302" i="69"/>
  <c r="L302" i="69"/>
  <c r="K302" i="69"/>
  <c r="J302" i="69"/>
  <c r="I302" i="69"/>
  <c r="H302" i="69"/>
  <c r="G302" i="69"/>
  <c r="GX301" i="69"/>
  <c r="GW301" i="69"/>
  <c r="GS301" i="69"/>
  <c r="GR301" i="69"/>
  <c r="GN301" i="69"/>
  <c r="GM301" i="69"/>
  <c r="GI301" i="69"/>
  <c r="GH301" i="69"/>
  <c r="GD301" i="69"/>
  <c r="GC301" i="69"/>
  <c r="FY301" i="69"/>
  <c r="FX301" i="69"/>
  <c r="L301" i="69"/>
  <c r="K301" i="69"/>
  <c r="J301" i="69"/>
  <c r="I301" i="69"/>
  <c r="H301" i="69"/>
  <c r="G301" i="69"/>
  <c r="GX300" i="69"/>
  <c r="GW300" i="69"/>
  <c r="GS300" i="69"/>
  <c r="GR300" i="69"/>
  <c r="GN300" i="69"/>
  <c r="GM300" i="69"/>
  <c r="GI300" i="69"/>
  <c r="GH300" i="69"/>
  <c r="GD300" i="69"/>
  <c r="GC300" i="69"/>
  <c r="FY300" i="69"/>
  <c r="FX300" i="69"/>
  <c r="L300" i="69"/>
  <c r="K300" i="69"/>
  <c r="J300" i="69"/>
  <c r="I300" i="69"/>
  <c r="H300" i="69"/>
  <c r="G300" i="69"/>
  <c r="GX299" i="69"/>
  <c r="GW299" i="69"/>
  <c r="GS299" i="69"/>
  <c r="GR299" i="69"/>
  <c r="GN299" i="69"/>
  <c r="GM299" i="69"/>
  <c r="GI299" i="69"/>
  <c r="GH299" i="69"/>
  <c r="GD299" i="69"/>
  <c r="GC299" i="69"/>
  <c r="FY299" i="69"/>
  <c r="FX299" i="69"/>
  <c r="FW299" i="69"/>
  <c r="L299" i="69"/>
  <c r="K299" i="69"/>
  <c r="J299" i="69"/>
  <c r="I299" i="69"/>
  <c r="H299" i="69"/>
  <c r="G299" i="69"/>
  <c r="GX298" i="69"/>
  <c r="GW298" i="69"/>
  <c r="GS298" i="69"/>
  <c r="GR298" i="69"/>
  <c r="GN298" i="69"/>
  <c r="GM298" i="69"/>
  <c r="GI298" i="69"/>
  <c r="GH298" i="69"/>
  <c r="GD298" i="69"/>
  <c r="GC298" i="69"/>
  <c r="FY298" i="69"/>
  <c r="FX298" i="69"/>
  <c r="FW298" i="69"/>
  <c r="L298" i="69"/>
  <c r="K298" i="69"/>
  <c r="J298" i="69"/>
  <c r="I298" i="69"/>
  <c r="H298" i="69"/>
  <c r="G298" i="69"/>
  <c r="GX297" i="69"/>
  <c r="GW297" i="69"/>
  <c r="GS297" i="69"/>
  <c r="GR297" i="69"/>
  <c r="GN297" i="69"/>
  <c r="GM297" i="69"/>
  <c r="GI297" i="69"/>
  <c r="GH297" i="69"/>
  <c r="GD297" i="69"/>
  <c r="GC297" i="69"/>
  <c r="FY297" i="69"/>
  <c r="FX297" i="69"/>
  <c r="L297" i="69"/>
  <c r="K297" i="69"/>
  <c r="J297" i="69"/>
  <c r="I297" i="69"/>
  <c r="H297" i="69"/>
  <c r="G297" i="69"/>
  <c r="GX296" i="69"/>
  <c r="GW296" i="69"/>
  <c r="GS296" i="69"/>
  <c r="GR296" i="69"/>
  <c r="GN296" i="69"/>
  <c r="GM296" i="69"/>
  <c r="GI296" i="69"/>
  <c r="GH296" i="69"/>
  <c r="GD296" i="69"/>
  <c r="GC296" i="69"/>
  <c r="FY296" i="69"/>
  <c r="FX296" i="69"/>
  <c r="L296" i="69"/>
  <c r="K296" i="69"/>
  <c r="J296" i="69"/>
  <c r="I296" i="69"/>
  <c r="H296" i="69"/>
  <c r="G296" i="69"/>
  <c r="GX295" i="69"/>
  <c r="GW295" i="69"/>
  <c r="GS295" i="69"/>
  <c r="GR295" i="69"/>
  <c r="GN295" i="69"/>
  <c r="GM295" i="69"/>
  <c r="GI295" i="69"/>
  <c r="GH295" i="69"/>
  <c r="GD295" i="69"/>
  <c r="GC295" i="69"/>
  <c r="FY295" i="69"/>
  <c r="FX295" i="69"/>
  <c r="L295" i="69"/>
  <c r="K295" i="69"/>
  <c r="J295" i="69"/>
  <c r="I295" i="69"/>
  <c r="H295" i="69"/>
  <c r="G295" i="69"/>
  <c r="GX294" i="69"/>
  <c r="GW294" i="69"/>
  <c r="GS294" i="69"/>
  <c r="GR294" i="69"/>
  <c r="GN294" i="69"/>
  <c r="GM294" i="69"/>
  <c r="GI294" i="69"/>
  <c r="GH294" i="69"/>
  <c r="GD294" i="69"/>
  <c r="GC294" i="69"/>
  <c r="FY294" i="69"/>
  <c r="FX294" i="69"/>
  <c r="L294" i="69"/>
  <c r="K294" i="69"/>
  <c r="J294" i="69"/>
  <c r="I294" i="69"/>
  <c r="H294" i="69"/>
  <c r="G294" i="69"/>
  <c r="GX293" i="69"/>
  <c r="GW293" i="69"/>
  <c r="GS293" i="69"/>
  <c r="GR293" i="69"/>
  <c r="GN293" i="69"/>
  <c r="GM293" i="69"/>
  <c r="GI293" i="69"/>
  <c r="GH293" i="69"/>
  <c r="GD293" i="69"/>
  <c r="GC293" i="69"/>
  <c r="FY293" i="69"/>
  <c r="FX293" i="69"/>
  <c r="L293" i="69"/>
  <c r="K293" i="69"/>
  <c r="J293" i="69"/>
  <c r="I293" i="69"/>
  <c r="H293" i="69"/>
  <c r="G293" i="69"/>
  <c r="GX292" i="69"/>
  <c r="GW292" i="69"/>
  <c r="GS292" i="69"/>
  <c r="GR292" i="69"/>
  <c r="GN292" i="69"/>
  <c r="GM292" i="69"/>
  <c r="GI292" i="69"/>
  <c r="GH292" i="69"/>
  <c r="GD292" i="69"/>
  <c r="GC292" i="69"/>
  <c r="FY292" i="69"/>
  <c r="FX292" i="69"/>
  <c r="L292" i="69"/>
  <c r="K292" i="69"/>
  <c r="J292" i="69"/>
  <c r="I292" i="69"/>
  <c r="H292" i="69"/>
  <c r="G292" i="69"/>
  <c r="GX291" i="69"/>
  <c r="GW291" i="69"/>
  <c r="GS291" i="69"/>
  <c r="GR291" i="69"/>
  <c r="GN291" i="69"/>
  <c r="GM291" i="69"/>
  <c r="GI291" i="69"/>
  <c r="GH291" i="69"/>
  <c r="GD291" i="69"/>
  <c r="GC291" i="69"/>
  <c r="FY291" i="69"/>
  <c r="FX291" i="69"/>
  <c r="L291" i="69"/>
  <c r="K291" i="69"/>
  <c r="J291" i="69"/>
  <c r="I291" i="69"/>
  <c r="H291" i="69"/>
  <c r="G291" i="69"/>
  <c r="GX290" i="69"/>
  <c r="GW290" i="69"/>
  <c r="GS290" i="69"/>
  <c r="GR290" i="69"/>
  <c r="GN290" i="69"/>
  <c r="GM290" i="69"/>
  <c r="GI290" i="69"/>
  <c r="GH290" i="69"/>
  <c r="GD290" i="69"/>
  <c r="GC290" i="69"/>
  <c r="FY290" i="69"/>
  <c r="FX290" i="69"/>
  <c r="L290" i="69"/>
  <c r="K290" i="69"/>
  <c r="J290" i="69"/>
  <c r="I290" i="69"/>
  <c r="H290" i="69"/>
  <c r="G290" i="69"/>
  <c r="GX289" i="69"/>
  <c r="GW289" i="69"/>
  <c r="GS289" i="69"/>
  <c r="GR289" i="69"/>
  <c r="GN289" i="69"/>
  <c r="GM289" i="69"/>
  <c r="GI289" i="69"/>
  <c r="GH289" i="69"/>
  <c r="GD289" i="69"/>
  <c r="GC289" i="69"/>
  <c r="FY289" i="69"/>
  <c r="FX289" i="69"/>
  <c r="FT289" i="69"/>
  <c r="FS289" i="69"/>
  <c r="L289" i="69"/>
  <c r="K289" i="69"/>
  <c r="J289" i="69"/>
  <c r="I289" i="69"/>
  <c r="H289" i="69"/>
  <c r="G289" i="69"/>
  <c r="GX288" i="69"/>
  <c r="GW288" i="69"/>
  <c r="GS288" i="69"/>
  <c r="GR288" i="69"/>
  <c r="GN288" i="69"/>
  <c r="GM288" i="69"/>
  <c r="GI288" i="69"/>
  <c r="GH288" i="69"/>
  <c r="GD288" i="69"/>
  <c r="GC288" i="69"/>
  <c r="FY288" i="69"/>
  <c r="FX288" i="69"/>
  <c r="FT288" i="69"/>
  <c r="FS288" i="69"/>
  <c r="L288" i="69"/>
  <c r="K288" i="69"/>
  <c r="J288" i="69"/>
  <c r="I288" i="69"/>
  <c r="H288" i="69"/>
  <c r="G288" i="69"/>
  <c r="GX287" i="69"/>
  <c r="GW287" i="69"/>
  <c r="GS287" i="69"/>
  <c r="GR287" i="69"/>
  <c r="GN287" i="69"/>
  <c r="GM287" i="69"/>
  <c r="GI287" i="69"/>
  <c r="GH287" i="69"/>
  <c r="GD287" i="69"/>
  <c r="GC287" i="69"/>
  <c r="FY287" i="69"/>
  <c r="FX287" i="69"/>
  <c r="FT287" i="69"/>
  <c r="FS287" i="69"/>
  <c r="L287" i="69"/>
  <c r="K287" i="69"/>
  <c r="J287" i="69"/>
  <c r="I287" i="69"/>
  <c r="H287" i="69"/>
  <c r="G287" i="69"/>
  <c r="GX286" i="69"/>
  <c r="GW286" i="69"/>
  <c r="GS286" i="69"/>
  <c r="GR286" i="69"/>
  <c r="GN286" i="69"/>
  <c r="GM286" i="69"/>
  <c r="GI286" i="69"/>
  <c r="GH286" i="69"/>
  <c r="GD286" i="69"/>
  <c r="GC286" i="69"/>
  <c r="FY286" i="69"/>
  <c r="FX286" i="69"/>
  <c r="FT286" i="69"/>
  <c r="FS286" i="69"/>
  <c r="L286" i="69"/>
  <c r="K286" i="69"/>
  <c r="J286" i="69"/>
  <c r="I286" i="69"/>
  <c r="H286" i="69"/>
  <c r="G286" i="69"/>
  <c r="GX285" i="69"/>
  <c r="GW285" i="69"/>
  <c r="GS285" i="69"/>
  <c r="GR285" i="69"/>
  <c r="GN285" i="69"/>
  <c r="GM285" i="69"/>
  <c r="GI285" i="69"/>
  <c r="GH285" i="69"/>
  <c r="GD285" i="69"/>
  <c r="GC285" i="69"/>
  <c r="FY285" i="69"/>
  <c r="FX285" i="69"/>
  <c r="FT285" i="69"/>
  <c r="FS285" i="69"/>
  <c r="L285" i="69"/>
  <c r="K285" i="69"/>
  <c r="J285" i="69"/>
  <c r="I285" i="69"/>
  <c r="H285" i="69"/>
  <c r="G285" i="69"/>
  <c r="GX284" i="69"/>
  <c r="GW284" i="69"/>
  <c r="GS284" i="69"/>
  <c r="GR284" i="69"/>
  <c r="GN284" i="69"/>
  <c r="GM284" i="69"/>
  <c r="GI284" i="69"/>
  <c r="GH284" i="69"/>
  <c r="GD284" i="69"/>
  <c r="GC284" i="69"/>
  <c r="FY284" i="69"/>
  <c r="FX284" i="69"/>
  <c r="FT284" i="69"/>
  <c r="FS284" i="69"/>
  <c r="L284" i="69"/>
  <c r="K284" i="69"/>
  <c r="J284" i="69"/>
  <c r="I284" i="69"/>
  <c r="H284" i="69"/>
  <c r="G284" i="69"/>
  <c r="GX283" i="69"/>
  <c r="GW283" i="69"/>
  <c r="GS283" i="69"/>
  <c r="GR283" i="69"/>
  <c r="GN283" i="69"/>
  <c r="GM283" i="69"/>
  <c r="GI283" i="69"/>
  <c r="GH283" i="69"/>
  <c r="GD283" i="69"/>
  <c r="GC283" i="69"/>
  <c r="FY283" i="69"/>
  <c r="FX283" i="69"/>
  <c r="FT283" i="69"/>
  <c r="FS283" i="69"/>
  <c r="L283" i="69"/>
  <c r="K283" i="69"/>
  <c r="J283" i="69"/>
  <c r="I283" i="69"/>
  <c r="H283" i="69"/>
  <c r="G283" i="69"/>
  <c r="GX282" i="69"/>
  <c r="GW282" i="69"/>
  <c r="GS282" i="69"/>
  <c r="GR282" i="69"/>
  <c r="GN282" i="69"/>
  <c r="GM282" i="69"/>
  <c r="GI282" i="69"/>
  <c r="GH282" i="69"/>
  <c r="GD282" i="69"/>
  <c r="GC282" i="69"/>
  <c r="FY282" i="69"/>
  <c r="FX282" i="69"/>
  <c r="FT282" i="69"/>
  <c r="FS282" i="69"/>
  <c r="FO282" i="69"/>
  <c r="FN282" i="69"/>
  <c r="FJ282" i="69"/>
  <c r="FI282" i="69"/>
  <c r="L282" i="69"/>
  <c r="K282" i="69"/>
  <c r="J282" i="69"/>
  <c r="I282" i="69"/>
  <c r="H282" i="69"/>
  <c r="G282" i="69"/>
  <c r="GX281" i="69"/>
  <c r="GW281" i="69"/>
  <c r="GS281" i="69"/>
  <c r="GR281" i="69"/>
  <c r="GN281" i="69"/>
  <c r="GM281" i="69"/>
  <c r="GI281" i="69"/>
  <c r="GH281" i="69"/>
  <c r="GD281" i="69"/>
  <c r="GC281" i="69"/>
  <c r="FY281" i="69"/>
  <c r="FX281" i="69"/>
  <c r="FT281" i="69"/>
  <c r="FS281" i="69"/>
  <c r="FO281" i="69"/>
  <c r="FN281" i="69"/>
  <c r="FJ281" i="69"/>
  <c r="FI281" i="69"/>
  <c r="L281" i="69"/>
  <c r="K281" i="69"/>
  <c r="J281" i="69"/>
  <c r="I281" i="69"/>
  <c r="H281" i="69"/>
  <c r="G281" i="69"/>
  <c r="GX280" i="69"/>
  <c r="GW280" i="69"/>
  <c r="GS280" i="69"/>
  <c r="GR280" i="69"/>
  <c r="GN280" i="69"/>
  <c r="GM280" i="69"/>
  <c r="GI280" i="69"/>
  <c r="GH280" i="69"/>
  <c r="GD280" i="69"/>
  <c r="GC280" i="69"/>
  <c r="FY280" i="69"/>
  <c r="FX280" i="69"/>
  <c r="FT280" i="69"/>
  <c r="FS280" i="69"/>
  <c r="FO280" i="69"/>
  <c r="FN280" i="69"/>
  <c r="L280" i="69"/>
  <c r="K280" i="69"/>
  <c r="J280" i="69"/>
  <c r="I280" i="69"/>
  <c r="H280" i="69"/>
  <c r="G280" i="69"/>
  <c r="GX279" i="69"/>
  <c r="GW279" i="69"/>
  <c r="GS279" i="69"/>
  <c r="GR279" i="69"/>
  <c r="GN279" i="69"/>
  <c r="GM279" i="69"/>
  <c r="GI279" i="69"/>
  <c r="GH279" i="69"/>
  <c r="GD279" i="69"/>
  <c r="GC279" i="69"/>
  <c r="FY279" i="69"/>
  <c r="FX279" i="69"/>
  <c r="FT279" i="69"/>
  <c r="FS279" i="69"/>
  <c r="FO279" i="69"/>
  <c r="FN279" i="69"/>
  <c r="L279" i="69"/>
  <c r="K279" i="69"/>
  <c r="J279" i="69"/>
  <c r="I279" i="69"/>
  <c r="H279" i="69"/>
  <c r="G279" i="69"/>
  <c r="GX278" i="69"/>
  <c r="GW278" i="69"/>
  <c r="GS278" i="69"/>
  <c r="GR278" i="69"/>
  <c r="GN278" i="69"/>
  <c r="GM278" i="69"/>
  <c r="GI278" i="69"/>
  <c r="GH278" i="69"/>
  <c r="GD278" i="69"/>
  <c r="GC278" i="69"/>
  <c r="FY278" i="69"/>
  <c r="FX278" i="69"/>
  <c r="FT278" i="69"/>
  <c r="FS278" i="69"/>
  <c r="FO278" i="69"/>
  <c r="FN278" i="69"/>
  <c r="L278" i="69"/>
  <c r="K278" i="69"/>
  <c r="J278" i="69"/>
  <c r="I278" i="69"/>
  <c r="H278" i="69"/>
  <c r="G278" i="69"/>
  <c r="GX277" i="69"/>
  <c r="GW277" i="69"/>
  <c r="GS277" i="69"/>
  <c r="GR277" i="69"/>
  <c r="GN277" i="69"/>
  <c r="GM277" i="69"/>
  <c r="GI277" i="69"/>
  <c r="GH277" i="69"/>
  <c r="GD277" i="69"/>
  <c r="GC277" i="69"/>
  <c r="FY277" i="69"/>
  <c r="FX277" i="69"/>
  <c r="FT277" i="69"/>
  <c r="FS277" i="69"/>
  <c r="FO277" i="69"/>
  <c r="FN277" i="69"/>
  <c r="L277" i="69"/>
  <c r="K277" i="69"/>
  <c r="J277" i="69"/>
  <c r="I277" i="69"/>
  <c r="H277" i="69"/>
  <c r="G277" i="69"/>
  <c r="GX276" i="69"/>
  <c r="GW276" i="69"/>
  <c r="GS276" i="69"/>
  <c r="GR276" i="69"/>
  <c r="GN276" i="69"/>
  <c r="GM276" i="69"/>
  <c r="GI276" i="69"/>
  <c r="GH276" i="69"/>
  <c r="GD276" i="69"/>
  <c r="GC276" i="69"/>
  <c r="FY276" i="69"/>
  <c r="FX276" i="69"/>
  <c r="FW276" i="69"/>
  <c r="FV276" i="69"/>
  <c r="FU276" i="69"/>
  <c r="FT276" i="69"/>
  <c r="FS276" i="69"/>
  <c r="FO276" i="69"/>
  <c r="FN276" i="69"/>
  <c r="L276" i="69"/>
  <c r="K276" i="69"/>
  <c r="J276" i="69"/>
  <c r="I276" i="69"/>
  <c r="H276" i="69"/>
  <c r="G276" i="69"/>
  <c r="GX275" i="69"/>
  <c r="GW275" i="69"/>
  <c r="GS275" i="69"/>
  <c r="GR275" i="69"/>
  <c r="GN275" i="69"/>
  <c r="GM275" i="69"/>
  <c r="GI275" i="69"/>
  <c r="GH275" i="69"/>
  <c r="GD275" i="69"/>
  <c r="GC275" i="69"/>
  <c r="FY275" i="69"/>
  <c r="FX275" i="69"/>
  <c r="FT275" i="69"/>
  <c r="FS275" i="69"/>
  <c r="FO275" i="69"/>
  <c r="FN275" i="69"/>
  <c r="L275" i="69"/>
  <c r="K275" i="69"/>
  <c r="J275" i="69"/>
  <c r="I275" i="69"/>
  <c r="H275" i="69"/>
  <c r="G275" i="69"/>
  <c r="GX274" i="69"/>
  <c r="GW274" i="69"/>
  <c r="GS274" i="69"/>
  <c r="GR274" i="69"/>
  <c r="GN274" i="69"/>
  <c r="GM274" i="69"/>
  <c r="GI274" i="69"/>
  <c r="GH274" i="69"/>
  <c r="GD274" i="69"/>
  <c r="GC274" i="69"/>
  <c r="FY274" i="69"/>
  <c r="FX274" i="69"/>
  <c r="FT274" i="69"/>
  <c r="FS274" i="69"/>
  <c r="FO274" i="69"/>
  <c r="FN274" i="69"/>
  <c r="L274" i="69"/>
  <c r="K274" i="69"/>
  <c r="J274" i="69"/>
  <c r="I274" i="69"/>
  <c r="H274" i="69"/>
  <c r="G274" i="69"/>
  <c r="GX273" i="69"/>
  <c r="GW273" i="69"/>
  <c r="GS273" i="69"/>
  <c r="GR273" i="69"/>
  <c r="GN273" i="69"/>
  <c r="GM273" i="69"/>
  <c r="GI273" i="69"/>
  <c r="GH273" i="69"/>
  <c r="GD273" i="69"/>
  <c r="GC273" i="69"/>
  <c r="FY273" i="69"/>
  <c r="FX273" i="69"/>
  <c r="FT273" i="69"/>
  <c r="FS273" i="69"/>
  <c r="FO273" i="69"/>
  <c r="FN273" i="69"/>
  <c r="FJ273" i="69"/>
  <c r="FI273" i="69"/>
  <c r="L273" i="69"/>
  <c r="K273" i="69"/>
  <c r="J273" i="69"/>
  <c r="I273" i="69"/>
  <c r="H273" i="69"/>
  <c r="G273" i="69"/>
  <c r="GX272" i="69"/>
  <c r="GW272" i="69"/>
  <c r="GS272" i="69"/>
  <c r="GR272" i="69"/>
  <c r="GN272" i="69"/>
  <c r="GM272" i="69"/>
  <c r="GI272" i="69"/>
  <c r="GH272" i="69"/>
  <c r="GD272" i="69"/>
  <c r="GC272" i="69"/>
  <c r="FY272" i="69"/>
  <c r="FX272" i="69"/>
  <c r="FT272" i="69"/>
  <c r="FS272" i="69"/>
  <c r="FO272" i="69"/>
  <c r="FN272" i="69"/>
  <c r="FJ272" i="69"/>
  <c r="FI272" i="69"/>
  <c r="FE272" i="69"/>
  <c r="FD272" i="69"/>
  <c r="L272" i="69"/>
  <c r="K272" i="69"/>
  <c r="J272" i="69"/>
  <c r="I272" i="69"/>
  <c r="H272" i="69"/>
  <c r="G272" i="69"/>
  <c r="GX271" i="69"/>
  <c r="GW271" i="69"/>
  <c r="GS271" i="69"/>
  <c r="GR271" i="69"/>
  <c r="GN271" i="69"/>
  <c r="GM271" i="69"/>
  <c r="GI271" i="69"/>
  <c r="GH271" i="69"/>
  <c r="GD271" i="69"/>
  <c r="GC271" i="69"/>
  <c r="FY271" i="69"/>
  <c r="FX271" i="69"/>
  <c r="FT271" i="69"/>
  <c r="FS271" i="69"/>
  <c r="FO271" i="69"/>
  <c r="FN271" i="69"/>
  <c r="FJ271" i="69"/>
  <c r="FI271" i="69"/>
  <c r="FE271" i="69"/>
  <c r="FD271" i="69"/>
  <c r="EZ271" i="69"/>
  <c r="EY271" i="69"/>
  <c r="L271" i="69"/>
  <c r="K271" i="69"/>
  <c r="J271" i="69"/>
  <c r="I271" i="69"/>
  <c r="H271" i="69"/>
  <c r="G271" i="69"/>
  <c r="GX270" i="69"/>
  <c r="GW270" i="69"/>
  <c r="GS270" i="69"/>
  <c r="GR270" i="69"/>
  <c r="GN270" i="69"/>
  <c r="GM270" i="69"/>
  <c r="GI270" i="69"/>
  <c r="GH270" i="69"/>
  <c r="GD270" i="69"/>
  <c r="GC270" i="69"/>
  <c r="FY270" i="69"/>
  <c r="FX270" i="69"/>
  <c r="FT270" i="69"/>
  <c r="FS270" i="69"/>
  <c r="FO270" i="69"/>
  <c r="FN270" i="69"/>
  <c r="FJ270" i="69"/>
  <c r="FI270" i="69"/>
  <c r="FE270" i="69"/>
  <c r="FD270" i="69"/>
  <c r="EZ270" i="69"/>
  <c r="EY270" i="69"/>
  <c r="L270" i="69"/>
  <c r="K270" i="69"/>
  <c r="J270" i="69"/>
  <c r="I270" i="69"/>
  <c r="H270" i="69"/>
  <c r="G270" i="69"/>
  <c r="GX269" i="69"/>
  <c r="GW269" i="69"/>
  <c r="GS269" i="69"/>
  <c r="GR269" i="69"/>
  <c r="GN269" i="69"/>
  <c r="GM269" i="69"/>
  <c r="GI269" i="69"/>
  <c r="GH269" i="69"/>
  <c r="GD269" i="69"/>
  <c r="GC269" i="69"/>
  <c r="FY269" i="69"/>
  <c r="FX269" i="69"/>
  <c r="FT269" i="69"/>
  <c r="FS269" i="69"/>
  <c r="FO269" i="69"/>
  <c r="FN269" i="69"/>
  <c r="FJ269" i="69"/>
  <c r="FI269" i="69"/>
  <c r="FE269" i="69"/>
  <c r="FD269" i="69"/>
  <c r="EZ269" i="69"/>
  <c r="EY269" i="69"/>
  <c r="EP269" i="69"/>
  <c r="EO269" i="69"/>
  <c r="L269" i="69"/>
  <c r="K269" i="69"/>
  <c r="J269" i="69"/>
  <c r="I269" i="69"/>
  <c r="H269" i="69"/>
  <c r="G269" i="69"/>
  <c r="GX268" i="69"/>
  <c r="GW268" i="69"/>
  <c r="GS268" i="69"/>
  <c r="GR268" i="69"/>
  <c r="GN268" i="69"/>
  <c r="GM268" i="69"/>
  <c r="GI268" i="69"/>
  <c r="GH268" i="69"/>
  <c r="GD268" i="69"/>
  <c r="GC268" i="69"/>
  <c r="FY268" i="69"/>
  <c r="FX268" i="69"/>
  <c r="FT268" i="69"/>
  <c r="FS268" i="69"/>
  <c r="FO268" i="69"/>
  <c r="FN268" i="69"/>
  <c r="FJ268" i="69"/>
  <c r="FI268" i="69"/>
  <c r="FE268" i="69"/>
  <c r="FD268" i="69"/>
  <c r="EZ268" i="69"/>
  <c r="EY268" i="69"/>
  <c r="EU268" i="69"/>
  <c r="ET268" i="69"/>
  <c r="L268" i="69"/>
  <c r="K268" i="69"/>
  <c r="J268" i="69"/>
  <c r="I268" i="69"/>
  <c r="H268" i="69"/>
  <c r="G268" i="69"/>
  <c r="GX267" i="69"/>
  <c r="GW267" i="69"/>
  <c r="GS267" i="69"/>
  <c r="GR267" i="69"/>
  <c r="GN267" i="69"/>
  <c r="GM267" i="69"/>
  <c r="GI267" i="69"/>
  <c r="GH267" i="69"/>
  <c r="GD267" i="69"/>
  <c r="GC267" i="69"/>
  <c r="FY267" i="69"/>
  <c r="FX267" i="69"/>
  <c r="FT267" i="69"/>
  <c r="FS267" i="69"/>
  <c r="FO267" i="69"/>
  <c r="FN267" i="69"/>
  <c r="FJ267" i="69"/>
  <c r="FI267" i="69"/>
  <c r="FE267" i="69"/>
  <c r="FD267" i="69"/>
  <c r="EZ267" i="69"/>
  <c r="EY267" i="69"/>
  <c r="EU267" i="69"/>
  <c r="ET267" i="69"/>
  <c r="L267" i="69"/>
  <c r="K267" i="69"/>
  <c r="J267" i="69"/>
  <c r="I267" i="69"/>
  <c r="H267" i="69"/>
  <c r="G267" i="69"/>
  <c r="GX266" i="69"/>
  <c r="GW266" i="69"/>
  <c r="GS266" i="69"/>
  <c r="GR266" i="69"/>
  <c r="GN266" i="69"/>
  <c r="GM266" i="69"/>
  <c r="GI266" i="69"/>
  <c r="GH266" i="69"/>
  <c r="GD266" i="69"/>
  <c r="GC266" i="69"/>
  <c r="FY266" i="69"/>
  <c r="FX266" i="69"/>
  <c r="FT266" i="69"/>
  <c r="FS266" i="69"/>
  <c r="FO266" i="69"/>
  <c r="FN266" i="69"/>
  <c r="FJ266" i="69"/>
  <c r="FI266" i="69"/>
  <c r="FE266" i="69"/>
  <c r="FD266" i="69"/>
  <c r="EZ266" i="69"/>
  <c r="EY266" i="69"/>
  <c r="EU266" i="69"/>
  <c r="ET266" i="69"/>
  <c r="EP266" i="69"/>
  <c r="EO266" i="69"/>
  <c r="L266" i="69"/>
  <c r="K266" i="69"/>
  <c r="J266" i="69"/>
  <c r="I266" i="69"/>
  <c r="H266" i="69"/>
  <c r="G266" i="69"/>
  <c r="GX265" i="69"/>
  <c r="GW265" i="69"/>
  <c r="GS265" i="69"/>
  <c r="GR265" i="69"/>
  <c r="GN265" i="69"/>
  <c r="GM265" i="69"/>
  <c r="GI265" i="69"/>
  <c r="GH265" i="69"/>
  <c r="GD265" i="69"/>
  <c r="GC265" i="69"/>
  <c r="FY265" i="69"/>
  <c r="FX265" i="69"/>
  <c r="FT265" i="69"/>
  <c r="FS265" i="69"/>
  <c r="FO265" i="69"/>
  <c r="FN265" i="69"/>
  <c r="FJ265" i="69"/>
  <c r="FI265" i="69"/>
  <c r="FE265" i="69"/>
  <c r="FD265" i="69"/>
  <c r="EZ265" i="69"/>
  <c r="EY265" i="69"/>
  <c r="EU265" i="69"/>
  <c r="ET265" i="69"/>
  <c r="EP265" i="69"/>
  <c r="EO265" i="69"/>
  <c r="L265" i="69"/>
  <c r="K265" i="69"/>
  <c r="J265" i="69"/>
  <c r="I265" i="69"/>
  <c r="H265" i="69"/>
  <c r="G265" i="69"/>
  <c r="GX264" i="69"/>
  <c r="GW264" i="69"/>
  <c r="GS264" i="69"/>
  <c r="GR264" i="69"/>
  <c r="GN264" i="69"/>
  <c r="GM264" i="69"/>
  <c r="GI264" i="69"/>
  <c r="GH264" i="69"/>
  <c r="GD264" i="69"/>
  <c r="GC264" i="69"/>
  <c r="FY264" i="69"/>
  <c r="FX264" i="69"/>
  <c r="FT264" i="69"/>
  <c r="FS264" i="69"/>
  <c r="FO264" i="69"/>
  <c r="FN264" i="69"/>
  <c r="FJ264" i="69"/>
  <c r="FI264" i="69"/>
  <c r="FE264" i="69"/>
  <c r="FD264" i="69"/>
  <c r="EZ264" i="69"/>
  <c r="EY264" i="69"/>
  <c r="EU264" i="69"/>
  <c r="ET264" i="69"/>
  <c r="EP264" i="69"/>
  <c r="EO264" i="69"/>
  <c r="L264" i="69"/>
  <c r="K264" i="69"/>
  <c r="J264" i="69"/>
  <c r="I264" i="69"/>
  <c r="H264" i="69"/>
  <c r="G264" i="69"/>
  <c r="GX263" i="69"/>
  <c r="GW263" i="69"/>
  <c r="GS263" i="69"/>
  <c r="GR263" i="69"/>
  <c r="GN263" i="69"/>
  <c r="GM263" i="69"/>
  <c r="GI263" i="69"/>
  <c r="GH263" i="69"/>
  <c r="GD263" i="69"/>
  <c r="GC263" i="69"/>
  <c r="FY263" i="69"/>
  <c r="FX263" i="69"/>
  <c r="FT263" i="69"/>
  <c r="FS263" i="69"/>
  <c r="FO263" i="69"/>
  <c r="FN263" i="69"/>
  <c r="FJ263" i="69"/>
  <c r="FI263" i="69"/>
  <c r="FE263" i="69"/>
  <c r="FD263" i="69"/>
  <c r="EZ263" i="69"/>
  <c r="EY263" i="69"/>
  <c r="EU263" i="69"/>
  <c r="ET263" i="69"/>
  <c r="ES263" i="69"/>
  <c r="EP263" i="69"/>
  <c r="EO263" i="69"/>
  <c r="L263" i="69"/>
  <c r="K263" i="69"/>
  <c r="J263" i="69"/>
  <c r="I263" i="69"/>
  <c r="H263" i="69"/>
  <c r="G263" i="69"/>
  <c r="GX262" i="69"/>
  <c r="GW262" i="69"/>
  <c r="GS262" i="69"/>
  <c r="GR262" i="69"/>
  <c r="GN262" i="69"/>
  <c r="GM262" i="69"/>
  <c r="GI262" i="69"/>
  <c r="GH262" i="69"/>
  <c r="GD262" i="69"/>
  <c r="GC262" i="69"/>
  <c r="L262" i="69"/>
  <c r="K262" i="69"/>
  <c r="J262" i="69"/>
  <c r="I262" i="69"/>
  <c r="H262" i="69"/>
  <c r="G262" i="69"/>
  <c r="GX261" i="69"/>
  <c r="GW261" i="69"/>
  <c r="GS261" i="69"/>
  <c r="GR261" i="69"/>
  <c r="GN261" i="69"/>
  <c r="GM261" i="69"/>
  <c r="GL261" i="69"/>
  <c r="GK261" i="69"/>
  <c r="GJ261" i="69"/>
  <c r="GI261" i="69"/>
  <c r="GH261" i="69"/>
  <c r="GD261" i="69"/>
  <c r="GC261" i="69"/>
  <c r="L261" i="69"/>
  <c r="K261" i="69"/>
  <c r="J261" i="69"/>
  <c r="I261" i="69"/>
  <c r="H261" i="69"/>
  <c r="G261" i="69"/>
  <c r="GX260" i="69"/>
  <c r="GW260" i="69"/>
  <c r="GS260" i="69"/>
  <c r="GR260" i="69"/>
  <c r="GN260" i="69"/>
  <c r="GM260" i="69"/>
  <c r="GL260" i="69"/>
  <c r="GK260" i="69"/>
  <c r="GJ260" i="69"/>
  <c r="GI260" i="69"/>
  <c r="GH260" i="69"/>
  <c r="GD260" i="69"/>
  <c r="GC260" i="69"/>
  <c r="L260" i="69"/>
  <c r="K260" i="69"/>
  <c r="J260" i="69"/>
  <c r="I260" i="69"/>
  <c r="H260" i="69"/>
  <c r="G260" i="69"/>
  <c r="GX259" i="69"/>
  <c r="GW259" i="69"/>
  <c r="GS259" i="69"/>
  <c r="GR259" i="69"/>
  <c r="L259" i="69"/>
  <c r="K259" i="69"/>
  <c r="J259" i="69"/>
  <c r="I259" i="69"/>
  <c r="H259" i="69"/>
  <c r="G259" i="69"/>
  <c r="GX258" i="69"/>
  <c r="GW258" i="69"/>
  <c r="GS258" i="69"/>
  <c r="GR258" i="69"/>
  <c r="L258" i="69"/>
  <c r="K258" i="69"/>
  <c r="J258" i="69"/>
  <c r="I258" i="69"/>
  <c r="H258" i="69"/>
  <c r="G258" i="69"/>
  <c r="GX257" i="69"/>
  <c r="GW257" i="69"/>
  <c r="GS257" i="69"/>
  <c r="GR257" i="69"/>
  <c r="L257" i="69"/>
  <c r="K257" i="69"/>
  <c r="J257" i="69"/>
  <c r="I257" i="69"/>
  <c r="H257" i="69"/>
  <c r="G257" i="69"/>
  <c r="GX256" i="69"/>
  <c r="GW256" i="69"/>
  <c r="GS256" i="69"/>
  <c r="GR256" i="69"/>
  <c r="L256" i="69"/>
  <c r="K256" i="69"/>
  <c r="J256" i="69"/>
  <c r="I256" i="69"/>
  <c r="H256" i="69"/>
  <c r="G256" i="69"/>
  <c r="GX255" i="69"/>
  <c r="GW255" i="69"/>
  <c r="GS255" i="69"/>
  <c r="GR255" i="69"/>
  <c r="L255" i="69"/>
  <c r="K255" i="69"/>
  <c r="J255" i="69"/>
  <c r="I255" i="69"/>
  <c r="H255" i="69"/>
  <c r="G255" i="69"/>
  <c r="GX254" i="69"/>
  <c r="GW254" i="69"/>
  <c r="GS254" i="69"/>
  <c r="GR254" i="69"/>
  <c r="L254" i="69"/>
  <c r="K254" i="69"/>
  <c r="J254" i="69"/>
  <c r="I254" i="69"/>
  <c r="H254" i="69"/>
  <c r="G254" i="69"/>
  <c r="GX253" i="69"/>
  <c r="GW253" i="69"/>
  <c r="GS253" i="69"/>
  <c r="GR253" i="69"/>
  <c r="L253" i="69"/>
  <c r="K253" i="69"/>
  <c r="J253" i="69"/>
  <c r="I253" i="69"/>
  <c r="H253" i="69"/>
  <c r="G253" i="69"/>
  <c r="GX252" i="69"/>
  <c r="GW252" i="69"/>
  <c r="GS252" i="69"/>
  <c r="GR252" i="69"/>
  <c r="L252" i="69"/>
  <c r="K252" i="69"/>
  <c r="J252" i="69"/>
  <c r="I252" i="69"/>
  <c r="H252" i="69"/>
  <c r="G252" i="69"/>
  <c r="GX251" i="69"/>
  <c r="GW251" i="69"/>
  <c r="GS251" i="69"/>
  <c r="GR251" i="69"/>
  <c r="L251" i="69"/>
  <c r="K251" i="69"/>
  <c r="J251" i="69"/>
  <c r="I251" i="69"/>
  <c r="H251" i="69"/>
  <c r="G251" i="69"/>
  <c r="GX250" i="69"/>
  <c r="GW250" i="69"/>
  <c r="GS250" i="69"/>
  <c r="GR250" i="69"/>
  <c r="L250" i="69"/>
  <c r="K250" i="69"/>
  <c r="J250" i="69"/>
  <c r="I250" i="69"/>
  <c r="H250" i="69"/>
  <c r="G250" i="69"/>
  <c r="GX249" i="69"/>
  <c r="GW249" i="69"/>
  <c r="GS249" i="69"/>
  <c r="GR249" i="69"/>
  <c r="L249" i="69"/>
  <c r="K249" i="69"/>
  <c r="J249" i="69"/>
  <c r="I249" i="69"/>
  <c r="H249" i="69"/>
  <c r="G249" i="69"/>
  <c r="GX248" i="69"/>
  <c r="GW248" i="69"/>
  <c r="GS248" i="69"/>
  <c r="GR248" i="69"/>
  <c r="L248" i="69"/>
  <c r="K248" i="69"/>
  <c r="J248" i="69"/>
  <c r="I248" i="69"/>
  <c r="H248" i="69"/>
  <c r="G248" i="69"/>
  <c r="GX247" i="69"/>
  <c r="GW247" i="69"/>
  <c r="GS247" i="69"/>
  <c r="GR247" i="69"/>
  <c r="L247" i="69"/>
  <c r="K247" i="69"/>
  <c r="J247" i="69"/>
  <c r="I247" i="69"/>
  <c r="H247" i="69"/>
  <c r="G247" i="69"/>
  <c r="GX246" i="69"/>
  <c r="GW246" i="69"/>
  <c r="GS246" i="69"/>
  <c r="GR246" i="69"/>
  <c r="L246" i="69"/>
  <c r="K246" i="69"/>
  <c r="J246" i="69"/>
  <c r="I246" i="69"/>
  <c r="H246" i="69"/>
  <c r="G246" i="69"/>
  <c r="GX245" i="69"/>
  <c r="GW245" i="69"/>
  <c r="GS245" i="69"/>
  <c r="GR245" i="69"/>
  <c r="L245" i="69"/>
  <c r="K245" i="69"/>
  <c r="J245" i="69"/>
  <c r="I245" i="69"/>
  <c r="H245" i="69"/>
  <c r="G245" i="69"/>
  <c r="GX244" i="69"/>
  <c r="GW244" i="69"/>
  <c r="GS244" i="69"/>
  <c r="GR244" i="69"/>
  <c r="L244" i="69"/>
  <c r="K244" i="69"/>
  <c r="J244" i="69"/>
  <c r="I244" i="69"/>
  <c r="H244" i="69"/>
  <c r="G244" i="69"/>
  <c r="GX243" i="69"/>
  <c r="GW243" i="69"/>
  <c r="GS243" i="69"/>
  <c r="GR243" i="69"/>
  <c r="L243" i="69"/>
  <c r="K243" i="69"/>
  <c r="J243" i="69"/>
  <c r="I243" i="69"/>
  <c r="H243" i="69"/>
  <c r="G243" i="69"/>
  <c r="GX242" i="69"/>
  <c r="GW242" i="69"/>
  <c r="GS242" i="69"/>
  <c r="GR242" i="69"/>
  <c r="L242" i="69"/>
  <c r="K242" i="69"/>
  <c r="J242" i="69"/>
  <c r="I242" i="69"/>
  <c r="H242" i="69"/>
  <c r="G242" i="69"/>
  <c r="GX241" i="69"/>
  <c r="GW241" i="69"/>
  <c r="GS241" i="69"/>
  <c r="GR241" i="69"/>
  <c r="L241" i="69"/>
  <c r="K241" i="69"/>
  <c r="J241" i="69"/>
  <c r="I241" i="69"/>
  <c r="H241" i="69"/>
  <c r="G241" i="69"/>
  <c r="GX240" i="69"/>
  <c r="GW240" i="69"/>
  <c r="GS240" i="69"/>
  <c r="GR240" i="69"/>
  <c r="L240" i="69"/>
  <c r="K240" i="69"/>
  <c r="J240" i="69"/>
  <c r="I240" i="69"/>
  <c r="H240" i="69"/>
  <c r="G240" i="69"/>
  <c r="GX239" i="69"/>
  <c r="GW239" i="69"/>
  <c r="GS239" i="69"/>
  <c r="GR239" i="69"/>
  <c r="L239" i="69"/>
  <c r="K239" i="69"/>
  <c r="J239" i="69"/>
  <c r="I239" i="69"/>
  <c r="H239" i="69"/>
  <c r="G239" i="69"/>
  <c r="GX238" i="69"/>
  <c r="GW238" i="69"/>
  <c r="GS238" i="69"/>
  <c r="GR238" i="69"/>
  <c r="GN238" i="69"/>
  <c r="GM238" i="69"/>
  <c r="L238" i="69"/>
  <c r="K238" i="69"/>
  <c r="J238" i="69"/>
  <c r="I238" i="69"/>
  <c r="H238" i="69"/>
  <c r="G238" i="69"/>
  <c r="GX237" i="69"/>
  <c r="GW237" i="69"/>
  <c r="GS237" i="69"/>
  <c r="GR237" i="69"/>
  <c r="GN237" i="69"/>
  <c r="GM237" i="69"/>
  <c r="L237" i="69"/>
  <c r="K237" i="69"/>
  <c r="J237" i="69"/>
  <c r="I237" i="69"/>
  <c r="H237" i="69"/>
  <c r="G237" i="69"/>
  <c r="GX236" i="69"/>
  <c r="GW236" i="69"/>
  <c r="GS236" i="69"/>
  <c r="GR236" i="69"/>
  <c r="GN236" i="69"/>
  <c r="GM236" i="69"/>
  <c r="L236" i="69"/>
  <c r="K236" i="69"/>
  <c r="J236" i="69"/>
  <c r="I236" i="69"/>
  <c r="H236" i="69"/>
  <c r="G236" i="69"/>
  <c r="GX235" i="69"/>
  <c r="GW235" i="69"/>
  <c r="GS235" i="69"/>
  <c r="GR235" i="69"/>
  <c r="GN235" i="69"/>
  <c r="GM235" i="69"/>
  <c r="GI235" i="69"/>
  <c r="GH235" i="69"/>
  <c r="GD235" i="69"/>
  <c r="GC235" i="69"/>
  <c r="FY235" i="69"/>
  <c r="FX235" i="69"/>
  <c r="L235" i="69"/>
  <c r="K235" i="69"/>
  <c r="J235" i="69"/>
  <c r="I235" i="69"/>
  <c r="H235" i="69"/>
  <c r="G235" i="69"/>
  <c r="GX234" i="69"/>
  <c r="GW234" i="69"/>
  <c r="GS234" i="69"/>
  <c r="GR234" i="69"/>
  <c r="GN234" i="69"/>
  <c r="GM234" i="69"/>
  <c r="GI234" i="69"/>
  <c r="GH234" i="69"/>
  <c r="GD234" i="69"/>
  <c r="GC234" i="69"/>
  <c r="FY234" i="69"/>
  <c r="FX234" i="69"/>
  <c r="L234" i="69"/>
  <c r="K234" i="69"/>
  <c r="J234" i="69"/>
  <c r="I234" i="69"/>
  <c r="H234" i="69"/>
  <c r="G234" i="69"/>
  <c r="GX233" i="69"/>
  <c r="GW233" i="69"/>
  <c r="GS233" i="69"/>
  <c r="GR233" i="69"/>
  <c r="GN233" i="69"/>
  <c r="GM233" i="69"/>
  <c r="GI233" i="69"/>
  <c r="GH233" i="69"/>
  <c r="GD233" i="69"/>
  <c r="GC233" i="69"/>
  <c r="FY233" i="69"/>
  <c r="FX233" i="69"/>
  <c r="L233" i="69"/>
  <c r="K233" i="69"/>
  <c r="J233" i="69"/>
  <c r="I233" i="69"/>
  <c r="H233" i="69"/>
  <c r="G233" i="69"/>
  <c r="GX232" i="69"/>
  <c r="GW232" i="69"/>
  <c r="GS232" i="69"/>
  <c r="GR232" i="69"/>
  <c r="GN232" i="69"/>
  <c r="GM232" i="69"/>
  <c r="GI232" i="69"/>
  <c r="GH232" i="69"/>
  <c r="GD232" i="69"/>
  <c r="GC232" i="69"/>
  <c r="FY232" i="69"/>
  <c r="FX232" i="69"/>
  <c r="FT232" i="69"/>
  <c r="FS232" i="69"/>
  <c r="L232" i="69"/>
  <c r="K232" i="69"/>
  <c r="J232" i="69"/>
  <c r="I232" i="69"/>
  <c r="H232" i="69"/>
  <c r="G232" i="69"/>
  <c r="GX231" i="69"/>
  <c r="GW231" i="69"/>
  <c r="GS231" i="69"/>
  <c r="GR231" i="69"/>
  <c r="GN231" i="69"/>
  <c r="GM231" i="69"/>
  <c r="GI231" i="69"/>
  <c r="GH231" i="69"/>
  <c r="GD231" i="69"/>
  <c r="GC231" i="69"/>
  <c r="FY231" i="69"/>
  <c r="FX231" i="69"/>
  <c r="FT231" i="69"/>
  <c r="FS231" i="69"/>
  <c r="L231" i="69"/>
  <c r="K231" i="69"/>
  <c r="J231" i="69"/>
  <c r="I231" i="69"/>
  <c r="H231" i="69"/>
  <c r="G231" i="69"/>
  <c r="GX230" i="69"/>
  <c r="GW230" i="69"/>
  <c r="GS230" i="69"/>
  <c r="GR230" i="69"/>
  <c r="GN230" i="69"/>
  <c r="GM230" i="69"/>
  <c r="GI230" i="69"/>
  <c r="GH230" i="69"/>
  <c r="GD230" i="69"/>
  <c r="GC230" i="69"/>
  <c r="FY230" i="69"/>
  <c r="FX230" i="69"/>
  <c r="FT230" i="69"/>
  <c r="FS230" i="69"/>
  <c r="L230" i="69"/>
  <c r="K230" i="69"/>
  <c r="J230" i="69"/>
  <c r="I230" i="69"/>
  <c r="H230" i="69"/>
  <c r="G230" i="69"/>
  <c r="GX229" i="69"/>
  <c r="GW229" i="69"/>
  <c r="GS229" i="69"/>
  <c r="GR229" i="69"/>
  <c r="GN229" i="69"/>
  <c r="GM229" i="69"/>
  <c r="GI229" i="69"/>
  <c r="GH229" i="69"/>
  <c r="GD229" i="69"/>
  <c r="GC229" i="69"/>
  <c r="FY229" i="69"/>
  <c r="FX229" i="69"/>
  <c r="FT229" i="69"/>
  <c r="FS229" i="69"/>
  <c r="FO229" i="69"/>
  <c r="FN229" i="69"/>
  <c r="FJ229" i="69"/>
  <c r="FI229" i="69"/>
  <c r="L229" i="69"/>
  <c r="K229" i="69"/>
  <c r="J229" i="69"/>
  <c r="I229" i="69"/>
  <c r="H229" i="69"/>
  <c r="G229" i="69"/>
  <c r="GX228" i="69"/>
  <c r="GW228" i="69"/>
  <c r="GS228" i="69"/>
  <c r="GR228" i="69"/>
  <c r="GN228" i="69"/>
  <c r="GM228" i="69"/>
  <c r="GI228" i="69"/>
  <c r="GH228" i="69"/>
  <c r="GD228" i="69"/>
  <c r="GC228" i="69"/>
  <c r="FY228" i="69"/>
  <c r="FX228" i="69"/>
  <c r="FT228" i="69"/>
  <c r="FS228" i="69"/>
  <c r="FO228" i="69"/>
  <c r="FN228" i="69"/>
  <c r="FJ228" i="69"/>
  <c r="FI228" i="69"/>
  <c r="L228" i="69"/>
  <c r="K228" i="69"/>
  <c r="J228" i="69"/>
  <c r="I228" i="69"/>
  <c r="H228" i="69"/>
  <c r="G228" i="69"/>
  <c r="GX227" i="69"/>
  <c r="GW227" i="69"/>
  <c r="GS227" i="69"/>
  <c r="GR227" i="69"/>
  <c r="GN227" i="69"/>
  <c r="GM227" i="69"/>
  <c r="GI227" i="69"/>
  <c r="GH227" i="69"/>
  <c r="GD227" i="69"/>
  <c r="GC227" i="69"/>
  <c r="FY227" i="69"/>
  <c r="FX227" i="69"/>
  <c r="FT227" i="69"/>
  <c r="FS227" i="69"/>
  <c r="FO227" i="69"/>
  <c r="FN227" i="69"/>
  <c r="FJ227" i="69"/>
  <c r="FI227" i="69"/>
  <c r="L227" i="69"/>
  <c r="K227" i="69"/>
  <c r="J227" i="69"/>
  <c r="I227" i="69"/>
  <c r="H227" i="69"/>
  <c r="G227" i="69"/>
  <c r="GX226" i="69"/>
  <c r="GW226" i="69"/>
  <c r="GS226" i="69"/>
  <c r="GR226" i="69"/>
  <c r="GN226" i="69"/>
  <c r="GM226" i="69"/>
  <c r="GI226" i="69"/>
  <c r="GH226" i="69"/>
  <c r="GD226" i="69"/>
  <c r="GC226" i="69"/>
  <c r="FY226" i="69"/>
  <c r="FX226" i="69"/>
  <c r="FT226" i="69"/>
  <c r="FS226" i="69"/>
  <c r="FO226" i="69"/>
  <c r="FN226" i="69"/>
  <c r="L226" i="69"/>
  <c r="K226" i="69"/>
  <c r="J226" i="69"/>
  <c r="I226" i="69"/>
  <c r="H226" i="69"/>
  <c r="G226" i="69"/>
  <c r="GX225" i="69"/>
  <c r="GW225" i="69"/>
  <c r="GS225" i="69"/>
  <c r="GR225" i="69"/>
  <c r="GN225" i="69"/>
  <c r="GM225" i="69"/>
  <c r="GI225" i="69"/>
  <c r="GH225" i="69"/>
  <c r="GD225" i="69"/>
  <c r="GC225" i="69"/>
  <c r="FY225" i="69"/>
  <c r="FX225" i="69"/>
  <c r="FT225" i="69"/>
  <c r="FS225" i="69"/>
  <c r="FO225" i="69"/>
  <c r="FN225" i="69"/>
  <c r="L225" i="69"/>
  <c r="K225" i="69"/>
  <c r="J225" i="69"/>
  <c r="I225" i="69"/>
  <c r="H225" i="69"/>
  <c r="G225" i="69"/>
  <c r="GX224" i="69"/>
  <c r="GW224" i="69"/>
  <c r="GS224" i="69"/>
  <c r="GR224" i="69"/>
  <c r="GN224" i="69"/>
  <c r="GM224" i="69"/>
  <c r="GI224" i="69"/>
  <c r="GH224" i="69"/>
  <c r="GD224" i="69"/>
  <c r="GC224" i="69"/>
  <c r="FY224" i="69"/>
  <c r="FX224" i="69"/>
  <c r="FT224" i="69"/>
  <c r="FS224" i="69"/>
  <c r="FO224" i="69"/>
  <c r="FN224" i="69"/>
  <c r="L224" i="69"/>
  <c r="K224" i="69"/>
  <c r="J224" i="69"/>
  <c r="I224" i="69"/>
  <c r="H224" i="69"/>
  <c r="G224" i="69"/>
  <c r="GX223" i="69"/>
  <c r="GW223" i="69"/>
  <c r="GS223" i="69"/>
  <c r="GR223" i="69"/>
  <c r="GN223" i="69"/>
  <c r="GM223" i="69"/>
  <c r="GI223" i="69"/>
  <c r="GH223" i="69"/>
  <c r="GD223" i="69"/>
  <c r="GC223" i="69"/>
  <c r="FY223" i="69"/>
  <c r="FX223" i="69"/>
  <c r="FT223" i="69"/>
  <c r="FS223" i="69"/>
  <c r="FO223" i="69"/>
  <c r="FN223" i="69"/>
  <c r="L223" i="69"/>
  <c r="K223" i="69"/>
  <c r="J223" i="69"/>
  <c r="I223" i="69"/>
  <c r="H223" i="69"/>
  <c r="G223" i="69"/>
  <c r="GX222" i="69"/>
  <c r="GW222" i="69"/>
  <c r="GS222" i="69"/>
  <c r="GR222" i="69"/>
  <c r="GN222" i="69"/>
  <c r="GM222" i="69"/>
  <c r="GI222" i="69"/>
  <c r="GH222" i="69"/>
  <c r="GD222" i="69"/>
  <c r="GC222" i="69"/>
  <c r="FY222" i="69"/>
  <c r="FX222" i="69"/>
  <c r="FT222" i="69"/>
  <c r="FS222" i="69"/>
  <c r="FO222" i="69"/>
  <c r="FN222" i="69"/>
  <c r="L222" i="69"/>
  <c r="K222" i="69"/>
  <c r="J222" i="69"/>
  <c r="I222" i="69"/>
  <c r="H222" i="69"/>
  <c r="G222" i="69"/>
  <c r="GX221" i="69"/>
  <c r="GW221" i="69"/>
  <c r="GS221" i="69"/>
  <c r="GR221" i="69"/>
  <c r="GN221" i="69"/>
  <c r="GM221" i="69"/>
  <c r="GI221" i="69"/>
  <c r="GH221" i="69"/>
  <c r="GD221" i="69"/>
  <c r="GC221" i="69"/>
  <c r="FY221" i="69"/>
  <c r="FX221" i="69"/>
  <c r="FT221" i="69"/>
  <c r="FS221" i="69"/>
  <c r="FO221" i="69"/>
  <c r="FN221" i="69"/>
  <c r="L221" i="69"/>
  <c r="K221" i="69"/>
  <c r="J221" i="69"/>
  <c r="I221" i="69"/>
  <c r="H221" i="69"/>
  <c r="G221" i="69"/>
  <c r="GX220" i="69"/>
  <c r="GW220" i="69"/>
  <c r="GS220" i="69"/>
  <c r="GR220" i="69"/>
  <c r="GN220" i="69"/>
  <c r="GM220" i="69"/>
  <c r="GI220" i="69"/>
  <c r="GH220" i="69"/>
  <c r="GD220" i="69"/>
  <c r="GC220" i="69"/>
  <c r="FY220" i="69"/>
  <c r="FX220" i="69"/>
  <c r="FT220" i="69"/>
  <c r="FS220" i="69"/>
  <c r="FO220" i="69"/>
  <c r="FN220" i="69"/>
  <c r="L220" i="69"/>
  <c r="K220" i="69"/>
  <c r="J220" i="69"/>
  <c r="I220" i="69"/>
  <c r="H220" i="69"/>
  <c r="G220" i="69"/>
  <c r="GX219" i="69"/>
  <c r="GW219" i="69"/>
  <c r="GS219" i="69"/>
  <c r="GR219" i="69"/>
  <c r="GN219" i="69"/>
  <c r="GM219" i="69"/>
  <c r="GI219" i="69"/>
  <c r="GH219" i="69"/>
  <c r="GD219" i="69"/>
  <c r="GC219" i="69"/>
  <c r="FY219" i="69"/>
  <c r="FX219" i="69"/>
  <c r="FT219" i="69"/>
  <c r="FS219" i="69"/>
  <c r="FO219" i="69"/>
  <c r="FN219" i="69"/>
  <c r="L219" i="69"/>
  <c r="K219" i="69"/>
  <c r="J219" i="69"/>
  <c r="I219" i="69"/>
  <c r="H219" i="69"/>
  <c r="G219" i="69"/>
  <c r="GX218" i="69"/>
  <c r="GW218" i="69"/>
  <c r="GS218" i="69"/>
  <c r="GR218" i="69"/>
  <c r="GN218" i="69"/>
  <c r="GM218" i="69"/>
  <c r="GI218" i="69"/>
  <c r="GH218" i="69"/>
  <c r="GD218" i="69"/>
  <c r="GC218" i="69"/>
  <c r="FY218" i="69"/>
  <c r="FX218" i="69"/>
  <c r="FT218" i="69"/>
  <c r="FS218" i="69"/>
  <c r="FO218" i="69"/>
  <c r="FN218" i="69"/>
  <c r="L218" i="69"/>
  <c r="K218" i="69"/>
  <c r="J218" i="69"/>
  <c r="I218" i="69"/>
  <c r="H218" i="69"/>
  <c r="G218" i="69"/>
  <c r="GX217" i="69"/>
  <c r="GW217" i="69"/>
  <c r="GS217" i="69"/>
  <c r="GR217" i="69"/>
  <c r="GN217" i="69"/>
  <c r="GM217" i="69"/>
  <c r="GI217" i="69"/>
  <c r="GH217" i="69"/>
  <c r="GD217" i="69"/>
  <c r="GC217" i="69"/>
  <c r="FY217" i="69"/>
  <c r="FX217" i="69"/>
  <c r="FT217" i="69"/>
  <c r="FS217" i="69"/>
  <c r="FO217" i="69"/>
  <c r="FN217" i="69"/>
  <c r="FJ217" i="69"/>
  <c r="FI217" i="69"/>
  <c r="L217" i="69"/>
  <c r="K217" i="69"/>
  <c r="J217" i="69"/>
  <c r="I217" i="69"/>
  <c r="H217" i="69"/>
  <c r="G217" i="69"/>
  <c r="GX216" i="69"/>
  <c r="GW216" i="69"/>
  <c r="GS216" i="69"/>
  <c r="GR216" i="69"/>
  <c r="GN216" i="69"/>
  <c r="GM216" i="69"/>
  <c r="GI216" i="69"/>
  <c r="GH216" i="69"/>
  <c r="GD216" i="69"/>
  <c r="GC216" i="69"/>
  <c r="FY216" i="69"/>
  <c r="FX216" i="69"/>
  <c r="FT216" i="69"/>
  <c r="FS216" i="69"/>
  <c r="FO216" i="69"/>
  <c r="FN216" i="69"/>
  <c r="FJ216" i="69"/>
  <c r="FI216" i="69"/>
  <c r="L216" i="69"/>
  <c r="K216" i="69"/>
  <c r="J216" i="69"/>
  <c r="I216" i="69"/>
  <c r="H216" i="69"/>
  <c r="G216" i="69"/>
  <c r="GX215" i="69"/>
  <c r="GW215" i="69"/>
  <c r="GS215" i="69"/>
  <c r="GR215" i="69"/>
  <c r="GN215" i="69"/>
  <c r="GM215" i="69"/>
  <c r="GI215" i="69"/>
  <c r="GH215" i="69"/>
  <c r="GD215" i="69"/>
  <c r="GC215" i="69"/>
  <c r="FY215" i="69"/>
  <c r="FX215" i="69"/>
  <c r="FT215" i="69"/>
  <c r="FS215" i="69"/>
  <c r="FO215" i="69"/>
  <c r="FN215" i="69"/>
  <c r="FJ215" i="69"/>
  <c r="FI215" i="69"/>
  <c r="L215" i="69"/>
  <c r="K215" i="69"/>
  <c r="J215" i="69"/>
  <c r="I215" i="69"/>
  <c r="H215" i="69"/>
  <c r="G215" i="69"/>
  <c r="GX214" i="69"/>
  <c r="GW214" i="69"/>
  <c r="GS214" i="69"/>
  <c r="GR214" i="69"/>
  <c r="GN214" i="69"/>
  <c r="GM214" i="69"/>
  <c r="GI214" i="69"/>
  <c r="GH214" i="69"/>
  <c r="GD214" i="69"/>
  <c r="GC214" i="69"/>
  <c r="FY214" i="69"/>
  <c r="FX214" i="69"/>
  <c r="FT214" i="69"/>
  <c r="FS214" i="69"/>
  <c r="FO214" i="69"/>
  <c r="FN214" i="69"/>
  <c r="FJ214" i="69"/>
  <c r="FI214" i="69"/>
  <c r="FE214" i="69"/>
  <c r="FD214" i="69"/>
  <c r="EZ214" i="69"/>
  <c r="EY214" i="69"/>
  <c r="L214" i="69"/>
  <c r="K214" i="69"/>
  <c r="J214" i="69"/>
  <c r="I214" i="69"/>
  <c r="H214" i="69"/>
  <c r="G214" i="69"/>
  <c r="GX213" i="69"/>
  <c r="GW213" i="69"/>
  <c r="GS213" i="69"/>
  <c r="GR213" i="69"/>
  <c r="GN213" i="69"/>
  <c r="GM213" i="69"/>
  <c r="GI213" i="69"/>
  <c r="GH213" i="69"/>
  <c r="GD213" i="69"/>
  <c r="GC213" i="69"/>
  <c r="FY213" i="69"/>
  <c r="FX213" i="69"/>
  <c r="FT213" i="69"/>
  <c r="FS213" i="69"/>
  <c r="FO213" i="69"/>
  <c r="FN213" i="69"/>
  <c r="FJ213" i="69"/>
  <c r="FI213" i="69"/>
  <c r="FE213" i="69"/>
  <c r="FD213" i="69"/>
  <c r="EZ213" i="69"/>
  <c r="EY213" i="69"/>
  <c r="L213" i="69"/>
  <c r="K213" i="69"/>
  <c r="J213" i="69"/>
  <c r="I213" i="69"/>
  <c r="H213" i="69"/>
  <c r="G213" i="69"/>
  <c r="GX212" i="69"/>
  <c r="GW212" i="69"/>
  <c r="GS212" i="69"/>
  <c r="GR212" i="69"/>
  <c r="GN212" i="69"/>
  <c r="GM212" i="69"/>
  <c r="GI212" i="69"/>
  <c r="GH212" i="69"/>
  <c r="GD212" i="69"/>
  <c r="GC212" i="69"/>
  <c r="FY212" i="69"/>
  <c r="FX212" i="69"/>
  <c r="FT212" i="69"/>
  <c r="FS212" i="69"/>
  <c r="FO212" i="69"/>
  <c r="FN212" i="69"/>
  <c r="FJ212" i="69"/>
  <c r="FI212" i="69"/>
  <c r="FE212" i="69"/>
  <c r="FD212" i="69"/>
  <c r="EZ212" i="69"/>
  <c r="EY212" i="69"/>
  <c r="L212" i="69"/>
  <c r="K212" i="69"/>
  <c r="J212" i="69"/>
  <c r="I212" i="69"/>
  <c r="H212" i="69"/>
  <c r="G212" i="69"/>
  <c r="GX211" i="69"/>
  <c r="GW211" i="69"/>
  <c r="GS211" i="69"/>
  <c r="GR211" i="69"/>
  <c r="GN211" i="69"/>
  <c r="GM211" i="69"/>
  <c r="GI211" i="69"/>
  <c r="GH211" i="69"/>
  <c r="GD211" i="69"/>
  <c r="GC211" i="69"/>
  <c r="FY211" i="69"/>
  <c r="FX211" i="69"/>
  <c r="FT211" i="69"/>
  <c r="FS211" i="69"/>
  <c r="FO211" i="69"/>
  <c r="FN211" i="69"/>
  <c r="FJ211" i="69"/>
  <c r="FI211" i="69"/>
  <c r="FE211" i="69"/>
  <c r="FD211" i="69"/>
  <c r="EZ211" i="69"/>
  <c r="EY211" i="69"/>
  <c r="L211" i="69"/>
  <c r="K211" i="69"/>
  <c r="J211" i="69"/>
  <c r="I211" i="69"/>
  <c r="H211" i="69"/>
  <c r="G211" i="69"/>
  <c r="GX210" i="69"/>
  <c r="GW210" i="69"/>
  <c r="GS210" i="69"/>
  <c r="GR210" i="69"/>
  <c r="GN210" i="69"/>
  <c r="GM210" i="69"/>
  <c r="GI210" i="69"/>
  <c r="GH210" i="69"/>
  <c r="GD210" i="69"/>
  <c r="GC210" i="69"/>
  <c r="FY210" i="69"/>
  <c r="FX210" i="69"/>
  <c r="FT210" i="69"/>
  <c r="FS210" i="69"/>
  <c r="FO210" i="69"/>
  <c r="FN210" i="69"/>
  <c r="FJ210" i="69"/>
  <c r="FI210" i="69"/>
  <c r="FE210" i="69"/>
  <c r="FD210" i="69"/>
  <c r="EZ210" i="69"/>
  <c r="EY210" i="69"/>
  <c r="L210" i="69"/>
  <c r="K210" i="69"/>
  <c r="J210" i="69"/>
  <c r="I210" i="69"/>
  <c r="H210" i="69"/>
  <c r="G210" i="69"/>
  <c r="GX209" i="69"/>
  <c r="GW209" i="69"/>
  <c r="GS209" i="69"/>
  <c r="GR209" i="69"/>
  <c r="GN209" i="69"/>
  <c r="GM209" i="69"/>
  <c r="GI209" i="69"/>
  <c r="GH209" i="69"/>
  <c r="GD209" i="69"/>
  <c r="GC209" i="69"/>
  <c r="FY209" i="69"/>
  <c r="FX209" i="69"/>
  <c r="FT209" i="69"/>
  <c r="FS209" i="69"/>
  <c r="FO209" i="69"/>
  <c r="FN209" i="69"/>
  <c r="FJ209" i="69"/>
  <c r="FI209" i="69"/>
  <c r="FE209" i="69"/>
  <c r="FD209" i="69"/>
  <c r="EZ209" i="69"/>
  <c r="EY209" i="69"/>
  <c r="L209" i="69"/>
  <c r="K209" i="69"/>
  <c r="J209" i="69"/>
  <c r="I209" i="69"/>
  <c r="H209" i="69"/>
  <c r="G209" i="69"/>
  <c r="GX208" i="69"/>
  <c r="GW208" i="69"/>
  <c r="GS208" i="69"/>
  <c r="GR208" i="69"/>
  <c r="GN208" i="69"/>
  <c r="GM208" i="69"/>
  <c r="GI208" i="69"/>
  <c r="GH208" i="69"/>
  <c r="GD208" i="69"/>
  <c r="GC208" i="69"/>
  <c r="FY208" i="69"/>
  <c r="FX208" i="69"/>
  <c r="FT208" i="69"/>
  <c r="FS208" i="69"/>
  <c r="FO208" i="69"/>
  <c r="FN208" i="69"/>
  <c r="FJ208" i="69"/>
  <c r="FI208" i="69"/>
  <c r="FE208" i="69"/>
  <c r="FD208" i="69"/>
  <c r="EZ208" i="69"/>
  <c r="EY208" i="69"/>
  <c r="L208" i="69"/>
  <c r="K208" i="69"/>
  <c r="J208" i="69"/>
  <c r="I208" i="69"/>
  <c r="H208" i="69"/>
  <c r="G208" i="69"/>
  <c r="GX207" i="69"/>
  <c r="GW207" i="69"/>
  <c r="GS207" i="69"/>
  <c r="GR207" i="69"/>
  <c r="GN207" i="69"/>
  <c r="GM207" i="69"/>
  <c r="GI207" i="69"/>
  <c r="GH207" i="69"/>
  <c r="GD207" i="69"/>
  <c r="GC207" i="69"/>
  <c r="FY207" i="69"/>
  <c r="FX207" i="69"/>
  <c r="FT207" i="69"/>
  <c r="FS207" i="69"/>
  <c r="FO207" i="69"/>
  <c r="FN207" i="69"/>
  <c r="FJ207" i="69"/>
  <c r="FI207" i="69"/>
  <c r="FE207" i="69"/>
  <c r="FD207" i="69"/>
  <c r="EZ207" i="69"/>
  <c r="EY207" i="69"/>
  <c r="L207" i="69"/>
  <c r="K207" i="69"/>
  <c r="J207" i="69"/>
  <c r="I207" i="69"/>
  <c r="H207" i="69"/>
  <c r="G207" i="69"/>
  <c r="GX206" i="69"/>
  <c r="GW206" i="69"/>
  <c r="GS206" i="69"/>
  <c r="GR206" i="69"/>
  <c r="GN206" i="69"/>
  <c r="GM206" i="69"/>
  <c r="GI206" i="69"/>
  <c r="GH206" i="69"/>
  <c r="GD206" i="69"/>
  <c r="GC206" i="69"/>
  <c r="FY206" i="69"/>
  <c r="FX206" i="69"/>
  <c r="FT206" i="69"/>
  <c r="FS206" i="69"/>
  <c r="FO206" i="69"/>
  <c r="FN206" i="69"/>
  <c r="FJ206" i="69"/>
  <c r="FI206" i="69"/>
  <c r="FE206" i="69"/>
  <c r="FD206" i="69"/>
  <c r="EZ206" i="69"/>
  <c r="EY206" i="69"/>
  <c r="L206" i="69"/>
  <c r="K206" i="69"/>
  <c r="J206" i="69"/>
  <c r="I206" i="69"/>
  <c r="H206" i="69"/>
  <c r="G206" i="69"/>
  <c r="GX205" i="69"/>
  <c r="GW205" i="69"/>
  <c r="GS205" i="69"/>
  <c r="GR205" i="69"/>
  <c r="GN205" i="69"/>
  <c r="GM205" i="69"/>
  <c r="GI205" i="69"/>
  <c r="GH205" i="69"/>
  <c r="GD205" i="69"/>
  <c r="GC205" i="69"/>
  <c r="FY205" i="69"/>
  <c r="FX205" i="69"/>
  <c r="FT205" i="69"/>
  <c r="FS205" i="69"/>
  <c r="FO205" i="69"/>
  <c r="FN205" i="69"/>
  <c r="FJ205" i="69"/>
  <c r="FI205" i="69"/>
  <c r="FE205" i="69"/>
  <c r="FD205" i="69"/>
  <c r="EZ205" i="69"/>
  <c r="EY205" i="69"/>
  <c r="L205" i="69"/>
  <c r="K205" i="69"/>
  <c r="J205" i="69"/>
  <c r="I205" i="69"/>
  <c r="H205" i="69"/>
  <c r="G205" i="69"/>
  <c r="GX204" i="69"/>
  <c r="GW204" i="69"/>
  <c r="GS204" i="69"/>
  <c r="GR204" i="69"/>
  <c r="GN204" i="69"/>
  <c r="GM204" i="69"/>
  <c r="GI204" i="69"/>
  <c r="GH204" i="69"/>
  <c r="GD204" i="69"/>
  <c r="GC204" i="69"/>
  <c r="FY204" i="69"/>
  <c r="FX204" i="69"/>
  <c r="FT204" i="69"/>
  <c r="FS204" i="69"/>
  <c r="FO204" i="69"/>
  <c r="FN204" i="69"/>
  <c r="FJ204" i="69"/>
  <c r="FI204" i="69"/>
  <c r="FE204" i="69"/>
  <c r="FD204" i="69"/>
  <c r="EZ204" i="69"/>
  <c r="EY204" i="69"/>
  <c r="L204" i="69"/>
  <c r="K204" i="69"/>
  <c r="J204" i="69"/>
  <c r="I204" i="69"/>
  <c r="H204" i="69"/>
  <c r="G204" i="69"/>
  <c r="GX203" i="69"/>
  <c r="GW203" i="69"/>
  <c r="GS203" i="69"/>
  <c r="GR203" i="69"/>
  <c r="GN203" i="69"/>
  <c r="GM203" i="69"/>
  <c r="GI203" i="69"/>
  <c r="GH203" i="69"/>
  <c r="GD203" i="69"/>
  <c r="GC203" i="69"/>
  <c r="FY203" i="69"/>
  <c r="FX203" i="69"/>
  <c r="FT203" i="69"/>
  <c r="FS203" i="69"/>
  <c r="FO203" i="69"/>
  <c r="FN203" i="69"/>
  <c r="FJ203" i="69"/>
  <c r="FI203" i="69"/>
  <c r="FE203" i="69"/>
  <c r="FD203" i="69"/>
  <c r="EZ203" i="69"/>
  <c r="EY203" i="69"/>
  <c r="L203" i="69"/>
  <c r="K203" i="69"/>
  <c r="J203" i="69"/>
  <c r="I203" i="69"/>
  <c r="H203" i="69"/>
  <c r="G203" i="69"/>
  <c r="GX202" i="69"/>
  <c r="GW202" i="69"/>
  <c r="GS202" i="69"/>
  <c r="GR202" i="69"/>
  <c r="GN202" i="69"/>
  <c r="GM202" i="69"/>
  <c r="GI202" i="69"/>
  <c r="GH202" i="69"/>
  <c r="GD202" i="69"/>
  <c r="GC202" i="69"/>
  <c r="FY202" i="69"/>
  <c r="FX202" i="69"/>
  <c r="FT202" i="69"/>
  <c r="FS202" i="69"/>
  <c r="FO202" i="69"/>
  <c r="FN202" i="69"/>
  <c r="FJ202" i="69"/>
  <c r="FI202" i="69"/>
  <c r="FE202" i="69"/>
  <c r="FD202" i="69"/>
  <c r="EZ202" i="69"/>
  <c r="EY202" i="69"/>
  <c r="L202" i="69"/>
  <c r="K202" i="69"/>
  <c r="J202" i="69"/>
  <c r="I202" i="69"/>
  <c r="H202" i="69"/>
  <c r="G202" i="69"/>
  <c r="GX201" i="69"/>
  <c r="GW201" i="69"/>
  <c r="GS201" i="69"/>
  <c r="GR201" i="69"/>
  <c r="GN201" i="69"/>
  <c r="GM201" i="69"/>
  <c r="GI201" i="69"/>
  <c r="GH201" i="69"/>
  <c r="GD201" i="69"/>
  <c r="GC201" i="69"/>
  <c r="FY201" i="69"/>
  <c r="FX201" i="69"/>
  <c r="FT201" i="69"/>
  <c r="FS201" i="69"/>
  <c r="FO201" i="69"/>
  <c r="FN201" i="69"/>
  <c r="FJ201" i="69"/>
  <c r="FI201" i="69"/>
  <c r="FE201" i="69"/>
  <c r="FD201" i="69"/>
  <c r="EZ201" i="69"/>
  <c r="EY201" i="69"/>
  <c r="L201" i="69"/>
  <c r="K201" i="69"/>
  <c r="J201" i="69"/>
  <c r="I201" i="69"/>
  <c r="H201" i="69"/>
  <c r="G201" i="69"/>
  <c r="GX200" i="69"/>
  <c r="GW200" i="69"/>
  <c r="GS200" i="69"/>
  <c r="GR200" i="69"/>
  <c r="GN200" i="69"/>
  <c r="GM200" i="69"/>
  <c r="GI200" i="69"/>
  <c r="GH200" i="69"/>
  <c r="GD200" i="69"/>
  <c r="GC200" i="69"/>
  <c r="FY200" i="69"/>
  <c r="FX200" i="69"/>
  <c r="FT200" i="69"/>
  <c r="FS200" i="69"/>
  <c r="FO200" i="69"/>
  <c r="FN200" i="69"/>
  <c r="FJ200" i="69"/>
  <c r="FI200" i="69"/>
  <c r="FE200" i="69"/>
  <c r="FD200" i="69"/>
  <c r="EZ200" i="69"/>
  <c r="EY200" i="69"/>
  <c r="L200" i="69"/>
  <c r="K200" i="69"/>
  <c r="J200" i="69"/>
  <c r="I200" i="69"/>
  <c r="H200" i="69"/>
  <c r="G200" i="69"/>
  <c r="GX199" i="69"/>
  <c r="GW199" i="69"/>
  <c r="GS199" i="69"/>
  <c r="GR199" i="69"/>
  <c r="GN199" i="69"/>
  <c r="GM199" i="69"/>
  <c r="GI199" i="69"/>
  <c r="GH199" i="69"/>
  <c r="GD199" i="69"/>
  <c r="GC199" i="69"/>
  <c r="FY199" i="69"/>
  <c r="FX199" i="69"/>
  <c r="FT199" i="69"/>
  <c r="FS199" i="69"/>
  <c r="FO199" i="69"/>
  <c r="FN199" i="69"/>
  <c r="FJ199" i="69"/>
  <c r="FI199" i="69"/>
  <c r="FE199" i="69"/>
  <c r="FD199" i="69"/>
  <c r="EZ199" i="69"/>
  <c r="EY199" i="69"/>
  <c r="L199" i="69"/>
  <c r="K199" i="69"/>
  <c r="J199" i="69"/>
  <c r="I199" i="69"/>
  <c r="H199" i="69"/>
  <c r="G199" i="69"/>
  <c r="GX198" i="69"/>
  <c r="GW198" i="69"/>
  <c r="GS198" i="69"/>
  <c r="GR198" i="69"/>
  <c r="GN198" i="69"/>
  <c r="GM198" i="69"/>
  <c r="GI198" i="69"/>
  <c r="GH198" i="69"/>
  <c r="GD198" i="69"/>
  <c r="GC198" i="69"/>
  <c r="FY198" i="69"/>
  <c r="FX198" i="69"/>
  <c r="FT198" i="69"/>
  <c r="FS198" i="69"/>
  <c r="FO198" i="69"/>
  <c r="FN198" i="69"/>
  <c r="FJ198" i="69"/>
  <c r="FI198" i="69"/>
  <c r="FE198" i="69"/>
  <c r="FD198" i="69"/>
  <c r="EZ198" i="69"/>
  <c r="EY198" i="69"/>
  <c r="L198" i="69"/>
  <c r="K198" i="69"/>
  <c r="J198" i="69"/>
  <c r="I198" i="69"/>
  <c r="H198" i="69"/>
  <c r="G198" i="69"/>
  <c r="GX197" i="69"/>
  <c r="GW197" i="69"/>
  <c r="GS197" i="69"/>
  <c r="GR197" i="69"/>
  <c r="GN197" i="69"/>
  <c r="GM197" i="69"/>
  <c r="GI197" i="69"/>
  <c r="GH197" i="69"/>
  <c r="GD197" i="69"/>
  <c r="GC197" i="69"/>
  <c r="FY197" i="69"/>
  <c r="FX197" i="69"/>
  <c r="FT197" i="69"/>
  <c r="FS197" i="69"/>
  <c r="FO197" i="69"/>
  <c r="FN197" i="69"/>
  <c r="FJ197" i="69"/>
  <c r="FI197" i="69"/>
  <c r="FE197" i="69"/>
  <c r="FD197" i="69"/>
  <c r="EZ197" i="69"/>
  <c r="EY197" i="69"/>
  <c r="L197" i="69"/>
  <c r="K197" i="69"/>
  <c r="J197" i="69"/>
  <c r="I197" i="69"/>
  <c r="H197" i="69"/>
  <c r="G197" i="69"/>
  <c r="GX196" i="69"/>
  <c r="GW196" i="69"/>
  <c r="GS196" i="69"/>
  <c r="GR196" i="69"/>
  <c r="GN196" i="69"/>
  <c r="GM196" i="69"/>
  <c r="GI196" i="69"/>
  <c r="GH196" i="69"/>
  <c r="GD196" i="69"/>
  <c r="GC196" i="69"/>
  <c r="FY196" i="69"/>
  <c r="FX196" i="69"/>
  <c r="FT196" i="69"/>
  <c r="FS196" i="69"/>
  <c r="FO196" i="69"/>
  <c r="FN196" i="69"/>
  <c r="FJ196" i="69"/>
  <c r="FI196" i="69"/>
  <c r="FE196" i="69"/>
  <c r="FD196" i="69"/>
  <c r="EZ196" i="69"/>
  <c r="EY196" i="69"/>
  <c r="L196" i="69"/>
  <c r="K196" i="69"/>
  <c r="J196" i="69"/>
  <c r="I196" i="69"/>
  <c r="H196" i="69"/>
  <c r="G196" i="69"/>
  <c r="GX195" i="69"/>
  <c r="GW195" i="69"/>
  <c r="GS195" i="69"/>
  <c r="GR195" i="69"/>
  <c r="GN195" i="69"/>
  <c r="GM195" i="69"/>
  <c r="GI195" i="69"/>
  <c r="GH195" i="69"/>
  <c r="GD195" i="69"/>
  <c r="GC195" i="69"/>
  <c r="FY195" i="69"/>
  <c r="FX195" i="69"/>
  <c r="FT195" i="69"/>
  <c r="FS195" i="69"/>
  <c r="FO195" i="69"/>
  <c r="FN195" i="69"/>
  <c r="FJ195" i="69"/>
  <c r="FI195" i="69"/>
  <c r="FE195" i="69"/>
  <c r="FD195" i="69"/>
  <c r="EZ195" i="69"/>
  <c r="EY195" i="69"/>
  <c r="L195" i="69"/>
  <c r="K195" i="69"/>
  <c r="J195" i="69"/>
  <c r="I195" i="69"/>
  <c r="H195" i="69"/>
  <c r="G195" i="69"/>
  <c r="GX194" i="69"/>
  <c r="GW194" i="69"/>
  <c r="GS194" i="69"/>
  <c r="GR194" i="69"/>
  <c r="GN194" i="69"/>
  <c r="GM194" i="69"/>
  <c r="GI194" i="69"/>
  <c r="GH194" i="69"/>
  <c r="GD194" i="69"/>
  <c r="GC194" i="69"/>
  <c r="FY194" i="69"/>
  <c r="FX194" i="69"/>
  <c r="FT194" i="69"/>
  <c r="FS194" i="69"/>
  <c r="FO194" i="69"/>
  <c r="FN194" i="69"/>
  <c r="FJ194" i="69"/>
  <c r="FI194" i="69"/>
  <c r="FE194" i="69"/>
  <c r="FD194" i="69"/>
  <c r="EZ194" i="69"/>
  <c r="EY194" i="69"/>
  <c r="L194" i="69"/>
  <c r="K194" i="69"/>
  <c r="J194" i="69"/>
  <c r="I194" i="69"/>
  <c r="H194" i="69"/>
  <c r="G194" i="69"/>
  <c r="GX193" i="69"/>
  <c r="GW193" i="69"/>
  <c r="GS193" i="69"/>
  <c r="GR193" i="69"/>
  <c r="GN193" i="69"/>
  <c r="GM193" i="69"/>
  <c r="GI193" i="69"/>
  <c r="GH193" i="69"/>
  <c r="GD193" i="69"/>
  <c r="GC193" i="69"/>
  <c r="FY193" i="69"/>
  <c r="FX193" i="69"/>
  <c r="FT193" i="69"/>
  <c r="FS193" i="69"/>
  <c r="FO193" i="69"/>
  <c r="FN193" i="69"/>
  <c r="FJ193" i="69"/>
  <c r="FI193" i="69"/>
  <c r="FE193" i="69"/>
  <c r="FD193" i="69"/>
  <c r="EZ193" i="69"/>
  <c r="EY193" i="69"/>
  <c r="L193" i="69"/>
  <c r="K193" i="69"/>
  <c r="J193" i="69"/>
  <c r="I193" i="69"/>
  <c r="H193" i="69"/>
  <c r="G193" i="69"/>
  <c r="GX192" i="69"/>
  <c r="GW192" i="69"/>
  <c r="GS192" i="69"/>
  <c r="GR192" i="69"/>
  <c r="GN192" i="69"/>
  <c r="GM192" i="69"/>
  <c r="GI192" i="69"/>
  <c r="GH192" i="69"/>
  <c r="GD192" i="69"/>
  <c r="GC192" i="69"/>
  <c r="FY192" i="69"/>
  <c r="FX192" i="69"/>
  <c r="FT192" i="69"/>
  <c r="FS192" i="69"/>
  <c r="FO192" i="69"/>
  <c r="FN192" i="69"/>
  <c r="FJ192" i="69"/>
  <c r="FI192" i="69"/>
  <c r="FE192" i="69"/>
  <c r="FD192" i="69"/>
  <c r="EZ192" i="69"/>
  <c r="EY192" i="69"/>
  <c r="L192" i="69"/>
  <c r="K192" i="69"/>
  <c r="J192" i="69"/>
  <c r="I192" i="69"/>
  <c r="H192" i="69"/>
  <c r="G192" i="69"/>
  <c r="GX191" i="69"/>
  <c r="GW191" i="69"/>
  <c r="GS191" i="69"/>
  <c r="GR191" i="69"/>
  <c r="GN191" i="69"/>
  <c r="GM191" i="69"/>
  <c r="GI191" i="69"/>
  <c r="GH191" i="69"/>
  <c r="GD191" i="69"/>
  <c r="GC191" i="69"/>
  <c r="FY191" i="69"/>
  <c r="FX191" i="69"/>
  <c r="FT191" i="69"/>
  <c r="FS191" i="69"/>
  <c r="FO191" i="69"/>
  <c r="FN191" i="69"/>
  <c r="FJ191" i="69"/>
  <c r="FI191" i="69"/>
  <c r="FE191" i="69"/>
  <c r="FD191" i="69"/>
  <c r="EZ191" i="69"/>
  <c r="EY191" i="69"/>
  <c r="L191" i="69"/>
  <c r="K191" i="69"/>
  <c r="J191" i="69"/>
  <c r="I191" i="69"/>
  <c r="H191" i="69"/>
  <c r="G191" i="69"/>
  <c r="GX190" i="69"/>
  <c r="GW190" i="69"/>
  <c r="GS190" i="69"/>
  <c r="GR190" i="69"/>
  <c r="GN190" i="69"/>
  <c r="GM190" i="69"/>
  <c r="GI190" i="69"/>
  <c r="GH190" i="69"/>
  <c r="GD190" i="69"/>
  <c r="GC190" i="69"/>
  <c r="FY190" i="69"/>
  <c r="FX190" i="69"/>
  <c r="FT190" i="69"/>
  <c r="FS190" i="69"/>
  <c r="FO190" i="69"/>
  <c r="FN190" i="69"/>
  <c r="FJ190" i="69"/>
  <c r="FI190" i="69"/>
  <c r="FE190" i="69"/>
  <c r="FD190" i="69"/>
  <c r="EZ190" i="69"/>
  <c r="EY190" i="69"/>
  <c r="L190" i="69"/>
  <c r="K190" i="69"/>
  <c r="J190" i="69"/>
  <c r="I190" i="69"/>
  <c r="H190" i="69"/>
  <c r="G190" i="69"/>
  <c r="GX189" i="69"/>
  <c r="GW189" i="69"/>
  <c r="GS189" i="69"/>
  <c r="GR189" i="69"/>
  <c r="GN189" i="69"/>
  <c r="GM189" i="69"/>
  <c r="GI189" i="69"/>
  <c r="GH189" i="69"/>
  <c r="GD189" i="69"/>
  <c r="GC189" i="69"/>
  <c r="FY189" i="69"/>
  <c r="FX189" i="69"/>
  <c r="FT189" i="69"/>
  <c r="FS189" i="69"/>
  <c r="FO189" i="69"/>
  <c r="FN189" i="69"/>
  <c r="FJ189" i="69"/>
  <c r="FI189" i="69"/>
  <c r="FE189" i="69"/>
  <c r="FD189" i="69"/>
  <c r="EZ189" i="69"/>
  <c r="EY189" i="69"/>
  <c r="L189" i="69"/>
  <c r="K189" i="69"/>
  <c r="J189" i="69"/>
  <c r="I189" i="69"/>
  <c r="H189" i="69"/>
  <c r="G189" i="69"/>
  <c r="GX188" i="69"/>
  <c r="GW188" i="69"/>
  <c r="GS188" i="69"/>
  <c r="GR188" i="69"/>
  <c r="GN188" i="69"/>
  <c r="GM188" i="69"/>
  <c r="GI188" i="69"/>
  <c r="GH188" i="69"/>
  <c r="GD188" i="69"/>
  <c r="GC188" i="69"/>
  <c r="FY188" i="69"/>
  <c r="FX188" i="69"/>
  <c r="FT188" i="69"/>
  <c r="FS188" i="69"/>
  <c r="FO188" i="69"/>
  <c r="FN188" i="69"/>
  <c r="FJ188" i="69"/>
  <c r="FI188" i="69"/>
  <c r="FE188" i="69"/>
  <c r="FD188" i="69"/>
  <c r="EZ188" i="69"/>
  <c r="EY188" i="69"/>
  <c r="L188" i="69"/>
  <c r="K188" i="69"/>
  <c r="J188" i="69"/>
  <c r="I188" i="69"/>
  <c r="H188" i="69"/>
  <c r="G188" i="69"/>
  <c r="GX187" i="69"/>
  <c r="GW187" i="69"/>
  <c r="GS187" i="69"/>
  <c r="GR187" i="69"/>
  <c r="GN187" i="69"/>
  <c r="GM187" i="69"/>
  <c r="GI187" i="69"/>
  <c r="GH187" i="69"/>
  <c r="GD187" i="69"/>
  <c r="GC187" i="69"/>
  <c r="FY187" i="69"/>
  <c r="FX187" i="69"/>
  <c r="FT187" i="69"/>
  <c r="FS187" i="69"/>
  <c r="FO187" i="69"/>
  <c r="FN187" i="69"/>
  <c r="FJ187" i="69"/>
  <c r="FI187" i="69"/>
  <c r="FE187" i="69"/>
  <c r="FD187" i="69"/>
  <c r="EZ187" i="69"/>
  <c r="EY187" i="69"/>
  <c r="L187" i="69"/>
  <c r="K187" i="69"/>
  <c r="J187" i="69"/>
  <c r="I187" i="69"/>
  <c r="H187" i="69"/>
  <c r="G187" i="69"/>
  <c r="GX186" i="69"/>
  <c r="GW186" i="69"/>
  <c r="GS186" i="69"/>
  <c r="GR186" i="69"/>
  <c r="GN186" i="69"/>
  <c r="GM186" i="69"/>
  <c r="GI186" i="69"/>
  <c r="GH186" i="69"/>
  <c r="GD186" i="69"/>
  <c r="GC186" i="69"/>
  <c r="FY186" i="69"/>
  <c r="FX186" i="69"/>
  <c r="FT186" i="69"/>
  <c r="FS186" i="69"/>
  <c r="FO186" i="69"/>
  <c r="FN186" i="69"/>
  <c r="FJ186" i="69"/>
  <c r="FI186" i="69"/>
  <c r="FE186" i="69"/>
  <c r="FD186" i="69"/>
  <c r="EZ186" i="69"/>
  <c r="EY186" i="69"/>
  <c r="L186" i="69"/>
  <c r="K186" i="69"/>
  <c r="J186" i="69"/>
  <c r="I186" i="69"/>
  <c r="H186" i="69"/>
  <c r="G186" i="69"/>
  <c r="GX185" i="69"/>
  <c r="GW185" i="69"/>
  <c r="GS185" i="69"/>
  <c r="GR185" i="69"/>
  <c r="GN185" i="69"/>
  <c r="GM185" i="69"/>
  <c r="GI185" i="69"/>
  <c r="GH185" i="69"/>
  <c r="GD185" i="69"/>
  <c r="GC185" i="69"/>
  <c r="FY185" i="69"/>
  <c r="FX185" i="69"/>
  <c r="FT185" i="69"/>
  <c r="FS185" i="69"/>
  <c r="FO185" i="69"/>
  <c r="FN185" i="69"/>
  <c r="FJ185" i="69"/>
  <c r="FI185" i="69"/>
  <c r="FE185" i="69"/>
  <c r="FD185" i="69"/>
  <c r="EZ185" i="69"/>
  <c r="EY185" i="69"/>
  <c r="L185" i="69"/>
  <c r="K185" i="69"/>
  <c r="J185" i="69"/>
  <c r="I185" i="69"/>
  <c r="H185" i="69"/>
  <c r="G185" i="69"/>
  <c r="GX184" i="69"/>
  <c r="GW184" i="69"/>
  <c r="GS184" i="69"/>
  <c r="GR184" i="69"/>
  <c r="GN184" i="69"/>
  <c r="GM184" i="69"/>
  <c r="GI184" i="69"/>
  <c r="GH184" i="69"/>
  <c r="GD184" i="69"/>
  <c r="GC184" i="69"/>
  <c r="FY184" i="69"/>
  <c r="FX184" i="69"/>
  <c r="FT184" i="69"/>
  <c r="FS184" i="69"/>
  <c r="FO184" i="69"/>
  <c r="FN184" i="69"/>
  <c r="FJ184" i="69"/>
  <c r="FI184" i="69"/>
  <c r="FE184" i="69"/>
  <c r="FD184" i="69"/>
  <c r="EZ184" i="69"/>
  <c r="EY184" i="69"/>
  <c r="EU184" i="69"/>
  <c r="ET184" i="69"/>
  <c r="EP184" i="69"/>
  <c r="EO184" i="69"/>
  <c r="L184" i="69"/>
  <c r="K184" i="69"/>
  <c r="J184" i="69"/>
  <c r="I184" i="69"/>
  <c r="H184" i="69"/>
  <c r="G184" i="69"/>
  <c r="GX183" i="69"/>
  <c r="GW183" i="69"/>
  <c r="GS183" i="69"/>
  <c r="GR183" i="69"/>
  <c r="GN183" i="69"/>
  <c r="GM183" i="69"/>
  <c r="GI183" i="69"/>
  <c r="GH183" i="69"/>
  <c r="GD183" i="69"/>
  <c r="GC183" i="69"/>
  <c r="FY183" i="69"/>
  <c r="FX183" i="69"/>
  <c r="FT183" i="69"/>
  <c r="FS183" i="69"/>
  <c r="FO183" i="69"/>
  <c r="FN183" i="69"/>
  <c r="FJ183" i="69"/>
  <c r="FI183" i="69"/>
  <c r="FE183" i="69"/>
  <c r="FD183" i="69"/>
  <c r="EZ183" i="69"/>
  <c r="EY183" i="69"/>
  <c r="EU183" i="69"/>
  <c r="ET183" i="69"/>
  <c r="EP183" i="69"/>
  <c r="EO183" i="69"/>
  <c r="L183" i="69"/>
  <c r="K183" i="69"/>
  <c r="J183" i="69"/>
  <c r="I183" i="69"/>
  <c r="H183" i="69"/>
  <c r="G183" i="69"/>
  <c r="GX182" i="69"/>
  <c r="GW182" i="69"/>
  <c r="GS182" i="69"/>
  <c r="GR182" i="69"/>
  <c r="GN182" i="69"/>
  <c r="GM182" i="69"/>
  <c r="GI182" i="69"/>
  <c r="GH182" i="69"/>
  <c r="GD182" i="69"/>
  <c r="GC182" i="69"/>
  <c r="FY182" i="69"/>
  <c r="FX182" i="69"/>
  <c r="FT182" i="69"/>
  <c r="FS182" i="69"/>
  <c r="FO182" i="69"/>
  <c r="FN182" i="69"/>
  <c r="FJ182" i="69"/>
  <c r="FI182" i="69"/>
  <c r="FE182" i="69"/>
  <c r="FD182" i="69"/>
  <c r="EZ182" i="69"/>
  <c r="EY182" i="69"/>
  <c r="EU182" i="69"/>
  <c r="ET182" i="69"/>
  <c r="EP182" i="69"/>
  <c r="EO182" i="69"/>
  <c r="L182" i="69"/>
  <c r="K182" i="69"/>
  <c r="J182" i="69"/>
  <c r="I182" i="69"/>
  <c r="H182" i="69"/>
  <c r="G182" i="69"/>
  <c r="GX181" i="69"/>
  <c r="GW181" i="69"/>
  <c r="GS181" i="69"/>
  <c r="GR181" i="69"/>
  <c r="GN181" i="69"/>
  <c r="GM181" i="69"/>
  <c r="GI181" i="69"/>
  <c r="GH181" i="69"/>
  <c r="GD181" i="69"/>
  <c r="GC181" i="69"/>
  <c r="FY181" i="69"/>
  <c r="FX181" i="69"/>
  <c r="FT181" i="69"/>
  <c r="FS181" i="69"/>
  <c r="FO181" i="69"/>
  <c r="FN181" i="69"/>
  <c r="FJ181" i="69"/>
  <c r="FI181" i="69"/>
  <c r="FE181" i="69"/>
  <c r="FD181" i="69"/>
  <c r="EZ181" i="69"/>
  <c r="EY181" i="69"/>
  <c r="EU181" i="69"/>
  <c r="ET181" i="69"/>
  <c r="EP181" i="69"/>
  <c r="EO181" i="69"/>
  <c r="L181" i="69"/>
  <c r="K181" i="69"/>
  <c r="J181" i="69"/>
  <c r="I181" i="69"/>
  <c r="H181" i="69"/>
  <c r="G181" i="69"/>
  <c r="GX180" i="69"/>
  <c r="GW180" i="69"/>
  <c r="GS180" i="69"/>
  <c r="GR180" i="69"/>
  <c r="GN180" i="69"/>
  <c r="GM180" i="69"/>
  <c r="GI180" i="69"/>
  <c r="GH180" i="69"/>
  <c r="GD180" i="69"/>
  <c r="GC180" i="69"/>
  <c r="FY180" i="69"/>
  <c r="FX180" i="69"/>
  <c r="FT180" i="69"/>
  <c r="FS180" i="69"/>
  <c r="FO180" i="69"/>
  <c r="FN180" i="69"/>
  <c r="FJ180" i="69"/>
  <c r="FI180" i="69"/>
  <c r="FE180" i="69"/>
  <c r="FD180" i="69"/>
  <c r="EZ180" i="69"/>
  <c r="EY180" i="69"/>
  <c r="EU180" i="69"/>
  <c r="ET180" i="69"/>
  <c r="EP180" i="69"/>
  <c r="EO180" i="69"/>
  <c r="L180" i="69"/>
  <c r="K180" i="69"/>
  <c r="J180" i="69"/>
  <c r="I180" i="69"/>
  <c r="H180" i="69"/>
  <c r="G180" i="69"/>
  <c r="GX179" i="69"/>
  <c r="GW179" i="69"/>
  <c r="GS179" i="69"/>
  <c r="GR179" i="69"/>
  <c r="GN179" i="69"/>
  <c r="GM179" i="69"/>
  <c r="GI179" i="69"/>
  <c r="GH179" i="69"/>
  <c r="GD179" i="69"/>
  <c r="GC179" i="69"/>
  <c r="FY179" i="69"/>
  <c r="FX179" i="69"/>
  <c r="FT179" i="69"/>
  <c r="FS179" i="69"/>
  <c r="FO179" i="69"/>
  <c r="FN179" i="69"/>
  <c r="FJ179" i="69"/>
  <c r="FI179" i="69"/>
  <c r="FE179" i="69"/>
  <c r="FD179" i="69"/>
  <c r="EZ179" i="69"/>
  <c r="EY179" i="69"/>
  <c r="EU179" i="69"/>
  <c r="ET179" i="69"/>
  <c r="EP179" i="69"/>
  <c r="EO179" i="69"/>
  <c r="L179" i="69"/>
  <c r="K179" i="69"/>
  <c r="J179" i="69"/>
  <c r="I179" i="69"/>
  <c r="H179" i="69"/>
  <c r="G179" i="69"/>
  <c r="GX178" i="69"/>
  <c r="GW178" i="69"/>
  <c r="GS178" i="69"/>
  <c r="GR178" i="69"/>
  <c r="GN178" i="69"/>
  <c r="GM178" i="69"/>
  <c r="GI178" i="69"/>
  <c r="GH178" i="69"/>
  <c r="GD178" i="69"/>
  <c r="GC178" i="69"/>
  <c r="FY178" i="69"/>
  <c r="FX178" i="69"/>
  <c r="FT178" i="69"/>
  <c r="FS178" i="69"/>
  <c r="FO178" i="69"/>
  <c r="FN178" i="69"/>
  <c r="FJ178" i="69"/>
  <c r="FI178" i="69"/>
  <c r="FE178" i="69"/>
  <c r="FD178" i="69"/>
  <c r="EZ178" i="69"/>
  <c r="EY178" i="69"/>
  <c r="EU178" i="69"/>
  <c r="ET178" i="69"/>
  <c r="EP178" i="69"/>
  <c r="EO178" i="69"/>
  <c r="L178" i="69"/>
  <c r="K178" i="69"/>
  <c r="J178" i="69"/>
  <c r="I178" i="69"/>
  <c r="H178" i="69"/>
  <c r="G178" i="69"/>
  <c r="GX177" i="69"/>
  <c r="GW177" i="69"/>
  <c r="GS177" i="69"/>
  <c r="GR177" i="69"/>
  <c r="GN177" i="69"/>
  <c r="GM177" i="69"/>
  <c r="GI177" i="69"/>
  <c r="GH177" i="69"/>
  <c r="GD177" i="69"/>
  <c r="GC177" i="69"/>
  <c r="FY177" i="69"/>
  <c r="FX177" i="69"/>
  <c r="FT177" i="69"/>
  <c r="FS177" i="69"/>
  <c r="FO177" i="69"/>
  <c r="FN177" i="69"/>
  <c r="FJ177" i="69"/>
  <c r="FI177" i="69"/>
  <c r="FE177" i="69"/>
  <c r="FD177" i="69"/>
  <c r="EZ177" i="69"/>
  <c r="EY177" i="69"/>
  <c r="EU177" i="69"/>
  <c r="ET177" i="69"/>
  <c r="EP177" i="69"/>
  <c r="EO177" i="69"/>
  <c r="L177" i="69"/>
  <c r="K177" i="69"/>
  <c r="J177" i="69"/>
  <c r="I177" i="69"/>
  <c r="H177" i="69"/>
  <c r="G177" i="69"/>
  <c r="GX176" i="69"/>
  <c r="GW176" i="69"/>
  <c r="GS176" i="69"/>
  <c r="GR176" i="69"/>
  <c r="GN176" i="69"/>
  <c r="GM176" i="69"/>
  <c r="GI176" i="69"/>
  <c r="GH176" i="69"/>
  <c r="GD176" i="69"/>
  <c r="GC176" i="69"/>
  <c r="FY176" i="69"/>
  <c r="FX176" i="69"/>
  <c r="FT176" i="69"/>
  <c r="FS176" i="69"/>
  <c r="FO176" i="69"/>
  <c r="FN176" i="69"/>
  <c r="FJ176" i="69"/>
  <c r="FI176" i="69"/>
  <c r="FE176" i="69"/>
  <c r="FD176" i="69"/>
  <c r="EZ176" i="69"/>
  <c r="EY176" i="69"/>
  <c r="EU176" i="69"/>
  <c r="ET176" i="69"/>
  <c r="EP176" i="69"/>
  <c r="EO176" i="69"/>
  <c r="L176" i="69"/>
  <c r="K176" i="69"/>
  <c r="J176" i="69"/>
  <c r="I176" i="69"/>
  <c r="H176" i="69"/>
  <c r="G176" i="69"/>
  <c r="GX175" i="69"/>
  <c r="GW175" i="69"/>
  <c r="GS175" i="69"/>
  <c r="GR175" i="69"/>
  <c r="GN175" i="69"/>
  <c r="GM175" i="69"/>
  <c r="GI175" i="69"/>
  <c r="GH175" i="69"/>
  <c r="GD175" i="69"/>
  <c r="GC175" i="69"/>
  <c r="FY175" i="69"/>
  <c r="FX175" i="69"/>
  <c r="FT175" i="69"/>
  <c r="FS175" i="69"/>
  <c r="FO175" i="69"/>
  <c r="FN175" i="69"/>
  <c r="FJ175" i="69"/>
  <c r="FI175" i="69"/>
  <c r="FE175" i="69"/>
  <c r="FD175" i="69"/>
  <c r="EZ175" i="69"/>
  <c r="EY175" i="69"/>
  <c r="EU175" i="69"/>
  <c r="ET175" i="69"/>
  <c r="EP175" i="69"/>
  <c r="EO175" i="69"/>
  <c r="EK175" i="69"/>
  <c r="EJ175" i="69"/>
  <c r="EF175" i="69"/>
  <c r="L175" i="69"/>
  <c r="K175" i="69"/>
  <c r="J175" i="69"/>
  <c r="I175" i="69"/>
  <c r="H175" i="69"/>
  <c r="G175" i="69"/>
  <c r="GX174" i="69"/>
  <c r="GW174" i="69"/>
  <c r="GS174" i="69"/>
  <c r="GR174" i="69"/>
  <c r="GN174" i="69"/>
  <c r="GM174" i="69"/>
  <c r="GI174" i="69"/>
  <c r="GH174" i="69"/>
  <c r="GD174" i="69"/>
  <c r="GC174" i="69"/>
  <c r="FY174" i="69"/>
  <c r="FX174" i="69"/>
  <c r="FT174" i="69"/>
  <c r="FS174" i="69"/>
  <c r="FO174" i="69"/>
  <c r="FN174" i="69"/>
  <c r="FJ174" i="69"/>
  <c r="FI174" i="69"/>
  <c r="FE174" i="69"/>
  <c r="FD174" i="69"/>
  <c r="EZ174" i="69"/>
  <c r="EY174" i="69"/>
  <c r="EU174" i="69"/>
  <c r="ET174" i="69"/>
  <c r="EP174" i="69"/>
  <c r="EO174" i="69"/>
  <c r="EK174" i="69"/>
  <c r="EJ174" i="69"/>
  <c r="EF174" i="69"/>
  <c r="L174" i="69"/>
  <c r="K174" i="69"/>
  <c r="J174" i="69"/>
  <c r="I174" i="69"/>
  <c r="H174" i="69"/>
  <c r="G174" i="69"/>
  <c r="GX173" i="69"/>
  <c r="GW173" i="69"/>
  <c r="GS173" i="69"/>
  <c r="GR173" i="69"/>
  <c r="GN173" i="69"/>
  <c r="GM173" i="69"/>
  <c r="GI173" i="69"/>
  <c r="GH173" i="69"/>
  <c r="GD173" i="69"/>
  <c r="GC173" i="69"/>
  <c r="FY173" i="69"/>
  <c r="FX173" i="69"/>
  <c r="FT173" i="69"/>
  <c r="FS173" i="69"/>
  <c r="FO173" i="69"/>
  <c r="FN173" i="69"/>
  <c r="FJ173" i="69"/>
  <c r="FI173" i="69"/>
  <c r="FE173" i="69"/>
  <c r="FD173" i="69"/>
  <c r="EZ173" i="69"/>
  <c r="EY173" i="69"/>
  <c r="EU173" i="69"/>
  <c r="ET173" i="69"/>
  <c r="EP173" i="69"/>
  <c r="EO173" i="69"/>
  <c r="EK173" i="69"/>
  <c r="EJ173" i="69"/>
  <c r="EF173" i="69"/>
  <c r="L173" i="69"/>
  <c r="K173" i="69"/>
  <c r="J173" i="69"/>
  <c r="I173" i="69"/>
  <c r="H173" i="69"/>
  <c r="G173" i="69"/>
  <c r="GX172" i="69"/>
  <c r="GW172" i="69"/>
  <c r="GS172" i="69"/>
  <c r="GR172" i="69"/>
  <c r="GN172" i="69"/>
  <c r="GM172" i="69"/>
  <c r="GI172" i="69"/>
  <c r="GH172" i="69"/>
  <c r="GD172" i="69"/>
  <c r="GC172" i="69"/>
  <c r="FY172" i="69"/>
  <c r="FX172" i="69"/>
  <c r="FT172" i="69"/>
  <c r="FS172" i="69"/>
  <c r="FO172" i="69"/>
  <c r="FN172" i="69"/>
  <c r="FJ172" i="69"/>
  <c r="FI172" i="69"/>
  <c r="FE172" i="69"/>
  <c r="FD172" i="69"/>
  <c r="EZ172" i="69"/>
  <c r="EY172" i="69"/>
  <c r="EU172" i="69"/>
  <c r="ET172" i="69"/>
  <c r="EP172" i="69"/>
  <c r="EO172" i="69"/>
  <c r="EK172" i="69"/>
  <c r="EJ172" i="69"/>
  <c r="EF172" i="69"/>
  <c r="EA172" i="69"/>
  <c r="DZ172" i="69"/>
  <c r="DV172" i="69"/>
  <c r="DU172" i="69"/>
  <c r="DQ172" i="69"/>
  <c r="DP172" i="69"/>
  <c r="L172" i="69"/>
  <c r="K172" i="69"/>
  <c r="J172" i="69"/>
  <c r="I172" i="69"/>
  <c r="H172" i="69"/>
  <c r="G172" i="69"/>
  <c r="GX171" i="69"/>
  <c r="GW171" i="69"/>
  <c r="GS171" i="69"/>
  <c r="GR171" i="69"/>
  <c r="GN171" i="69"/>
  <c r="GM171" i="69"/>
  <c r="GI171" i="69"/>
  <c r="GH171" i="69"/>
  <c r="GD171" i="69"/>
  <c r="GC171" i="69"/>
  <c r="FY171" i="69"/>
  <c r="FX171" i="69"/>
  <c r="FT171" i="69"/>
  <c r="FS171" i="69"/>
  <c r="FO171" i="69"/>
  <c r="FN171" i="69"/>
  <c r="FJ171" i="69"/>
  <c r="FI171" i="69"/>
  <c r="FE171" i="69"/>
  <c r="FD171" i="69"/>
  <c r="EZ171" i="69"/>
  <c r="EY171" i="69"/>
  <c r="EU171" i="69"/>
  <c r="ET171" i="69"/>
  <c r="EP171" i="69"/>
  <c r="EO171" i="69"/>
  <c r="EK171" i="69"/>
  <c r="EJ171" i="69"/>
  <c r="EF171" i="69"/>
  <c r="EA171" i="69"/>
  <c r="DZ171" i="69"/>
  <c r="DV171" i="69"/>
  <c r="DU171" i="69"/>
  <c r="DQ171" i="69"/>
  <c r="DP171" i="69"/>
  <c r="L171" i="69"/>
  <c r="K171" i="69"/>
  <c r="J171" i="69"/>
  <c r="I171" i="69"/>
  <c r="H171" i="69"/>
  <c r="G171" i="69"/>
  <c r="GX170" i="69"/>
  <c r="GW170" i="69"/>
  <c r="GS170" i="69"/>
  <c r="GR170" i="69"/>
  <c r="GN170" i="69"/>
  <c r="GM170" i="69"/>
  <c r="GI170" i="69"/>
  <c r="GH170" i="69"/>
  <c r="GD170" i="69"/>
  <c r="GC170" i="69"/>
  <c r="FY170" i="69"/>
  <c r="FX170" i="69"/>
  <c r="FT170" i="69"/>
  <c r="FS170" i="69"/>
  <c r="FO170" i="69"/>
  <c r="FN170" i="69"/>
  <c r="FJ170" i="69"/>
  <c r="FI170" i="69"/>
  <c r="FE170" i="69"/>
  <c r="FD170" i="69"/>
  <c r="EZ170" i="69"/>
  <c r="EY170" i="69"/>
  <c r="EU170" i="69"/>
  <c r="ET170" i="69"/>
  <c r="EP170" i="69"/>
  <c r="EO170" i="69"/>
  <c r="EK170" i="69"/>
  <c r="EJ170" i="69"/>
  <c r="EF170" i="69"/>
  <c r="EA170" i="69"/>
  <c r="DZ170" i="69"/>
  <c r="DV170" i="69"/>
  <c r="DU170" i="69"/>
  <c r="DQ170" i="69"/>
  <c r="DP170" i="69"/>
  <c r="L170" i="69"/>
  <c r="K170" i="69"/>
  <c r="J170" i="69"/>
  <c r="I170" i="69"/>
  <c r="H170" i="69"/>
  <c r="G170" i="69"/>
  <c r="GX169" i="69"/>
  <c r="GW169" i="69"/>
  <c r="GS169" i="69"/>
  <c r="GR169" i="69"/>
  <c r="GN169" i="69"/>
  <c r="GM169" i="69"/>
  <c r="GI169" i="69"/>
  <c r="GH169" i="69"/>
  <c r="GD169" i="69"/>
  <c r="GC169" i="69"/>
  <c r="FY169" i="69"/>
  <c r="FX169" i="69"/>
  <c r="FT169" i="69"/>
  <c r="FS169" i="69"/>
  <c r="FO169" i="69"/>
  <c r="FN169" i="69"/>
  <c r="FJ169" i="69"/>
  <c r="FI169" i="69"/>
  <c r="FE169" i="69"/>
  <c r="FD169" i="69"/>
  <c r="EZ169" i="69"/>
  <c r="EY169" i="69"/>
  <c r="EU169" i="69"/>
  <c r="ET169" i="69"/>
  <c r="EP169" i="69"/>
  <c r="EO169" i="69"/>
  <c r="EK169" i="69"/>
  <c r="EJ169" i="69"/>
  <c r="EF169" i="69"/>
  <c r="EA169" i="69"/>
  <c r="DZ169" i="69"/>
  <c r="DV169" i="69"/>
  <c r="DU169" i="69"/>
  <c r="DQ169" i="69"/>
  <c r="DP169" i="69"/>
  <c r="L169" i="69"/>
  <c r="K169" i="69"/>
  <c r="J169" i="69"/>
  <c r="I169" i="69"/>
  <c r="H169" i="69"/>
  <c r="G169" i="69"/>
  <c r="GX168" i="69"/>
  <c r="GW168" i="69"/>
  <c r="GS168" i="69"/>
  <c r="GR168" i="69"/>
  <c r="GN168" i="69"/>
  <c r="GM168" i="69"/>
  <c r="GI168" i="69"/>
  <c r="GH168" i="69"/>
  <c r="GD168" i="69"/>
  <c r="GC168" i="69"/>
  <c r="FY168" i="69"/>
  <c r="FX168" i="69"/>
  <c r="FT168" i="69"/>
  <c r="FS168" i="69"/>
  <c r="FO168" i="69"/>
  <c r="FN168" i="69"/>
  <c r="FJ168" i="69"/>
  <c r="FI168" i="69"/>
  <c r="FE168" i="69"/>
  <c r="FD168" i="69"/>
  <c r="EZ168" i="69"/>
  <c r="EY168" i="69"/>
  <c r="EU168" i="69"/>
  <c r="ET168" i="69"/>
  <c r="EP168" i="69"/>
  <c r="EO168" i="69"/>
  <c r="EK168" i="69"/>
  <c r="EJ168" i="69"/>
  <c r="EF168" i="69"/>
  <c r="EA168" i="69"/>
  <c r="DZ168" i="69"/>
  <c r="DV168" i="69"/>
  <c r="DU168" i="69"/>
  <c r="DQ168" i="69"/>
  <c r="DP168" i="69"/>
  <c r="L168" i="69"/>
  <c r="K168" i="69"/>
  <c r="J168" i="69"/>
  <c r="I168" i="69"/>
  <c r="H168" i="69"/>
  <c r="G168" i="69"/>
  <c r="GX167" i="69"/>
  <c r="GW167" i="69"/>
  <c r="GS167" i="69"/>
  <c r="GR167" i="69"/>
  <c r="GN167" i="69"/>
  <c r="GM167" i="69"/>
  <c r="GI167" i="69"/>
  <c r="GH167" i="69"/>
  <c r="GD167" i="69"/>
  <c r="GC167" i="69"/>
  <c r="FY167" i="69"/>
  <c r="FX167" i="69"/>
  <c r="FT167" i="69"/>
  <c r="FS167" i="69"/>
  <c r="FO167" i="69"/>
  <c r="FN167" i="69"/>
  <c r="FJ167" i="69"/>
  <c r="FI167" i="69"/>
  <c r="FE167" i="69"/>
  <c r="FD167" i="69"/>
  <c r="EZ167" i="69"/>
  <c r="EY167" i="69"/>
  <c r="EU167" i="69"/>
  <c r="ET167" i="69"/>
  <c r="EP167" i="69"/>
  <c r="EO167" i="69"/>
  <c r="EK167" i="69"/>
  <c r="EJ167" i="69"/>
  <c r="EF167" i="69"/>
  <c r="EA167" i="69"/>
  <c r="DZ167" i="69"/>
  <c r="DV167" i="69"/>
  <c r="DU167" i="69"/>
  <c r="DQ167" i="69"/>
  <c r="DP167" i="69"/>
  <c r="L167" i="69"/>
  <c r="K167" i="69"/>
  <c r="J167" i="69"/>
  <c r="I167" i="69"/>
  <c r="H167" i="69"/>
  <c r="G167" i="69"/>
  <c r="GX166" i="69"/>
  <c r="GW166" i="69"/>
  <c r="GS166" i="69"/>
  <c r="GR166" i="69"/>
  <c r="GN166" i="69"/>
  <c r="GM166" i="69"/>
  <c r="GI166" i="69"/>
  <c r="GH166" i="69"/>
  <c r="GD166" i="69"/>
  <c r="GC166" i="69"/>
  <c r="FY166" i="69"/>
  <c r="FX166" i="69"/>
  <c r="FT166" i="69"/>
  <c r="FS166" i="69"/>
  <c r="FO166" i="69"/>
  <c r="FN166" i="69"/>
  <c r="FJ166" i="69"/>
  <c r="FI166" i="69"/>
  <c r="FE166" i="69"/>
  <c r="FD166" i="69"/>
  <c r="EZ166" i="69"/>
  <c r="EY166" i="69"/>
  <c r="EU166" i="69"/>
  <c r="ET166" i="69"/>
  <c r="EP166" i="69"/>
  <c r="EO166" i="69"/>
  <c r="EK166" i="69"/>
  <c r="EJ166" i="69"/>
  <c r="EF166" i="69"/>
  <c r="EA166" i="69"/>
  <c r="DZ166" i="69"/>
  <c r="DV166" i="69"/>
  <c r="DU166" i="69"/>
  <c r="DQ166" i="69"/>
  <c r="DP166" i="69"/>
  <c r="L166" i="69"/>
  <c r="K166" i="69"/>
  <c r="J166" i="69"/>
  <c r="I166" i="69"/>
  <c r="H166" i="69"/>
  <c r="G166" i="69"/>
  <c r="GX165" i="69"/>
  <c r="GW165" i="69"/>
  <c r="GS165" i="69"/>
  <c r="GR165" i="69"/>
  <c r="GN165" i="69"/>
  <c r="GM165" i="69"/>
  <c r="GI165" i="69"/>
  <c r="GH165" i="69"/>
  <c r="GD165" i="69"/>
  <c r="GC165" i="69"/>
  <c r="FY165" i="69"/>
  <c r="FX165" i="69"/>
  <c r="FT165" i="69"/>
  <c r="FS165" i="69"/>
  <c r="FO165" i="69"/>
  <c r="FN165" i="69"/>
  <c r="FJ165" i="69"/>
  <c r="FI165" i="69"/>
  <c r="FE165" i="69"/>
  <c r="FD165" i="69"/>
  <c r="EZ165" i="69"/>
  <c r="EY165" i="69"/>
  <c r="EU165" i="69"/>
  <c r="ET165" i="69"/>
  <c r="EP165" i="69"/>
  <c r="EO165" i="69"/>
  <c r="EK165" i="69"/>
  <c r="EJ165" i="69"/>
  <c r="EF165" i="69"/>
  <c r="EA165" i="69"/>
  <c r="DZ165" i="69"/>
  <c r="DV165" i="69"/>
  <c r="DU165" i="69"/>
  <c r="DQ165" i="69"/>
  <c r="DP165" i="69"/>
  <c r="L165" i="69"/>
  <c r="K165" i="69"/>
  <c r="J165" i="69"/>
  <c r="I165" i="69"/>
  <c r="H165" i="69"/>
  <c r="G165" i="69"/>
  <c r="GX164" i="69"/>
  <c r="GW164" i="69"/>
  <c r="GS164" i="69"/>
  <c r="GR164" i="69"/>
  <c r="GN164" i="69"/>
  <c r="GM164" i="69"/>
  <c r="GI164" i="69"/>
  <c r="GH164" i="69"/>
  <c r="GD164" i="69"/>
  <c r="GC164" i="69"/>
  <c r="FY164" i="69"/>
  <c r="FX164" i="69"/>
  <c r="FT164" i="69"/>
  <c r="FS164" i="69"/>
  <c r="FO164" i="69"/>
  <c r="FN164" i="69"/>
  <c r="FJ164" i="69"/>
  <c r="FI164" i="69"/>
  <c r="FE164" i="69"/>
  <c r="FD164" i="69"/>
  <c r="EZ164" i="69"/>
  <c r="EY164" i="69"/>
  <c r="EU164" i="69"/>
  <c r="ET164" i="69"/>
  <c r="EP164" i="69"/>
  <c r="EO164" i="69"/>
  <c r="EK164" i="69"/>
  <c r="EJ164" i="69"/>
  <c r="EF164" i="69"/>
  <c r="EA164" i="69"/>
  <c r="DZ164" i="69"/>
  <c r="DV164" i="69"/>
  <c r="DU164" i="69"/>
  <c r="DQ164" i="69"/>
  <c r="DP164" i="69"/>
  <c r="L164" i="69"/>
  <c r="K164" i="69"/>
  <c r="J164" i="69"/>
  <c r="I164" i="69"/>
  <c r="H164" i="69"/>
  <c r="G164" i="69"/>
  <c r="GX163" i="69"/>
  <c r="GW163" i="69"/>
  <c r="GS163" i="69"/>
  <c r="GR163" i="69"/>
  <c r="GN163" i="69"/>
  <c r="GM163" i="69"/>
  <c r="GI163" i="69"/>
  <c r="GH163" i="69"/>
  <c r="GD163" i="69"/>
  <c r="GC163" i="69"/>
  <c r="FY163" i="69"/>
  <c r="FX163" i="69"/>
  <c r="FT163" i="69"/>
  <c r="FS163" i="69"/>
  <c r="FO163" i="69"/>
  <c r="FN163" i="69"/>
  <c r="FJ163" i="69"/>
  <c r="FI163" i="69"/>
  <c r="FE163" i="69"/>
  <c r="FD163" i="69"/>
  <c r="EZ163" i="69"/>
  <c r="EY163" i="69"/>
  <c r="EU163" i="69"/>
  <c r="ET163" i="69"/>
  <c r="EP163" i="69"/>
  <c r="EO163" i="69"/>
  <c r="EK163" i="69"/>
  <c r="EJ163" i="69"/>
  <c r="EF163" i="69"/>
  <c r="EA163" i="69"/>
  <c r="DZ163" i="69"/>
  <c r="DV163" i="69"/>
  <c r="DU163" i="69"/>
  <c r="DQ163" i="69"/>
  <c r="DP163" i="69"/>
  <c r="DL163" i="69"/>
  <c r="DK163" i="69"/>
  <c r="DG163" i="69"/>
  <c r="DF163" i="69"/>
  <c r="DB163" i="69"/>
  <c r="DA163" i="69"/>
  <c r="L163" i="69"/>
  <c r="K163" i="69"/>
  <c r="J163" i="69"/>
  <c r="I163" i="69"/>
  <c r="H163" i="69"/>
  <c r="G163" i="69"/>
  <c r="GX162" i="69"/>
  <c r="GW162" i="69"/>
  <c r="GS162" i="69"/>
  <c r="GR162" i="69"/>
  <c r="GN162" i="69"/>
  <c r="GM162" i="69"/>
  <c r="GI162" i="69"/>
  <c r="GH162" i="69"/>
  <c r="GD162" i="69"/>
  <c r="GC162" i="69"/>
  <c r="FY162" i="69"/>
  <c r="FX162" i="69"/>
  <c r="FT162" i="69"/>
  <c r="FS162" i="69"/>
  <c r="FO162" i="69"/>
  <c r="FN162" i="69"/>
  <c r="FJ162" i="69"/>
  <c r="FI162" i="69"/>
  <c r="FE162" i="69"/>
  <c r="FD162" i="69"/>
  <c r="EZ162" i="69"/>
  <c r="EY162" i="69"/>
  <c r="EU162" i="69"/>
  <c r="ET162" i="69"/>
  <c r="EP162" i="69"/>
  <c r="EO162" i="69"/>
  <c r="EK162" i="69"/>
  <c r="EJ162" i="69"/>
  <c r="EF162" i="69"/>
  <c r="EA162" i="69"/>
  <c r="DZ162" i="69"/>
  <c r="DV162" i="69"/>
  <c r="DU162" i="69"/>
  <c r="DQ162" i="69"/>
  <c r="DP162" i="69"/>
  <c r="DL162" i="69"/>
  <c r="DK162" i="69"/>
  <c r="DG162" i="69"/>
  <c r="DF162" i="69"/>
  <c r="DB162" i="69"/>
  <c r="DA162" i="69"/>
  <c r="L162" i="69"/>
  <c r="K162" i="69"/>
  <c r="J162" i="69"/>
  <c r="I162" i="69"/>
  <c r="H162" i="69"/>
  <c r="G162" i="69"/>
  <c r="GX161" i="69"/>
  <c r="GW161" i="69"/>
  <c r="GS161" i="69"/>
  <c r="GR161" i="69"/>
  <c r="GN161" i="69"/>
  <c r="GM161" i="69"/>
  <c r="GI161" i="69"/>
  <c r="GH161" i="69"/>
  <c r="GD161" i="69"/>
  <c r="GC161" i="69"/>
  <c r="FY161" i="69"/>
  <c r="FX161" i="69"/>
  <c r="FT161" i="69"/>
  <c r="FS161" i="69"/>
  <c r="FO161" i="69"/>
  <c r="FN161" i="69"/>
  <c r="FJ161" i="69"/>
  <c r="FI161" i="69"/>
  <c r="FE161" i="69"/>
  <c r="FD161" i="69"/>
  <c r="EZ161" i="69"/>
  <c r="EY161" i="69"/>
  <c r="EU161" i="69"/>
  <c r="ET161" i="69"/>
  <c r="EP161" i="69"/>
  <c r="EO161" i="69"/>
  <c r="EK161" i="69"/>
  <c r="EJ161" i="69"/>
  <c r="EF161" i="69"/>
  <c r="EA161" i="69"/>
  <c r="DZ161" i="69"/>
  <c r="DV161" i="69"/>
  <c r="DU161" i="69"/>
  <c r="DQ161" i="69"/>
  <c r="DP161" i="69"/>
  <c r="DL161" i="69"/>
  <c r="DK161" i="69"/>
  <c r="DG161" i="69"/>
  <c r="DF161" i="69"/>
  <c r="DB161" i="69"/>
  <c r="DA161" i="69"/>
  <c r="L161" i="69"/>
  <c r="K161" i="69"/>
  <c r="J161" i="69"/>
  <c r="I161" i="69"/>
  <c r="H161" i="69"/>
  <c r="G161" i="69"/>
  <c r="GX160" i="69"/>
  <c r="GW160" i="69"/>
  <c r="GS160" i="69"/>
  <c r="GR160" i="69"/>
  <c r="GN160" i="69"/>
  <c r="GM160" i="69"/>
  <c r="GI160" i="69"/>
  <c r="GH160" i="69"/>
  <c r="GD160" i="69"/>
  <c r="GC160" i="69"/>
  <c r="FY160" i="69"/>
  <c r="FX160" i="69"/>
  <c r="FT160" i="69"/>
  <c r="FS160" i="69"/>
  <c r="FO160" i="69"/>
  <c r="FN160" i="69"/>
  <c r="FJ160" i="69"/>
  <c r="FI160" i="69"/>
  <c r="FE160" i="69"/>
  <c r="FD160" i="69"/>
  <c r="EZ160" i="69"/>
  <c r="EY160" i="69"/>
  <c r="EU160" i="69"/>
  <c r="ET160" i="69"/>
  <c r="EP160" i="69"/>
  <c r="EO160" i="69"/>
  <c r="EK160" i="69"/>
  <c r="EJ160" i="69"/>
  <c r="EF160" i="69"/>
  <c r="EA160" i="69"/>
  <c r="DZ160" i="69"/>
  <c r="DV160" i="69"/>
  <c r="DU160" i="69"/>
  <c r="DQ160" i="69"/>
  <c r="DP160" i="69"/>
  <c r="DL160" i="69"/>
  <c r="DK160" i="69"/>
  <c r="DG160" i="69"/>
  <c r="DF160" i="69"/>
  <c r="DB160" i="69"/>
  <c r="DA160" i="69"/>
  <c r="L160" i="69"/>
  <c r="K160" i="69"/>
  <c r="J160" i="69"/>
  <c r="I160" i="69"/>
  <c r="H160" i="69"/>
  <c r="G160" i="69"/>
  <c r="GX159" i="69"/>
  <c r="GW159" i="69"/>
  <c r="GS159" i="69"/>
  <c r="GR159" i="69"/>
  <c r="GN159" i="69"/>
  <c r="GM159" i="69"/>
  <c r="GI159" i="69"/>
  <c r="GH159" i="69"/>
  <c r="GD159" i="69"/>
  <c r="GC159" i="69"/>
  <c r="FY159" i="69"/>
  <c r="FX159" i="69"/>
  <c r="FT159" i="69"/>
  <c r="FS159" i="69"/>
  <c r="FO159" i="69"/>
  <c r="FN159" i="69"/>
  <c r="FJ159" i="69"/>
  <c r="FI159" i="69"/>
  <c r="FE159" i="69"/>
  <c r="FD159" i="69"/>
  <c r="EZ159" i="69"/>
  <c r="EY159" i="69"/>
  <c r="EU159" i="69"/>
  <c r="ET159" i="69"/>
  <c r="EP159" i="69"/>
  <c r="EO159" i="69"/>
  <c r="EK159" i="69"/>
  <c r="EJ159" i="69"/>
  <c r="EF159" i="69"/>
  <c r="EA159" i="69"/>
  <c r="DZ159" i="69"/>
  <c r="DV159" i="69"/>
  <c r="DU159" i="69"/>
  <c r="DQ159" i="69"/>
  <c r="DP159" i="69"/>
  <c r="DL159" i="69"/>
  <c r="DK159" i="69"/>
  <c r="DG159" i="69"/>
  <c r="DF159" i="69"/>
  <c r="DB159" i="69"/>
  <c r="DA159" i="69"/>
  <c r="L159" i="69"/>
  <c r="K159" i="69"/>
  <c r="J159" i="69"/>
  <c r="I159" i="69"/>
  <c r="H159" i="69"/>
  <c r="G159" i="69"/>
  <c r="GX158" i="69"/>
  <c r="GW158" i="69"/>
  <c r="GS158" i="69"/>
  <c r="GR158" i="69"/>
  <c r="GN158" i="69"/>
  <c r="GM158" i="69"/>
  <c r="GI158" i="69"/>
  <c r="GH158" i="69"/>
  <c r="GD158" i="69"/>
  <c r="GC158" i="69"/>
  <c r="FY158" i="69"/>
  <c r="FX158" i="69"/>
  <c r="FT158" i="69"/>
  <c r="FS158" i="69"/>
  <c r="FO158" i="69"/>
  <c r="FN158" i="69"/>
  <c r="FJ158" i="69"/>
  <c r="FI158" i="69"/>
  <c r="FE158" i="69"/>
  <c r="FD158" i="69"/>
  <c r="EZ158" i="69"/>
  <c r="EY158" i="69"/>
  <c r="EU158" i="69"/>
  <c r="ET158" i="69"/>
  <c r="EP158" i="69"/>
  <c r="EO158" i="69"/>
  <c r="EK158" i="69"/>
  <c r="EJ158" i="69"/>
  <c r="EF158" i="69"/>
  <c r="EA158" i="69"/>
  <c r="DZ158" i="69"/>
  <c r="DV158" i="69"/>
  <c r="DU158" i="69"/>
  <c r="DQ158" i="69"/>
  <c r="DP158" i="69"/>
  <c r="DL158" i="69"/>
  <c r="DK158" i="69"/>
  <c r="DG158" i="69"/>
  <c r="DF158" i="69"/>
  <c r="DB158" i="69"/>
  <c r="DA158" i="69"/>
  <c r="L158" i="69"/>
  <c r="K158" i="69"/>
  <c r="J158" i="69"/>
  <c r="I158" i="69"/>
  <c r="H158" i="69"/>
  <c r="G158" i="69"/>
  <c r="GX157" i="69"/>
  <c r="GW157" i="69"/>
  <c r="GS157" i="69"/>
  <c r="GR157" i="69"/>
  <c r="GN157" i="69"/>
  <c r="GM157" i="69"/>
  <c r="GI157" i="69"/>
  <c r="GH157" i="69"/>
  <c r="GD157" i="69"/>
  <c r="GC157" i="69"/>
  <c r="FY157" i="69"/>
  <c r="FX157" i="69"/>
  <c r="FT157" i="69"/>
  <c r="FS157" i="69"/>
  <c r="FO157" i="69"/>
  <c r="FN157" i="69"/>
  <c r="FJ157" i="69"/>
  <c r="FI157" i="69"/>
  <c r="FE157" i="69"/>
  <c r="FD157" i="69"/>
  <c r="EZ157" i="69"/>
  <c r="EY157" i="69"/>
  <c r="EU157" i="69"/>
  <c r="ET157" i="69"/>
  <c r="EP157" i="69"/>
  <c r="EO157" i="69"/>
  <c r="EK157" i="69"/>
  <c r="EJ157" i="69"/>
  <c r="EF157" i="69"/>
  <c r="EA157" i="69"/>
  <c r="DZ157" i="69"/>
  <c r="DV157" i="69"/>
  <c r="DU157" i="69"/>
  <c r="DQ157" i="69"/>
  <c r="DP157" i="69"/>
  <c r="DL157" i="69"/>
  <c r="DK157" i="69"/>
  <c r="DG157" i="69"/>
  <c r="DF157" i="69"/>
  <c r="DB157" i="69"/>
  <c r="DA157" i="69"/>
  <c r="L157" i="69"/>
  <c r="K157" i="69"/>
  <c r="J157" i="69"/>
  <c r="I157" i="69"/>
  <c r="H157" i="69"/>
  <c r="G157" i="69"/>
  <c r="GX156" i="69"/>
  <c r="GW156" i="69"/>
  <c r="GS156" i="69"/>
  <c r="GR156" i="69"/>
  <c r="GN156" i="69"/>
  <c r="GM156" i="69"/>
  <c r="GI156" i="69"/>
  <c r="GH156" i="69"/>
  <c r="GD156" i="69"/>
  <c r="GC156" i="69"/>
  <c r="FY156" i="69"/>
  <c r="FX156" i="69"/>
  <c r="FT156" i="69"/>
  <c r="FS156" i="69"/>
  <c r="FO156" i="69"/>
  <c r="FN156" i="69"/>
  <c r="FJ156" i="69"/>
  <c r="FI156" i="69"/>
  <c r="FE156" i="69"/>
  <c r="FD156" i="69"/>
  <c r="EZ156" i="69"/>
  <c r="EY156" i="69"/>
  <c r="EU156" i="69"/>
  <c r="ET156" i="69"/>
  <c r="EP156" i="69"/>
  <c r="EO156" i="69"/>
  <c r="EK156" i="69"/>
  <c r="EJ156" i="69"/>
  <c r="EF156" i="69"/>
  <c r="EA156" i="69"/>
  <c r="DZ156" i="69"/>
  <c r="DV156" i="69"/>
  <c r="DU156" i="69"/>
  <c r="DQ156" i="69"/>
  <c r="DP156" i="69"/>
  <c r="DL156" i="69"/>
  <c r="DK156" i="69"/>
  <c r="DG156" i="69"/>
  <c r="DF156" i="69"/>
  <c r="DB156" i="69"/>
  <c r="DA156" i="69"/>
  <c r="L156" i="69"/>
  <c r="K156" i="69"/>
  <c r="J156" i="69"/>
  <c r="I156" i="69"/>
  <c r="H156" i="69"/>
  <c r="G156" i="69"/>
  <c r="GX155" i="69"/>
  <c r="GW155" i="69"/>
  <c r="GS155" i="69"/>
  <c r="GR155" i="69"/>
  <c r="GN155" i="69"/>
  <c r="GM155" i="69"/>
  <c r="GI155" i="69"/>
  <c r="GH155" i="69"/>
  <c r="GD155" i="69"/>
  <c r="GC155" i="69"/>
  <c r="FY155" i="69"/>
  <c r="FX155" i="69"/>
  <c r="FT155" i="69"/>
  <c r="FS155" i="69"/>
  <c r="FO155" i="69"/>
  <c r="FN155" i="69"/>
  <c r="FJ155" i="69"/>
  <c r="FI155" i="69"/>
  <c r="FE155" i="69"/>
  <c r="FD155" i="69"/>
  <c r="EZ155" i="69"/>
  <c r="EY155" i="69"/>
  <c r="EU155" i="69"/>
  <c r="ET155" i="69"/>
  <c r="EP155" i="69"/>
  <c r="EO155" i="69"/>
  <c r="EK155" i="69"/>
  <c r="EJ155" i="69"/>
  <c r="EF155" i="69"/>
  <c r="EA155" i="69"/>
  <c r="DZ155" i="69"/>
  <c r="DV155" i="69"/>
  <c r="DU155" i="69"/>
  <c r="DQ155" i="69"/>
  <c r="DP155" i="69"/>
  <c r="DL155" i="69"/>
  <c r="DK155" i="69"/>
  <c r="DG155" i="69"/>
  <c r="DF155" i="69"/>
  <c r="DB155" i="69"/>
  <c r="DA155" i="69"/>
  <c r="L155" i="69"/>
  <c r="K155" i="69"/>
  <c r="J155" i="69"/>
  <c r="I155" i="69"/>
  <c r="H155" i="69"/>
  <c r="G155" i="69"/>
  <c r="GX154" i="69"/>
  <c r="GW154" i="69"/>
  <c r="GS154" i="69"/>
  <c r="GR154" i="69"/>
  <c r="GN154" i="69"/>
  <c r="GM154" i="69"/>
  <c r="GI154" i="69"/>
  <c r="GH154" i="69"/>
  <c r="GD154" i="69"/>
  <c r="GC154" i="69"/>
  <c r="FY154" i="69"/>
  <c r="FX154" i="69"/>
  <c r="FT154" i="69"/>
  <c r="FS154" i="69"/>
  <c r="FO154" i="69"/>
  <c r="FN154" i="69"/>
  <c r="FJ154" i="69"/>
  <c r="FI154" i="69"/>
  <c r="FE154" i="69"/>
  <c r="FD154" i="69"/>
  <c r="EZ154" i="69"/>
  <c r="EY154" i="69"/>
  <c r="EU154" i="69"/>
  <c r="ET154" i="69"/>
  <c r="EP154" i="69"/>
  <c r="EO154" i="69"/>
  <c r="EK154" i="69"/>
  <c r="EJ154" i="69"/>
  <c r="EF154" i="69"/>
  <c r="EA154" i="69"/>
  <c r="DZ154" i="69"/>
  <c r="DV154" i="69"/>
  <c r="DU154" i="69"/>
  <c r="DQ154" i="69"/>
  <c r="DP154" i="69"/>
  <c r="DL154" i="69"/>
  <c r="DK154" i="69"/>
  <c r="DG154" i="69"/>
  <c r="DF154" i="69"/>
  <c r="DB154" i="69"/>
  <c r="DA154" i="69"/>
  <c r="L154" i="69"/>
  <c r="K154" i="69"/>
  <c r="J154" i="69"/>
  <c r="I154" i="69"/>
  <c r="H154" i="69"/>
  <c r="G154" i="69"/>
  <c r="GX153" i="69"/>
  <c r="GW153" i="69"/>
  <c r="GS153" i="69"/>
  <c r="GR153" i="69"/>
  <c r="GN153" i="69"/>
  <c r="GM153" i="69"/>
  <c r="GI153" i="69"/>
  <c r="GH153" i="69"/>
  <c r="GD153" i="69"/>
  <c r="GC153" i="69"/>
  <c r="FY153" i="69"/>
  <c r="FX153" i="69"/>
  <c r="FT153" i="69"/>
  <c r="FS153" i="69"/>
  <c r="FO153" i="69"/>
  <c r="FN153" i="69"/>
  <c r="FJ153" i="69"/>
  <c r="FI153" i="69"/>
  <c r="FE153" i="69"/>
  <c r="FD153" i="69"/>
  <c r="EZ153" i="69"/>
  <c r="EY153" i="69"/>
  <c r="EU153" i="69"/>
  <c r="ET153" i="69"/>
  <c r="EP153" i="69"/>
  <c r="EO153" i="69"/>
  <c r="EK153" i="69"/>
  <c r="EJ153" i="69"/>
  <c r="EF153" i="69"/>
  <c r="EA153" i="69"/>
  <c r="DZ153" i="69"/>
  <c r="DV153" i="69"/>
  <c r="DU153" i="69"/>
  <c r="DQ153" i="69"/>
  <c r="DP153" i="69"/>
  <c r="DL153" i="69"/>
  <c r="DK153" i="69"/>
  <c r="DG153" i="69"/>
  <c r="DF153" i="69"/>
  <c r="DB153" i="69"/>
  <c r="DA153" i="69"/>
  <c r="L153" i="69"/>
  <c r="K153" i="69"/>
  <c r="J153" i="69"/>
  <c r="I153" i="69"/>
  <c r="H153" i="69"/>
  <c r="G153" i="69"/>
  <c r="GX152" i="69"/>
  <c r="GW152" i="69"/>
  <c r="GS152" i="69"/>
  <c r="GR152" i="69"/>
  <c r="GN152" i="69"/>
  <c r="GM152" i="69"/>
  <c r="GI152" i="69"/>
  <c r="GH152" i="69"/>
  <c r="GD152" i="69"/>
  <c r="GC152" i="69"/>
  <c r="FY152" i="69"/>
  <c r="FX152" i="69"/>
  <c r="FT152" i="69"/>
  <c r="FS152" i="69"/>
  <c r="FO152" i="69"/>
  <c r="FN152" i="69"/>
  <c r="FJ152" i="69"/>
  <c r="FI152" i="69"/>
  <c r="FE152" i="69"/>
  <c r="FD152" i="69"/>
  <c r="EZ152" i="69"/>
  <c r="EY152" i="69"/>
  <c r="EU152" i="69"/>
  <c r="ET152" i="69"/>
  <c r="EP152" i="69"/>
  <c r="EO152" i="69"/>
  <c r="EK152" i="69"/>
  <c r="EJ152" i="69"/>
  <c r="EF152" i="69"/>
  <c r="EA152" i="69"/>
  <c r="DZ152" i="69"/>
  <c r="DV152" i="69"/>
  <c r="DU152" i="69"/>
  <c r="DQ152" i="69"/>
  <c r="DP152" i="69"/>
  <c r="DL152" i="69"/>
  <c r="DK152" i="69"/>
  <c r="DG152" i="69"/>
  <c r="DF152" i="69"/>
  <c r="DB152" i="69"/>
  <c r="DA152" i="69"/>
  <c r="L152" i="69"/>
  <c r="K152" i="69"/>
  <c r="J152" i="69"/>
  <c r="I152" i="69"/>
  <c r="H152" i="69"/>
  <c r="G152" i="69"/>
  <c r="GX151" i="69"/>
  <c r="GW151" i="69"/>
  <c r="GS151" i="69"/>
  <c r="GR151" i="69"/>
  <c r="GN151" i="69"/>
  <c r="GM151" i="69"/>
  <c r="GI151" i="69"/>
  <c r="GH151" i="69"/>
  <c r="GD151" i="69"/>
  <c r="GC151" i="69"/>
  <c r="FY151" i="69"/>
  <c r="FX151" i="69"/>
  <c r="FT151" i="69"/>
  <c r="FS151" i="69"/>
  <c r="FO151" i="69"/>
  <c r="FN151" i="69"/>
  <c r="FJ151" i="69"/>
  <c r="FI151" i="69"/>
  <c r="FE151" i="69"/>
  <c r="FD151" i="69"/>
  <c r="EZ151" i="69"/>
  <c r="EY151" i="69"/>
  <c r="EU151" i="69"/>
  <c r="ET151" i="69"/>
  <c r="EP151" i="69"/>
  <c r="EO151" i="69"/>
  <c r="EK151" i="69"/>
  <c r="EJ151" i="69"/>
  <c r="EF151" i="69"/>
  <c r="EA151" i="69"/>
  <c r="DZ151" i="69"/>
  <c r="DV151" i="69"/>
  <c r="DU151" i="69"/>
  <c r="DQ151" i="69"/>
  <c r="DP151" i="69"/>
  <c r="DL151" i="69"/>
  <c r="DK151" i="69"/>
  <c r="DG151" i="69"/>
  <c r="DF151" i="69"/>
  <c r="DB151" i="69"/>
  <c r="DA151" i="69"/>
  <c r="L151" i="69"/>
  <c r="K151" i="69"/>
  <c r="J151" i="69"/>
  <c r="I151" i="69"/>
  <c r="H151" i="69"/>
  <c r="G151" i="69"/>
  <c r="GX150" i="69"/>
  <c r="GW150" i="69"/>
  <c r="GS150" i="69"/>
  <c r="GR150" i="69"/>
  <c r="GN150" i="69"/>
  <c r="GM150" i="69"/>
  <c r="GI150" i="69"/>
  <c r="GH150" i="69"/>
  <c r="GD150" i="69"/>
  <c r="GC150" i="69"/>
  <c r="FY150" i="69"/>
  <c r="FX150" i="69"/>
  <c r="FT150" i="69"/>
  <c r="FS150" i="69"/>
  <c r="FO150" i="69"/>
  <c r="FN150" i="69"/>
  <c r="FJ150" i="69"/>
  <c r="FI150" i="69"/>
  <c r="FE150" i="69"/>
  <c r="FD150" i="69"/>
  <c r="EZ150" i="69"/>
  <c r="EY150" i="69"/>
  <c r="EU150" i="69"/>
  <c r="ET150" i="69"/>
  <c r="EP150" i="69"/>
  <c r="EO150" i="69"/>
  <c r="EK150" i="69"/>
  <c r="EJ150" i="69"/>
  <c r="EF150" i="69"/>
  <c r="EA150" i="69"/>
  <c r="DZ150" i="69"/>
  <c r="DV150" i="69"/>
  <c r="DU150" i="69"/>
  <c r="DQ150" i="69"/>
  <c r="DP150" i="69"/>
  <c r="DL150" i="69"/>
  <c r="DK150" i="69"/>
  <c r="DG150" i="69"/>
  <c r="DF150" i="69"/>
  <c r="DB150" i="69"/>
  <c r="DA150" i="69"/>
  <c r="L150" i="69"/>
  <c r="K150" i="69"/>
  <c r="J150" i="69"/>
  <c r="I150" i="69"/>
  <c r="H150" i="69"/>
  <c r="G150" i="69"/>
  <c r="GX149" i="69"/>
  <c r="GW149" i="69"/>
  <c r="GS149" i="69"/>
  <c r="GR149" i="69"/>
  <c r="GN149" i="69"/>
  <c r="GM149" i="69"/>
  <c r="GI149" i="69"/>
  <c r="GH149" i="69"/>
  <c r="GD149" i="69"/>
  <c r="GC149" i="69"/>
  <c r="FY149" i="69"/>
  <c r="FX149" i="69"/>
  <c r="FT149" i="69"/>
  <c r="FS149" i="69"/>
  <c r="FO149" i="69"/>
  <c r="FN149" i="69"/>
  <c r="FJ149" i="69"/>
  <c r="FI149" i="69"/>
  <c r="FE149" i="69"/>
  <c r="FD149" i="69"/>
  <c r="EZ149" i="69"/>
  <c r="EY149" i="69"/>
  <c r="EU149" i="69"/>
  <c r="ET149" i="69"/>
  <c r="EP149" i="69"/>
  <c r="EO149" i="69"/>
  <c r="EK149" i="69"/>
  <c r="EJ149" i="69"/>
  <c r="EF149" i="69"/>
  <c r="EA149" i="69"/>
  <c r="DZ149" i="69"/>
  <c r="DV149" i="69"/>
  <c r="DU149" i="69"/>
  <c r="DQ149" i="69"/>
  <c r="DP149" i="69"/>
  <c r="DL149" i="69"/>
  <c r="DK149" i="69"/>
  <c r="DG149" i="69"/>
  <c r="DF149" i="69"/>
  <c r="DB149" i="69"/>
  <c r="DA149" i="69"/>
  <c r="L149" i="69"/>
  <c r="K149" i="69"/>
  <c r="J149" i="69"/>
  <c r="I149" i="69"/>
  <c r="H149" i="69"/>
  <c r="G149" i="69"/>
  <c r="GX148" i="69"/>
  <c r="GW148" i="69"/>
  <c r="GS148" i="69"/>
  <c r="GR148" i="69"/>
  <c r="GN148" i="69"/>
  <c r="GM148" i="69"/>
  <c r="GI148" i="69"/>
  <c r="GH148" i="69"/>
  <c r="GD148" i="69"/>
  <c r="GC148" i="69"/>
  <c r="FY148" i="69"/>
  <c r="FX148" i="69"/>
  <c r="FT148" i="69"/>
  <c r="FS148" i="69"/>
  <c r="FO148" i="69"/>
  <c r="FN148" i="69"/>
  <c r="FJ148" i="69"/>
  <c r="FI148" i="69"/>
  <c r="FE148" i="69"/>
  <c r="FD148" i="69"/>
  <c r="EZ148" i="69"/>
  <c r="EY148" i="69"/>
  <c r="EU148" i="69"/>
  <c r="ET148" i="69"/>
  <c r="EP148" i="69"/>
  <c r="EO148" i="69"/>
  <c r="EK148" i="69"/>
  <c r="EJ148" i="69"/>
  <c r="EF148" i="69"/>
  <c r="EA148" i="69"/>
  <c r="DZ148" i="69"/>
  <c r="DV148" i="69"/>
  <c r="DU148" i="69"/>
  <c r="DQ148" i="69"/>
  <c r="DP148" i="69"/>
  <c r="DL148" i="69"/>
  <c r="DK148" i="69"/>
  <c r="DG148" i="69"/>
  <c r="DF148" i="69"/>
  <c r="DB148" i="69"/>
  <c r="DA148" i="69"/>
  <c r="L148" i="69"/>
  <c r="K148" i="69"/>
  <c r="J148" i="69"/>
  <c r="I148" i="69"/>
  <c r="H148" i="69"/>
  <c r="G148" i="69"/>
  <c r="GX147" i="69"/>
  <c r="GW147" i="69"/>
  <c r="GS147" i="69"/>
  <c r="GR147" i="69"/>
  <c r="GN147" i="69"/>
  <c r="GM147" i="69"/>
  <c r="GI147" i="69"/>
  <c r="GH147" i="69"/>
  <c r="GD147" i="69"/>
  <c r="GC147" i="69"/>
  <c r="FY147" i="69"/>
  <c r="FX147" i="69"/>
  <c r="FT147" i="69"/>
  <c r="FS147" i="69"/>
  <c r="FO147" i="69"/>
  <c r="FN147" i="69"/>
  <c r="FJ147" i="69"/>
  <c r="FI147" i="69"/>
  <c r="FE147" i="69"/>
  <c r="FD147" i="69"/>
  <c r="EZ147" i="69"/>
  <c r="EY147" i="69"/>
  <c r="EU147" i="69"/>
  <c r="ET147" i="69"/>
  <c r="EP147" i="69"/>
  <c r="EO147" i="69"/>
  <c r="EK147" i="69"/>
  <c r="EJ147" i="69"/>
  <c r="EF147" i="69"/>
  <c r="EA147" i="69"/>
  <c r="DZ147" i="69"/>
  <c r="DV147" i="69"/>
  <c r="DU147" i="69"/>
  <c r="DQ147" i="69"/>
  <c r="DP147" i="69"/>
  <c r="DL147" i="69"/>
  <c r="DK147" i="69"/>
  <c r="DG147" i="69"/>
  <c r="DF147" i="69"/>
  <c r="DB147" i="69"/>
  <c r="DA147" i="69"/>
  <c r="L147" i="69"/>
  <c r="K147" i="69"/>
  <c r="J147" i="69"/>
  <c r="I147" i="69"/>
  <c r="H147" i="69"/>
  <c r="G147" i="69"/>
  <c r="GX146" i="69"/>
  <c r="GW146" i="69"/>
  <c r="GS146" i="69"/>
  <c r="GR146" i="69"/>
  <c r="GN146" i="69"/>
  <c r="GM146" i="69"/>
  <c r="GI146" i="69"/>
  <c r="GH146" i="69"/>
  <c r="GD146" i="69"/>
  <c r="GC146" i="69"/>
  <c r="FY146" i="69"/>
  <c r="FX146" i="69"/>
  <c r="FT146" i="69"/>
  <c r="FS146" i="69"/>
  <c r="FO146" i="69"/>
  <c r="FN146" i="69"/>
  <c r="FJ146" i="69"/>
  <c r="FI146" i="69"/>
  <c r="FE146" i="69"/>
  <c r="FD146" i="69"/>
  <c r="EZ146" i="69"/>
  <c r="EY146" i="69"/>
  <c r="EU146" i="69"/>
  <c r="ET146" i="69"/>
  <c r="EP146" i="69"/>
  <c r="EO146" i="69"/>
  <c r="EK146" i="69"/>
  <c r="EJ146" i="69"/>
  <c r="EF146" i="69"/>
  <c r="EA146" i="69"/>
  <c r="DZ146" i="69"/>
  <c r="DV146" i="69"/>
  <c r="DU146" i="69"/>
  <c r="DQ146" i="69"/>
  <c r="DP146" i="69"/>
  <c r="DL146" i="69"/>
  <c r="DK146" i="69"/>
  <c r="DG146" i="69"/>
  <c r="DF146" i="69"/>
  <c r="DB146" i="69"/>
  <c r="DA146" i="69"/>
  <c r="L146" i="69"/>
  <c r="K146" i="69"/>
  <c r="J146" i="69"/>
  <c r="I146" i="69"/>
  <c r="H146" i="69"/>
  <c r="G146" i="69"/>
  <c r="GX145" i="69"/>
  <c r="GW145" i="69"/>
  <c r="GS145" i="69"/>
  <c r="GR145" i="69"/>
  <c r="GN145" i="69"/>
  <c r="GM145" i="69"/>
  <c r="GI145" i="69"/>
  <c r="GH145" i="69"/>
  <c r="GD145" i="69"/>
  <c r="GC145" i="69"/>
  <c r="FY145" i="69"/>
  <c r="FX145" i="69"/>
  <c r="FT145" i="69"/>
  <c r="FS145" i="69"/>
  <c r="FO145" i="69"/>
  <c r="FN145" i="69"/>
  <c r="FJ145" i="69"/>
  <c r="FI145" i="69"/>
  <c r="FE145" i="69"/>
  <c r="FD145" i="69"/>
  <c r="EZ145" i="69"/>
  <c r="EY145" i="69"/>
  <c r="EU145" i="69"/>
  <c r="ET145" i="69"/>
  <c r="EP145" i="69"/>
  <c r="EO145" i="69"/>
  <c r="EK145" i="69"/>
  <c r="EJ145" i="69"/>
  <c r="EF145" i="69"/>
  <c r="EA145" i="69"/>
  <c r="DZ145" i="69"/>
  <c r="DV145" i="69"/>
  <c r="DU145" i="69"/>
  <c r="DQ145" i="69"/>
  <c r="DP145" i="69"/>
  <c r="DL145" i="69"/>
  <c r="DK145" i="69"/>
  <c r="DG145" i="69"/>
  <c r="DF145" i="69"/>
  <c r="L145" i="69"/>
  <c r="K145" i="69"/>
  <c r="J145" i="69"/>
  <c r="I145" i="69"/>
  <c r="H145" i="69"/>
  <c r="G145" i="69"/>
  <c r="GX144" i="69"/>
  <c r="GW144" i="69"/>
  <c r="GS144" i="69"/>
  <c r="GR144" i="69"/>
  <c r="GN144" i="69"/>
  <c r="GM144" i="69"/>
  <c r="GI144" i="69"/>
  <c r="GH144" i="69"/>
  <c r="GD144" i="69"/>
  <c r="GC144" i="69"/>
  <c r="FY144" i="69"/>
  <c r="FX144" i="69"/>
  <c r="FT144" i="69"/>
  <c r="FS144" i="69"/>
  <c r="FO144" i="69"/>
  <c r="FN144" i="69"/>
  <c r="FJ144" i="69"/>
  <c r="FI144" i="69"/>
  <c r="FE144" i="69"/>
  <c r="FD144" i="69"/>
  <c r="EZ144" i="69"/>
  <c r="EY144" i="69"/>
  <c r="EU144" i="69"/>
  <c r="ET144" i="69"/>
  <c r="EP144" i="69"/>
  <c r="EO144" i="69"/>
  <c r="EK144" i="69"/>
  <c r="EJ144" i="69"/>
  <c r="EF144" i="69"/>
  <c r="EA144" i="69"/>
  <c r="DZ144" i="69"/>
  <c r="DV144" i="69"/>
  <c r="DU144" i="69"/>
  <c r="DQ144" i="69"/>
  <c r="DP144" i="69"/>
  <c r="DL144" i="69"/>
  <c r="DK144" i="69"/>
  <c r="DG144" i="69"/>
  <c r="DF144" i="69"/>
  <c r="L144" i="69"/>
  <c r="K144" i="69"/>
  <c r="J144" i="69"/>
  <c r="I144" i="69"/>
  <c r="H144" i="69"/>
  <c r="G144" i="69"/>
  <c r="GX143" i="69"/>
  <c r="GW143" i="69"/>
  <c r="GS143" i="69"/>
  <c r="GR143" i="69"/>
  <c r="GN143" i="69"/>
  <c r="GM143" i="69"/>
  <c r="GI143" i="69"/>
  <c r="GH143" i="69"/>
  <c r="GD143" i="69"/>
  <c r="GC143" i="69"/>
  <c r="FY143" i="69"/>
  <c r="FX143" i="69"/>
  <c r="FT143" i="69"/>
  <c r="FS143" i="69"/>
  <c r="FO143" i="69"/>
  <c r="FN143" i="69"/>
  <c r="FJ143" i="69"/>
  <c r="FI143" i="69"/>
  <c r="FE143" i="69"/>
  <c r="FD143" i="69"/>
  <c r="EZ143" i="69"/>
  <c r="EY143" i="69"/>
  <c r="EU143" i="69"/>
  <c r="ET143" i="69"/>
  <c r="EP143" i="69"/>
  <c r="EO143" i="69"/>
  <c r="EK143" i="69"/>
  <c r="EJ143" i="69"/>
  <c r="EF143" i="69"/>
  <c r="EA143" i="69"/>
  <c r="DZ143" i="69"/>
  <c r="DV143" i="69"/>
  <c r="DU143" i="69"/>
  <c r="DQ143" i="69"/>
  <c r="DP143" i="69"/>
  <c r="DL143" i="69"/>
  <c r="DK143" i="69"/>
  <c r="DG143" i="69"/>
  <c r="DF143" i="69"/>
  <c r="L143" i="69"/>
  <c r="K143" i="69"/>
  <c r="J143" i="69"/>
  <c r="I143" i="69"/>
  <c r="H143" i="69"/>
  <c r="G143" i="69"/>
  <c r="GX142" i="69"/>
  <c r="GW142" i="69"/>
  <c r="GS142" i="69"/>
  <c r="GR142" i="69"/>
  <c r="GN142" i="69"/>
  <c r="GM142" i="69"/>
  <c r="GI142" i="69"/>
  <c r="GH142" i="69"/>
  <c r="GD142" i="69"/>
  <c r="GC142" i="69"/>
  <c r="FY142" i="69"/>
  <c r="FX142" i="69"/>
  <c r="FT142" i="69"/>
  <c r="FS142" i="69"/>
  <c r="FO142" i="69"/>
  <c r="FN142" i="69"/>
  <c r="FJ142" i="69"/>
  <c r="FI142" i="69"/>
  <c r="FE142" i="69"/>
  <c r="FD142" i="69"/>
  <c r="EZ142" i="69"/>
  <c r="EY142" i="69"/>
  <c r="EU142" i="69"/>
  <c r="ET142" i="69"/>
  <c r="EP142" i="69"/>
  <c r="EO142" i="69"/>
  <c r="EK142" i="69"/>
  <c r="EJ142" i="69"/>
  <c r="EF142" i="69"/>
  <c r="EA142" i="69"/>
  <c r="DZ142" i="69"/>
  <c r="DV142" i="69"/>
  <c r="DU142" i="69"/>
  <c r="DQ142" i="69"/>
  <c r="DP142" i="69"/>
  <c r="DL142" i="69"/>
  <c r="DK142" i="69"/>
  <c r="DG142" i="69"/>
  <c r="DF142" i="69"/>
  <c r="L142" i="69"/>
  <c r="K142" i="69"/>
  <c r="J142" i="69"/>
  <c r="I142" i="69"/>
  <c r="H142" i="69"/>
  <c r="G142" i="69"/>
  <c r="GX141" i="69"/>
  <c r="GW141" i="69"/>
  <c r="GS141" i="69"/>
  <c r="GR141" i="69"/>
  <c r="GN141" i="69"/>
  <c r="GM141" i="69"/>
  <c r="GI141" i="69"/>
  <c r="GH141" i="69"/>
  <c r="GD141" i="69"/>
  <c r="GC141" i="69"/>
  <c r="FY141" i="69"/>
  <c r="FX141" i="69"/>
  <c r="FT141" i="69"/>
  <c r="FS141" i="69"/>
  <c r="FO141" i="69"/>
  <c r="FN141" i="69"/>
  <c r="FJ141" i="69"/>
  <c r="FI141" i="69"/>
  <c r="FE141" i="69"/>
  <c r="FD141" i="69"/>
  <c r="EZ141" i="69"/>
  <c r="EY141" i="69"/>
  <c r="EU141" i="69"/>
  <c r="ET141" i="69"/>
  <c r="EP141" i="69"/>
  <c r="EO141" i="69"/>
  <c r="EK141" i="69"/>
  <c r="EJ141" i="69"/>
  <c r="EF141" i="69"/>
  <c r="EA141" i="69"/>
  <c r="DZ141" i="69"/>
  <c r="DV141" i="69"/>
  <c r="DU141" i="69"/>
  <c r="DQ141" i="69"/>
  <c r="DP141" i="69"/>
  <c r="DL141" i="69"/>
  <c r="DK141" i="69"/>
  <c r="DG141" i="69"/>
  <c r="DF141" i="69"/>
  <c r="L141" i="69"/>
  <c r="K141" i="69"/>
  <c r="J141" i="69"/>
  <c r="I141" i="69"/>
  <c r="H141" i="69"/>
  <c r="G141" i="69"/>
  <c r="GX140" i="69"/>
  <c r="GW140" i="69"/>
  <c r="GS140" i="69"/>
  <c r="GR140" i="69"/>
  <c r="GN140" i="69"/>
  <c r="GM140" i="69"/>
  <c r="GI140" i="69"/>
  <c r="GH140" i="69"/>
  <c r="GD140" i="69"/>
  <c r="GC140" i="69"/>
  <c r="FY140" i="69"/>
  <c r="FX140" i="69"/>
  <c r="FT140" i="69"/>
  <c r="FS140" i="69"/>
  <c r="FO140" i="69"/>
  <c r="FN140" i="69"/>
  <c r="FJ140" i="69"/>
  <c r="FI140" i="69"/>
  <c r="FE140" i="69"/>
  <c r="FD140" i="69"/>
  <c r="EZ140" i="69"/>
  <c r="EY140" i="69"/>
  <c r="EU140" i="69"/>
  <c r="ET140" i="69"/>
  <c r="EP140" i="69"/>
  <c r="EO140" i="69"/>
  <c r="EK140" i="69"/>
  <c r="EJ140" i="69"/>
  <c r="EF140" i="69"/>
  <c r="EA140" i="69"/>
  <c r="DZ140" i="69"/>
  <c r="DV140" i="69"/>
  <c r="DU140" i="69"/>
  <c r="DQ140" i="69"/>
  <c r="DP140" i="69"/>
  <c r="DL140" i="69"/>
  <c r="DK140" i="69"/>
  <c r="DG140" i="69"/>
  <c r="DF140" i="69"/>
  <c r="L140" i="69"/>
  <c r="K140" i="69"/>
  <c r="J140" i="69"/>
  <c r="I140" i="69"/>
  <c r="H140" i="69"/>
  <c r="G140" i="69"/>
  <c r="GX139" i="69"/>
  <c r="GW139" i="69"/>
  <c r="GS139" i="69"/>
  <c r="GR139" i="69"/>
  <c r="GN139" i="69"/>
  <c r="GM139" i="69"/>
  <c r="GI139" i="69"/>
  <c r="GH139" i="69"/>
  <c r="GD139" i="69"/>
  <c r="GC139" i="69"/>
  <c r="FY139" i="69"/>
  <c r="FX139" i="69"/>
  <c r="FT139" i="69"/>
  <c r="FS139" i="69"/>
  <c r="FO139" i="69"/>
  <c r="FN139" i="69"/>
  <c r="FJ139" i="69"/>
  <c r="FI139" i="69"/>
  <c r="FE139" i="69"/>
  <c r="FD139" i="69"/>
  <c r="EZ139" i="69"/>
  <c r="EY139" i="69"/>
  <c r="EU139" i="69"/>
  <c r="ET139" i="69"/>
  <c r="EP139" i="69"/>
  <c r="EO139" i="69"/>
  <c r="EK139" i="69"/>
  <c r="EJ139" i="69"/>
  <c r="EF139" i="69"/>
  <c r="EA139" i="69"/>
  <c r="DZ139" i="69"/>
  <c r="DV139" i="69"/>
  <c r="DU139" i="69"/>
  <c r="DQ139" i="69"/>
  <c r="DP139" i="69"/>
  <c r="DL139" i="69"/>
  <c r="DK139" i="69"/>
  <c r="DG139" i="69"/>
  <c r="DF139" i="69"/>
  <c r="L139" i="69"/>
  <c r="K139" i="69"/>
  <c r="J139" i="69"/>
  <c r="I139" i="69"/>
  <c r="H139" i="69"/>
  <c r="G139" i="69"/>
  <c r="GX138" i="69"/>
  <c r="GW138" i="69"/>
  <c r="GS138" i="69"/>
  <c r="GR138" i="69"/>
  <c r="GN138" i="69"/>
  <c r="GM138" i="69"/>
  <c r="GI138" i="69"/>
  <c r="GH138" i="69"/>
  <c r="GD138" i="69"/>
  <c r="GC138" i="69"/>
  <c r="FY138" i="69"/>
  <c r="FX138" i="69"/>
  <c r="FT138" i="69"/>
  <c r="FS138" i="69"/>
  <c r="FO138" i="69"/>
  <c r="FN138" i="69"/>
  <c r="FJ138" i="69"/>
  <c r="FI138" i="69"/>
  <c r="FE138" i="69"/>
  <c r="FD138" i="69"/>
  <c r="EZ138" i="69"/>
  <c r="EY138" i="69"/>
  <c r="EU138" i="69"/>
  <c r="ET138" i="69"/>
  <c r="EP138" i="69"/>
  <c r="EO138" i="69"/>
  <c r="EK138" i="69"/>
  <c r="EJ138" i="69"/>
  <c r="EF138" i="69"/>
  <c r="EA138" i="69"/>
  <c r="DZ138" i="69"/>
  <c r="DV138" i="69"/>
  <c r="DU138" i="69"/>
  <c r="DQ138" i="69"/>
  <c r="DP138" i="69"/>
  <c r="DL138" i="69"/>
  <c r="DK138" i="69"/>
  <c r="DG138" i="69"/>
  <c r="DF138" i="69"/>
  <c r="L138" i="69"/>
  <c r="K138" i="69"/>
  <c r="J138" i="69"/>
  <c r="I138" i="69"/>
  <c r="H138" i="69"/>
  <c r="G138" i="69"/>
  <c r="GX137" i="69"/>
  <c r="GW137" i="69"/>
  <c r="GS137" i="69"/>
  <c r="GR137" i="69"/>
  <c r="GN137" i="69"/>
  <c r="GM137" i="69"/>
  <c r="GI137" i="69"/>
  <c r="GH137" i="69"/>
  <c r="GD137" i="69"/>
  <c r="GC137" i="69"/>
  <c r="FY137" i="69"/>
  <c r="FX137" i="69"/>
  <c r="FT137" i="69"/>
  <c r="FS137" i="69"/>
  <c r="FO137" i="69"/>
  <c r="FN137" i="69"/>
  <c r="FJ137" i="69"/>
  <c r="FI137" i="69"/>
  <c r="FE137" i="69"/>
  <c r="FD137" i="69"/>
  <c r="EZ137" i="69"/>
  <c r="EY137" i="69"/>
  <c r="EU137" i="69"/>
  <c r="ET137" i="69"/>
  <c r="EP137" i="69"/>
  <c r="EO137" i="69"/>
  <c r="EK137" i="69"/>
  <c r="EJ137" i="69"/>
  <c r="EF137" i="69"/>
  <c r="EA137" i="69"/>
  <c r="DZ137" i="69"/>
  <c r="DV137" i="69"/>
  <c r="DU137" i="69"/>
  <c r="DQ137" i="69"/>
  <c r="DP137" i="69"/>
  <c r="DL137" i="69"/>
  <c r="DK137" i="69"/>
  <c r="DG137" i="69"/>
  <c r="DF137" i="69"/>
  <c r="L137" i="69"/>
  <c r="K137" i="69"/>
  <c r="J137" i="69"/>
  <c r="I137" i="69"/>
  <c r="H137" i="69"/>
  <c r="G137" i="69"/>
  <c r="GX136" i="69"/>
  <c r="GW136" i="69"/>
  <c r="GS136" i="69"/>
  <c r="GR136" i="69"/>
  <c r="GN136" i="69"/>
  <c r="GM136" i="69"/>
  <c r="GI136" i="69"/>
  <c r="GH136" i="69"/>
  <c r="GD136" i="69"/>
  <c r="GC136" i="69"/>
  <c r="FY136" i="69"/>
  <c r="FX136" i="69"/>
  <c r="FT136" i="69"/>
  <c r="FS136" i="69"/>
  <c r="FO136" i="69"/>
  <c r="FN136" i="69"/>
  <c r="FJ136" i="69"/>
  <c r="FI136" i="69"/>
  <c r="FE136" i="69"/>
  <c r="FD136" i="69"/>
  <c r="EZ136" i="69"/>
  <c r="EY136" i="69"/>
  <c r="EU136" i="69"/>
  <c r="ET136" i="69"/>
  <c r="EP136" i="69"/>
  <c r="EO136" i="69"/>
  <c r="EK136" i="69"/>
  <c r="EJ136" i="69"/>
  <c r="EF136" i="69"/>
  <c r="EA136" i="69"/>
  <c r="DZ136" i="69"/>
  <c r="DV136" i="69"/>
  <c r="DU136" i="69"/>
  <c r="DQ136" i="69"/>
  <c r="DP136" i="69"/>
  <c r="DL136" i="69"/>
  <c r="DK136" i="69"/>
  <c r="DG136" i="69"/>
  <c r="DF136" i="69"/>
  <c r="DB136" i="69"/>
  <c r="DA136" i="69"/>
  <c r="L136" i="69"/>
  <c r="K136" i="69"/>
  <c r="J136" i="69"/>
  <c r="I136" i="69"/>
  <c r="H136" i="69"/>
  <c r="G136" i="69"/>
  <c r="GX135" i="69"/>
  <c r="GW135" i="69"/>
  <c r="GS135" i="69"/>
  <c r="GR135" i="69"/>
  <c r="GN135" i="69"/>
  <c r="GM135" i="69"/>
  <c r="GI135" i="69"/>
  <c r="GH135" i="69"/>
  <c r="GD135" i="69"/>
  <c r="GC135" i="69"/>
  <c r="FY135" i="69"/>
  <c r="FX135" i="69"/>
  <c r="FT135" i="69"/>
  <c r="FS135" i="69"/>
  <c r="FO135" i="69"/>
  <c r="FN135" i="69"/>
  <c r="FJ135" i="69"/>
  <c r="FI135" i="69"/>
  <c r="FE135" i="69"/>
  <c r="FD135" i="69"/>
  <c r="EZ135" i="69"/>
  <c r="EY135" i="69"/>
  <c r="EU135" i="69"/>
  <c r="ET135" i="69"/>
  <c r="EP135" i="69"/>
  <c r="EO135" i="69"/>
  <c r="EK135" i="69"/>
  <c r="EJ135" i="69"/>
  <c r="EF135" i="69"/>
  <c r="EA135" i="69"/>
  <c r="DZ135" i="69"/>
  <c r="DV135" i="69"/>
  <c r="DU135" i="69"/>
  <c r="DQ135" i="69"/>
  <c r="DP135" i="69"/>
  <c r="DL135" i="69"/>
  <c r="DK135" i="69"/>
  <c r="DG135" i="69"/>
  <c r="DF135" i="69"/>
  <c r="DB135" i="69"/>
  <c r="DA135" i="69"/>
  <c r="L135" i="69"/>
  <c r="K135" i="69"/>
  <c r="J135" i="69"/>
  <c r="I135" i="69"/>
  <c r="H135" i="69"/>
  <c r="G135" i="69"/>
  <c r="GX134" i="69"/>
  <c r="GW134" i="69"/>
  <c r="GS134" i="69"/>
  <c r="GR134" i="69"/>
  <c r="GN134" i="69"/>
  <c r="GM134" i="69"/>
  <c r="GI134" i="69"/>
  <c r="GH134" i="69"/>
  <c r="GD134" i="69"/>
  <c r="GC134" i="69"/>
  <c r="FY134" i="69"/>
  <c r="FX134" i="69"/>
  <c r="FT134" i="69"/>
  <c r="FS134" i="69"/>
  <c r="FO134" i="69"/>
  <c r="FN134" i="69"/>
  <c r="FJ134" i="69"/>
  <c r="FI134" i="69"/>
  <c r="FE134" i="69"/>
  <c r="FD134" i="69"/>
  <c r="EZ134" i="69"/>
  <c r="EY134" i="69"/>
  <c r="EU134" i="69"/>
  <c r="ET134" i="69"/>
  <c r="EP134" i="69"/>
  <c r="EO134" i="69"/>
  <c r="EK134" i="69"/>
  <c r="EJ134" i="69"/>
  <c r="EF134" i="69"/>
  <c r="EA134" i="69"/>
  <c r="DZ134" i="69"/>
  <c r="DV134" i="69"/>
  <c r="DU134" i="69"/>
  <c r="DQ134" i="69"/>
  <c r="DP134" i="69"/>
  <c r="DL134" i="69"/>
  <c r="DK134" i="69"/>
  <c r="DG134" i="69"/>
  <c r="DF134" i="69"/>
  <c r="DB134" i="69"/>
  <c r="DA134" i="69"/>
  <c r="L134" i="69"/>
  <c r="K134" i="69"/>
  <c r="J134" i="69"/>
  <c r="I134" i="69"/>
  <c r="H134" i="69"/>
  <c r="G134" i="69"/>
  <c r="GX133" i="69"/>
  <c r="GW133" i="69"/>
  <c r="GS133" i="69"/>
  <c r="GR133" i="69"/>
  <c r="GN133" i="69"/>
  <c r="GM133" i="69"/>
  <c r="GI133" i="69"/>
  <c r="GH133" i="69"/>
  <c r="GD133" i="69"/>
  <c r="GC133" i="69"/>
  <c r="FY133" i="69"/>
  <c r="FX133" i="69"/>
  <c r="FT133" i="69"/>
  <c r="FS133" i="69"/>
  <c r="FO133" i="69"/>
  <c r="FN133" i="69"/>
  <c r="FJ133" i="69"/>
  <c r="FI133" i="69"/>
  <c r="FE133" i="69"/>
  <c r="FD133" i="69"/>
  <c r="EZ133" i="69"/>
  <c r="EY133" i="69"/>
  <c r="EU133" i="69"/>
  <c r="ET133" i="69"/>
  <c r="EP133" i="69"/>
  <c r="EO133" i="69"/>
  <c r="EK133" i="69"/>
  <c r="EJ133" i="69"/>
  <c r="EF133" i="69"/>
  <c r="EA133" i="69"/>
  <c r="DZ133" i="69"/>
  <c r="DV133" i="69"/>
  <c r="DU133" i="69"/>
  <c r="DQ133" i="69"/>
  <c r="DP133" i="69"/>
  <c r="DL133" i="69"/>
  <c r="DK133" i="69"/>
  <c r="DG133" i="69"/>
  <c r="DF133" i="69"/>
  <c r="DB133" i="69"/>
  <c r="DA133" i="69"/>
  <c r="L133" i="69"/>
  <c r="K133" i="69"/>
  <c r="J133" i="69"/>
  <c r="I133" i="69"/>
  <c r="H133" i="69"/>
  <c r="G133" i="69"/>
  <c r="GX132" i="69"/>
  <c r="GW132" i="69"/>
  <c r="GS132" i="69"/>
  <c r="GR132" i="69"/>
  <c r="GN132" i="69"/>
  <c r="GM132" i="69"/>
  <c r="GI132" i="69"/>
  <c r="GH132" i="69"/>
  <c r="GD132" i="69"/>
  <c r="GC132" i="69"/>
  <c r="FY132" i="69"/>
  <c r="FX132" i="69"/>
  <c r="FT132" i="69"/>
  <c r="FS132" i="69"/>
  <c r="FO132" i="69"/>
  <c r="FN132" i="69"/>
  <c r="FJ132" i="69"/>
  <c r="FI132" i="69"/>
  <c r="FE132" i="69"/>
  <c r="FD132" i="69"/>
  <c r="EZ132" i="69"/>
  <c r="EY132" i="69"/>
  <c r="EU132" i="69"/>
  <c r="ET132" i="69"/>
  <c r="EP132" i="69"/>
  <c r="EO132" i="69"/>
  <c r="EK132" i="69"/>
  <c r="EJ132" i="69"/>
  <c r="EF132" i="69"/>
  <c r="EA132" i="69"/>
  <c r="DZ132" i="69"/>
  <c r="DV132" i="69"/>
  <c r="DU132" i="69"/>
  <c r="DQ132" i="69"/>
  <c r="DP132" i="69"/>
  <c r="DL132" i="69"/>
  <c r="DK132" i="69"/>
  <c r="DG132" i="69"/>
  <c r="DF132" i="69"/>
  <c r="DB132" i="69"/>
  <c r="DA132" i="69"/>
  <c r="CZ132" i="69"/>
  <c r="CX132" i="69"/>
  <c r="L132" i="69"/>
  <c r="K132" i="69"/>
  <c r="J132" i="69"/>
  <c r="I132" i="69"/>
  <c r="H132" i="69"/>
  <c r="G132" i="69"/>
  <c r="GX131" i="69"/>
  <c r="GW131" i="69"/>
  <c r="GS131" i="69"/>
  <c r="GR131" i="69"/>
  <c r="GN131" i="69"/>
  <c r="GM131" i="69"/>
  <c r="GI131" i="69"/>
  <c r="GH131" i="69"/>
  <c r="GD131" i="69"/>
  <c r="GC131" i="69"/>
  <c r="FY131" i="69"/>
  <c r="FX131" i="69"/>
  <c r="FT131" i="69"/>
  <c r="FS131" i="69"/>
  <c r="FO131" i="69"/>
  <c r="FN131" i="69"/>
  <c r="FJ131" i="69"/>
  <c r="FI131" i="69"/>
  <c r="FE131" i="69"/>
  <c r="FD131" i="69"/>
  <c r="EZ131" i="69"/>
  <c r="EY131" i="69"/>
  <c r="EU131" i="69"/>
  <c r="ET131" i="69"/>
  <c r="EP131" i="69"/>
  <c r="EO131" i="69"/>
  <c r="EK131" i="69"/>
  <c r="EJ131" i="69"/>
  <c r="EF131" i="69"/>
  <c r="EA131" i="69"/>
  <c r="DZ131" i="69"/>
  <c r="DV131" i="69"/>
  <c r="DU131" i="69"/>
  <c r="DQ131" i="69"/>
  <c r="DP131" i="69"/>
  <c r="DL131" i="69"/>
  <c r="DK131" i="69"/>
  <c r="DG131" i="69"/>
  <c r="DF131" i="69"/>
  <c r="DB131" i="69"/>
  <c r="DA131" i="69"/>
  <c r="L131" i="69"/>
  <c r="K131" i="69"/>
  <c r="J131" i="69"/>
  <c r="I131" i="69"/>
  <c r="H131" i="69"/>
  <c r="G131" i="69"/>
  <c r="GX130" i="69"/>
  <c r="GW130" i="69"/>
  <c r="GS130" i="69"/>
  <c r="GR130" i="69"/>
  <c r="GN130" i="69"/>
  <c r="GM130" i="69"/>
  <c r="GI130" i="69"/>
  <c r="GH130" i="69"/>
  <c r="GD130" i="69"/>
  <c r="GC130" i="69"/>
  <c r="FY130" i="69"/>
  <c r="FX130" i="69"/>
  <c r="FT130" i="69"/>
  <c r="FS130" i="69"/>
  <c r="FO130" i="69"/>
  <c r="FN130" i="69"/>
  <c r="FJ130" i="69"/>
  <c r="FI130" i="69"/>
  <c r="FE130" i="69"/>
  <c r="FD130" i="69"/>
  <c r="EZ130" i="69"/>
  <c r="EY130" i="69"/>
  <c r="EU130" i="69"/>
  <c r="ET130" i="69"/>
  <c r="EP130" i="69"/>
  <c r="EO130" i="69"/>
  <c r="EK130" i="69"/>
  <c r="EJ130" i="69"/>
  <c r="EF130" i="69"/>
  <c r="EA130" i="69"/>
  <c r="DZ130" i="69"/>
  <c r="DV130" i="69"/>
  <c r="DU130" i="69"/>
  <c r="DQ130" i="69"/>
  <c r="DP130" i="69"/>
  <c r="DL130" i="69"/>
  <c r="DK130" i="69"/>
  <c r="DG130" i="69"/>
  <c r="DF130" i="69"/>
  <c r="DB130" i="69"/>
  <c r="DA130" i="69"/>
  <c r="L130" i="69"/>
  <c r="K130" i="69"/>
  <c r="J130" i="69"/>
  <c r="I130" i="69"/>
  <c r="H130" i="69"/>
  <c r="G130" i="69"/>
  <c r="GX129" i="69"/>
  <c r="GW129" i="69"/>
  <c r="GS129" i="69"/>
  <c r="GR129" i="69"/>
  <c r="GN129" i="69"/>
  <c r="GM129" i="69"/>
  <c r="GI129" i="69"/>
  <c r="GH129" i="69"/>
  <c r="GD129" i="69"/>
  <c r="GC129" i="69"/>
  <c r="FY129" i="69"/>
  <c r="FX129" i="69"/>
  <c r="FT129" i="69"/>
  <c r="FS129" i="69"/>
  <c r="FO129" i="69"/>
  <c r="FN129" i="69"/>
  <c r="FJ129" i="69"/>
  <c r="FI129" i="69"/>
  <c r="FE129" i="69"/>
  <c r="FD129" i="69"/>
  <c r="EZ129" i="69"/>
  <c r="EY129" i="69"/>
  <c r="EU129" i="69"/>
  <c r="ET129" i="69"/>
  <c r="EP129" i="69"/>
  <c r="EO129" i="69"/>
  <c r="EK129" i="69"/>
  <c r="EJ129" i="69"/>
  <c r="EF129" i="69"/>
  <c r="EA129" i="69"/>
  <c r="DZ129" i="69"/>
  <c r="DV129" i="69"/>
  <c r="DU129" i="69"/>
  <c r="DQ129" i="69"/>
  <c r="DP129" i="69"/>
  <c r="DL129" i="69"/>
  <c r="DK129" i="69"/>
  <c r="DG129" i="69"/>
  <c r="DF129" i="69"/>
  <c r="DB129" i="69"/>
  <c r="DA129" i="69"/>
  <c r="L129" i="69"/>
  <c r="K129" i="69"/>
  <c r="J129" i="69"/>
  <c r="I129" i="69"/>
  <c r="H129" i="69"/>
  <c r="G129" i="69"/>
  <c r="GX128" i="69"/>
  <c r="GW128" i="69"/>
  <c r="GS128" i="69"/>
  <c r="GR128" i="69"/>
  <c r="GN128" i="69"/>
  <c r="GM128" i="69"/>
  <c r="GI128" i="69"/>
  <c r="GH128" i="69"/>
  <c r="GD128" i="69"/>
  <c r="GC128" i="69"/>
  <c r="FY128" i="69"/>
  <c r="FX128" i="69"/>
  <c r="FT128" i="69"/>
  <c r="FS128" i="69"/>
  <c r="FO128" i="69"/>
  <c r="FN128" i="69"/>
  <c r="FJ128" i="69"/>
  <c r="FI128" i="69"/>
  <c r="FE128" i="69"/>
  <c r="FD128" i="69"/>
  <c r="EZ128" i="69"/>
  <c r="EY128" i="69"/>
  <c r="EU128" i="69"/>
  <c r="ET128" i="69"/>
  <c r="EP128" i="69"/>
  <c r="EO128" i="69"/>
  <c r="EK128" i="69"/>
  <c r="EJ128" i="69"/>
  <c r="EF128" i="69"/>
  <c r="EA128" i="69"/>
  <c r="DZ128" i="69"/>
  <c r="DV128" i="69"/>
  <c r="DU128" i="69"/>
  <c r="DQ128" i="69"/>
  <c r="DP128" i="69"/>
  <c r="DL128" i="69"/>
  <c r="DK128" i="69"/>
  <c r="DG128" i="69"/>
  <c r="DF128" i="69"/>
  <c r="DB128" i="69"/>
  <c r="DA128" i="69"/>
  <c r="L128" i="69"/>
  <c r="K128" i="69"/>
  <c r="J128" i="69"/>
  <c r="I128" i="69"/>
  <c r="H128" i="69"/>
  <c r="G128" i="69"/>
  <c r="GX127" i="69"/>
  <c r="GW127" i="69"/>
  <c r="GS127" i="69"/>
  <c r="GR127" i="69"/>
  <c r="GN127" i="69"/>
  <c r="GM127" i="69"/>
  <c r="GI127" i="69"/>
  <c r="GH127" i="69"/>
  <c r="GD127" i="69"/>
  <c r="GC127" i="69"/>
  <c r="FY127" i="69"/>
  <c r="FX127" i="69"/>
  <c r="FT127" i="69"/>
  <c r="FS127" i="69"/>
  <c r="FO127" i="69"/>
  <c r="FN127" i="69"/>
  <c r="FJ127" i="69"/>
  <c r="FI127" i="69"/>
  <c r="FE127" i="69"/>
  <c r="FD127" i="69"/>
  <c r="EZ127" i="69"/>
  <c r="EY127" i="69"/>
  <c r="EU127" i="69"/>
  <c r="ET127" i="69"/>
  <c r="EP127" i="69"/>
  <c r="EO127" i="69"/>
  <c r="EK127" i="69"/>
  <c r="EJ127" i="69"/>
  <c r="EF127" i="69"/>
  <c r="EA127" i="69"/>
  <c r="DZ127" i="69"/>
  <c r="DV127" i="69"/>
  <c r="DU127" i="69"/>
  <c r="DQ127" i="69"/>
  <c r="DP127" i="69"/>
  <c r="DL127" i="69"/>
  <c r="DK127" i="69"/>
  <c r="DG127" i="69"/>
  <c r="DF127" i="69"/>
  <c r="DB127" i="69"/>
  <c r="DA127" i="69"/>
  <c r="L127" i="69"/>
  <c r="K127" i="69"/>
  <c r="J127" i="69"/>
  <c r="I127" i="69"/>
  <c r="H127" i="69"/>
  <c r="G127" i="69"/>
  <c r="GX126" i="69"/>
  <c r="GW126" i="69"/>
  <c r="GS126" i="69"/>
  <c r="GR126" i="69"/>
  <c r="GN126" i="69"/>
  <c r="GM126" i="69"/>
  <c r="GI126" i="69"/>
  <c r="GH126" i="69"/>
  <c r="GD126" i="69"/>
  <c r="GC126" i="69"/>
  <c r="FY126" i="69"/>
  <c r="FX126" i="69"/>
  <c r="FT126" i="69"/>
  <c r="FS126" i="69"/>
  <c r="FO126" i="69"/>
  <c r="FN126" i="69"/>
  <c r="FJ126" i="69"/>
  <c r="FI126" i="69"/>
  <c r="FE126" i="69"/>
  <c r="FD126" i="69"/>
  <c r="EZ126" i="69"/>
  <c r="EY126" i="69"/>
  <c r="EU126" i="69"/>
  <c r="ET126" i="69"/>
  <c r="EP126" i="69"/>
  <c r="EO126" i="69"/>
  <c r="EK126" i="69"/>
  <c r="EJ126" i="69"/>
  <c r="EF126" i="69"/>
  <c r="EA126" i="69"/>
  <c r="DZ126" i="69"/>
  <c r="DV126" i="69"/>
  <c r="DU126" i="69"/>
  <c r="DQ126" i="69"/>
  <c r="DP126" i="69"/>
  <c r="DL126" i="69"/>
  <c r="DK126" i="69"/>
  <c r="DG126" i="69"/>
  <c r="DF126" i="69"/>
  <c r="DB126" i="69"/>
  <c r="DA126" i="69"/>
  <c r="L126" i="69"/>
  <c r="K126" i="69"/>
  <c r="J126" i="69"/>
  <c r="I126" i="69"/>
  <c r="H126" i="69"/>
  <c r="G126" i="69"/>
  <c r="GX125" i="69"/>
  <c r="GW125" i="69"/>
  <c r="GS125" i="69"/>
  <c r="GR125" i="69"/>
  <c r="GN125" i="69"/>
  <c r="GM125" i="69"/>
  <c r="GI125" i="69"/>
  <c r="GH125" i="69"/>
  <c r="GD125" i="69"/>
  <c r="GC125" i="69"/>
  <c r="FY125" i="69"/>
  <c r="FX125" i="69"/>
  <c r="FT125" i="69"/>
  <c r="FS125" i="69"/>
  <c r="FO125" i="69"/>
  <c r="FN125" i="69"/>
  <c r="FJ125" i="69"/>
  <c r="FI125" i="69"/>
  <c r="FE125" i="69"/>
  <c r="FD125" i="69"/>
  <c r="EZ125" i="69"/>
  <c r="EY125" i="69"/>
  <c r="EU125" i="69"/>
  <c r="ET125" i="69"/>
  <c r="EP125" i="69"/>
  <c r="EO125" i="69"/>
  <c r="EK125" i="69"/>
  <c r="EJ125" i="69"/>
  <c r="EF125" i="69"/>
  <c r="EA125" i="69"/>
  <c r="DZ125" i="69"/>
  <c r="DV125" i="69"/>
  <c r="DU125" i="69"/>
  <c r="DQ125" i="69"/>
  <c r="DP125" i="69"/>
  <c r="DL125" i="69"/>
  <c r="DK125" i="69"/>
  <c r="DG125" i="69"/>
  <c r="DF125" i="69"/>
  <c r="DB125" i="69"/>
  <c r="DA125" i="69"/>
  <c r="L125" i="69"/>
  <c r="K125" i="69"/>
  <c r="J125" i="69"/>
  <c r="I125" i="69"/>
  <c r="H125" i="69"/>
  <c r="G125" i="69"/>
  <c r="GX124" i="69"/>
  <c r="GW124" i="69"/>
  <c r="GS124" i="69"/>
  <c r="GR124" i="69"/>
  <c r="GN124" i="69"/>
  <c r="GM124" i="69"/>
  <c r="GI124" i="69"/>
  <c r="GH124" i="69"/>
  <c r="GD124" i="69"/>
  <c r="GC124" i="69"/>
  <c r="FY124" i="69"/>
  <c r="FX124" i="69"/>
  <c r="FT124" i="69"/>
  <c r="FS124" i="69"/>
  <c r="FO124" i="69"/>
  <c r="FN124" i="69"/>
  <c r="FJ124" i="69"/>
  <c r="FI124" i="69"/>
  <c r="FE124" i="69"/>
  <c r="FD124" i="69"/>
  <c r="EZ124" i="69"/>
  <c r="EY124" i="69"/>
  <c r="EU124" i="69"/>
  <c r="ET124" i="69"/>
  <c r="EP124" i="69"/>
  <c r="EO124" i="69"/>
  <c r="EK124" i="69"/>
  <c r="EJ124" i="69"/>
  <c r="EF124" i="69"/>
  <c r="EA124" i="69"/>
  <c r="DZ124" i="69"/>
  <c r="DV124" i="69"/>
  <c r="DU124" i="69"/>
  <c r="DQ124" i="69"/>
  <c r="DP124" i="69"/>
  <c r="DL124" i="69"/>
  <c r="DK124" i="69"/>
  <c r="DG124" i="69"/>
  <c r="DF124" i="69"/>
  <c r="DB124" i="69"/>
  <c r="DA124" i="69"/>
  <c r="L124" i="69"/>
  <c r="K124" i="69"/>
  <c r="J124" i="69"/>
  <c r="I124" i="69"/>
  <c r="H124" i="69"/>
  <c r="G124" i="69"/>
  <c r="GX123" i="69"/>
  <c r="GW123" i="69"/>
  <c r="GS123" i="69"/>
  <c r="GR123" i="69"/>
  <c r="GN123" i="69"/>
  <c r="GM123" i="69"/>
  <c r="GI123" i="69"/>
  <c r="GH123" i="69"/>
  <c r="GD123" i="69"/>
  <c r="GC123" i="69"/>
  <c r="FY123" i="69"/>
  <c r="FX123" i="69"/>
  <c r="FT123" i="69"/>
  <c r="FS123" i="69"/>
  <c r="FO123" i="69"/>
  <c r="FN123" i="69"/>
  <c r="FJ123" i="69"/>
  <c r="FI123" i="69"/>
  <c r="FE123" i="69"/>
  <c r="FD123" i="69"/>
  <c r="EZ123" i="69"/>
  <c r="EY123" i="69"/>
  <c r="EU123" i="69"/>
  <c r="ET123" i="69"/>
  <c r="EP123" i="69"/>
  <c r="EO123" i="69"/>
  <c r="EK123" i="69"/>
  <c r="EJ123" i="69"/>
  <c r="EF123" i="69"/>
  <c r="EA123" i="69"/>
  <c r="DZ123" i="69"/>
  <c r="DV123" i="69"/>
  <c r="DU123" i="69"/>
  <c r="DQ123" i="69"/>
  <c r="DP123" i="69"/>
  <c r="DL123" i="69"/>
  <c r="DK123" i="69"/>
  <c r="DG123" i="69"/>
  <c r="DF123" i="69"/>
  <c r="DB123" i="69"/>
  <c r="DA123" i="69"/>
  <c r="L123" i="69"/>
  <c r="K123" i="69"/>
  <c r="J123" i="69"/>
  <c r="I123" i="69"/>
  <c r="H123" i="69"/>
  <c r="G123" i="69"/>
  <c r="GX122" i="69"/>
  <c r="GW122" i="69"/>
  <c r="GS122" i="69"/>
  <c r="GR122" i="69"/>
  <c r="GN122" i="69"/>
  <c r="GM122" i="69"/>
  <c r="GI122" i="69"/>
  <c r="GH122" i="69"/>
  <c r="GD122" i="69"/>
  <c r="GC122" i="69"/>
  <c r="FY122" i="69"/>
  <c r="FX122" i="69"/>
  <c r="FT122" i="69"/>
  <c r="FS122" i="69"/>
  <c r="FO122" i="69"/>
  <c r="FN122" i="69"/>
  <c r="FJ122" i="69"/>
  <c r="FI122" i="69"/>
  <c r="FE122" i="69"/>
  <c r="FD122" i="69"/>
  <c r="EZ122" i="69"/>
  <c r="EY122" i="69"/>
  <c r="EU122" i="69"/>
  <c r="ET122" i="69"/>
  <c r="EP122" i="69"/>
  <c r="EO122" i="69"/>
  <c r="EK122" i="69"/>
  <c r="EJ122" i="69"/>
  <c r="EF122" i="69"/>
  <c r="EA122" i="69"/>
  <c r="DZ122" i="69"/>
  <c r="DV122" i="69"/>
  <c r="DU122" i="69"/>
  <c r="DQ122" i="69"/>
  <c r="DP122" i="69"/>
  <c r="DL122" i="69"/>
  <c r="DK122" i="69"/>
  <c r="DG122" i="69"/>
  <c r="DF122" i="69"/>
  <c r="DB122" i="69"/>
  <c r="DA122" i="69"/>
  <c r="L122" i="69"/>
  <c r="K122" i="69"/>
  <c r="J122" i="69"/>
  <c r="I122" i="69"/>
  <c r="H122" i="69"/>
  <c r="G122" i="69"/>
  <c r="GX121" i="69"/>
  <c r="GW121" i="69"/>
  <c r="GS121" i="69"/>
  <c r="GR121" i="69"/>
  <c r="GN121" i="69"/>
  <c r="GM121" i="69"/>
  <c r="GI121" i="69"/>
  <c r="GH121" i="69"/>
  <c r="GD121" i="69"/>
  <c r="GC121" i="69"/>
  <c r="FY121" i="69"/>
  <c r="FX121" i="69"/>
  <c r="FT121" i="69"/>
  <c r="FS121" i="69"/>
  <c r="FO121" i="69"/>
  <c r="FN121" i="69"/>
  <c r="FJ121" i="69"/>
  <c r="FI121" i="69"/>
  <c r="FE121" i="69"/>
  <c r="FD121" i="69"/>
  <c r="EZ121" i="69"/>
  <c r="EY121" i="69"/>
  <c r="EU121" i="69"/>
  <c r="ET121" i="69"/>
  <c r="EP121" i="69"/>
  <c r="EO121" i="69"/>
  <c r="EK121" i="69"/>
  <c r="EJ121" i="69"/>
  <c r="EF121" i="69"/>
  <c r="EA121" i="69"/>
  <c r="DZ121" i="69"/>
  <c r="DV121" i="69"/>
  <c r="DU121" i="69"/>
  <c r="DQ121" i="69"/>
  <c r="DP121" i="69"/>
  <c r="DL121" i="69"/>
  <c r="DK121" i="69"/>
  <c r="DG121" i="69"/>
  <c r="DF121" i="69"/>
  <c r="DB121" i="69"/>
  <c r="DA121" i="69"/>
  <c r="CW121" i="69"/>
  <c r="CR121" i="69"/>
  <c r="CL121" i="69"/>
  <c r="L121" i="69"/>
  <c r="K121" i="69"/>
  <c r="J121" i="69"/>
  <c r="I121" i="69"/>
  <c r="H121" i="69"/>
  <c r="G121" i="69"/>
  <c r="GX120" i="69"/>
  <c r="GW120" i="69"/>
  <c r="GS120" i="69"/>
  <c r="GR120" i="69"/>
  <c r="GN120" i="69"/>
  <c r="GM120" i="69"/>
  <c r="GI120" i="69"/>
  <c r="GH120" i="69"/>
  <c r="GD120" i="69"/>
  <c r="GC120" i="69"/>
  <c r="FY120" i="69"/>
  <c r="FX120" i="69"/>
  <c r="FT120" i="69"/>
  <c r="FS120" i="69"/>
  <c r="FO120" i="69"/>
  <c r="FN120" i="69"/>
  <c r="FJ120" i="69"/>
  <c r="FI120" i="69"/>
  <c r="FE120" i="69"/>
  <c r="FD120" i="69"/>
  <c r="EZ120" i="69"/>
  <c r="EY120" i="69"/>
  <c r="EU120" i="69"/>
  <c r="ET120" i="69"/>
  <c r="EP120" i="69"/>
  <c r="EO120" i="69"/>
  <c r="EK120" i="69"/>
  <c r="EJ120" i="69"/>
  <c r="EF120" i="69"/>
  <c r="EA120" i="69"/>
  <c r="DZ120" i="69"/>
  <c r="DV120" i="69"/>
  <c r="DU120" i="69"/>
  <c r="DQ120" i="69"/>
  <c r="DP120" i="69"/>
  <c r="DL120" i="69"/>
  <c r="DK120" i="69"/>
  <c r="DG120" i="69"/>
  <c r="DF120" i="69"/>
  <c r="DB120" i="69"/>
  <c r="DA120" i="69"/>
  <c r="CW120" i="69"/>
  <c r="CR120" i="69"/>
  <c r="CL120" i="69"/>
  <c r="L120" i="69"/>
  <c r="K120" i="69"/>
  <c r="J120" i="69"/>
  <c r="I120" i="69"/>
  <c r="H120" i="69"/>
  <c r="G120" i="69"/>
  <c r="GX119" i="69"/>
  <c r="GW119" i="69"/>
  <c r="GS119" i="69"/>
  <c r="GR119" i="69"/>
  <c r="GN119" i="69"/>
  <c r="GM119" i="69"/>
  <c r="GI119" i="69"/>
  <c r="GH119" i="69"/>
  <c r="GD119" i="69"/>
  <c r="GC119" i="69"/>
  <c r="FY119" i="69"/>
  <c r="FX119" i="69"/>
  <c r="FT119" i="69"/>
  <c r="FS119" i="69"/>
  <c r="FO119" i="69"/>
  <c r="FN119" i="69"/>
  <c r="FJ119" i="69"/>
  <c r="FI119" i="69"/>
  <c r="FE119" i="69"/>
  <c r="FD119" i="69"/>
  <c r="EZ119" i="69"/>
  <c r="EY119" i="69"/>
  <c r="EU119" i="69"/>
  <c r="ET119" i="69"/>
  <c r="EP119" i="69"/>
  <c r="EO119" i="69"/>
  <c r="EK119" i="69"/>
  <c r="EJ119" i="69"/>
  <c r="EF119" i="69"/>
  <c r="EA119" i="69"/>
  <c r="DZ119" i="69"/>
  <c r="DV119" i="69"/>
  <c r="DU119" i="69"/>
  <c r="DQ119" i="69"/>
  <c r="DP119" i="69"/>
  <c r="DL119" i="69"/>
  <c r="DK119" i="69"/>
  <c r="DG119" i="69"/>
  <c r="DF119" i="69"/>
  <c r="DB119" i="69"/>
  <c r="DA119" i="69"/>
  <c r="CW119" i="69"/>
  <c r="CR119" i="69"/>
  <c r="CL119" i="69"/>
  <c r="L119" i="69"/>
  <c r="K119" i="69"/>
  <c r="J119" i="69"/>
  <c r="I119" i="69"/>
  <c r="H119" i="69"/>
  <c r="G119" i="69"/>
  <c r="GX118" i="69"/>
  <c r="GW118" i="69"/>
  <c r="GS118" i="69"/>
  <c r="GR118" i="69"/>
  <c r="GN118" i="69"/>
  <c r="GM118" i="69"/>
  <c r="GI118" i="69"/>
  <c r="GH118" i="69"/>
  <c r="GD118" i="69"/>
  <c r="GC118" i="69"/>
  <c r="FY118" i="69"/>
  <c r="FX118" i="69"/>
  <c r="FT118" i="69"/>
  <c r="FS118" i="69"/>
  <c r="FO118" i="69"/>
  <c r="FN118" i="69"/>
  <c r="FJ118" i="69"/>
  <c r="FI118" i="69"/>
  <c r="FE118" i="69"/>
  <c r="FD118" i="69"/>
  <c r="EZ118" i="69"/>
  <c r="EY118" i="69"/>
  <c r="EU118" i="69"/>
  <c r="ET118" i="69"/>
  <c r="EP118" i="69"/>
  <c r="EO118" i="69"/>
  <c r="EK118" i="69"/>
  <c r="EJ118" i="69"/>
  <c r="EF118" i="69"/>
  <c r="EA118" i="69"/>
  <c r="DZ118" i="69"/>
  <c r="DV118" i="69"/>
  <c r="DU118" i="69"/>
  <c r="DQ118" i="69"/>
  <c r="DP118" i="69"/>
  <c r="DL118" i="69"/>
  <c r="DK118" i="69"/>
  <c r="DG118" i="69"/>
  <c r="DF118" i="69"/>
  <c r="DB118" i="69"/>
  <c r="DA118" i="69"/>
  <c r="CW118" i="69"/>
  <c r="CR118" i="69"/>
  <c r="CL118" i="69"/>
  <c r="L118" i="69"/>
  <c r="K118" i="69"/>
  <c r="J118" i="69"/>
  <c r="I118" i="69"/>
  <c r="H118" i="69"/>
  <c r="G118" i="69"/>
  <c r="GX117" i="69"/>
  <c r="GW117" i="69"/>
  <c r="GS117" i="69"/>
  <c r="GR117" i="69"/>
  <c r="GN117" i="69"/>
  <c r="GM117" i="69"/>
  <c r="GI117" i="69"/>
  <c r="GH117" i="69"/>
  <c r="GD117" i="69"/>
  <c r="GC117" i="69"/>
  <c r="FY117" i="69"/>
  <c r="FX117" i="69"/>
  <c r="FT117" i="69"/>
  <c r="FS117" i="69"/>
  <c r="FO117" i="69"/>
  <c r="FN117" i="69"/>
  <c r="FJ117" i="69"/>
  <c r="FI117" i="69"/>
  <c r="FE117" i="69"/>
  <c r="FD117" i="69"/>
  <c r="EZ117" i="69"/>
  <c r="EY117" i="69"/>
  <c r="EU117" i="69"/>
  <c r="ET117" i="69"/>
  <c r="EP117" i="69"/>
  <c r="EO117" i="69"/>
  <c r="EK117" i="69"/>
  <c r="EJ117" i="69"/>
  <c r="EF117" i="69"/>
  <c r="EA117" i="69"/>
  <c r="DZ117" i="69"/>
  <c r="DV117" i="69"/>
  <c r="DU117" i="69"/>
  <c r="DQ117" i="69"/>
  <c r="DP117" i="69"/>
  <c r="DL117" i="69"/>
  <c r="DK117" i="69"/>
  <c r="DG117" i="69"/>
  <c r="DF117" i="69"/>
  <c r="DB117" i="69"/>
  <c r="DA117" i="69"/>
  <c r="CW117" i="69"/>
  <c r="CR117" i="69"/>
  <c r="CL117" i="69"/>
  <c r="L117" i="69"/>
  <c r="K117" i="69"/>
  <c r="J117" i="69"/>
  <c r="I117" i="69"/>
  <c r="H117" i="69"/>
  <c r="G117" i="69"/>
  <c r="GX116" i="69"/>
  <c r="GW116" i="69"/>
  <c r="GS116" i="69"/>
  <c r="GR116" i="69"/>
  <c r="GN116" i="69"/>
  <c r="GM116" i="69"/>
  <c r="GI116" i="69"/>
  <c r="GH116" i="69"/>
  <c r="GD116" i="69"/>
  <c r="GC116" i="69"/>
  <c r="FY116" i="69"/>
  <c r="FX116" i="69"/>
  <c r="FT116" i="69"/>
  <c r="FS116" i="69"/>
  <c r="FO116" i="69"/>
  <c r="FN116" i="69"/>
  <c r="FJ116" i="69"/>
  <c r="FI116" i="69"/>
  <c r="FE116" i="69"/>
  <c r="FD116" i="69"/>
  <c r="EZ116" i="69"/>
  <c r="EY116" i="69"/>
  <c r="EU116" i="69"/>
  <c r="ET116" i="69"/>
  <c r="EP116" i="69"/>
  <c r="EO116" i="69"/>
  <c r="EK116" i="69"/>
  <c r="EJ116" i="69"/>
  <c r="EF116" i="69"/>
  <c r="EA116" i="69"/>
  <c r="DZ116" i="69"/>
  <c r="DV116" i="69"/>
  <c r="DU116" i="69"/>
  <c r="DQ116" i="69"/>
  <c r="DP116" i="69"/>
  <c r="DL116" i="69"/>
  <c r="DK116" i="69"/>
  <c r="DG116" i="69"/>
  <c r="DF116" i="69"/>
  <c r="DB116" i="69"/>
  <c r="DA116" i="69"/>
  <c r="CW116" i="69"/>
  <c r="CR116" i="69"/>
  <c r="CL116" i="69"/>
  <c r="L116" i="69"/>
  <c r="K116" i="69"/>
  <c r="J116" i="69"/>
  <c r="I116" i="69"/>
  <c r="H116" i="69"/>
  <c r="G116" i="69"/>
  <c r="GX115" i="69"/>
  <c r="GW115" i="69"/>
  <c r="GS115" i="69"/>
  <c r="GR115" i="69"/>
  <c r="GN115" i="69"/>
  <c r="GM115" i="69"/>
  <c r="GI115" i="69"/>
  <c r="GH115" i="69"/>
  <c r="GD115" i="69"/>
  <c r="GC115" i="69"/>
  <c r="FY115" i="69"/>
  <c r="FX115" i="69"/>
  <c r="FT115" i="69"/>
  <c r="FS115" i="69"/>
  <c r="FO115" i="69"/>
  <c r="FN115" i="69"/>
  <c r="FJ115" i="69"/>
  <c r="FI115" i="69"/>
  <c r="FE115" i="69"/>
  <c r="FD115" i="69"/>
  <c r="EZ115" i="69"/>
  <c r="EY115" i="69"/>
  <c r="EU115" i="69"/>
  <c r="ET115" i="69"/>
  <c r="EP115" i="69"/>
  <c r="EO115" i="69"/>
  <c r="EK115" i="69"/>
  <c r="EJ115" i="69"/>
  <c r="EF115" i="69"/>
  <c r="EA115" i="69"/>
  <c r="DZ115" i="69"/>
  <c r="DV115" i="69"/>
  <c r="DU115" i="69"/>
  <c r="DQ115" i="69"/>
  <c r="DP115" i="69"/>
  <c r="DL115" i="69"/>
  <c r="DK115" i="69"/>
  <c r="DG115" i="69"/>
  <c r="DF115" i="69"/>
  <c r="DB115" i="69"/>
  <c r="DA115" i="69"/>
  <c r="CW115" i="69"/>
  <c r="CR115" i="69"/>
  <c r="CL115" i="69"/>
  <c r="L115" i="69"/>
  <c r="K115" i="69"/>
  <c r="J115" i="69"/>
  <c r="I115" i="69"/>
  <c r="H115" i="69"/>
  <c r="G115" i="69"/>
  <c r="GX114" i="69"/>
  <c r="GW114" i="69"/>
  <c r="GS114" i="69"/>
  <c r="GR114" i="69"/>
  <c r="GN114" i="69"/>
  <c r="GM114" i="69"/>
  <c r="GI114" i="69"/>
  <c r="GH114" i="69"/>
  <c r="GD114" i="69"/>
  <c r="GC114" i="69"/>
  <c r="FY114" i="69"/>
  <c r="FX114" i="69"/>
  <c r="FT114" i="69"/>
  <c r="FS114" i="69"/>
  <c r="FO114" i="69"/>
  <c r="FN114" i="69"/>
  <c r="FJ114" i="69"/>
  <c r="FI114" i="69"/>
  <c r="FE114" i="69"/>
  <c r="FD114" i="69"/>
  <c r="EZ114" i="69"/>
  <c r="EY114" i="69"/>
  <c r="EU114" i="69"/>
  <c r="ET114" i="69"/>
  <c r="EP114" i="69"/>
  <c r="EO114" i="69"/>
  <c r="EK114" i="69"/>
  <c r="EJ114" i="69"/>
  <c r="EF114" i="69"/>
  <c r="EA114" i="69"/>
  <c r="DZ114" i="69"/>
  <c r="DV114" i="69"/>
  <c r="DU114" i="69"/>
  <c r="DQ114" i="69"/>
  <c r="DP114" i="69"/>
  <c r="DL114" i="69"/>
  <c r="DK114" i="69"/>
  <c r="DG114" i="69"/>
  <c r="DF114" i="69"/>
  <c r="DB114" i="69"/>
  <c r="DA114" i="69"/>
  <c r="CW114" i="69"/>
  <c r="CR114" i="69"/>
  <c r="CL114" i="69"/>
  <c r="L114" i="69"/>
  <c r="K114" i="69"/>
  <c r="J114" i="69"/>
  <c r="I114" i="69"/>
  <c r="H114" i="69"/>
  <c r="G114" i="69"/>
  <c r="GX113" i="69"/>
  <c r="GW113" i="69"/>
  <c r="GS113" i="69"/>
  <c r="GR113" i="69"/>
  <c r="GN113" i="69"/>
  <c r="GM113" i="69"/>
  <c r="GI113" i="69"/>
  <c r="GH113" i="69"/>
  <c r="GD113" i="69"/>
  <c r="GC113" i="69"/>
  <c r="FY113" i="69"/>
  <c r="FX113" i="69"/>
  <c r="FT113" i="69"/>
  <c r="FS113" i="69"/>
  <c r="FO113" i="69"/>
  <c r="FN113" i="69"/>
  <c r="FJ113" i="69"/>
  <c r="FI113" i="69"/>
  <c r="FE113" i="69"/>
  <c r="FD113" i="69"/>
  <c r="EZ113" i="69"/>
  <c r="EY113" i="69"/>
  <c r="EU113" i="69"/>
  <c r="ET113" i="69"/>
  <c r="EP113" i="69"/>
  <c r="EO113" i="69"/>
  <c r="EK113" i="69"/>
  <c r="EJ113" i="69"/>
  <c r="EF113" i="69"/>
  <c r="EA113" i="69"/>
  <c r="DZ113" i="69"/>
  <c r="DV113" i="69"/>
  <c r="DU113" i="69"/>
  <c r="DQ113" i="69"/>
  <c r="DP113" i="69"/>
  <c r="DL113" i="69"/>
  <c r="DK113" i="69"/>
  <c r="DG113" i="69"/>
  <c r="DF113" i="69"/>
  <c r="DB113" i="69"/>
  <c r="DA113" i="69"/>
  <c r="CW113" i="69"/>
  <c r="CR113" i="69"/>
  <c r="CL113" i="69"/>
  <c r="L113" i="69"/>
  <c r="K113" i="69"/>
  <c r="J113" i="69"/>
  <c r="I113" i="69"/>
  <c r="H113" i="69"/>
  <c r="G113" i="69"/>
  <c r="GX112" i="69"/>
  <c r="GW112" i="69"/>
  <c r="GS112" i="69"/>
  <c r="GR112" i="69"/>
  <c r="GN112" i="69"/>
  <c r="GM112" i="69"/>
  <c r="GI112" i="69"/>
  <c r="GH112" i="69"/>
  <c r="GD112" i="69"/>
  <c r="GC112" i="69"/>
  <c r="FY112" i="69"/>
  <c r="FX112" i="69"/>
  <c r="FT112" i="69"/>
  <c r="FS112" i="69"/>
  <c r="FO112" i="69"/>
  <c r="FN112" i="69"/>
  <c r="FJ112" i="69"/>
  <c r="FI112" i="69"/>
  <c r="FE112" i="69"/>
  <c r="FD112" i="69"/>
  <c r="EZ112" i="69"/>
  <c r="EY112" i="69"/>
  <c r="EU112" i="69"/>
  <c r="ET112" i="69"/>
  <c r="EP112" i="69"/>
  <c r="EO112" i="69"/>
  <c r="EK112" i="69"/>
  <c r="EJ112" i="69"/>
  <c r="EF112" i="69"/>
  <c r="EA112" i="69"/>
  <c r="DZ112" i="69"/>
  <c r="DV112" i="69"/>
  <c r="DU112" i="69"/>
  <c r="DQ112" i="69"/>
  <c r="DP112" i="69"/>
  <c r="DL112" i="69"/>
  <c r="DK112" i="69"/>
  <c r="DG112" i="69"/>
  <c r="DF112" i="69"/>
  <c r="DB112" i="69"/>
  <c r="DA112" i="69"/>
  <c r="CW112" i="69"/>
  <c r="CR112" i="69"/>
  <c r="CL112" i="69"/>
  <c r="L112" i="69"/>
  <c r="K112" i="69"/>
  <c r="J112" i="69"/>
  <c r="I112" i="69"/>
  <c r="H112" i="69"/>
  <c r="G112" i="69"/>
  <c r="GX111" i="69"/>
  <c r="GW111" i="69"/>
  <c r="GS111" i="69"/>
  <c r="GR111" i="69"/>
  <c r="GN111" i="69"/>
  <c r="GM111" i="69"/>
  <c r="GI111" i="69"/>
  <c r="GH111" i="69"/>
  <c r="GD111" i="69"/>
  <c r="GC111" i="69"/>
  <c r="FY111" i="69"/>
  <c r="FX111" i="69"/>
  <c r="FT111" i="69"/>
  <c r="FS111" i="69"/>
  <c r="FO111" i="69"/>
  <c r="FN111" i="69"/>
  <c r="FJ111" i="69"/>
  <c r="FI111" i="69"/>
  <c r="FE111" i="69"/>
  <c r="FD111" i="69"/>
  <c r="EZ111" i="69"/>
  <c r="EY111" i="69"/>
  <c r="EU111" i="69"/>
  <c r="ET111" i="69"/>
  <c r="EP111" i="69"/>
  <c r="EO111" i="69"/>
  <c r="EK111" i="69"/>
  <c r="EJ111" i="69"/>
  <c r="EF111" i="69"/>
  <c r="EA111" i="69"/>
  <c r="DZ111" i="69"/>
  <c r="DV111" i="69"/>
  <c r="DU111" i="69"/>
  <c r="DQ111" i="69"/>
  <c r="DP111" i="69"/>
  <c r="DL111" i="69"/>
  <c r="DK111" i="69"/>
  <c r="DG111" i="69"/>
  <c r="DF111" i="69"/>
  <c r="DB111" i="69"/>
  <c r="DA111" i="69"/>
  <c r="CW111" i="69"/>
  <c r="CR111" i="69"/>
  <c r="CL111" i="69"/>
  <c r="L111" i="69"/>
  <c r="K111" i="69"/>
  <c r="J111" i="69"/>
  <c r="I111" i="69"/>
  <c r="H111" i="69"/>
  <c r="G111" i="69"/>
  <c r="GX110" i="69"/>
  <c r="GW110" i="69"/>
  <c r="GS110" i="69"/>
  <c r="GR110" i="69"/>
  <c r="GN110" i="69"/>
  <c r="GM110" i="69"/>
  <c r="GI110" i="69"/>
  <c r="GH110" i="69"/>
  <c r="GD110" i="69"/>
  <c r="GC110" i="69"/>
  <c r="FY110" i="69"/>
  <c r="FX110" i="69"/>
  <c r="FT110" i="69"/>
  <c r="FS110" i="69"/>
  <c r="FO110" i="69"/>
  <c r="FN110" i="69"/>
  <c r="FJ110" i="69"/>
  <c r="FI110" i="69"/>
  <c r="FE110" i="69"/>
  <c r="FD110" i="69"/>
  <c r="EZ110" i="69"/>
  <c r="EY110" i="69"/>
  <c r="EU110" i="69"/>
  <c r="ET110" i="69"/>
  <c r="EP110" i="69"/>
  <c r="EO110" i="69"/>
  <c r="EK110" i="69"/>
  <c r="EJ110" i="69"/>
  <c r="EF110" i="69"/>
  <c r="EA110" i="69"/>
  <c r="DZ110" i="69"/>
  <c r="DV110" i="69"/>
  <c r="DU110" i="69"/>
  <c r="DQ110" i="69"/>
  <c r="DP110" i="69"/>
  <c r="DL110" i="69"/>
  <c r="DK110" i="69"/>
  <c r="DG110" i="69"/>
  <c r="DF110" i="69"/>
  <c r="DB110" i="69"/>
  <c r="DA110" i="69"/>
  <c r="CW110" i="69"/>
  <c r="CR110" i="69"/>
  <c r="CL110" i="69"/>
  <c r="L110" i="69"/>
  <c r="K110" i="69"/>
  <c r="J110" i="69"/>
  <c r="I110" i="69"/>
  <c r="H110" i="69"/>
  <c r="G110" i="69"/>
  <c r="GX109" i="69"/>
  <c r="GW109" i="69"/>
  <c r="GS109" i="69"/>
  <c r="GR109" i="69"/>
  <c r="GN109" i="69"/>
  <c r="GM109" i="69"/>
  <c r="GI109" i="69"/>
  <c r="GH109" i="69"/>
  <c r="GD109" i="69"/>
  <c r="GC109" i="69"/>
  <c r="FY109" i="69"/>
  <c r="FX109" i="69"/>
  <c r="FT109" i="69"/>
  <c r="FS109" i="69"/>
  <c r="FO109" i="69"/>
  <c r="FN109" i="69"/>
  <c r="FJ109" i="69"/>
  <c r="FI109" i="69"/>
  <c r="FE109" i="69"/>
  <c r="FD109" i="69"/>
  <c r="EZ109" i="69"/>
  <c r="EY109" i="69"/>
  <c r="EU109" i="69"/>
  <c r="ET109" i="69"/>
  <c r="EP109" i="69"/>
  <c r="EO109" i="69"/>
  <c r="EK109" i="69"/>
  <c r="EJ109" i="69"/>
  <c r="EF109" i="69"/>
  <c r="EA109" i="69"/>
  <c r="DZ109" i="69"/>
  <c r="DV109" i="69"/>
  <c r="DU109" i="69"/>
  <c r="DQ109" i="69"/>
  <c r="DP109" i="69"/>
  <c r="DL109" i="69"/>
  <c r="DK109" i="69"/>
  <c r="DG109" i="69"/>
  <c r="DF109" i="69"/>
  <c r="DB109" i="69"/>
  <c r="DA109" i="69"/>
  <c r="CW109" i="69"/>
  <c r="CR109" i="69"/>
  <c r="CL109" i="69"/>
  <c r="L109" i="69"/>
  <c r="K109" i="69"/>
  <c r="J109" i="69"/>
  <c r="I109" i="69"/>
  <c r="H109" i="69"/>
  <c r="G109" i="69"/>
  <c r="GX108" i="69"/>
  <c r="GW108" i="69"/>
  <c r="GS108" i="69"/>
  <c r="GR108" i="69"/>
  <c r="GN108" i="69"/>
  <c r="GM108" i="69"/>
  <c r="GI108" i="69"/>
  <c r="GH108" i="69"/>
  <c r="GD108" i="69"/>
  <c r="GC108" i="69"/>
  <c r="FY108" i="69"/>
  <c r="FX108" i="69"/>
  <c r="FT108" i="69"/>
  <c r="FS108" i="69"/>
  <c r="FO108" i="69"/>
  <c r="FN108" i="69"/>
  <c r="FJ108" i="69"/>
  <c r="FI108" i="69"/>
  <c r="FE108" i="69"/>
  <c r="FD108" i="69"/>
  <c r="EZ108" i="69"/>
  <c r="EY108" i="69"/>
  <c r="EU108" i="69"/>
  <c r="ET108" i="69"/>
  <c r="EP108" i="69"/>
  <c r="EO108" i="69"/>
  <c r="EK108" i="69"/>
  <c r="EJ108" i="69"/>
  <c r="EF108" i="69"/>
  <c r="EA108" i="69"/>
  <c r="DZ108" i="69"/>
  <c r="DV108" i="69"/>
  <c r="DU108" i="69"/>
  <c r="DQ108" i="69"/>
  <c r="DP108" i="69"/>
  <c r="DL108" i="69"/>
  <c r="DK108" i="69"/>
  <c r="DG108" i="69"/>
  <c r="DF108" i="69"/>
  <c r="DB108" i="69"/>
  <c r="DA108" i="69"/>
  <c r="CW108" i="69"/>
  <c r="CR108" i="69"/>
  <c r="CL108" i="69"/>
  <c r="L108" i="69"/>
  <c r="K108" i="69"/>
  <c r="J108" i="69"/>
  <c r="I108" i="69"/>
  <c r="H108" i="69"/>
  <c r="G108" i="69"/>
  <c r="GX107" i="69"/>
  <c r="GW107" i="69"/>
  <c r="GS107" i="69"/>
  <c r="GR107" i="69"/>
  <c r="GN107" i="69"/>
  <c r="GM107" i="69"/>
  <c r="GI107" i="69"/>
  <c r="GH107" i="69"/>
  <c r="GD107" i="69"/>
  <c r="GC107" i="69"/>
  <c r="FY107" i="69"/>
  <c r="FX107" i="69"/>
  <c r="FT107" i="69"/>
  <c r="FS107" i="69"/>
  <c r="FO107" i="69"/>
  <c r="FN107" i="69"/>
  <c r="FJ107" i="69"/>
  <c r="FI107" i="69"/>
  <c r="FE107" i="69"/>
  <c r="FD107" i="69"/>
  <c r="EZ107" i="69"/>
  <c r="EY107" i="69"/>
  <c r="EU107" i="69"/>
  <c r="ET107" i="69"/>
  <c r="EP107" i="69"/>
  <c r="EO107" i="69"/>
  <c r="EK107" i="69"/>
  <c r="EJ107" i="69"/>
  <c r="EF107" i="69"/>
  <c r="EA107" i="69"/>
  <c r="DZ107" i="69"/>
  <c r="DV107" i="69"/>
  <c r="DU107" i="69"/>
  <c r="DQ107" i="69"/>
  <c r="DP107" i="69"/>
  <c r="DL107" i="69"/>
  <c r="DK107" i="69"/>
  <c r="DG107" i="69"/>
  <c r="DF107" i="69"/>
  <c r="DB107" i="69"/>
  <c r="DA107" i="69"/>
  <c r="CW107" i="69"/>
  <c r="CR107" i="69"/>
  <c r="CL107" i="69"/>
  <c r="L107" i="69"/>
  <c r="K107" i="69"/>
  <c r="J107" i="69"/>
  <c r="I107" i="69"/>
  <c r="H107" i="69"/>
  <c r="G107" i="69"/>
  <c r="GX106" i="69"/>
  <c r="GW106" i="69"/>
  <c r="GS106" i="69"/>
  <c r="GR106" i="69"/>
  <c r="GN106" i="69"/>
  <c r="GM106" i="69"/>
  <c r="GI106" i="69"/>
  <c r="GH106" i="69"/>
  <c r="GD106" i="69"/>
  <c r="GC106" i="69"/>
  <c r="FY106" i="69"/>
  <c r="FX106" i="69"/>
  <c r="FT106" i="69"/>
  <c r="FS106" i="69"/>
  <c r="FO106" i="69"/>
  <c r="FN106" i="69"/>
  <c r="FJ106" i="69"/>
  <c r="FI106" i="69"/>
  <c r="FE106" i="69"/>
  <c r="FD106" i="69"/>
  <c r="EZ106" i="69"/>
  <c r="EY106" i="69"/>
  <c r="EU106" i="69"/>
  <c r="ET106" i="69"/>
  <c r="EP106" i="69"/>
  <c r="EO106" i="69"/>
  <c r="EK106" i="69"/>
  <c r="EJ106" i="69"/>
  <c r="EF106" i="69"/>
  <c r="EA106" i="69"/>
  <c r="DZ106" i="69"/>
  <c r="DV106" i="69"/>
  <c r="DU106" i="69"/>
  <c r="DQ106" i="69"/>
  <c r="DP106" i="69"/>
  <c r="DL106" i="69"/>
  <c r="DK106" i="69"/>
  <c r="DG106" i="69"/>
  <c r="DF106" i="69"/>
  <c r="DB106" i="69"/>
  <c r="DA106" i="69"/>
  <c r="CW106" i="69"/>
  <c r="CR106" i="69"/>
  <c r="CM106" i="69"/>
  <c r="CL106" i="69"/>
  <c r="CH106" i="69"/>
  <c r="CG106" i="69"/>
  <c r="CC106" i="69"/>
  <c r="CB106" i="69"/>
  <c r="BX106" i="69"/>
  <c r="BS106" i="69"/>
  <c r="BR106" i="69"/>
  <c r="BN106" i="69"/>
  <c r="BM106" i="69"/>
  <c r="BI106" i="69"/>
  <c r="BH106" i="69"/>
  <c r="L106" i="69"/>
  <c r="K106" i="69"/>
  <c r="J106" i="69"/>
  <c r="I106" i="69"/>
  <c r="H106" i="69"/>
  <c r="G106" i="69"/>
  <c r="GX105" i="69"/>
  <c r="GW105" i="69"/>
  <c r="GS105" i="69"/>
  <c r="GR105" i="69"/>
  <c r="GN105" i="69"/>
  <c r="GM105" i="69"/>
  <c r="GI105" i="69"/>
  <c r="GH105" i="69"/>
  <c r="GD105" i="69"/>
  <c r="GC105" i="69"/>
  <c r="FY105" i="69"/>
  <c r="FX105" i="69"/>
  <c r="FT105" i="69"/>
  <c r="FS105" i="69"/>
  <c r="FO105" i="69"/>
  <c r="FN105" i="69"/>
  <c r="FJ105" i="69"/>
  <c r="FI105" i="69"/>
  <c r="FE105" i="69"/>
  <c r="FD105" i="69"/>
  <c r="EZ105" i="69"/>
  <c r="EY105" i="69"/>
  <c r="EU105" i="69"/>
  <c r="ET105" i="69"/>
  <c r="EP105" i="69"/>
  <c r="EO105" i="69"/>
  <c r="EK105" i="69"/>
  <c r="EJ105" i="69"/>
  <c r="EF105" i="69"/>
  <c r="EA105" i="69"/>
  <c r="DZ105" i="69"/>
  <c r="DV105" i="69"/>
  <c r="DU105" i="69"/>
  <c r="DQ105" i="69"/>
  <c r="DP105" i="69"/>
  <c r="DL105" i="69"/>
  <c r="DK105" i="69"/>
  <c r="DG105" i="69"/>
  <c r="DF105" i="69"/>
  <c r="DB105" i="69"/>
  <c r="DA105" i="69"/>
  <c r="CW105" i="69"/>
  <c r="CR105" i="69"/>
  <c r="CM105" i="69"/>
  <c r="CL105" i="69"/>
  <c r="CH105" i="69"/>
  <c r="CG105" i="69"/>
  <c r="CC105" i="69"/>
  <c r="CB105" i="69"/>
  <c r="BX105" i="69"/>
  <c r="BS105" i="69"/>
  <c r="BR105" i="69"/>
  <c r="BN105" i="69"/>
  <c r="BM105" i="69"/>
  <c r="BI105" i="69"/>
  <c r="BH105" i="69"/>
  <c r="L105" i="69"/>
  <c r="K105" i="69"/>
  <c r="J105" i="69"/>
  <c r="I105" i="69"/>
  <c r="H105" i="69"/>
  <c r="G105" i="69"/>
  <c r="GX104" i="69"/>
  <c r="GW104" i="69"/>
  <c r="GS104" i="69"/>
  <c r="GR104" i="69"/>
  <c r="GN104" i="69"/>
  <c r="GM104" i="69"/>
  <c r="GI104" i="69"/>
  <c r="GH104" i="69"/>
  <c r="GD104" i="69"/>
  <c r="GC104" i="69"/>
  <c r="FY104" i="69"/>
  <c r="FX104" i="69"/>
  <c r="FT104" i="69"/>
  <c r="FS104" i="69"/>
  <c r="FO104" i="69"/>
  <c r="FN104" i="69"/>
  <c r="FJ104" i="69"/>
  <c r="FI104" i="69"/>
  <c r="FE104" i="69"/>
  <c r="FD104" i="69"/>
  <c r="EZ104" i="69"/>
  <c r="EY104" i="69"/>
  <c r="EU104" i="69"/>
  <c r="ET104" i="69"/>
  <c r="EP104" i="69"/>
  <c r="EO104" i="69"/>
  <c r="EK104" i="69"/>
  <c r="EJ104" i="69"/>
  <c r="EF104" i="69"/>
  <c r="EA104" i="69"/>
  <c r="DZ104" i="69"/>
  <c r="DV104" i="69"/>
  <c r="DU104" i="69"/>
  <c r="DQ104" i="69"/>
  <c r="DP104" i="69"/>
  <c r="DL104" i="69"/>
  <c r="DK104" i="69"/>
  <c r="DG104" i="69"/>
  <c r="DF104" i="69"/>
  <c r="DB104" i="69"/>
  <c r="DA104" i="69"/>
  <c r="CW104" i="69"/>
  <c r="CR104" i="69"/>
  <c r="CM104" i="69"/>
  <c r="CL104" i="69"/>
  <c r="CH104" i="69"/>
  <c r="CG104" i="69"/>
  <c r="CC104" i="69"/>
  <c r="CB104" i="69"/>
  <c r="BX104" i="69"/>
  <c r="BS104" i="69"/>
  <c r="BR104" i="69"/>
  <c r="BN104" i="69"/>
  <c r="BM104" i="69"/>
  <c r="BI104" i="69"/>
  <c r="BH104" i="69"/>
  <c r="L104" i="69"/>
  <c r="K104" i="69"/>
  <c r="J104" i="69"/>
  <c r="I104" i="69"/>
  <c r="H104" i="69"/>
  <c r="G104" i="69"/>
  <c r="GX103" i="69"/>
  <c r="GW103" i="69"/>
  <c r="GS103" i="69"/>
  <c r="GR103" i="69"/>
  <c r="GN103" i="69"/>
  <c r="GM103" i="69"/>
  <c r="GI103" i="69"/>
  <c r="GH103" i="69"/>
  <c r="GD103" i="69"/>
  <c r="GC103" i="69"/>
  <c r="FY103" i="69"/>
  <c r="FX103" i="69"/>
  <c r="FT103" i="69"/>
  <c r="FS103" i="69"/>
  <c r="FO103" i="69"/>
  <c r="FN103" i="69"/>
  <c r="FJ103" i="69"/>
  <c r="FI103" i="69"/>
  <c r="FE103" i="69"/>
  <c r="FD103" i="69"/>
  <c r="EZ103" i="69"/>
  <c r="EY103" i="69"/>
  <c r="EU103" i="69"/>
  <c r="ET103" i="69"/>
  <c r="EP103" i="69"/>
  <c r="EO103" i="69"/>
  <c r="EK103" i="69"/>
  <c r="EJ103" i="69"/>
  <c r="EF103" i="69"/>
  <c r="EA103" i="69"/>
  <c r="DZ103" i="69"/>
  <c r="DV103" i="69"/>
  <c r="DU103" i="69"/>
  <c r="DQ103" i="69"/>
  <c r="DP103" i="69"/>
  <c r="DL103" i="69"/>
  <c r="DK103" i="69"/>
  <c r="DG103" i="69"/>
  <c r="DF103" i="69"/>
  <c r="DB103" i="69"/>
  <c r="DA103" i="69"/>
  <c r="CW103" i="69"/>
  <c r="CR103" i="69"/>
  <c r="CM103" i="69"/>
  <c r="CL103" i="69"/>
  <c r="CH103" i="69"/>
  <c r="CG103" i="69"/>
  <c r="CC103" i="69"/>
  <c r="CB103" i="69"/>
  <c r="BX103" i="69"/>
  <c r="BS103" i="69"/>
  <c r="BR103" i="69"/>
  <c r="BN103" i="69"/>
  <c r="BM103" i="69"/>
  <c r="BI103" i="69"/>
  <c r="BH103" i="69"/>
  <c r="L103" i="69"/>
  <c r="K103" i="69"/>
  <c r="J103" i="69"/>
  <c r="I103" i="69"/>
  <c r="H103" i="69"/>
  <c r="G103" i="69"/>
  <c r="GX102" i="69"/>
  <c r="GW102" i="69"/>
  <c r="GS102" i="69"/>
  <c r="GR102" i="69"/>
  <c r="GN102" i="69"/>
  <c r="GM102" i="69"/>
  <c r="GI102" i="69"/>
  <c r="GH102" i="69"/>
  <c r="GD102" i="69"/>
  <c r="GC102" i="69"/>
  <c r="FY102" i="69"/>
  <c r="FX102" i="69"/>
  <c r="FT102" i="69"/>
  <c r="FS102" i="69"/>
  <c r="FO102" i="69"/>
  <c r="FN102" i="69"/>
  <c r="FJ102" i="69"/>
  <c r="FI102" i="69"/>
  <c r="FE102" i="69"/>
  <c r="FD102" i="69"/>
  <c r="EZ102" i="69"/>
  <c r="EY102" i="69"/>
  <c r="EU102" i="69"/>
  <c r="ET102" i="69"/>
  <c r="EP102" i="69"/>
  <c r="EO102" i="69"/>
  <c r="EK102" i="69"/>
  <c r="EJ102" i="69"/>
  <c r="EF102" i="69"/>
  <c r="EA102" i="69"/>
  <c r="DZ102" i="69"/>
  <c r="DV102" i="69"/>
  <c r="DU102" i="69"/>
  <c r="DQ102" i="69"/>
  <c r="DP102" i="69"/>
  <c r="DL102" i="69"/>
  <c r="DK102" i="69"/>
  <c r="DG102" i="69"/>
  <c r="DF102" i="69"/>
  <c r="DB102" i="69"/>
  <c r="DA102" i="69"/>
  <c r="CW102" i="69"/>
  <c r="CR102" i="69"/>
  <c r="CM102" i="69"/>
  <c r="CL102" i="69"/>
  <c r="CH102" i="69"/>
  <c r="CG102" i="69"/>
  <c r="CC102" i="69"/>
  <c r="CB102" i="69"/>
  <c r="BX102" i="69"/>
  <c r="BS102" i="69"/>
  <c r="BR102" i="69"/>
  <c r="BN102" i="69"/>
  <c r="BM102" i="69"/>
  <c r="BI102" i="69"/>
  <c r="BH102" i="69"/>
  <c r="L102" i="69"/>
  <c r="K102" i="69"/>
  <c r="J102" i="69"/>
  <c r="I102" i="69"/>
  <c r="H102" i="69"/>
  <c r="G102" i="69"/>
  <c r="GX101" i="69"/>
  <c r="GW101" i="69"/>
  <c r="GS101" i="69"/>
  <c r="GR101" i="69"/>
  <c r="GN101" i="69"/>
  <c r="GM101" i="69"/>
  <c r="GI101" i="69"/>
  <c r="GH101" i="69"/>
  <c r="GD101" i="69"/>
  <c r="GC101" i="69"/>
  <c r="FY101" i="69"/>
  <c r="FX101" i="69"/>
  <c r="FT101" i="69"/>
  <c r="FS101" i="69"/>
  <c r="FO101" i="69"/>
  <c r="FN101" i="69"/>
  <c r="FJ101" i="69"/>
  <c r="FI101" i="69"/>
  <c r="FE101" i="69"/>
  <c r="FD101" i="69"/>
  <c r="EZ101" i="69"/>
  <c r="EY101" i="69"/>
  <c r="EU101" i="69"/>
  <c r="ET101" i="69"/>
  <c r="EP101" i="69"/>
  <c r="EO101" i="69"/>
  <c r="EK101" i="69"/>
  <c r="EJ101" i="69"/>
  <c r="EF101" i="69"/>
  <c r="EA101" i="69"/>
  <c r="DZ101" i="69"/>
  <c r="DV101" i="69"/>
  <c r="DU101" i="69"/>
  <c r="DQ101" i="69"/>
  <c r="DP101" i="69"/>
  <c r="DL101" i="69"/>
  <c r="DK101" i="69"/>
  <c r="DG101" i="69"/>
  <c r="DF101" i="69"/>
  <c r="DB101" i="69"/>
  <c r="DA101" i="69"/>
  <c r="CW101" i="69"/>
  <c r="CR101" i="69"/>
  <c r="CM101" i="69"/>
  <c r="CL101" i="69"/>
  <c r="CH101" i="69"/>
  <c r="CG101" i="69"/>
  <c r="CC101" i="69"/>
  <c r="CB101" i="69"/>
  <c r="BX101" i="69"/>
  <c r="BS101" i="69"/>
  <c r="BR101" i="69"/>
  <c r="BN101" i="69"/>
  <c r="BM101" i="69"/>
  <c r="BI101" i="69"/>
  <c r="BH101" i="69"/>
  <c r="L101" i="69"/>
  <c r="K101" i="69"/>
  <c r="J101" i="69"/>
  <c r="I101" i="69"/>
  <c r="H101" i="69"/>
  <c r="G101" i="69"/>
  <c r="GX100" i="69"/>
  <c r="GW100" i="69"/>
  <c r="GS100" i="69"/>
  <c r="GR100" i="69"/>
  <c r="GN100" i="69"/>
  <c r="GM100" i="69"/>
  <c r="GI100" i="69"/>
  <c r="GH100" i="69"/>
  <c r="GD100" i="69"/>
  <c r="GC100" i="69"/>
  <c r="FY100" i="69"/>
  <c r="FX100" i="69"/>
  <c r="FT100" i="69"/>
  <c r="FS100" i="69"/>
  <c r="FO100" i="69"/>
  <c r="FN100" i="69"/>
  <c r="FJ100" i="69"/>
  <c r="FI100" i="69"/>
  <c r="FE100" i="69"/>
  <c r="FD100" i="69"/>
  <c r="EZ100" i="69"/>
  <c r="EY100" i="69"/>
  <c r="EU100" i="69"/>
  <c r="ET100" i="69"/>
  <c r="EP100" i="69"/>
  <c r="EO100" i="69"/>
  <c r="EK100" i="69"/>
  <c r="EJ100" i="69"/>
  <c r="EF100" i="69"/>
  <c r="EA100" i="69"/>
  <c r="DZ100" i="69"/>
  <c r="DV100" i="69"/>
  <c r="DU100" i="69"/>
  <c r="DQ100" i="69"/>
  <c r="DP100" i="69"/>
  <c r="DL100" i="69"/>
  <c r="DK100" i="69"/>
  <c r="DG100" i="69"/>
  <c r="DF100" i="69"/>
  <c r="L100" i="69"/>
  <c r="K100" i="69"/>
  <c r="J100" i="69"/>
  <c r="I100" i="69"/>
  <c r="H100" i="69"/>
  <c r="G100" i="69"/>
  <c r="GX99" i="69"/>
  <c r="GW99" i="69"/>
  <c r="GS99" i="69"/>
  <c r="GR99" i="69"/>
  <c r="GN99" i="69"/>
  <c r="GM99" i="69"/>
  <c r="GI99" i="69"/>
  <c r="GH99" i="69"/>
  <c r="GD99" i="69"/>
  <c r="GC99" i="69"/>
  <c r="FY99" i="69"/>
  <c r="FX99" i="69"/>
  <c r="FT99" i="69"/>
  <c r="FS99" i="69"/>
  <c r="FO99" i="69"/>
  <c r="FN99" i="69"/>
  <c r="FJ99" i="69"/>
  <c r="FI99" i="69"/>
  <c r="FE99" i="69"/>
  <c r="FD99" i="69"/>
  <c r="EZ99" i="69"/>
  <c r="EY99" i="69"/>
  <c r="EU99" i="69"/>
  <c r="ET99" i="69"/>
  <c r="EP99" i="69"/>
  <c r="EO99" i="69"/>
  <c r="EK99" i="69"/>
  <c r="EJ99" i="69"/>
  <c r="EF99" i="69"/>
  <c r="EA99" i="69"/>
  <c r="DZ99" i="69"/>
  <c r="DV99" i="69"/>
  <c r="DU99" i="69"/>
  <c r="DQ99" i="69"/>
  <c r="DP99" i="69"/>
  <c r="DL99" i="69"/>
  <c r="DK99" i="69"/>
  <c r="DG99" i="69"/>
  <c r="DF99" i="69"/>
  <c r="L99" i="69"/>
  <c r="K99" i="69"/>
  <c r="J99" i="69"/>
  <c r="I99" i="69"/>
  <c r="H99" i="69"/>
  <c r="G99" i="69"/>
  <c r="GX98" i="69"/>
  <c r="GW98" i="69"/>
  <c r="GS98" i="69"/>
  <c r="GR98" i="69"/>
  <c r="GN98" i="69"/>
  <c r="GM98" i="69"/>
  <c r="GI98" i="69"/>
  <c r="GH98" i="69"/>
  <c r="GD98" i="69"/>
  <c r="GC98" i="69"/>
  <c r="FY98" i="69"/>
  <c r="FX98" i="69"/>
  <c r="FT98" i="69"/>
  <c r="FS98" i="69"/>
  <c r="FO98" i="69"/>
  <c r="FN98" i="69"/>
  <c r="FJ98" i="69"/>
  <c r="FI98" i="69"/>
  <c r="FE98" i="69"/>
  <c r="FD98" i="69"/>
  <c r="EZ98" i="69"/>
  <c r="EY98" i="69"/>
  <c r="EU98" i="69"/>
  <c r="ET98" i="69"/>
  <c r="EP98" i="69"/>
  <c r="EO98" i="69"/>
  <c r="EK98" i="69"/>
  <c r="EJ98" i="69"/>
  <c r="EF98" i="69"/>
  <c r="EA98" i="69"/>
  <c r="DZ98" i="69"/>
  <c r="DV98" i="69"/>
  <c r="DU98" i="69"/>
  <c r="DQ98" i="69"/>
  <c r="DP98" i="69"/>
  <c r="DL98" i="69"/>
  <c r="DK98" i="69"/>
  <c r="DG98" i="69"/>
  <c r="DF98" i="69"/>
  <c r="L98" i="69"/>
  <c r="K98" i="69"/>
  <c r="J98" i="69"/>
  <c r="I98" i="69"/>
  <c r="H98" i="69"/>
  <c r="G98" i="69"/>
  <c r="GX97" i="69"/>
  <c r="GW97" i="69"/>
  <c r="GS97" i="69"/>
  <c r="GR97" i="69"/>
  <c r="GN97" i="69"/>
  <c r="GM97" i="69"/>
  <c r="GI97" i="69"/>
  <c r="GH97" i="69"/>
  <c r="GD97" i="69"/>
  <c r="GC97" i="69"/>
  <c r="FY97" i="69"/>
  <c r="FX97" i="69"/>
  <c r="FT97" i="69"/>
  <c r="FS97" i="69"/>
  <c r="FO97" i="69"/>
  <c r="FN97" i="69"/>
  <c r="FJ97" i="69"/>
  <c r="FI97" i="69"/>
  <c r="FE97" i="69"/>
  <c r="FD97" i="69"/>
  <c r="EZ97" i="69"/>
  <c r="EY97" i="69"/>
  <c r="EU97" i="69"/>
  <c r="ET97" i="69"/>
  <c r="EP97" i="69"/>
  <c r="EO97" i="69"/>
  <c r="EK97" i="69"/>
  <c r="EJ97" i="69"/>
  <c r="EF97" i="69"/>
  <c r="EA97" i="69"/>
  <c r="DZ97" i="69"/>
  <c r="DV97" i="69"/>
  <c r="DU97" i="69"/>
  <c r="DQ97" i="69"/>
  <c r="DP97" i="69"/>
  <c r="DL97" i="69"/>
  <c r="DK97" i="69"/>
  <c r="DG97" i="69"/>
  <c r="DF97" i="69"/>
  <c r="L97" i="69"/>
  <c r="K97" i="69"/>
  <c r="J97" i="69"/>
  <c r="I97" i="69"/>
  <c r="H97" i="69"/>
  <c r="G97" i="69"/>
  <c r="GX96" i="69"/>
  <c r="GW96" i="69"/>
  <c r="GS96" i="69"/>
  <c r="GR96" i="69"/>
  <c r="GN96" i="69"/>
  <c r="GM96" i="69"/>
  <c r="GI96" i="69"/>
  <c r="GH96" i="69"/>
  <c r="GD96" i="69"/>
  <c r="GC96" i="69"/>
  <c r="FY96" i="69"/>
  <c r="FX96" i="69"/>
  <c r="FT96" i="69"/>
  <c r="FS96" i="69"/>
  <c r="FO96" i="69"/>
  <c r="FN96" i="69"/>
  <c r="FJ96" i="69"/>
  <c r="FI96" i="69"/>
  <c r="FE96" i="69"/>
  <c r="FD96" i="69"/>
  <c r="EZ96" i="69"/>
  <c r="EY96" i="69"/>
  <c r="EU96" i="69"/>
  <c r="ET96" i="69"/>
  <c r="EP96" i="69"/>
  <c r="EO96" i="69"/>
  <c r="EK96" i="69"/>
  <c r="EJ96" i="69"/>
  <c r="EF96" i="69"/>
  <c r="EA96" i="69"/>
  <c r="DZ96" i="69"/>
  <c r="DV96" i="69"/>
  <c r="DU96" i="69"/>
  <c r="DQ96" i="69"/>
  <c r="DP96" i="69"/>
  <c r="DL96" i="69"/>
  <c r="DK96" i="69"/>
  <c r="DG96" i="69"/>
  <c r="DF96" i="69"/>
  <c r="L96" i="69"/>
  <c r="K96" i="69"/>
  <c r="J96" i="69"/>
  <c r="I96" i="69"/>
  <c r="H96" i="69"/>
  <c r="G96" i="69"/>
  <c r="GX95" i="69"/>
  <c r="GW95" i="69"/>
  <c r="GS95" i="69"/>
  <c r="GR95" i="69"/>
  <c r="GN95" i="69"/>
  <c r="GM95" i="69"/>
  <c r="GI95" i="69"/>
  <c r="GH95" i="69"/>
  <c r="GD95" i="69"/>
  <c r="GC95" i="69"/>
  <c r="FY95" i="69"/>
  <c r="FX95" i="69"/>
  <c r="FT95" i="69"/>
  <c r="FS95" i="69"/>
  <c r="FO95" i="69"/>
  <c r="FN95" i="69"/>
  <c r="FJ95" i="69"/>
  <c r="FI95" i="69"/>
  <c r="FE95" i="69"/>
  <c r="FD95" i="69"/>
  <c r="EZ95" i="69"/>
  <c r="EY95" i="69"/>
  <c r="EU95" i="69"/>
  <c r="ET95" i="69"/>
  <c r="EP95" i="69"/>
  <c r="EO95" i="69"/>
  <c r="EK95" i="69"/>
  <c r="EJ95" i="69"/>
  <c r="EF95" i="69"/>
  <c r="EA95" i="69"/>
  <c r="DZ95" i="69"/>
  <c r="DV95" i="69"/>
  <c r="DU95" i="69"/>
  <c r="DQ95" i="69"/>
  <c r="DP95" i="69"/>
  <c r="DL95" i="69"/>
  <c r="DK95" i="69"/>
  <c r="DG95" i="69"/>
  <c r="DF95" i="69"/>
  <c r="L95" i="69"/>
  <c r="K95" i="69"/>
  <c r="J95" i="69"/>
  <c r="I95" i="69"/>
  <c r="H95" i="69"/>
  <c r="G95" i="69"/>
  <c r="GX94" i="69"/>
  <c r="GW94" i="69"/>
  <c r="GS94" i="69"/>
  <c r="GR94" i="69"/>
  <c r="GN94" i="69"/>
  <c r="GM94" i="69"/>
  <c r="GI94" i="69"/>
  <c r="GH94" i="69"/>
  <c r="GD94" i="69"/>
  <c r="GC94" i="69"/>
  <c r="FY94" i="69"/>
  <c r="FX94" i="69"/>
  <c r="FT94" i="69"/>
  <c r="FS94" i="69"/>
  <c r="FO94" i="69"/>
  <c r="FN94" i="69"/>
  <c r="FJ94" i="69"/>
  <c r="FI94" i="69"/>
  <c r="FE94" i="69"/>
  <c r="FD94" i="69"/>
  <c r="EZ94" i="69"/>
  <c r="EY94" i="69"/>
  <c r="EU94" i="69"/>
  <c r="ET94" i="69"/>
  <c r="EP94" i="69"/>
  <c r="EO94" i="69"/>
  <c r="EK94" i="69"/>
  <c r="EJ94" i="69"/>
  <c r="EF94" i="69"/>
  <c r="EA94" i="69"/>
  <c r="DZ94" i="69"/>
  <c r="DV94" i="69"/>
  <c r="DU94" i="69"/>
  <c r="DQ94" i="69"/>
  <c r="DP94" i="69"/>
  <c r="DL94" i="69"/>
  <c r="DK94" i="69"/>
  <c r="DG94" i="69"/>
  <c r="DF94" i="69"/>
  <c r="DB94" i="69"/>
  <c r="DA94" i="69"/>
  <c r="CW94" i="69"/>
  <c r="CR94" i="69"/>
  <c r="CM94" i="69"/>
  <c r="CL94" i="69"/>
  <c r="CH94" i="69"/>
  <c r="CG94" i="69"/>
  <c r="CC94" i="69"/>
  <c r="CB94" i="69"/>
  <c r="BX94" i="69"/>
  <c r="BS94" i="69"/>
  <c r="BR94" i="69"/>
  <c r="BN94" i="69"/>
  <c r="BM94" i="69"/>
  <c r="BI94" i="69"/>
  <c r="BH94" i="69"/>
  <c r="L94" i="69"/>
  <c r="K94" i="69"/>
  <c r="J94" i="69"/>
  <c r="I94" i="69"/>
  <c r="H94" i="69"/>
  <c r="G94" i="69"/>
  <c r="GX93" i="69"/>
  <c r="GW93" i="69"/>
  <c r="GS93" i="69"/>
  <c r="GR93" i="69"/>
  <c r="GN93" i="69"/>
  <c r="GM93" i="69"/>
  <c r="GI93" i="69"/>
  <c r="GH93" i="69"/>
  <c r="GD93" i="69"/>
  <c r="GC93" i="69"/>
  <c r="FY93" i="69"/>
  <c r="FX93" i="69"/>
  <c r="FT93" i="69"/>
  <c r="FS93" i="69"/>
  <c r="FO93" i="69"/>
  <c r="FN93" i="69"/>
  <c r="FJ93" i="69"/>
  <c r="FI93" i="69"/>
  <c r="FE93" i="69"/>
  <c r="FD93" i="69"/>
  <c r="EZ93" i="69"/>
  <c r="EY93" i="69"/>
  <c r="EU93" i="69"/>
  <c r="ET93" i="69"/>
  <c r="EP93" i="69"/>
  <c r="EO93" i="69"/>
  <c r="EK93" i="69"/>
  <c r="EJ93" i="69"/>
  <c r="EF93" i="69"/>
  <c r="EA93" i="69"/>
  <c r="DZ93" i="69"/>
  <c r="DV93" i="69"/>
  <c r="DU93" i="69"/>
  <c r="DQ93" i="69"/>
  <c r="DP93" i="69"/>
  <c r="DL93" i="69"/>
  <c r="DK93" i="69"/>
  <c r="DG93" i="69"/>
  <c r="DF93" i="69"/>
  <c r="DB93" i="69"/>
  <c r="DA93" i="69"/>
  <c r="CW93" i="69"/>
  <c r="CR93" i="69"/>
  <c r="CM93" i="69"/>
  <c r="CL93" i="69"/>
  <c r="CH93" i="69"/>
  <c r="CG93" i="69"/>
  <c r="CC93" i="69"/>
  <c r="CB93" i="69"/>
  <c r="BX93" i="69"/>
  <c r="BS93" i="69"/>
  <c r="BR93" i="69"/>
  <c r="BN93" i="69"/>
  <c r="BM93" i="69"/>
  <c r="BI93" i="69"/>
  <c r="BH93" i="69"/>
  <c r="L93" i="69"/>
  <c r="K93" i="69"/>
  <c r="J93" i="69"/>
  <c r="I93" i="69"/>
  <c r="H93" i="69"/>
  <c r="G93" i="69"/>
  <c r="GX92" i="69"/>
  <c r="GW92" i="69"/>
  <c r="GS92" i="69"/>
  <c r="GR92" i="69"/>
  <c r="GN92" i="69"/>
  <c r="GM92" i="69"/>
  <c r="GI92" i="69"/>
  <c r="GH92" i="69"/>
  <c r="GD92" i="69"/>
  <c r="GC92" i="69"/>
  <c r="FY92" i="69"/>
  <c r="FX92" i="69"/>
  <c r="FT92" i="69"/>
  <c r="FS92" i="69"/>
  <c r="FO92" i="69"/>
  <c r="FN92" i="69"/>
  <c r="FJ92" i="69"/>
  <c r="FI92" i="69"/>
  <c r="FE92" i="69"/>
  <c r="FD92" i="69"/>
  <c r="EZ92" i="69"/>
  <c r="EY92" i="69"/>
  <c r="EU92" i="69"/>
  <c r="ET92" i="69"/>
  <c r="EP92" i="69"/>
  <c r="EO92" i="69"/>
  <c r="EK92" i="69"/>
  <c r="EJ92" i="69"/>
  <c r="EF92" i="69"/>
  <c r="EA92" i="69"/>
  <c r="DZ92" i="69"/>
  <c r="DV92" i="69"/>
  <c r="DU92" i="69"/>
  <c r="DQ92" i="69"/>
  <c r="DP92" i="69"/>
  <c r="DL92" i="69"/>
  <c r="DK92" i="69"/>
  <c r="DG92" i="69"/>
  <c r="DF92" i="69"/>
  <c r="DB92" i="69"/>
  <c r="DA92" i="69"/>
  <c r="CW92" i="69"/>
  <c r="CR92" i="69"/>
  <c r="CM92" i="69"/>
  <c r="CL92" i="69"/>
  <c r="CH92" i="69"/>
  <c r="CG92" i="69"/>
  <c r="CC92" i="69"/>
  <c r="CB92" i="69"/>
  <c r="BX92" i="69"/>
  <c r="BS92" i="69"/>
  <c r="BR92" i="69"/>
  <c r="BN92" i="69"/>
  <c r="BM92" i="69"/>
  <c r="BI92" i="69"/>
  <c r="BH92" i="69"/>
  <c r="L92" i="69"/>
  <c r="K92" i="69"/>
  <c r="J92" i="69"/>
  <c r="I92" i="69"/>
  <c r="H92" i="69"/>
  <c r="G92" i="69"/>
  <c r="GX91" i="69"/>
  <c r="GW91" i="69"/>
  <c r="GS91" i="69"/>
  <c r="GR91" i="69"/>
  <c r="GN91" i="69"/>
  <c r="GM91" i="69"/>
  <c r="GI91" i="69"/>
  <c r="GH91" i="69"/>
  <c r="GD91" i="69"/>
  <c r="GC91" i="69"/>
  <c r="FY91" i="69"/>
  <c r="FX91" i="69"/>
  <c r="FT91" i="69"/>
  <c r="FS91" i="69"/>
  <c r="FO91" i="69"/>
  <c r="FN91" i="69"/>
  <c r="FJ91" i="69"/>
  <c r="FI91" i="69"/>
  <c r="FE91" i="69"/>
  <c r="FD91" i="69"/>
  <c r="EZ91" i="69"/>
  <c r="EY91" i="69"/>
  <c r="EU91" i="69"/>
  <c r="ET91" i="69"/>
  <c r="EP91" i="69"/>
  <c r="EO91" i="69"/>
  <c r="EK91" i="69"/>
  <c r="EJ91" i="69"/>
  <c r="EF91" i="69"/>
  <c r="EA91" i="69"/>
  <c r="DZ91" i="69"/>
  <c r="DV91" i="69"/>
  <c r="DU91" i="69"/>
  <c r="DQ91" i="69"/>
  <c r="DP91" i="69"/>
  <c r="DL91" i="69"/>
  <c r="DK91" i="69"/>
  <c r="DG91" i="69"/>
  <c r="DF91" i="69"/>
  <c r="DB91" i="69"/>
  <c r="DA91" i="69"/>
  <c r="CW91" i="69"/>
  <c r="CR91" i="69"/>
  <c r="CM91" i="69"/>
  <c r="CL91" i="69"/>
  <c r="CH91" i="69"/>
  <c r="CG91" i="69"/>
  <c r="CC91" i="69"/>
  <c r="CB91" i="69"/>
  <c r="BX91" i="69"/>
  <c r="BS91" i="69"/>
  <c r="BR91" i="69"/>
  <c r="BN91" i="69"/>
  <c r="BM91" i="69"/>
  <c r="BI91" i="69"/>
  <c r="BH91" i="69"/>
  <c r="BD91" i="69"/>
  <c r="BC91" i="69"/>
  <c r="AY91" i="69"/>
  <c r="AX91" i="69"/>
  <c r="L91" i="69"/>
  <c r="K91" i="69"/>
  <c r="J91" i="69"/>
  <c r="I91" i="69"/>
  <c r="H91" i="69"/>
  <c r="G91" i="69"/>
  <c r="GX90" i="69"/>
  <c r="GW90" i="69"/>
  <c r="GS90" i="69"/>
  <c r="GR90" i="69"/>
  <c r="GN90" i="69"/>
  <c r="GM90" i="69"/>
  <c r="GI90" i="69"/>
  <c r="GH90" i="69"/>
  <c r="GD90" i="69"/>
  <c r="GC90" i="69"/>
  <c r="FY90" i="69"/>
  <c r="FX90" i="69"/>
  <c r="FT90" i="69"/>
  <c r="FS90" i="69"/>
  <c r="FO90" i="69"/>
  <c r="FN90" i="69"/>
  <c r="FJ90" i="69"/>
  <c r="FI90" i="69"/>
  <c r="FE90" i="69"/>
  <c r="FD90" i="69"/>
  <c r="EZ90" i="69"/>
  <c r="EY90" i="69"/>
  <c r="EU90" i="69"/>
  <c r="ET90" i="69"/>
  <c r="EP90" i="69"/>
  <c r="EO90" i="69"/>
  <c r="EK90" i="69"/>
  <c r="EJ90" i="69"/>
  <c r="EF90" i="69"/>
  <c r="EA90" i="69"/>
  <c r="DZ90" i="69"/>
  <c r="DV90" i="69"/>
  <c r="DU90" i="69"/>
  <c r="DQ90" i="69"/>
  <c r="DP90" i="69"/>
  <c r="DL90" i="69"/>
  <c r="DK90" i="69"/>
  <c r="DG90" i="69"/>
  <c r="DF90" i="69"/>
  <c r="DB90" i="69"/>
  <c r="DA90" i="69"/>
  <c r="CW90" i="69"/>
  <c r="CR90" i="69"/>
  <c r="CM90" i="69"/>
  <c r="CL90" i="69"/>
  <c r="CH90" i="69"/>
  <c r="CG90" i="69"/>
  <c r="CC90" i="69"/>
  <c r="CB90" i="69"/>
  <c r="BX90" i="69"/>
  <c r="BS90" i="69"/>
  <c r="BR90" i="69"/>
  <c r="BN90" i="69"/>
  <c r="BM90" i="69"/>
  <c r="BI90" i="69"/>
  <c r="BH90" i="69"/>
  <c r="BD90" i="69"/>
  <c r="BC90" i="69"/>
  <c r="AY90" i="69"/>
  <c r="AX90" i="69"/>
  <c r="L90" i="69"/>
  <c r="K90" i="69"/>
  <c r="J90" i="69"/>
  <c r="I90" i="69"/>
  <c r="H90" i="69"/>
  <c r="G90" i="69"/>
  <c r="GX89" i="69"/>
  <c r="GW89" i="69"/>
  <c r="GS89" i="69"/>
  <c r="GR89" i="69"/>
  <c r="GN89" i="69"/>
  <c r="GM89" i="69"/>
  <c r="GI89" i="69"/>
  <c r="GH89" i="69"/>
  <c r="GD89" i="69"/>
  <c r="GC89" i="69"/>
  <c r="FY89" i="69"/>
  <c r="FX89" i="69"/>
  <c r="FT89" i="69"/>
  <c r="FS89" i="69"/>
  <c r="FO89" i="69"/>
  <c r="FN89" i="69"/>
  <c r="FJ89" i="69"/>
  <c r="FI89" i="69"/>
  <c r="FE89" i="69"/>
  <c r="FD89" i="69"/>
  <c r="EZ89" i="69"/>
  <c r="EY89" i="69"/>
  <c r="EU89" i="69"/>
  <c r="ET89" i="69"/>
  <c r="EP89" i="69"/>
  <c r="EO89" i="69"/>
  <c r="EK89" i="69"/>
  <c r="EJ89" i="69"/>
  <c r="EF89" i="69"/>
  <c r="EA89" i="69"/>
  <c r="DZ89" i="69"/>
  <c r="DV89" i="69"/>
  <c r="DU89" i="69"/>
  <c r="DQ89" i="69"/>
  <c r="DP89" i="69"/>
  <c r="DL89" i="69"/>
  <c r="DK89" i="69"/>
  <c r="DG89" i="69"/>
  <c r="DF89" i="69"/>
  <c r="DB89" i="69"/>
  <c r="DA89" i="69"/>
  <c r="CW89" i="69"/>
  <c r="CR89" i="69"/>
  <c r="CM89" i="69"/>
  <c r="CL89" i="69"/>
  <c r="CH89" i="69"/>
  <c r="CG89" i="69"/>
  <c r="CC89" i="69"/>
  <c r="CB89" i="69"/>
  <c r="BX89" i="69"/>
  <c r="BS89" i="69"/>
  <c r="BR89" i="69"/>
  <c r="BN89" i="69"/>
  <c r="BM89" i="69"/>
  <c r="BI89" i="69"/>
  <c r="BH89" i="69"/>
  <c r="BD89" i="69"/>
  <c r="BC89" i="69"/>
  <c r="AY89" i="69"/>
  <c r="AX89" i="69"/>
  <c r="L89" i="69"/>
  <c r="K89" i="69"/>
  <c r="J89" i="69"/>
  <c r="I89" i="69"/>
  <c r="H89" i="69"/>
  <c r="G89" i="69"/>
  <c r="GX88" i="69"/>
  <c r="GW88" i="69"/>
  <c r="GS88" i="69"/>
  <c r="GR88" i="69"/>
  <c r="GN88" i="69"/>
  <c r="GM88" i="69"/>
  <c r="GI88" i="69"/>
  <c r="GH88" i="69"/>
  <c r="GD88" i="69"/>
  <c r="GC88" i="69"/>
  <c r="FY88" i="69"/>
  <c r="FX88" i="69"/>
  <c r="FT88" i="69"/>
  <c r="FS88" i="69"/>
  <c r="FO88" i="69"/>
  <c r="FN88" i="69"/>
  <c r="FJ88" i="69"/>
  <c r="FI88" i="69"/>
  <c r="FE88" i="69"/>
  <c r="FD88" i="69"/>
  <c r="EZ88" i="69"/>
  <c r="EY88" i="69"/>
  <c r="EU88" i="69"/>
  <c r="ET88" i="69"/>
  <c r="EP88" i="69"/>
  <c r="EO88" i="69"/>
  <c r="EK88" i="69"/>
  <c r="EJ88" i="69"/>
  <c r="EF88" i="69"/>
  <c r="EA88" i="69"/>
  <c r="DZ88" i="69"/>
  <c r="DV88" i="69"/>
  <c r="DU88" i="69"/>
  <c r="DQ88" i="69"/>
  <c r="DP88" i="69"/>
  <c r="DL88" i="69"/>
  <c r="DK88" i="69"/>
  <c r="DG88" i="69"/>
  <c r="DF88" i="69"/>
  <c r="DB88" i="69"/>
  <c r="DA88" i="69"/>
  <c r="CW88" i="69"/>
  <c r="CR88" i="69"/>
  <c r="CM88" i="69"/>
  <c r="CL88" i="69"/>
  <c r="CH88" i="69"/>
  <c r="CG88" i="69"/>
  <c r="CC88" i="69"/>
  <c r="CB88" i="69"/>
  <c r="BX88" i="69"/>
  <c r="BS88" i="69"/>
  <c r="BR88" i="69"/>
  <c r="BN88" i="69"/>
  <c r="BM88" i="69"/>
  <c r="BI88" i="69"/>
  <c r="BH88" i="69"/>
  <c r="BD88" i="69"/>
  <c r="BC88" i="69"/>
  <c r="AY88" i="69"/>
  <c r="AX88" i="69"/>
  <c r="AU88" i="69"/>
  <c r="L88" i="69"/>
  <c r="K88" i="69"/>
  <c r="J88" i="69"/>
  <c r="I88" i="69"/>
  <c r="H88" i="69"/>
  <c r="G88" i="69"/>
  <c r="GX87" i="69"/>
  <c r="GW87" i="69"/>
  <c r="GS87" i="69"/>
  <c r="GR87" i="69"/>
  <c r="GN87" i="69"/>
  <c r="GM87" i="69"/>
  <c r="GI87" i="69"/>
  <c r="GH87" i="69"/>
  <c r="GD87" i="69"/>
  <c r="GC87" i="69"/>
  <c r="FY87" i="69"/>
  <c r="FX87" i="69"/>
  <c r="FT87" i="69"/>
  <c r="FS87" i="69"/>
  <c r="FO87" i="69"/>
  <c r="FN87" i="69"/>
  <c r="FJ87" i="69"/>
  <c r="FI87" i="69"/>
  <c r="FE87" i="69"/>
  <c r="FD87" i="69"/>
  <c r="EZ87" i="69"/>
  <c r="EY87" i="69"/>
  <c r="EU87" i="69"/>
  <c r="ET87" i="69"/>
  <c r="EP87" i="69"/>
  <c r="EO87" i="69"/>
  <c r="EK87" i="69"/>
  <c r="EJ87" i="69"/>
  <c r="EF87" i="69"/>
  <c r="EA87" i="69"/>
  <c r="DZ87" i="69"/>
  <c r="DV87" i="69"/>
  <c r="DU87" i="69"/>
  <c r="DQ87" i="69"/>
  <c r="DP87" i="69"/>
  <c r="DL87" i="69"/>
  <c r="DK87" i="69"/>
  <c r="DG87" i="69"/>
  <c r="DF87" i="69"/>
  <c r="DB87" i="69"/>
  <c r="DA87" i="69"/>
  <c r="CW87" i="69"/>
  <c r="CR87" i="69"/>
  <c r="CM87" i="69"/>
  <c r="CL87" i="69"/>
  <c r="CH87" i="69"/>
  <c r="CG87" i="69"/>
  <c r="CC87" i="69"/>
  <c r="CB87" i="69"/>
  <c r="BX87" i="69"/>
  <c r="BS87" i="69"/>
  <c r="BR87" i="69"/>
  <c r="BN87" i="69"/>
  <c r="BM87" i="69"/>
  <c r="BI87" i="69"/>
  <c r="BH87" i="69"/>
  <c r="BD87" i="69"/>
  <c r="BC87" i="69"/>
  <c r="AY87" i="69"/>
  <c r="AX87" i="69"/>
  <c r="L87" i="69"/>
  <c r="K87" i="69"/>
  <c r="J87" i="69"/>
  <c r="I87" i="69"/>
  <c r="H87" i="69"/>
  <c r="G87" i="69"/>
  <c r="GX86" i="69"/>
  <c r="GW86" i="69"/>
  <c r="GS86" i="69"/>
  <c r="GR86" i="69"/>
  <c r="GN86" i="69"/>
  <c r="GM86" i="69"/>
  <c r="GI86" i="69"/>
  <c r="GH86" i="69"/>
  <c r="GD86" i="69"/>
  <c r="GC86" i="69"/>
  <c r="FY86" i="69"/>
  <c r="FX86" i="69"/>
  <c r="FT86" i="69"/>
  <c r="FS86" i="69"/>
  <c r="FO86" i="69"/>
  <c r="FN86" i="69"/>
  <c r="FJ86" i="69"/>
  <c r="FI86" i="69"/>
  <c r="FE86" i="69"/>
  <c r="FD86" i="69"/>
  <c r="EZ86" i="69"/>
  <c r="EY86" i="69"/>
  <c r="EU86" i="69"/>
  <c r="ET86" i="69"/>
  <c r="EP86" i="69"/>
  <c r="EO86" i="69"/>
  <c r="EK86" i="69"/>
  <c r="EJ86" i="69"/>
  <c r="EF86" i="69"/>
  <c r="EA86" i="69"/>
  <c r="DZ86" i="69"/>
  <c r="DV86" i="69"/>
  <c r="DU86" i="69"/>
  <c r="DQ86" i="69"/>
  <c r="DP86" i="69"/>
  <c r="DL86" i="69"/>
  <c r="DK86" i="69"/>
  <c r="DG86" i="69"/>
  <c r="DF86" i="69"/>
  <c r="DB86" i="69"/>
  <c r="DA86" i="69"/>
  <c r="CW86" i="69"/>
  <c r="CR86" i="69"/>
  <c r="CM86" i="69"/>
  <c r="CL86" i="69"/>
  <c r="CH86" i="69"/>
  <c r="CG86" i="69"/>
  <c r="CC86" i="69"/>
  <c r="CB86" i="69"/>
  <c r="BX86" i="69"/>
  <c r="BS86" i="69"/>
  <c r="BR86" i="69"/>
  <c r="BN86" i="69"/>
  <c r="BM86" i="69"/>
  <c r="BI86" i="69"/>
  <c r="BH86" i="69"/>
  <c r="BD86" i="69"/>
  <c r="BC86" i="69"/>
  <c r="AY86" i="69"/>
  <c r="AX86" i="69"/>
  <c r="L86" i="69"/>
  <c r="K86" i="69"/>
  <c r="J86" i="69"/>
  <c r="I86" i="69"/>
  <c r="H86" i="69"/>
  <c r="G86" i="69"/>
  <c r="GX85" i="69"/>
  <c r="GW85" i="69"/>
  <c r="GS85" i="69"/>
  <c r="GR85" i="69"/>
  <c r="GN85" i="69"/>
  <c r="GM85" i="69"/>
  <c r="GI85" i="69"/>
  <c r="GH85" i="69"/>
  <c r="GD85" i="69"/>
  <c r="GC85" i="69"/>
  <c r="FY85" i="69"/>
  <c r="FX85" i="69"/>
  <c r="FT85" i="69"/>
  <c r="FS85" i="69"/>
  <c r="FO85" i="69"/>
  <c r="FN85" i="69"/>
  <c r="FJ85" i="69"/>
  <c r="FI85" i="69"/>
  <c r="FE85" i="69"/>
  <c r="FD85" i="69"/>
  <c r="EZ85" i="69"/>
  <c r="EY85" i="69"/>
  <c r="EU85" i="69"/>
  <c r="ET85" i="69"/>
  <c r="EP85" i="69"/>
  <c r="EO85" i="69"/>
  <c r="EK85" i="69"/>
  <c r="EJ85" i="69"/>
  <c r="EF85" i="69"/>
  <c r="EA85" i="69"/>
  <c r="DZ85" i="69"/>
  <c r="DV85" i="69"/>
  <c r="DU85" i="69"/>
  <c r="DQ85" i="69"/>
  <c r="DP85" i="69"/>
  <c r="DL85" i="69"/>
  <c r="DK85" i="69"/>
  <c r="DG85" i="69"/>
  <c r="DF85" i="69"/>
  <c r="DB85" i="69"/>
  <c r="DA85" i="69"/>
  <c r="CW85" i="69"/>
  <c r="CR85" i="69"/>
  <c r="CM85" i="69"/>
  <c r="CL85" i="69"/>
  <c r="CH85" i="69"/>
  <c r="CG85" i="69"/>
  <c r="CC85" i="69"/>
  <c r="CB85" i="69"/>
  <c r="BX85" i="69"/>
  <c r="BS85" i="69"/>
  <c r="BR85" i="69"/>
  <c r="BN85" i="69"/>
  <c r="BM85" i="69"/>
  <c r="BI85" i="69"/>
  <c r="BH85" i="69"/>
  <c r="BD85" i="69"/>
  <c r="BC85" i="69"/>
  <c r="AY85" i="69"/>
  <c r="AX85" i="69"/>
  <c r="AU85" i="69"/>
  <c r="L85" i="69"/>
  <c r="K85" i="69"/>
  <c r="J85" i="69"/>
  <c r="I85" i="69"/>
  <c r="H85" i="69"/>
  <c r="G85" i="69"/>
  <c r="GX84" i="69"/>
  <c r="GW84" i="69"/>
  <c r="GS84" i="69"/>
  <c r="GR84" i="69"/>
  <c r="GN84" i="69"/>
  <c r="GM84" i="69"/>
  <c r="GI84" i="69"/>
  <c r="GH84" i="69"/>
  <c r="GD84" i="69"/>
  <c r="GC84" i="69"/>
  <c r="FY84" i="69"/>
  <c r="FX84" i="69"/>
  <c r="FT84" i="69"/>
  <c r="FS84" i="69"/>
  <c r="FO84" i="69"/>
  <c r="FN84" i="69"/>
  <c r="FJ84" i="69"/>
  <c r="FI84" i="69"/>
  <c r="FE84" i="69"/>
  <c r="FD84" i="69"/>
  <c r="EZ84" i="69"/>
  <c r="EY84" i="69"/>
  <c r="EU84" i="69"/>
  <c r="ET84" i="69"/>
  <c r="EP84" i="69"/>
  <c r="EO84" i="69"/>
  <c r="EK84" i="69"/>
  <c r="EJ84" i="69"/>
  <c r="EF84" i="69"/>
  <c r="EA84" i="69"/>
  <c r="DZ84" i="69"/>
  <c r="DV84" i="69"/>
  <c r="DU84" i="69"/>
  <c r="DQ84" i="69"/>
  <c r="DP84" i="69"/>
  <c r="DL84" i="69"/>
  <c r="DK84" i="69"/>
  <c r="DG84" i="69"/>
  <c r="DF84" i="69"/>
  <c r="DB84" i="69"/>
  <c r="DA84" i="69"/>
  <c r="CW84" i="69"/>
  <c r="CR84" i="69"/>
  <c r="CM84" i="69"/>
  <c r="CL84" i="69"/>
  <c r="CH84" i="69"/>
  <c r="CG84" i="69"/>
  <c r="CC84" i="69"/>
  <c r="CB84" i="69"/>
  <c r="BX84" i="69"/>
  <c r="BS84" i="69"/>
  <c r="BR84" i="69"/>
  <c r="BN84" i="69"/>
  <c r="BM84" i="69"/>
  <c r="BI84" i="69"/>
  <c r="BH84" i="69"/>
  <c r="BD84" i="69"/>
  <c r="BC84" i="69"/>
  <c r="AY84" i="69"/>
  <c r="AX84" i="69"/>
  <c r="L84" i="69"/>
  <c r="K84" i="69"/>
  <c r="J84" i="69"/>
  <c r="I84" i="69"/>
  <c r="H84" i="69"/>
  <c r="G84" i="69"/>
  <c r="GX83" i="69"/>
  <c r="GW83" i="69"/>
  <c r="GS83" i="69"/>
  <c r="GR83" i="69"/>
  <c r="GN83" i="69"/>
  <c r="GM83" i="69"/>
  <c r="GI83" i="69"/>
  <c r="GH83" i="69"/>
  <c r="GD83" i="69"/>
  <c r="GC83" i="69"/>
  <c r="FY83" i="69"/>
  <c r="FX83" i="69"/>
  <c r="FT83" i="69"/>
  <c r="FS83" i="69"/>
  <c r="FO83" i="69"/>
  <c r="FN83" i="69"/>
  <c r="FJ83" i="69"/>
  <c r="FI83" i="69"/>
  <c r="FE83" i="69"/>
  <c r="FD83" i="69"/>
  <c r="EZ83" i="69"/>
  <c r="EY83" i="69"/>
  <c r="EU83" i="69"/>
  <c r="ET83" i="69"/>
  <c r="EP83" i="69"/>
  <c r="EO83" i="69"/>
  <c r="EK83" i="69"/>
  <c r="EJ83" i="69"/>
  <c r="EF83" i="69"/>
  <c r="EA83" i="69"/>
  <c r="DZ83" i="69"/>
  <c r="DV83" i="69"/>
  <c r="DU83" i="69"/>
  <c r="DQ83" i="69"/>
  <c r="DP83" i="69"/>
  <c r="DL83" i="69"/>
  <c r="DK83" i="69"/>
  <c r="DG83" i="69"/>
  <c r="DF83" i="69"/>
  <c r="DB83" i="69"/>
  <c r="DA83" i="69"/>
  <c r="CW83" i="69"/>
  <c r="CR83" i="69"/>
  <c r="CM83" i="69"/>
  <c r="CL83" i="69"/>
  <c r="CH83" i="69"/>
  <c r="CG83" i="69"/>
  <c r="CC83" i="69"/>
  <c r="CB83" i="69"/>
  <c r="BX83" i="69"/>
  <c r="BS83" i="69"/>
  <c r="BR83" i="69"/>
  <c r="BN83" i="69"/>
  <c r="BM83" i="69"/>
  <c r="BI83" i="69"/>
  <c r="BH83" i="69"/>
  <c r="BD83" i="69"/>
  <c r="BC83" i="69"/>
  <c r="AY83" i="69"/>
  <c r="AX83" i="69"/>
  <c r="L83" i="69"/>
  <c r="K83" i="69"/>
  <c r="J83" i="69"/>
  <c r="I83" i="69"/>
  <c r="H83" i="69"/>
  <c r="G83" i="69"/>
  <c r="GX82" i="69"/>
  <c r="GW82" i="69"/>
  <c r="GS82" i="69"/>
  <c r="GR82" i="69"/>
  <c r="GN82" i="69"/>
  <c r="GM82" i="69"/>
  <c r="GI82" i="69"/>
  <c r="GH82" i="69"/>
  <c r="GD82" i="69"/>
  <c r="GC82" i="69"/>
  <c r="FY82" i="69"/>
  <c r="FX82" i="69"/>
  <c r="FT82" i="69"/>
  <c r="FS82" i="69"/>
  <c r="FO82" i="69"/>
  <c r="FN82" i="69"/>
  <c r="FJ82" i="69"/>
  <c r="FI82" i="69"/>
  <c r="FE82" i="69"/>
  <c r="FD82" i="69"/>
  <c r="EZ82" i="69"/>
  <c r="EY82" i="69"/>
  <c r="EU82" i="69"/>
  <c r="ET82" i="69"/>
  <c r="EP82" i="69"/>
  <c r="EO82" i="69"/>
  <c r="EK82" i="69"/>
  <c r="EJ82" i="69"/>
  <c r="EF82" i="69"/>
  <c r="EA82" i="69"/>
  <c r="DZ82" i="69"/>
  <c r="DV82" i="69"/>
  <c r="DU82" i="69"/>
  <c r="DQ82" i="69"/>
  <c r="DP82" i="69"/>
  <c r="DL82" i="69"/>
  <c r="DK82" i="69"/>
  <c r="DG82" i="69"/>
  <c r="DF82" i="69"/>
  <c r="DB82" i="69"/>
  <c r="DA82" i="69"/>
  <c r="CW82" i="69"/>
  <c r="CR82" i="69"/>
  <c r="CM82" i="69"/>
  <c r="CL82" i="69"/>
  <c r="CH82" i="69"/>
  <c r="CG82" i="69"/>
  <c r="CC82" i="69"/>
  <c r="CB82" i="69"/>
  <c r="BX82" i="69"/>
  <c r="BS82" i="69"/>
  <c r="BR82" i="69"/>
  <c r="BN82" i="69"/>
  <c r="BM82" i="69"/>
  <c r="BI82" i="69"/>
  <c r="BH82" i="69"/>
  <c r="BD82" i="69"/>
  <c r="BC82" i="69"/>
  <c r="AY82" i="69"/>
  <c r="AX82" i="69"/>
  <c r="AT82" i="69"/>
  <c r="AS82" i="69"/>
  <c r="L82" i="69"/>
  <c r="K82" i="69"/>
  <c r="J82" i="69"/>
  <c r="I82" i="69"/>
  <c r="H82" i="69"/>
  <c r="G82" i="69"/>
  <c r="GX81" i="69"/>
  <c r="GW81" i="69"/>
  <c r="GS81" i="69"/>
  <c r="GR81" i="69"/>
  <c r="GN81" i="69"/>
  <c r="GM81" i="69"/>
  <c r="GI81" i="69"/>
  <c r="GH81" i="69"/>
  <c r="GD81" i="69"/>
  <c r="GC81" i="69"/>
  <c r="FY81" i="69"/>
  <c r="FX81" i="69"/>
  <c r="FT81" i="69"/>
  <c r="FS81" i="69"/>
  <c r="FO81" i="69"/>
  <c r="FN81" i="69"/>
  <c r="FJ81" i="69"/>
  <c r="FI81" i="69"/>
  <c r="FE81" i="69"/>
  <c r="FD81" i="69"/>
  <c r="EZ81" i="69"/>
  <c r="EY81" i="69"/>
  <c r="EU81" i="69"/>
  <c r="ET81" i="69"/>
  <c r="EP81" i="69"/>
  <c r="EO81" i="69"/>
  <c r="EK81" i="69"/>
  <c r="EJ81" i="69"/>
  <c r="EF81" i="69"/>
  <c r="EA81" i="69"/>
  <c r="DZ81" i="69"/>
  <c r="DV81" i="69"/>
  <c r="DU81" i="69"/>
  <c r="DQ81" i="69"/>
  <c r="DP81" i="69"/>
  <c r="DL81" i="69"/>
  <c r="DK81" i="69"/>
  <c r="DG81" i="69"/>
  <c r="DF81" i="69"/>
  <c r="DB81" i="69"/>
  <c r="DA81" i="69"/>
  <c r="CW81" i="69"/>
  <c r="CR81" i="69"/>
  <c r="CM81" i="69"/>
  <c r="CL81" i="69"/>
  <c r="CH81" i="69"/>
  <c r="CG81" i="69"/>
  <c r="CC81" i="69"/>
  <c r="CB81" i="69"/>
  <c r="BX81" i="69"/>
  <c r="BS81" i="69"/>
  <c r="BR81" i="69"/>
  <c r="BN81" i="69"/>
  <c r="BM81" i="69"/>
  <c r="BI81" i="69"/>
  <c r="BH81" i="69"/>
  <c r="BD81" i="69"/>
  <c r="BC81" i="69"/>
  <c r="AY81" i="69"/>
  <c r="AX81" i="69"/>
  <c r="AT81" i="69"/>
  <c r="AS81" i="69"/>
  <c r="L81" i="69"/>
  <c r="K81" i="69"/>
  <c r="J81" i="69"/>
  <c r="I81" i="69"/>
  <c r="H81" i="69"/>
  <c r="G81" i="69"/>
  <c r="GX80" i="69"/>
  <c r="GW80" i="69"/>
  <c r="GS80" i="69"/>
  <c r="GR80" i="69"/>
  <c r="GN80" i="69"/>
  <c r="GM80" i="69"/>
  <c r="GI80" i="69"/>
  <c r="GH80" i="69"/>
  <c r="GD80" i="69"/>
  <c r="GC80" i="69"/>
  <c r="FY80" i="69"/>
  <c r="FX80" i="69"/>
  <c r="FT80" i="69"/>
  <c r="FS80" i="69"/>
  <c r="FO80" i="69"/>
  <c r="FN80" i="69"/>
  <c r="FJ80" i="69"/>
  <c r="FI80" i="69"/>
  <c r="FE80" i="69"/>
  <c r="FD80" i="69"/>
  <c r="EZ80" i="69"/>
  <c r="EY80" i="69"/>
  <c r="EU80" i="69"/>
  <c r="ET80" i="69"/>
  <c r="EP80" i="69"/>
  <c r="EO80" i="69"/>
  <c r="EK80" i="69"/>
  <c r="EJ80" i="69"/>
  <c r="EF80" i="69"/>
  <c r="EA80" i="69"/>
  <c r="DZ80" i="69"/>
  <c r="DV80" i="69"/>
  <c r="DU80" i="69"/>
  <c r="DQ80" i="69"/>
  <c r="DP80" i="69"/>
  <c r="DL80" i="69"/>
  <c r="DK80" i="69"/>
  <c r="DG80" i="69"/>
  <c r="DF80" i="69"/>
  <c r="DB80" i="69"/>
  <c r="DA80" i="69"/>
  <c r="CW80" i="69"/>
  <c r="CR80" i="69"/>
  <c r="CM80" i="69"/>
  <c r="CL80" i="69"/>
  <c r="CH80" i="69"/>
  <c r="CG80" i="69"/>
  <c r="CC80" i="69"/>
  <c r="CB80" i="69"/>
  <c r="BX80" i="69"/>
  <c r="BS80" i="69"/>
  <c r="BR80" i="69"/>
  <c r="BN80" i="69"/>
  <c r="BM80" i="69"/>
  <c r="BI80" i="69"/>
  <c r="BH80" i="69"/>
  <c r="BD80" i="69"/>
  <c r="BC80" i="69"/>
  <c r="AY80" i="69"/>
  <c r="AX80" i="69"/>
  <c r="AT80" i="69"/>
  <c r="AS80" i="69"/>
  <c r="L80" i="69"/>
  <c r="K80" i="69"/>
  <c r="J80" i="69"/>
  <c r="I80" i="69"/>
  <c r="H80" i="69"/>
  <c r="G80" i="69"/>
  <c r="GX79" i="69"/>
  <c r="GW79" i="69"/>
  <c r="GS79" i="69"/>
  <c r="GR79" i="69"/>
  <c r="GN79" i="69"/>
  <c r="GM79" i="69"/>
  <c r="GI79" i="69"/>
  <c r="GH79" i="69"/>
  <c r="GD79" i="69"/>
  <c r="GC79" i="69"/>
  <c r="FY79" i="69"/>
  <c r="FX79" i="69"/>
  <c r="FT79" i="69"/>
  <c r="FS79" i="69"/>
  <c r="FO79" i="69"/>
  <c r="FN79" i="69"/>
  <c r="FJ79" i="69"/>
  <c r="FI79" i="69"/>
  <c r="FE79" i="69"/>
  <c r="FD79" i="69"/>
  <c r="EZ79" i="69"/>
  <c r="EY79" i="69"/>
  <c r="EU79" i="69"/>
  <c r="ET79" i="69"/>
  <c r="EP79" i="69"/>
  <c r="EO79" i="69"/>
  <c r="EK79" i="69"/>
  <c r="EJ79" i="69"/>
  <c r="EF79" i="69"/>
  <c r="EA79" i="69"/>
  <c r="DZ79" i="69"/>
  <c r="DV79" i="69"/>
  <c r="DU79" i="69"/>
  <c r="DQ79" i="69"/>
  <c r="DP79" i="69"/>
  <c r="DL79" i="69"/>
  <c r="DK79" i="69"/>
  <c r="DG79" i="69"/>
  <c r="DF79" i="69"/>
  <c r="DB79" i="69"/>
  <c r="DA79" i="69"/>
  <c r="CW79" i="69"/>
  <c r="CR79" i="69"/>
  <c r="CM79" i="69"/>
  <c r="CL79" i="69"/>
  <c r="CH79" i="69"/>
  <c r="CG79" i="69"/>
  <c r="CC79" i="69"/>
  <c r="CB79" i="69"/>
  <c r="BX79" i="69"/>
  <c r="BS79" i="69"/>
  <c r="BR79" i="69"/>
  <c r="BN79" i="69"/>
  <c r="BM79" i="69"/>
  <c r="BI79" i="69"/>
  <c r="BH79" i="69"/>
  <c r="BD79" i="69"/>
  <c r="BC79" i="69"/>
  <c r="AY79" i="69"/>
  <c r="AX79" i="69"/>
  <c r="AT79" i="69"/>
  <c r="AS79" i="69"/>
  <c r="AO79" i="69"/>
  <c r="AN79" i="69"/>
  <c r="AJ79" i="69"/>
  <c r="AI79" i="69"/>
  <c r="AE79" i="69"/>
  <c r="AD79" i="69"/>
  <c r="AC79" i="69"/>
  <c r="L79" i="69"/>
  <c r="K79" i="69"/>
  <c r="J79" i="69"/>
  <c r="I79" i="69"/>
  <c r="H79" i="69"/>
  <c r="G79" i="69"/>
  <c r="GX78" i="69"/>
  <c r="GW78" i="69"/>
  <c r="GS78" i="69"/>
  <c r="GR78" i="69"/>
  <c r="GN78" i="69"/>
  <c r="GM78" i="69"/>
  <c r="GI78" i="69"/>
  <c r="GH78" i="69"/>
  <c r="GD78" i="69"/>
  <c r="GC78" i="69"/>
  <c r="FY78" i="69"/>
  <c r="FX78" i="69"/>
  <c r="FT78" i="69"/>
  <c r="FS78" i="69"/>
  <c r="FO78" i="69"/>
  <c r="FN78" i="69"/>
  <c r="FJ78" i="69"/>
  <c r="FI78" i="69"/>
  <c r="FE78" i="69"/>
  <c r="FD78" i="69"/>
  <c r="EZ78" i="69"/>
  <c r="EY78" i="69"/>
  <c r="EU78" i="69"/>
  <c r="ET78" i="69"/>
  <c r="EP78" i="69"/>
  <c r="EO78" i="69"/>
  <c r="EK78" i="69"/>
  <c r="EJ78" i="69"/>
  <c r="EF78" i="69"/>
  <c r="EA78" i="69"/>
  <c r="DZ78" i="69"/>
  <c r="DV78" i="69"/>
  <c r="DU78" i="69"/>
  <c r="DQ78" i="69"/>
  <c r="DP78" i="69"/>
  <c r="DL78" i="69"/>
  <c r="DK78" i="69"/>
  <c r="DG78" i="69"/>
  <c r="DF78" i="69"/>
  <c r="DB78" i="69"/>
  <c r="DA78" i="69"/>
  <c r="CW78" i="69"/>
  <c r="CR78" i="69"/>
  <c r="CM78" i="69"/>
  <c r="CL78" i="69"/>
  <c r="CH78" i="69"/>
  <c r="CG78" i="69"/>
  <c r="CC78" i="69"/>
  <c r="CB78" i="69"/>
  <c r="BX78" i="69"/>
  <c r="BS78" i="69"/>
  <c r="BR78" i="69"/>
  <c r="BN78" i="69"/>
  <c r="BM78" i="69"/>
  <c r="BI78" i="69"/>
  <c r="BH78" i="69"/>
  <c r="BD78" i="69"/>
  <c r="BC78" i="69"/>
  <c r="AY78" i="69"/>
  <c r="AX78" i="69"/>
  <c r="AT78" i="69"/>
  <c r="AS78" i="69"/>
  <c r="AO78" i="69"/>
  <c r="AN78" i="69"/>
  <c r="AJ78" i="69"/>
  <c r="AI78" i="69"/>
  <c r="AE78" i="69"/>
  <c r="AD78" i="69"/>
  <c r="L78" i="69"/>
  <c r="K78" i="69"/>
  <c r="J78" i="69"/>
  <c r="I78" i="69"/>
  <c r="H78" i="69"/>
  <c r="G78" i="69"/>
  <c r="GX77" i="69"/>
  <c r="GW77" i="69"/>
  <c r="GS77" i="69"/>
  <c r="GR77" i="69"/>
  <c r="GN77" i="69"/>
  <c r="GM77" i="69"/>
  <c r="GI77" i="69"/>
  <c r="GH77" i="69"/>
  <c r="GD77" i="69"/>
  <c r="GC77" i="69"/>
  <c r="FY77" i="69"/>
  <c r="FX77" i="69"/>
  <c r="FT77" i="69"/>
  <c r="FS77" i="69"/>
  <c r="FO77" i="69"/>
  <c r="FN77" i="69"/>
  <c r="FJ77" i="69"/>
  <c r="FI77" i="69"/>
  <c r="FE77" i="69"/>
  <c r="FD77" i="69"/>
  <c r="EZ77" i="69"/>
  <c r="EY77" i="69"/>
  <c r="EU77" i="69"/>
  <c r="ET77" i="69"/>
  <c r="EP77" i="69"/>
  <c r="EO77" i="69"/>
  <c r="EK77" i="69"/>
  <c r="EJ77" i="69"/>
  <c r="EF77" i="69"/>
  <c r="EA77" i="69"/>
  <c r="DZ77" i="69"/>
  <c r="DV77" i="69"/>
  <c r="DU77" i="69"/>
  <c r="DQ77" i="69"/>
  <c r="DP77" i="69"/>
  <c r="DL77" i="69"/>
  <c r="DK77" i="69"/>
  <c r="DG77" i="69"/>
  <c r="DF77" i="69"/>
  <c r="DB77" i="69"/>
  <c r="DA77" i="69"/>
  <c r="CW77" i="69"/>
  <c r="CR77" i="69"/>
  <c r="CM77" i="69"/>
  <c r="CL77" i="69"/>
  <c r="CH77" i="69"/>
  <c r="CG77" i="69"/>
  <c r="CC77" i="69"/>
  <c r="CB77" i="69"/>
  <c r="BX77" i="69"/>
  <c r="BS77" i="69"/>
  <c r="BR77" i="69"/>
  <c r="BN77" i="69"/>
  <c r="BM77" i="69"/>
  <c r="BI77" i="69"/>
  <c r="BH77" i="69"/>
  <c r="BD77" i="69"/>
  <c r="BC77" i="69"/>
  <c r="AY77" i="69"/>
  <c r="AX77" i="69"/>
  <c r="AT77" i="69"/>
  <c r="AS77" i="69"/>
  <c r="AO77" i="69"/>
  <c r="AN77" i="69"/>
  <c r="AJ77" i="69"/>
  <c r="AI77" i="69"/>
  <c r="AE77" i="69"/>
  <c r="AD77" i="69"/>
  <c r="L77" i="69"/>
  <c r="K77" i="69"/>
  <c r="J77" i="69"/>
  <c r="I77" i="69"/>
  <c r="H77" i="69"/>
  <c r="G77" i="69"/>
  <c r="GX76" i="69"/>
  <c r="GW76" i="69"/>
  <c r="GS76" i="69"/>
  <c r="GR76" i="69"/>
  <c r="GN76" i="69"/>
  <c r="GM76" i="69"/>
  <c r="GI76" i="69"/>
  <c r="GH76" i="69"/>
  <c r="GD76" i="69"/>
  <c r="GC76" i="69"/>
  <c r="FY76" i="69"/>
  <c r="FX76" i="69"/>
  <c r="FT76" i="69"/>
  <c r="FS76" i="69"/>
  <c r="FO76" i="69"/>
  <c r="FN76" i="69"/>
  <c r="FJ76" i="69"/>
  <c r="FI76" i="69"/>
  <c r="FE76" i="69"/>
  <c r="FD76" i="69"/>
  <c r="EZ76" i="69"/>
  <c r="EY76" i="69"/>
  <c r="EU76" i="69"/>
  <c r="ET76" i="69"/>
  <c r="EP76" i="69"/>
  <c r="EO76" i="69"/>
  <c r="EK76" i="69"/>
  <c r="EJ76" i="69"/>
  <c r="EF76" i="69"/>
  <c r="EA76" i="69"/>
  <c r="DZ76" i="69"/>
  <c r="DV76" i="69"/>
  <c r="DU76" i="69"/>
  <c r="DQ76" i="69"/>
  <c r="DP76" i="69"/>
  <c r="DL76" i="69"/>
  <c r="DK76" i="69"/>
  <c r="DG76" i="69"/>
  <c r="DF76" i="69"/>
  <c r="DB76" i="69"/>
  <c r="DA76" i="69"/>
  <c r="CW76" i="69"/>
  <c r="CR76" i="69"/>
  <c r="CM76" i="69"/>
  <c r="CL76" i="69"/>
  <c r="CH76" i="69"/>
  <c r="CG76" i="69"/>
  <c r="CC76" i="69"/>
  <c r="CB76" i="69"/>
  <c r="BX76" i="69"/>
  <c r="BS76" i="69"/>
  <c r="BR76" i="69"/>
  <c r="BN76" i="69"/>
  <c r="BM76" i="69"/>
  <c r="BI76" i="69"/>
  <c r="BH76" i="69"/>
  <c r="BD76" i="69"/>
  <c r="BC76" i="69"/>
  <c r="AY76" i="69"/>
  <c r="AX76" i="69"/>
  <c r="AT76" i="69"/>
  <c r="AS76" i="69"/>
  <c r="AO76" i="69"/>
  <c r="AN76" i="69"/>
  <c r="AJ76" i="69"/>
  <c r="AI76" i="69"/>
  <c r="AE76" i="69"/>
  <c r="AD76" i="69"/>
  <c r="AC76" i="69"/>
  <c r="L76" i="69"/>
  <c r="K76" i="69"/>
  <c r="J76" i="69"/>
  <c r="I76" i="69"/>
  <c r="H76" i="69"/>
  <c r="G76" i="69"/>
  <c r="GX75" i="69"/>
  <c r="GW75" i="69"/>
  <c r="GS75" i="69"/>
  <c r="GR75" i="69"/>
  <c r="GN75" i="69"/>
  <c r="GM75" i="69"/>
  <c r="GI75" i="69"/>
  <c r="GH75" i="69"/>
  <c r="GD75" i="69"/>
  <c r="GC75" i="69"/>
  <c r="FY75" i="69"/>
  <c r="FX75" i="69"/>
  <c r="FT75" i="69"/>
  <c r="FS75" i="69"/>
  <c r="FO75" i="69"/>
  <c r="FN75" i="69"/>
  <c r="FJ75" i="69"/>
  <c r="FI75" i="69"/>
  <c r="FE75" i="69"/>
  <c r="FD75" i="69"/>
  <c r="EZ75" i="69"/>
  <c r="EY75" i="69"/>
  <c r="EU75" i="69"/>
  <c r="ET75" i="69"/>
  <c r="EP75" i="69"/>
  <c r="EO75" i="69"/>
  <c r="EK75" i="69"/>
  <c r="EJ75" i="69"/>
  <c r="EF75" i="69"/>
  <c r="EA75" i="69"/>
  <c r="DZ75" i="69"/>
  <c r="DV75" i="69"/>
  <c r="DU75" i="69"/>
  <c r="DQ75" i="69"/>
  <c r="DP75" i="69"/>
  <c r="DL75" i="69"/>
  <c r="DK75" i="69"/>
  <c r="DG75" i="69"/>
  <c r="DF75" i="69"/>
  <c r="DB75" i="69"/>
  <c r="DA75" i="69"/>
  <c r="CW75" i="69"/>
  <c r="CR75" i="69"/>
  <c r="CM75" i="69"/>
  <c r="CL75" i="69"/>
  <c r="CH75" i="69"/>
  <c r="CG75" i="69"/>
  <c r="CC75" i="69"/>
  <c r="CB75" i="69"/>
  <c r="BX75" i="69"/>
  <c r="BS75" i="69"/>
  <c r="BR75" i="69"/>
  <c r="BN75" i="69"/>
  <c r="BM75" i="69"/>
  <c r="BI75" i="69"/>
  <c r="BH75" i="69"/>
  <c r="BD75" i="69"/>
  <c r="BC75" i="69"/>
  <c r="AY75" i="69"/>
  <c r="AX75" i="69"/>
  <c r="AT75" i="69"/>
  <c r="AS75" i="69"/>
  <c r="AO75" i="69"/>
  <c r="AN75" i="69"/>
  <c r="AJ75" i="69"/>
  <c r="AI75" i="69"/>
  <c r="AE75" i="69"/>
  <c r="AD75" i="69"/>
  <c r="L75" i="69"/>
  <c r="K75" i="69"/>
  <c r="J75" i="69"/>
  <c r="I75" i="69"/>
  <c r="H75" i="69"/>
  <c r="G75" i="69"/>
  <c r="GX74" i="69"/>
  <c r="GW74" i="69"/>
  <c r="GS74" i="69"/>
  <c r="GR74" i="69"/>
  <c r="GN74" i="69"/>
  <c r="GM74" i="69"/>
  <c r="GI74" i="69"/>
  <c r="GH74" i="69"/>
  <c r="GD74" i="69"/>
  <c r="GC74" i="69"/>
  <c r="FY74" i="69"/>
  <c r="FX74" i="69"/>
  <c r="FT74" i="69"/>
  <c r="FS74" i="69"/>
  <c r="FO74" i="69"/>
  <c r="FN74" i="69"/>
  <c r="FJ74" i="69"/>
  <c r="FI74" i="69"/>
  <c r="FE74" i="69"/>
  <c r="FD74" i="69"/>
  <c r="EZ74" i="69"/>
  <c r="EY74" i="69"/>
  <c r="EU74" i="69"/>
  <c r="ET74" i="69"/>
  <c r="EP74" i="69"/>
  <c r="EO74" i="69"/>
  <c r="EK74" i="69"/>
  <c r="EJ74" i="69"/>
  <c r="EF74" i="69"/>
  <c r="EA74" i="69"/>
  <c r="DZ74" i="69"/>
  <c r="DV74" i="69"/>
  <c r="DU74" i="69"/>
  <c r="DQ74" i="69"/>
  <c r="DP74" i="69"/>
  <c r="DL74" i="69"/>
  <c r="DK74" i="69"/>
  <c r="DG74" i="69"/>
  <c r="DF74" i="69"/>
  <c r="DB74" i="69"/>
  <c r="DA74" i="69"/>
  <c r="CW74" i="69"/>
  <c r="CR74" i="69"/>
  <c r="CM74" i="69"/>
  <c r="CL74" i="69"/>
  <c r="CH74" i="69"/>
  <c r="CG74" i="69"/>
  <c r="CC74" i="69"/>
  <c r="CB74" i="69"/>
  <c r="BX74" i="69"/>
  <c r="BS74" i="69"/>
  <c r="BR74" i="69"/>
  <c r="BN74" i="69"/>
  <c r="BM74" i="69"/>
  <c r="BI74" i="69"/>
  <c r="BH74" i="69"/>
  <c r="BD74" i="69"/>
  <c r="BC74" i="69"/>
  <c r="AY74" i="69"/>
  <c r="AX74" i="69"/>
  <c r="AT74" i="69"/>
  <c r="AS74" i="69"/>
  <c r="AO74" i="69"/>
  <c r="AN74" i="69"/>
  <c r="AJ74" i="69"/>
  <c r="AI74" i="69"/>
  <c r="AE74" i="69"/>
  <c r="AD74" i="69"/>
  <c r="L74" i="69"/>
  <c r="K74" i="69"/>
  <c r="J74" i="69"/>
  <c r="I74" i="69"/>
  <c r="H74" i="69"/>
  <c r="G74" i="69"/>
  <c r="GX73" i="69"/>
  <c r="GW73" i="69"/>
  <c r="GS73" i="69"/>
  <c r="GR73" i="69"/>
  <c r="GN73" i="69"/>
  <c r="GM73" i="69"/>
  <c r="GI73" i="69"/>
  <c r="GH73" i="69"/>
  <c r="GD73" i="69"/>
  <c r="GC73" i="69"/>
  <c r="FY73" i="69"/>
  <c r="FX73" i="69"/>
  <c r="FT73" i="69"/>
  <c r="FS73" i="69"/>
  <c r="FO73" i="69"/>
  <c r="FN73" i="69"/>
  <c r="FJ73" i="69"/>
  <c r="FI73" i="69"/>
  <c r="FE73" i="69"/>
  <c r="FD73" i="69"/>
  <c r="EZ73" i="69"/>
  <c r="EY73" i="69"/>
  <c r="EU73" i="69"/>
  <c r="ET73" i="69"/>
  <c r="EP73" i="69"/>
  <c r="EO73" i="69"/>
  <c r="EK73" i="69"/>
  <c r="EJ73" i="69"/>
  <c r="EF73" i="69"/>
  <c r="EA73" i="69"/>
  <c r="DZ73" i="69"/>
  <c r="DV73" i="69"/>
  <c r="DU73" i="69"/>
  <c r="DQ73" i="69"/>
  <c r="DP73" i="69"/>
  <c r="DL73" i="69"/>
  <c r="DK73" i="69"/>
  <c r="DG73" i="69"/>
  <c r="DF73" i="69"/>
  <c r="DB73" i="69"/>
  <c r="DA73" i="69"/>
  <c r="CW73" i="69"/>
  <c r="CR73" i="69"/>
  <c r="CM73" i="69"/>
  <c r="CL73" i="69"/>
  <c r="CH73" i="69"/>
  <c r="CG73" i="69"/>
  <c r="CC73" i="69"/>
  <c r="CB73" i="69"/>
  <c r="BX73" i="69"/>
  <c r="BS73" i="69"/>
  <c r="BR73" i="69"/>
  <c r="BN73" i="69"/>
  <c r="BM73" i="69"/>
  <c r="BI73" i="69"/>
  <c r="BH73" i="69"/>
  <c r="BD73" i="69"/>
  <c r="BC73" i="69"/>
  <c r="AY73" i="69"/>
  <c r="AX73" i="69"/>
  <c r="AT73" i="69"/>
  <c r="AS73" i="69"/>
  <c r="AO73" i="69"/>
  <c r="AN73" i="69"/>
  <c r="AJ73" i="69"/>
  <c r="AI73" i="69"/>
  <c r="AE73" i="69"/>
  <c r="AD73" i="69"/>
  <c r="AC73" i="69"/>
  <c r="L73" i="69"/>
  <c r="K73" i="69"/>
  <c r="J73" i="69"/>
  <c r="I73" i="69"/>
  <c r="H73" i="69"/>
  <c r="G73" i="69"/>
  <c r="GX72" i="69"/>
  <c r="GW72" i="69"/>
  <c r="GS72" i="69"/>
  <c r="GR72" i="69"/>
  <c r="GN72" i="69"/>
  <c r="GM72" i="69"/>
  <c r="GI72" i="69"/>
  <c r="GH72" i="69"/>
  <c r="GD72" i="69"/>
  <c r="GC72" i="69"/>
  <c r="FY72" i="69"/>
  <c r="FX72" i="69"/>
  <c r="FT72" i="69"/>
  <c r="FS72" i="69"/>
  <c r="FO72" i="69"/>
  <c r="FN72" i="69"/>
  <c r="FJ72" i="69"/>
  <c r="FI72" i="69"/>
  <c r="FE72" i="69"/>
  <c r="FD72" i="69"/>
  <c r="EZ72" i="69"/>
  <c r="EY72" i="69"/>
  <c r="EU72" i="69"/>
  <c r="ET72" i="69"/>
  <c r="EP72" i="69"/>
  <c r="EO72" i="69"/>
  <c r="EK72" i="69"/>
  <c r="EJ72" i="69"/>
  <c r="EF72" i="69"/>
  <c r="EA72" i="69"/>
  <c r="DZ72" i="69"/>
  <c r="DV72" i="69"/>
  <c r="DU72" i="69"/>
  <c r="DQ72" i="69"/>
  <c r="DP72" i="69"/>
  <c r="DL72" i="69"/>
  <c r="DK72" i="69"/>
  <c r="DG72" i="69"/>
  <c r="DF72" i="69"/>
  <c r="DB72" i="69"/>
  <c r="DA72" i="69"/>
  <c r="CW72" i="69"/>
  <c r="CR72" i="69"/>
  <c r="CM72" i="69"/>
  <c r="CL72" i="69"/>
  <c r="CH72" i="69"/>
  <c r="CG72" i="69"/>
  <c r="CC72" i="69"/>
  <c r="CB72" i="69"/>
  <c r="BX72" i="69"/>
  <c r="BS72" i="69"/>
  <c r="BR72" i="69"/>
  <c r="BN72" i="69"/>
  <c r="BM72" i="69"/>
  <c r="BI72" i="69"/>
  <c r="BH72" i="69"/>
  <c r="BD72" i="69"/>
  <c r="BC72" i="69"/>
  <c r="AZ72" i="69"/>
  <c r="AY72" i="69"/>
  <c r="AX72" i="69"/>
  <c r="AT72" i="69"/>
  <c r="AS72" i="69"/>
  <c r="AO72" i="69"/>
  <c r="AN72" i="69"/>
  <c r="AJ72" i="69"/>
  <c r="AI72" i="69"/>
  <c r="AE72" i="69"/>
  <c r="AD72" i="69"/>
  <c r="L72" i="69"/>
  <c r="K72" i="69"/>
  <c r="J72" i="69"/>
  <c r="I72" i="69"/>
  <c r="H72" i="69"/>
  <c r="G72" i="69"/>
  <c r="GX71" i="69"/>
  <c r="GW71" i="69"/>
  <c r="GS71" i="69"/>
  <c r="GR71" i="69"/>
  <c r="GN71" i="69"/>
  <c r="GM71" i="69"/>
  <c r="GI71" i="69"/>
  <c r="GH71" i="69"/>
  <c r="GD71" i="69"/>
  <c r="GC71" i="69"/>
  <c r="FY71" i="69"/>
  <c r="FX71" i="69"/>
  <c r="FT71" i="69"/>
  <c r="FS71" i="69"/>
  <c r="FO71" i="69"/>
  <c r="FN71" i="69"/>
  <c r="FJ71" i="69"/>
  <c r="FI71" i="69"/>
  <c r="FE71" i="69"/>
  <c r="FD71" i="69"/>
  <c r="EZ71" i="69"/>
  <c r="EY71" i="69"/>
  <c r="EU71" i="69"/>
  <c r="ET71" i="69"/>
  <c r="EP71" i="69"/>
  <c r="EO71" i="69"/>
  <c r="EK71" i="69"/>
  <c r="EJ71" i="69"/>
  <c r="EF71" i="69"/>
  <c r="EA71" i="69"/>
  <c r="DZ71" i="69"/>
  <c r="DV71" i="69"/>
  <c r="DU71" i="69"/>
  <c r="DQ71" i="69"/>
  <c r="DP71" i="69"/>
  <c r="DL71" i="69"/>
  <c r="DK71" i="69"/>
  <c r="DG71" i="69"/>
  <c r="DF71" i="69"/>
  <c r="DB71" i="69"/>
  <c r="DA71" i="69"/>
  <c r="CW71" i="69"/>
  <c r="CR71" i="69"/>
  <c r="CM71" i="69"/>
  <c r="CL71" i="69"/>
  <c r="CH71" i="69"/>
  <c r="CG71" i="69"/>
  <c r="CC71" i="69"/>
  <c r="CB71" i="69"/>
  <c r="BX71" i="69"/>
  <c r="BS71" i="69"/>
  <c r="BR71" i="69"/>
  <c r="BN71" i="69"/>
  <c r="BM71" i="69"/>
  <c r="BI71" i="69"/>
  <c r="BH71" i="69"/>
  <c r="BD71" i="69"/>
  <c r="BC71" i="69"/>
  <c r="AY71" i="69"/>
  <c r="AX71" i="69"/>
  <c r="AT71" i="69"/>
  <c r="AS71" i="69"/>
  <c r="AO71" i="69"/>
  <c r="AN71" i="69"/>
  <c r="AJ71" i="69"/>
  <c r="AI71" i="69"/>
  <c r="AE71" i="69"/>
  <c r="AD71" i="69"/>
  <c r="L71" i="69"/>
  <c r="K71" i="69"/>
  <c r="J71" i="69"/>
  <c r="I71" i="69"/>
  <c r="H71" i="69"/>
  <c r="G71" i="69"/>
  <c r="GX70" i="69"/>
  <c r="GW70" i="69"/>
  <c r="GS70" i="69"/>
  <c r="GR70" i="69"/>
  <c r="GN70" i="69"/>
  <c r="GM70" i="69"/>
  <c r="GI70" i="69"/>
  <c r="GH70" i="69"/>
  <c r="GD70" i="69"/>
  <c r="GC70" i="69"/>
  <c r="FY70" i="69"/>
  <c r="FX70" i="69"/>
  <c r="FT70" i="69"/>
  <c r="FS70" i="69"/>
  <c r="FO70" i="69"/>
  <c r="FN70" i="69"/>
  <c r="FJ70" i="69"/>
  <c r="FI70" i="69"/>
  <c r="FE70" i="69"/>
  <c r="FD70" i="69"/>
  <c r="EZ70" i="69"/>
  <c r="EY70" i="69"/>
  <c r="EU70" i="69"/>
  <c r="ET70" i="69"/>
  <c r="EP70" i="69"/>
  <c r="EO70" i="69"/>
  <c r="EK70" i="69"/>
  <c r="EJ70" i="69"/>
  <c r="EF70" i="69"/>
  <c r="EA70" i="69"/>
  <c r="DZ70" i="69"/>
  <c r="DV70" i="69"/>
  <c r="DU70" i="69"/>
  <c r="DQ70" i="69"/>
  <c r="DP70" i="69"/>
  <c r="DL70" i="69"/>
  <c r="DK70" i="69"/>
  <c r="DG70" i="69"/>
  <c r="DF70" i="69"/>
  <c r="DB70" i="69"/>
  <c r="DA70" i="69"/>
  <c r="CW70" i="69"/>
  <c r="CR70" i="69"/>
  <c r="CM70" i="69"/>
  <c r="CL70" i="69"/>
  <c r="CH70" i="69"/>
  <c r="CG70" i="69"/>
  <c r="CC70" i="69"/>
  <c r="CB70" i="69"/>
  <c r="BX70" i="69"/>
  <c r="BS70" i="69"/>
  <c r="BR70" i="69"/>
  <c r="BN70" i="69"/>
  <c r="BM70" i="69"/>
  <c r="BI70" i="69"/>
  <c r="BH70" i="69"/>
  <c r="BD70" i="69"/>
  <c r="BC70" i="69"/>
  <c r="AY70" i="69"/>
  <c r="AX70" i="69"/>
  <c r="AT70" i="69"/>
  <c r="AS70" i="69"/>
  <c r="AO70" i="69"/>
  <c r="AN70" i="69"/>
  <c r="AK70" i="69"/>
  <c r="AJ70" i="69"/>
  <c r="AI70" i="69"/>
  <c r="AE70" i="69"/>
  <c r="AD70" i="69"/>
  <c r="Z70" i="69"/>
  <c r="Y70" i="69"/>
  <c r="U70" i="69"/>
  <c r="S70" i="69"/>
  <c r="L70" i="69"/>
  <c r="K70" i="69"/>
  <c r="J70" i="69"/>
  <c r="I70" i="69"/>
  <c r="H70" i="69"/>
  <c r="G70" i="69"/>
  <c r="GX69" i="69"/>
  <c r="GW69" i="69"/>
  <c r="GS69" i="69"/>
  <c r="GR69" i="69"/>
  <c r="GN69" i="69"/>
  <c r="GM69" i="69"/>
  <c r="GI69" i="69"/>
  <c r="GH69" i="69"/>
  <c r="GD69" i="69"/>
  <c r="GC69" i="69"/>
  <c r="FY69" i="69"/>
  <c r="FX69" i="69"/>
  <c r="FT69" i="69"/>
  <c r="FS69" i="69"/>
  <c r="FO69" i="69"/>
  <c r="FN69" i="69"/>
  <c r="FJ69" i="69"/>
  <c r="FI69" i="69"/>
  <c r="FE69" i="69"/>
  <c r="FD69" i="69"/>
  <c r="EZ69" i="69"/>
  <c r="EY69" i="69"/>
  <c r="EU69" i="69"/>
  <c r="ET69" i="69"/>
  <c r="EP69" i="69"/>
  <c r="EO69" i="69"/>
  <c r="EK69" i="69"/>
  <c r="EJ69" i="69"/>
  <c r="EF69" i="69"/>
  <c r="EA69" i="69"/>
  <c r="DZ69" i="69"/>
  <c r="DV69" i="69"/>
  <c r="DU69" i="69"/>
  <c r="DQ69" i="69"/>
  <c r="DP69" i="69"/>
  <c r="DL69" i="69"/>
  <c r="DK69" i="69"/>
  <c r="DG69" i="69"/>
  <c r="DF69" i="69"/>
  <c r="DB69" i="69"/>
  <c r="DA69" i="69"/>
  <c r="CW69" i="69"/>
  <c r="CR69" i="69"/>
  <c r="CM69" i="69"/>
  <c r="CL69" i="69"/>
  <c r="CH69" i="69"/>
  <c r="CG69" i="69"/>
  <c r="CC69" i="69"/>
  <c r="CB69" i="69"/>
  <c r="BX69" i="69"/>
  <c r="BS69" i="69"/>
  <c r="BR69" i="69"/>
  <c r="BN69" i="69"/>
  <c r="BM69" i="69"/>
  <c r="BI69" i="69"/>
  <c r="BH69" i="69"/>
  <c r="BD69" i="69"/>
  <c r="BC69" i="69"/>
  <c r="AY69" i="69"/>
  <c r="AX69" i="69"/>
  <c r="AW69" i="69"/>
  <c r="AT69" i="69"/>
  <c r="AS69" i="69"/>
  <c r="AO69" i="69"/>
  <c r="AN69" i="69"/>
  <c r="AJ69" i="69"/>
  <c r="AI69" i="69"/>
  <c r="AE69" i="69"/>
  <c r="AD69" i="69"/>
  <c r="Z69" i="69"/>
  <c r="Y69" i="69"/>
  <c r="U69" i="69"/>
  <c r="L69" i="69"/>
  <c r="K69" i="69"/>
  <c r="J69" i="69"/>
  <c r="I69" i="69"/>
  <c r="H69" i="69"/>
  <c r="G69" i="69"/>
  <c r="GX68" i="69"/>
  <c r="GW68" i="69"/>
  <c r="GS68" i="69"/>
  <c r="GR68" i="69"/>
  <c r="GN68" i="69"/>
  <c r="GM68" i="69"/>
  <c r="GI68" i="69"/>
  <c r="GH68" i="69"/>
  <c r="GD68" i="69"/>
  <c r="GC68" i="69"/>
  <c r="FY68" i="69"/>
  <c r="FX68" i="69"/>
  <c r="FT68" i="69"/>
  <c r="FS68" i="69"/>
  <c r="FO68" i="69"/>
  <c r="FN68" i="69"/>
  <c r="FJ68" i="69"/>
  <c r="FI68" i="69"/>
  <c r="FE68" i="69"/>
  <c r="FD68" i="69"/>
  <c r="EZ68" i="69"/>
  <c r="EY68" i="69"/>
  <c r="EU68" i="69"/>
  <c r="ET68" i="69"/>
  <c r="EP68" i="69"/>
  <c r="EO68" i="69"/>
  <c r="EK68" i="69"/>
  <c r="EJ68" i="69"/>
  <c r="EF68" i="69"/>
  <c r="EA68" i="69"/>
  <c r="DZ68" i="69"/>
  <c r="DV68" i="69"/>
  <c r="DU68" i="69"/>
  <c r="DQ68" i="69"/>
  <c r="DP68" i="69"/>
  <c r="DL68" i="69"/>
  <c r="DK68" i="69"/>
  <c r="DG68" i="69"/>
  <c r="DF68" i="69"/>
  <c r="DB68" i="69"/>
  <c r="DA68" i="69"/>
  <c r="CW68" i="69"/>
  <c r="CR68" i="69"/>
  <c r="CM68" i="69"/>
  <c r="CL68" i="69"/>
  <c r="CH68" i="69"/>
  <c r="CG68" i="69"/>
  <c r="CC68" i="69"/>
  <c r="CB68" i="69"/>
  <c r="BX68" i="69"/>
  <c r="BS68" i="69"/>
  <c r="BR68" i="69"/>
  <c r="BN68" i="69"/>
  <c r="BM68" i="69"/>
  <c r="BI68" i="69"/>
  <c r="BH68" i="69"/>
  <c r="BD68" i="69"/>
  <c r="BC68" i="69"/>
  <c r="AY68" i="69"/>
  <c r="AX68" i="69"/>
  <c r="AT68" i="69"/>
  <c r="AS68" i="69"/>
  <c r="AO68" i="69"/>
  <c r="AN68" i="69"/>
  <c r="AJ68" i="69"/>
  <c r="AI68" i="69"/>
  <c r="AE68" i="69"/>
  <c r="AD68" i="69"/>
  <c r="Z68" i="69"/>
  <c r="Y68" i="69"/>
  <c r="U68" i="69"/>
  <c r="L68" i="69"/>
  <c r="K68" i="69"/>
  <c r="J68" i="69"/>
  <c r="I68" i="69"/>
  <c r="H68" i="69"/>
  <c r="G68" i="69"/>
  <c r="GX67" i="69"/>
  <c r="GW67" i="69"/>
  <c r="GS67" i="69"/>
  <c r="GR67" i="69"/>
  <c r="GN67" i="69"/>
  <c r="GM67" i="69"/>
  <c r="GI67" i="69"/>
  <c r="GH67" i="69"/>
  <c r="GD67" i="69"/>
  <c r="GC67" i="69"/>
  <c r="FY67" i="69"/>
  <c r="FX67" i="69"/>
  <c r="FT67" i="69"/>
  <c r="FS67" i="69"/>
  <c r="FO67" i="69"/>
  <c r="FN67" i="69"/>
  <c r="FJ67" i="69"/>
  <c r="FI67" i="69"/>
  <c r="FE67" i="69"/>
  <c r="FD67" i="69"/>
  <c r="EZ67" i="69"/>
  <c r="EY67" i="69"/>
  <c r="EU67" i="69"/>
  <c r="ET67" i="69"/>
  <c r="EP67" i="69"/>
  <c r="EO67" i="69"/>
  <c r="EK67" i="69"/>
  <c r="EJ67" i="69"/>
  <c r="EF67" i="69"/>
  <c r="EA67" i="69"/>
  <c r="DZ67" i="69"/>
  <c r="DV67" i="69"/>
  <c r="DU67" i="69"/>
  <c r="DQ67" i="69"/>
  <c r="DP67" i="69"/>
  <c r="DL67" i="69"/>
  <c r="DK67" i="69"/>
  <c r="DG67" i="69"/>
  <c r="DF67" i="69"/>
  <c r="DB67" i="69"/>
  <c r="DA67" i="69"/>
  <c r="CW67" i="69"/>
  <c r="CR67" i="69"/>
  <c r="CM67" i="69"/>
  <c r="CL67" i="69"/>
  <c r="CH67" i="69"/>
  <c r="CG67" i="69"/>
  <c r="CF67" i="69"/>
  <c r="CC67" i="69"/>
  <c r="CB67" i="69"/>
  <c r="CA67" i="69"/>
  <c r="BX67" i="69"/>
  <c r="BS67" i="69"/>
  <c r="BR67" i="69"/>
  <c r="BN67" i="69"/>
  <c r="BM67" i="69"/>
  <c r="BI67" i="69"/>
  <c r="BH67" i="69"/>
  <c r="BD67" i="69"/>
  <c r="BC67" i="69"/>
  <c r="AY67" i="69"/>
  <c r="AX67" i="69"/>
  <c r="AT67" i="69"/>
  <c r="AS67" i="69"/>
  <c r="AO67" i="69"/>
  <c r="AN67" i="69"/>
  <c r="AK67" i="69"/>
  <c r="AJ67" i="69"/>
  <c r="AI67" i="69"/>
  <c r="AE67" i="69"/>
  <c r="AD67" i="69"/>
  <c r="Z67" i="69"/>
  <c r="Y67" i="69"/>
  <c r="U67" i="69"/>
  <c r="S67" i="69"/>
  <c r="L67" i="69"/>
  <c r="K67" i="69"/>
  <c r="J67" i="69"/>
  <c r="I67" i="69"/>
  <c r="H67" i="69"/>
  <c r="G67" i="69"/>
  <c r="GX66" i="69"/>
  <c r="GW66" i="69"/>
  <c r="GS66" i="69"/>
  <c r="GR66" i="69"/>
  <c r="GN66" i="69"/>
  <c r="GM66" i="69"/>
  <c r="GI66" i="69"/>
  <c r="GH66" i="69"/>
  <c r="GD66" i="69"/>
  <c r="GC66" i="69"/>
  <c r="FY66" i="69"/>
  <c r="FX66" i="69"/>
  <c r="FT66" i="69"/>
  <c r="FS66" i="69"/>
  <c r="FO66" i="69"/>
  <c r="FN66" i="69"/>
  <c r="FJ66" i="69"/>
  <c r="FI66" i="69"/>
  <c r="FE66" i="69"/>
  <c r="FD66" i="69"/>
  <c r="EZ66" i="69"/>
  <c r="EY66" i="69"/>
  <c r="EU66" i="69"/>
  <c r="ET66" i="69"/>
  <c r="EP66" i="69"/>
  <c r="EO66" i="69"/>
  <c r="EK66" i="69"/>
  <c r="EJ66" i="69"/>
  <c r="EF66" i="69"/>
  <c r="EA66" i="69"/>
  <c r="DZ66" i="69"/>
  <c r="DV66" i="69"/>
  <c r="DU66" i="69"/>
  <c r="DQ66" i="69"/>
  <c r="DP66" i="69"/>
  <c r="DL66" i="69"/>
  <c r="DK66" i="69"/>
  <c r="DG66" i="69"/>
  <c r="DF66" i="69"/>
  <c r="DB66" i="69"/>
  <c r="DA66" i="69"/>
  <c r="CW66" i="69"/>
  <c r="CR66" i="69"/>
  <c r="CM66" i="69"/>
  <c r="CL66" i="69"/>
  <c r="CH66" i="69"/>
  <c r="CG66" i="69"/>
  <c r="CF66" i="69"/>
  <c r="CC66" i="69"/>
  <c r="CB66" i="69"/>
  <c r="CA66" i="69"/>
  <c r="BX66" i="69"/>
  <c r="BS66" i="69"/>
  <c r="BR66" i="69"/>
  <c r="BN66" i="69"/>
  <c r="BM66" i="69"/>
  <c r="BI66" i="69"/>
  <c r="BH66" i="69"/>
  <c r="BD66" i="69"/>
  <c r="BC66" i="69"/>
  <c r="AY66" i="69"/>
  <c r="AX66" i="69"/>
  <c r="AW66" i="69"/>
  <c r="AT66" i="69"/>
  <c r="AS66" i="69"/>
  <c r="AO66" i="69"/>
  <c r="AN66" i="69"/>
  <c r="AJ66" i="69"/>
  <c r="AI66" i="69"/>
  <c r="AE66" i="69"/>
  <c r="AD66" i="69"/>
  <c r="Z66" i="69"/>
  <c r="Y66" i="69"/>
  <c r="U66" i="69"/>
  <c r="L66" i="69"/>
  <c r="K66" i="69"/>
  <c r="J66" i="69"/>
  <c r="I66" i="69"/>
  <c r="H66" i="69"/>
  <c r="G66" i="69"/>
  <c r="GX65" i="69"/>
  <c r="GW65" i="69"/>
  <c r="GS65" i="69"/>
  <c r="GR65" i="69"/>
  <c r="GN65" i="69"/>
  <c r="GM65" i="69"/>
  <c r="GI65" i="69"/>
  <c r="GH65" i="69"/>
  <c r="GD65" i="69"/>
  <c r="GC65" i="69"/>
  <c r="FY65" i="69"/>
  <c r="FX65" i="69"/>
  <c r="FT65" i="69"/>
  <c r="FS65" i="69"/>
  <c r="FO65" i="69"/>
  <c r="FN65" i="69"/>
  <c r="FJ65" i="69"/>
  <c r="FI65" i="69"/>
  <c r="FE65" i="69"/>
  <c r="FD65" i="69"/>
  <c r="EZ65" i="69"/>
  <c r="EY65" i="69"/>
  <c r="EU65" i="69"/>
  <c r="ET65" i="69"/>
  <c r="EP65" i="69"/>
  <c r="EO65" i="69"/>
  <c r="EK65" i="69"/>
  <c r="EJ65" i="69"/>
  <c r="EF65" i="69"/>
  <c r="EA65" i="69"/>
  <c r="DZ65" i="69"/>
  <c r="DV65" i="69"/>
  <c r="DU65" i="69"/>
  <c r="DQ65" i="69"/>
  <c r="DP65" i="69"/>
  <c r="DL65" i="69"/>
  <c r="DK65" i="69"/>
  <c r="DG65" i="69"/>
  <c r="DF65" i="69"/>
  <c r="DB65" i="69"/>
  <c r="DA65" i="69"/>
  <c r="CW65" i="69"/>
  <c r="CR65" i="69"/>
  <c r="CM65" i="69"/>
  <c r="CL65" i="69"/>
  <c r="CH65" i="69"/>
  <c r="CG65" i="69"/>
  <c r="CC65" i="69"/>
  <c r="CB65" i="69"/>
  <c r="BX65" i="69"/>
  <c r="BS65" i="69"/>
  <c r="BR65" i="69"/>
  <c r="BN65" i="69"/>
  <c r="BM65" i="69"/>
  <c r="BI65" i="69"/>
  <c r="BH65" i="69"/>
  <c r="BD65" i="69"/>
  <c r="BC65" i="69"/>
  <c r="AY65" i="69"/>
  <c r="AX65" i="69"/>
  <c r="AT65" i="69"/>
  <c r="AS65" i="69"/>
  <c r="AO65" i="69"/>
  <c r="AN65" i="69"/>
  <c r="AJ65" i="69"/>
  <c r="AI65" i="69"/>
  <c r="AE65" i="69"/>
  <c r="AD65" i="69"/>
  <c r="Z65" i="69"/>
  <c r="Y65" i="69"/>
  <c r="U65" i="69"/>
  <c r="L65" i="69"/>
  <c r="K65" i="69"/>
  <c r="J65" i="69"/>
  <c r="I65" i="69"/>
  <c r="H65" i="69"/>
  <c r="G65" i="69"/>
  <c r="GX64" i="69"/>
  <c r="GW64" i="69"/>
  <c r="GS64" i="69"/>
  <c r="GR64" i="69"/>
  <c r="GN64" i="69"/>
  <c r="GM64" i="69"/>
  <c r="GI64" i="69"/>
  <c r="GH64" i="69"/>
  <c r="GD64" i="69"/>
  <c r="GC64" i="69"/>
  <c r="FY64" i="69"/>
  <c r="FX64" i="69"/>
  <c r="FT64" i="69"/>
  <c r="FS64" i="69"/>
  <c r="FO64" i="69"/>
  <c r="FN64" i="69"/>
  <c r="FJ64" i="69"/>
  <c r="FI64" i="69"/>
  <c r="FE64" i="69"/>
  <c r="FD64" i="69"/>
  <c r="EZ64" i="69"/>
  <c r="EY64" i="69"/>
  <c r="EU64" i="69"/>
  <c r="ET64" i="69"/>
  <c r="EP64" i="69"/>
  <c r="EO64" i="69"/>
  <c r="EK64" i="69"/>
  <c r="EJ64" i="69"/>
  <c r="EF64" i="69"/>
  <c r="EA64" i="69"/>
  <c r="DZ64" i="69"/>
  <c r="DV64" i="69"/>
  <c r="DU64" i="69"/>
  <c r="DQ64" i="69"/>
  <c r="DP64" i="69"/>
  <c r="DL64" i="69"/>
  <c r="DK64" i="69"/>
  <c r="DG64" i="69"/>
  <c r="DF64" i="69"/>
  <c r="DB64" i="69"/>
  <c r="DA64" i="69"/>
  <c r="CW64" i="69"/>
  <c r="CR64" i="69"/>
  <c r="CM64" i="69"/>
  <c r="CL64" i="69"/>
  <c r="CH64" i="69"/>
  <c r="CG64" i="69"/>
  <c r="CC64" i="69"/>
  <c r="CB64" i="69"/>
  <c r="BX64" i="69"/>
  <c r="BS64" i="69"/>
  <c r="BR64" i="69"/>
  <c r="BN64" i="69"/>
  <c r="BM64" i="69"/>
  <c r="BI64" i="69"/>
  <c r="BH64" i="69"/>
  <c r="BD64" i="69"/>
  <c r="BC64" i="69"/>
  <c r="AY64" i="69"/>
  <c r="AX64" i="69"/>
  <c r="AU64" i="69"/>
  <c r="AT64" i="69"/>
  <c r="AS64" i="69"/>
  <c r="AO64" i="69"/>
  <c r="AN64" i="69"/>
  <c r="AJ64" i="69"/>
  <c r="AI64" i="69"/>
  <c r="AE64" i="69"/>
  <c r="AD64" i="69"/>
  <c r="AC64" i="69"/>
  <c r="Z64" i="69"/>
  <c r="Y64" i="69"/>
  <c r="U64" i="69"/>
  <c r="L64" i="69"/>
  <c r="K64" i="69"/>
  <c r="J64" i="69"/>
  <c r="I64" i="69"/>
  <c r="H64" i="69"/>
  <c r="G64" i="69"/>
  <c r="GX63" i="69"/>
  <c r="GW63" i="69"/>
  <c r="GS63" i="69"/>
  <c r="GR63" i="69"/>
  <c r="GN63" i="69"/>
  <c r="GM63" i="69"/>
  <c r="GI63" i="69"/>
  <c r="GH63" i="69"/>
  <c r="GD63" i="69"/>
  <c r="GC63" i="69"/>
  <c r="FY63" i="69"/>
  <c r="FX63" i="69"/>
  <c r="FT63" i="69"/>
  <c r="FS63" i="69"/>
  <c r="FO63" i="69"/>
  <c r="FN63" i="69"/>
  <c r="FJ63" i="69"/>
  <c r="FI63" i="69"/>
  <c r="FE63" i="69"/>
  <c r="FD63" i="69"/>
  <c r="EZ63" i="69"/>
  <c r="EY63" i="69"/>
  <c r="EU63" i="69"/>
  <c r="ET63" i="69"/>
  <c r="EP63" i="69"/>
  <c r="EO63" i="69"/>
  <c r="EK63" i="69"/>
  <c r="EJ63" i="69"/>
  <c r="EF63" i="69"/>
  <c r="EA63" i="69"/>
  <c r="DZ63" i="69"/>
  <c r="DV63" i="69"/>
  <c r="DU63" i="69"/>
  <c r="DQ63" i="69"/>
  <c r="DP63" i="69"/>
  <c r="DL63" i="69"/>
  <c r="DK63" i="69"/>
  <c r="DG63" i="69"/>
  <c r="DF63" i="69"/>
  <c r="DB63" i="69"/>
  <c r="DA63" i="69"/>
  <c r="CW63" i="69"/>
  <c r="CR63" i="69"/>
  <c r="CM63" i="69"/>
  <c r="CL63" i="69"/>
  <c r="CH63" i="69"/>
  <c r="CG63" i="69"/>
  <c r="CC63" i="69"/>
  <c r="CB63" i="69"/>
  <c r="BX63" i="69"/>
  <c r="BS63" i="69"/>
  <c r="BR63" i="69"/>
  <c r="BN63" i="69"/>
  <c r="BM63" i="69"/>
  <c r="BI63" i="69"/>
  <c r="BH63" i="69"/>
  <c r="BD63" i="69"/>
  <c r="BC63" i="69"/>
  <c r="AZ63" i="69"/>
  <c r="AY63" i="69"/>
  <c r="AX63" i="69"/>
  <c r="AT63" i="69"/>
  <c r="AS63" i="69"/>
  <c r="AO63" i="69"/>
  <c r="AN63" i="69"/>
  <c r="AJ63" i="69"/>
  <c r="AI63" i="69"/>
  <c r="AE63" i="69"/>
  <c r="AD63" i="69"/>
  <c r="Z63" i="69"/>
  <c r="Y63" i="69"/>
  <c r="U63" i="69"/>
  <c r="L63" i="69"/>
  <c r="K63" i="69"/>
  <c r="J63" i="69"/>
  <c r="I63" i="69"/>
  <c r="H63" i="69"/>
  <c r="G63" i="69"/>
  <c r="GX62" i="69"/>
  <c r="GW62" i="69"/>
  <c r="GS62" i="69"/>
  <c r="GR62" i="69"/>
  <c r="GN62" i="69"/>
  <c r="GM62" i="69"/>
  <c r="GI62" i="69"/>
  <c r="GH62" i="69"/>
  <c r="GD62" i="69"/>
  <c r="GC62" i="69"/>
  <c r="FY62" i="69"/>
  <c r="FX62" i="69"/>
  <c r="FT62" i="69"/>
  <c r="FS62" i="69"/>
  <c r="FO62" i="69"/>
  <c r="FN62" i="69"/>
  <c r="FJ62" i="69"/>
  <c r="FI62" i="69"/>
  <c r="FE62" i="69"/>
  <c r="FD62" i="69"/>
  <c r="EZ62" i="69"/>
  <c r="EY62" i="69"/>
  <c r="EU62" i="69"/>
  <c r="ET62" i="69"/>
  <c r="EP62" i="69"/>
  <c r="EO62" i="69"/>
  <c r="EK62" i="69"/>
  <c r="EJ62" i="69"/>
  <c r="EF62" i="69"/>
  <c r="EA62" i="69"/>
  <c r="DZ62" i="69"/>
  <c r="DV62" i="69"/>
  <c r="DU62" i="69"/>
  <c r="DQ62" i="69"/>
  <c r="DP62" i="69"/>
  <c r="DL62" i="69"/>
  <c r="DK62" i="69"/>
  <c r="DG62" i="69"/>
  <c r="DF62" i="69"/>
  <c r="DB62" i="69"/>
  <c r="DA62" i="69"/>
  <c r="CW62" i="69"/>
  <c r="CR62" i="69"/>
  <c r="CM62" i="69"/>
  <c r="CL62" i="69"/>
  <c r="CH62" i="69"/>
  <c r="CG62" i="69"/>
  <c r="CC62" i="69"/>
  <c r="CB62" i="69"/>
  <c r="BX62" i="69"/>
  <c r="BS62" i="69"/>
  <c r="BR62" i="69"/>
  <c r="BN62" i="69"/>
  <c r="BM62" i="69"/>
  <c r="BI62" i="69"/>
  <c r="BH62" i="69"/>
  <c r="BD62" i="69"/>
  <c r="BC62" i="69"/>
  <c r="AZ62" i="69"/>
  <c r="AY62" i="69"/>
  <c r="AX62" i="69"/>
  <c r="AW62" i="69"/>
  <c r="AT62" i="69"/>
  <c r="AS62" i="69"/>
  <c r="AO62" i="69"/>
  <c r="AN62" i="69"/>
  <c r="AJ62" i="69"/>
  <c r="AI62" i="69"/>
  <c r="AE62" i="69"/>
  <c r="AD62" i="69"/>
  <c r="Z62" i="69"/>
  <c r="Y62" i="69"/>
  <c r="U62" i="69"/>
  <c r="L62" i="69"/>
  <c r="K62" i="69"/>
  <c r="J62" i="69"/>
  <c r="I62" i="69"/>
  <c r="H62" i="69"/>
  <c r="G62" i="69"/>
  <c r="GX61" i="69"/>
  <c r="GW61" i="69"/>
  <c r="GS61" i="69"/>
  <c r="GR61" i="69"/>
  <c r="GN61" i="69"/>
  <c r="GM61" i="69"/>
  <c r="GI61" i="69"/>
  <c r="GH61" i="69"/>
  <c r="GD61" i="69"/>
  <c r="GC61" i="69"/>
  <c r="FY61" i="69"/>
  <c r="FX61" i="69"/>
  <c r="FT61" i="69"/>
  <c r="FS61" i="69"/>
  <c r="FO61" i="69"/>
  <c r="FN61" i="69"/>
  <c r="FJ61" i="69"/>
  <c r="FI61" i="69"/>
  <c r="FE61" i="69"/>
  <c r="FD61" i="69"/>
  <c r="EZ61" i="69"/>
  <c r="EY61" i="69"/>
  <c r="EU61" i="69"/>
  <c r="ET61" i="69"/>
  <c r="EP61" i="69"/>
  <c r="EO61" i="69"/>
  <c r="EK61" i="69"/>
  <c r="EJ61" i="69"/>
  <c r="EF61" i="69"/>
  <c r="EA61" i="69"/>
  <c r="DZ61" i="69"/>
  <c r="DV61" i="69"/>
  <c r="DU61" i="69"/>
  <c r="DQ61" i="69"/>
  <c r="DP61" i="69"/>
  <c r="DL61" i="69"/>
  <c r="DK61" i="69"/>
  <c r="DG61" i="69"/>
  <c r="DF61" i="69"/>
  <c r="DB61" i="69"/>
  <c r="DA61" i="69"/>
  <c r="CW61" i="69"/>
  <c r="CR61" i="69"/>
  <c r="CM61" i="69"/>
  <c r="CL61" i="69"/>
  <c r="CH61" i="69"/>
  <c r="CG61" i="69"/>
  <c r="CC61" i="69"/>
  <c r="CB61" i="69"/>
  <c r="BX61" i="69"/>
  <c r="BS61" i="69"/>
  <c r="BR61" i="69"/>
  <c r="BN61" i="69"/>
  <c r="BM61" i="69"/>
  <c r="BI61" i="69"/>
  <c r="BH61" i="69"/>
  <c r="BD61" i="69"/>
  <c r="BC61" i="69"/>
  <c r="AY61" i="69"/>
  <c r="AX61" i="69"/>
  <c r="AT61" i="69"/>
  <c r="AS61" i="69"/>
  <c r="AO61" i="69"/>
  <c r="AN61" i="69"/>
  <c r="AJ61" i="69"/>
  <c r="AI61" i="69"/>
  <c r="AE61" i="69"/>
  <c r="AD61" i="69"/>
  <c r="AC61" i="69"/>
  <c r="Z61" i="69"/>
  <c r="Y61" i="69"/>
  <c r="U61" i="69"/>
  <c r="L61" i="69"/>
  <c r="K61" i="69"/>
  <c r="J61" i="69"/>
  <c r="I61" i="69"/>
  <c r="H61" i="69"/>
  <c r="G61" i="69"/>
  <c r="GX60" i="69"/>
  <c r="GW60" i="69"/>
  <c r="GS60" i="69"/>
  <c r="GR60" i="69"/>
  <c r="GN60" i="69"/>
  <c r="GM60" i="69"/>
  <c r="GI60" i="69"/>
  <c r="GH60" i="69"/>
  <c r="GD60" i="69"/>
  <c r="GC60" i="69"/>
  <c r="FY60" i="69"/>
  <c r="FX60" i="69"/>
  <c r="FT60" i="69"/>
  <c r="FS60" i="69"/>
  <c r="FO60" i="69"/>
  <c r="FN60" i="69"/>
  <c r="FJ60" i="69"/>
  <c r="FI60" i="69"/>
  <c r="FE60" i="69"/>
  <c r="FD60" i="69"/>
  <c r="EZ60" i="69"/>
  <c r="EY60" i="69"/>
  <c r="EU60" i="69"/>
  <c r="ET60" i="69"/>
  <c r="EP60" i="69"/>
  <c r="EO60" i="69"/>
  <c r="EK60" i="69"/>
  <c r="EJ60" i="69"/>
  <c r="EF60" i="69"/>
  <c r="EA60" i="69"/>
  <c r="DZ60" i="69"/>
  <c r="DV60" i="69"/>
  <c r="DU60" i="69"/>
  <c r="DQ60" i="69"/>
  <c r="DP60" i="69"/>
  <c r="DL60" i="69"/>
  <c r="DK60" i="69"/>
  <c r="DG60" i="69"/>
  <c r="DF60" i="69"/>
  <c r="DB60" i="69"/>
  <c r="DA60" i="69"/>
  <c r="CW60" i="69"/>
  <c r="CR60" i="69"/>
  <c r="CM60" i="69"/>
  <c r="CL60" i="69"/>
  <c r="CH60" i="69"/>
  <c r="CG60" i="69"/>
  <c r="CC60" i="69"/>
  <c r="CB60" i="69"/>
  <c r="BX60" i="69"/>
  <c r="BS60" i="69"/>
  <c r="BR60" i="69"/>
  <c r="BN60" i="69"/>
  <c r="BM60" i="69"/>
  <c r="BI60" i="69"/>
  <c r="BH60" i="69"/>
  <c r="BD60" i="69"/>
  <c r="BC60" i="69"/>
  <c r="AY60" i="69"/>
  <c r="AX60" i="69"/>
  <c r="AT60" i="69"/>
  <c r="AS60" i="69"/>
  <c r="AO60" i="69"/>
  <c r="AN60" i="69"/>
  <c r="AJ60" i="69"/>
  <c r="AI60" i="69"/>
  <c r="AE60" i="69"/>
  <c r="AD60" i="69"/>
  <c r="Z60" i="69"/>
  <c r="Y60" i="69"/>
  <c r="U60" i="69"/>
  <c r="L60" i="69"/>
  <c r="K60" i="69"/>
  <c r="J60" i="69"/>
  <c r="I60" i="69"/>
  <c r="H60" i="69"/>
  <c r="G60" i="69"/>
  <c r="GX59" i="69"/>
  <c r="GW59" i="69"/>
  <c r="GS59" i="69"/>
  <c r="GR59" i="69"/>
  <c r="GN59" i="69"/>
  <c r="GM59" i="69"/>
  <c r="GI59" i="69"/>
  <c r="GH59" i="69"/>
  <c r="GD59" i="69"/>
  <c r="GC59" i="69"/>
  <c r="FY59" i="69"/>
  <c r="FX59" i="69"/>
  <c r="FT59" i="69"/>
  <c r="FS59" i="69"/>
  <c r="FO59" i="69"/>
  <c r="FN59" i="69"/>
  <c r="FJ59" i="69"/>
  <c r="FI59" i="69"/>
  <c r="FE59" i="69"/>
  <c r="FD59" i="69"/>
  <c r="EZ59" i="69"/>
  <c r="EY59" i="69"/>
  <c r="EU59" i="69"/>
  <c r="ET59" i="69"/>
  <c r="EP59" i="69"/>
  <c r="EO59" i="69"/>
  <c r="EK59" i="69"/>
  <c r="EJ59" i="69"/>
  <c r="EF59" i="69"/>
  <c r="EA59" i="69"/>
  <c r="DZ59" i="69"/>
  <c r="DV59" i="69"/>
  <c r="DU59" i="69"/>
  <c r="DQ59" i="69"/>
  <c r="DP59" i="69"/>
  <c r="DL59" i="69"/>
  <c r="DK59" i="69"/>
  <c r="DG59" i="69"/>
  <c r="DF59" i="69"/>
  <c r="DB59" i="69"/>
  <c r="DA59" i="69"/>
  <c r="CW59" i="69"/>
  <c r="CR59" i="69"/>
  <c r="CM59" i="69"/>
  <c r="CL59" i="69"/>
  <c r="CH59" i="69"/>
  <c r="CG59" i="69"/>
  <c r="CC59" i="69"/>
  <c r="CB59" i="69"/>
  <c r="BX59" i="69"/>
  <c r="BS59" i="69"/>
  <c r="BR59" i="69"/>
  <c r="BN59" i="69"/>
  <c r="BM59" i="69"/>
  <c r="BI59" i="69"/>
  <c r="BH59" i="69"/>
  <c r="BD59" i="69"/>
  <c r="BC59" i="69"/>
  <c r="AY59" i="69"/>
  <c r="AX59" i="69"/>
  <c r="AT59" i="69"/>
  <c r="AS59" i="69"/>
  <c r="AO59" i="69"/>
  <c r="AN59" i="69"/>
  <c r="AJ59" i="69"/>
  <c r="AI59" i="69"/>
  <c r="AE59" i="69"/>
  <c r="AD59" i="69"/>
  <c r="AC59" i="69"/>
  <c r="Z59" i="69"/>
  <c r="Y59" i="69"/>
  <c r="U59" i="69"/>
  <c r="L59" i="69"/>
  <c r="K59" i="69"/>
  <c r="J59" i="69"/>
  <c r="I59" i="69"/>
  <c r="H59" i="69"/>
  <c r="G59" i="69"/>
  <c r="GX58" i="69"/>
  <c r="GW58" i="69"/>
  <c r="GS58" i="69"/>
  <c r="GR58" i="69"/>
  <c r="GN58" i="69"/>
  <c r="GM58" i="69"/>
  <c r="GI58" i="69"/>
  <c r="GH58" i="69"/>
  <c r="GD58" i="69"/>
  <c r="GC58" i="69"/>
  <c r="FY58" i="69"/>
  <c r="FX58" i="69"/>
  <c r="FT58" i="69"/>
  <c r="FS58" i="69"/>
  <c r="FO58" i="69"/>
  <c r="FN58" i="69"/>
  <c r="FJ58" i="69"/>
  <c r="FI58" i="69"/>
  <c r="FE58" i="69"/>
  <c r="FD58" i="69"/>
  <c r="EZ58" i="69"/>
  <c r="EY58" i="69"/>
  <c r="EU58" i="69"/>
  <c r="ET58" i="69"/>
  <c r="EP58" i="69"/>
  <c r="EO58" i="69"/>
  <c r="EK58" i="69"/>
  <c r="EJ58" i="69"/>
  <c r="EF58" i="69"/>
  <c r="EA58" i="69"/>
  <c r="DZ58" i="69"/>
  <c r="DV58" i="69"/>
  <c r="DU58" i="69"/>
  <c r="DQ58" i="69"/>
  <c r="DP58" i="69"/>
  <c r="DL58" i="69"/>
  <c r="DK58" i="69"/>
  <c r="DG58" i="69"/>
  <c r="DF58" i="69"/>
  <c r="DB58" i="69"/>
  <c r="DA58" i="69"/>
  <c r="CW58" i="69"/>
  <c r="CR58" i="69"/>
  <c r="CM58" i="69"/>
  <c r="CL58" i="69"/>
  <c r="CH58" i="69"/>
  <c r="CG58" i="69"/>
  <c r="CC58" i="69"/>
  <c r="CB58" i="69"/>
  <c r="BX58" i="69"/>
  <c r="BS58" i="69"/>
  <c r="BR58" i="69"/>
  <c r="BN58" i="69"/>
  <c r="BM58" i="69"/>
  <c r="BI58" i="69"/>
  <c r="BH58" i="69"/>
  <c r="BD58" i="69"/>
  <c r="BC58" i="69"/>
  <c r="AY58" i="69"/>
  <c r="AX58" i="69"/>
  <c r="AT58" i="69"/>
  <c r="AS58" i="69"/>
  <c r="AO58" i="69"/>
  <c r="AN58" i="69"/>
  <c r="AJ58" i="69"/>
  <c r="AI58" i="69"/>
  <c r="AE58" i="69"/>
  <c r="AD58" i="69"/>
  <c r="Z58" i="69"/>
  <c r="Y58" i="69"/>
  <c r="U58" i="69"/>
  <c r="L58" i="69"/>
  <c r="K58" i="69"/>
  <c r="J58" i="69"/>
  <c r="I58" i="69"/>
  <c r="H58" i="69"/>
  <c r="G58" i="69"/>
  <c r="GX57" i="69"/>
  <c r="GW57" i="69"/>
  <c r="GS57" i="69"/>
  <c r="GR57" i="69"/>
  <c r="GN57" i="69"/>
  <c r="GM57" i="69"/>
  <c r="GI57" i="69"/>
  <c r="GH57" i="69"/>
  <c r="GD57" i="69"/>
  <c r="GC57" i="69"/>
  <c r="FY57" i="69"/>
  <c r="FX57" i="69"/>
  <c r="FT57" i="69"/>
  <c r="FS57" i="69"/>
  <c r="FO57" i="69"/>
  <c r="FN57" i="69"/>
  <c r="FJ57" i="69"/>
  <c r="FI57" i="69"/>
  <c r="FE57" i="69"/>
  <c r="FD57" i="69"/>
  <c r="EZ57" i="69"/>
  <c r="EY57" i="69"/>
  <c r="EU57" i="69"/>
  <c r="ET57" i="69"/>
  <c r="EP57" i="69"/>
  <c r="EO57" i="69"/>
  <c r="EK57" i="69"/>
  <c r="EJ57" i="69"/>
  <c r="EF57" i="69"/>
  <c r="EA57" i="69"/>
  <c r="DZ57" i="69"/>
  <c r="DV57" i="69"/>
  <c r="DU57" i="69"/>
  <c r="DQ57" i="69"/>
  <c r="DP57" i="69"/>
  <c r="DL57" i="69"/>
  <c r="DK57" i="69"/>
  <c r="DG57" i="69"/>
  <c r="DF57" i="69"/>
  <c r="DB57" i="69"/>
  <c r="DA57" i="69"/>
  <c r="CW57" i="69"/>
  <c r="CR57" i="69"/>
  <c r="CM57" i="69"/>
  <c r="CL57" i="69"/>
  <c r="CH57" i="69"/>
  <c r="CG57" i="69"/>
  <c r="CC57" i="69"/>
  <c r="CB57" i="69"/>
  <c r="BX57" i="69"/>
  <c r="BS57" i="69"/>
  <c r="BR57" i="69"/>
  <c r="BN57" i="69"/>
  <c r="BM57" i="69"/>
  <c r="BI57" i="69"/>
  <c r="BH57" i="69"/>
  <c r="BD57" i="69"/>
  <c r="BC57" i="69"/>
  <c r="AY57" i="69"/>
  <c r="AX57" i="69"/>
  <c r="AT57" i="69"/>
  <c r="AS57" i="69"/>
  <c r="AO57" i="69"/>
  <c r="AN57" i="69"/>
  <c r="AJ57" i="69"/>
  <c r="AI57" i="69"/>
  <c r="AE57" i="69"/>
  <c r="AD57" i="69"/>
  <c r="Z57" i="69"/>
  <c r="Y57" i="69"/>
  <c r="U57" i="69"/>
  <c r="L57" i="69"/>
  <c r="K57" i="69"/>
  <c r="J57" i="69"/>
  <c r="I57" i="69"/>
  <c r="H57" i="69"/>
  <c r="G57" i="69"/>
  <c r="GX56" i="69"/>
  <c r="GW56" i="69"/>
  <c r="GS56" i="69"/>
  <c r="GR56" i="69"/>
  <c r="GN56" i="69"/>
  <c r="GM56" i="69"/>
  <c r="GI56" i="69"/>
  <c r="GH56" i="69"/>
  <c r="GD56" i="69"/>
  <c r="GC56" i="69"/>
  <c r="FY56" i="69"/>
  <c r="FX56" i="69"/>
  <c r="FT56" i="69"/>
  <c r="FS56" i="69"/>
  <c r="FO56" i="69"/>
  <c r="FN56" i="69"/>
  <c r="FJ56" i="69"/>
  <c r="FI56" i="69"/>
  <c r="FE56" i="69"/>
  <c r="FD56" i="69"/>
  <c r="EZ56" i="69"/>
  <c r="EY56" i="69"/>
  <c r="EU56" i="69"/>
  <c r="ET56" i="69"/>
  <c r="EP56" i="69"/>
  <c r="EO56" i="69"/>
  <c r="EK56" i="69"/>
  <c r="EJ56" i="69"/>
  <c r="EF56" i="69"/>
  <c r="EA56" i="69"/>
  <c r="DZ56" i="69"/>
  <c r="DV56" i="69"/>
  <c r="DU56" i="69"/>
  <c r="DQ56" i="69"/>
  <c r="DP56" i="69"/>
  <c r="DL56" i="69"/>
  <c r="DK56" i="69"/>
  <c r="DG56" i="69"/>
  <c r="DF56" i="69"/>
  <c r="DB56" i="69"/>
  <c r="DA56" i="69"/>
  <c r="CW56" i="69"/>
  <c r="CR56" i="69"/>
  <c r="CM56" i="69"/>
  <c r="CL56" i="69"/>
  <c r="CH56" i="69"/>
  <c r="CG56" i="69"/>
  <c r="CC56" i="69"/>
  <c r="CB56" i="69"/>
  <c r="BX56" i="69"/>
  <c r="BS56" i="69"/>
  <c r="BR56" i="69"/>
  <c r="BN56" i="69"/>
  <c r="BM56" i="69"/>
  <c r="BI56" i="69"/>
  <c r="BH56" i="69"/>
  <c r="BD56" i="69"/>
  <c r="BC56" i="69"/>
  <c r="AY56" i="69"/>
  <c r="AX56" i="69"/>
  <c r="AT56" i="69"/>
  <c r="AS56" i="69"/>
  <c r="AO56" i="69"/>
  <c r="AN56" i="69"/>
  <c r="AJ56" i="69"/>
  <c r="AI56" i="69"/>
  <c r="AE56" i="69"/>
  <c r="AD56" i="69"/>
  <c r="AC56" i="69"/>
  <c r="Z56" i="69"/>
  <c r="Y56" i="69"/>
  <c r="U56" i="69"/>
  <c r="S56" i="69"/>
  <c r="L56" i="69"/>
  <c r="K56" i="69"/>
  <c r="J56" i="69"/>
  <c r="I56" i="69"/>
  <c r="H56" i="69"/>
  <c r="G56" i="69"/>
  <c r="GX55" i="69"/>
  <c r="GW55" i="69"/>
  <c r="GS55" i="69"/>
  <c r="GR55" i="69"/>
  <c r="GN55" i="69"/>
  <c r="GM55" i="69"/>
  <c r="GI55" i="69"/>
  <c r="GH55" i="69"/>
  <c r="GD55" i="69"/>
  <c r="GC55" i="69"/>
  <c r="FY55" i="69"/>
  <c r="FX55" i="69"/>
  <c r="FT55" i="69"/>
  <c r="FS55" i="69"/>
  <c r="FO55" i="69"/>
  <c r="FN55" i="69"/>
  <c r="FJ55" i="69"/>
  <c r="FI55" i="69"/>
  <c r="FE55" i="69"/>
  <c r="FD55" i="69"/>
  <c r="EZ55" i="69"/>
  <c r="EY55" i="69"/>
  <c r="EU55" i="69"/>
  <c r="ET55" i="69"/>
  <c r="EP55" i="69"/>
  <c r="EO55" i="69"/>
  <c r="EK55" i="69"/>
  <c r="EJ55" i="69"/>
  <c r="EF55" i="69"/>
  <c r="EA55" i="69"/>
  <c r="DZ55" i="69"/>
  <c r="DV55" i="69"/>
  <c r="DU55" i="69"/>
  <c r="DQ55" i="69"/>
  <c r="DP55" i="69"/>
  <c r="DL55" i="69"/>
  <c r="DK55" i="69"/>
  <c r="DG55" i="69"/>
  <c r="DF55" i="69"/>
  <c r="DB55" i="69"/>
  <c r="DA55" i="69"/>
  <c r="CW55" i="69"/>
  <c r="CR55" i="69"/>
  <c r="CM55" i="69"/>
  <c r="CL55" i="69"/>
  <c r="CH55" i="69"/>
  <c r="CG55" i="69"/>
  <c r="CC55" i="69"/>
  <c r="CB55" i="69"/>
  <c r="BX55" i="69"/>
  <c r="BS55" i="69"/>
  <c r="BR55" i="69"/>
  <c r="BN55" i="69"/>
  <c r="BM55" i="69"/>
  <c r="BI55" i="69"/>
  <c r="BH55" i="69"/>
  <c r="BD55" i="69"/>
  <c r="BC55" i="69"/>
  <c r="AY55" i="69"/>
  <c r="AX55" i="69"/>
  <c r="AU55" i="69"/>
  <c r="AT55" i="69"/>
  <c r="AS55" i="69"/>
  <c r="AO55" i="69"/>
  <c r="AN55" i="69"/>
  <c r="AJ55" i="69"/>
  <c r="AI55" i="69"/>
  <c r="AE55" i="69"/>
  <c r="AD55" i="69"/>
  <c r="Z55" i="69"/>
  <c r="Y55" i="69"/>
  <c r="U55" i="69"/>
  <c r="L55" i="69"/>
  <c r="K55" i="69"/>
  <c r="J55" i="69"/>
  <c r="I55" i="69"/>
  <c r="H55" i="69"/>
  <c r="G55" i="69"/>
  <c r="GX54" i="69"/>
  <c r="GW54" i="69"/>
  <c r="GS54" i="69"/>
  <c r="GR54" i="69"/>
  <c r="GN54" i="69"/>
  <c r="GM54" i="69"/>
  <c r="GI54" i="69"/>
  <c r="GH54" i="69"/>
  <c r="GD54" i="69"/>
  <c r="GC54" i="69"/>
  <c r="FY54" i="69"/>
  <c r="FX54" i="69"/>
  <c r="FT54" i="69"/>
  <c r="FS54" i="69"/>
  <c r="FO54" i="69"/>
  <c r="FN54" i="69"/>
  <c r="FJ54" i="69"/>
  <c r="FI54" i="69"/>
  <c r="FE54" i="69"/>
  <c r="FD54" i="69"/>
  <c r="EZ54" i="69"/>
  <c r="EY54" i="69"/>
  <c r="EU54" i="69"/>
  <c r="ET54" i="69"/>
  <c r="EP54" i="69"/>
  <c r="EO54" i="69"/>
  <c r="EK54" i="69"/>
  <c r="EJ54" i="69"/>
  <c r="EF54" i="69"/>
  <c r="EA54" i="69"/>
  <c r="DZ54" i="69"/>
  <c r="DV54" i="69"/>
  <c r="DU54" i="69"/>
  <c r="DQ54" i="69"/>
  <c r="DP54" i="69"/>
  <c r="DL54" i="69"/>
  <c r="DK54" i="69"/>
  <c r="DG54" i="69"/>
  <c r="DF54" i="69"/>
  <c r="DB54" i="69"/>
  <c r="DA54" i="69"/>
  <c r="CW54" i="69"/>
  <c r="CR54" i="69"/>
  <c r="CM54" i="69"/>
  <c r="CL54" i="69"/>
  <c r="CH54" i="69"/>
  <c r="CG54" i="69"/>
  <c r="CC54" i="69"/>
  <c r="CB54" i="69"/>
  <c r="BX54" i="69"/>
  <c r="BS54" i="69"/>
  <c r="BR54" i="69"/>
  <c r="BN54" i="69"/>
  <c r="BM54" i="69"/>
  <c r="BI54" i="69"/>
  <c r="BH54" i="69"/>
  <c r="BD54" i="69"/>
  <c r="BC54" i="69"/>
  <c r="AY54" i="69"/>
  <c r="AX54" i="69"/>
  <c r="AW54" i="69"/>
  <c r="AU54" i="69"/>
  <c r="AT54" i="69"/>
  <c r="AS54" i="69"/>
  <c r="AO54" i="69"/>
  <c r="AN54" i="69"/>
  <c r="AJ54" i="69"/>
  <c r="AI54" i="69"/>
  <c r="AE54" i="69"/>
  <c r="AD54" i="69"/>
  <c r="Z54" i="69"/>
  <c r="Y54" i="69"/>
  <c r="U54" i="69"/>
  <c r="S54" i="69"/>
  <c r="L54" i="69"/>
  <c r="K54" i="69"/>
  <c r="J54" i="69"/>
  <c r="I54" i="69"/>
  <c r="H54" i="69"/>
  <c r="G54" i="69"/>
  <c r="GX53" i="69"/>
  <c r="GW53" i="69"/>
  <c r="GS53" i="69"/>
  <c r="GR53" i="69"/>
  <c r="GN53" i="69"/>
  <c r="GM53" i="69"/>
  <c r="GI53" i="69"/>
  <c r="GH53" i="69"/>
  <c r="GD53" i="69"/>
  <c r="GC53" i="69"/>
  <c r="FY53" i="69"/>
  <c r="FX53" i="69"/>
  <c r="FT53" i="69"/>
  <c r="FS53" i="69"/>
  <c r="FO53" i="69"/>
  <c r="FN53" i="69"/>
  <c r="FJ53" i="69"/>
  <c r="FI53" i="69"/>
  <c r="FE53" i="69"/>
  <c r="FD53" i="69"/>
  <c r="EZ53" i="69"/>
  <c r="EY53" i="69"/>
  <c r="EU53" i="69"/>
  <c r="ET53" i="69"/>
  <c r="EP53" i="69"/>
  <c r="EO53" i="69"/>
  <c r="EK53" i="69"/>
  <c r="EJ53" i="69"/>
  <c r="EF53" i="69"/>
  <c r="EA53" i="69"/>
  <c r="DZ53" i="69"/>
  <c r="DV53" i="69"/>
  <c r="DU53" i="69"/>
  <c r="DQ53" i="69"/>
  <c r="DP53" i="69"/>
  <c r="DL53" i="69"/>
  <c r="DK53" i="69"/>
  <c r="DG53" i="69"/>
  <c r="DF53" i="69"/>
  <c r="DB53" i="69"/>
  <c r="DA53" i="69"/>
  <c r="CW53" i="69"/>
  <c r="CR53" i="69"/>
  <c r="CM53" i="69"/>
  <c r="CL53" i="69"/>
  <c r="CH53" i="69"/>
  <c r="CG53" i="69"/>
  <c r="CC53" i="69"/>
  <c r="CB53" i="69"/>
  <c r="BX53" i="69"/>
  <c r="BS53" i="69"/>
  <c r="BR53" i="69"/>
  <c r="BN53" i="69"/>
  <c r="BM53" i="69"/>
  <c r="BI53" i="69"/>
  <c r="BH53" i="69"/>
  <c r="BD53" i="69"/>
  <c r="BC53" i="69"/>
  <c r="AY53" i="69"/>
  <c r="AX53" i="69"/>
  <c r="AT53" i="69"/>
  <c r="AS53" i="69"/>
  <c r="AO53" i="69"/>
  <c r="AN53" i="69"/>
  <c r="AJ53" i="69"/>
  <c r="AI53" i="69"/>
  <c r="AE53" i="69"/>
  <c r="AD53" i="69"/>
  <c r="AC53" i="69"/>
  <c r="Z53" i="69"/>
  <c r="Y53" i="69"/>
  <c r="U53" i="69"/>
  <c r="S53" i="69"/>
  <c r="L53" i="69"/>
  <c r="K53" i="69"/>
  <c r="J53" i="69"/>
  <c r="I53" i="69"/>
  <c r="H53" i="69"/>
  <c r="G53" i="69"/>
  <c r="GX52" i="69"/>
  <c r="GW52" i="69"/>
  <c r="GS52" i="69"/>
  <c r="GR52" i="69"/>
  <c r="GN52" i="69"/>
  <c r="GM52" i="69"/>
  <c r="GI52" i="69"/>
  <c r="GH52" i="69"/>
  <c r="GD52" i="69"/>
  <c r="GC52" i="69"/>
  <c r="FY52" i="69"/>
  <c r="FX52" i="69"/>
  <c r="FT52" i="69"/>
  <c r="FS52" i="69"/>
  <c r="FO52" i="69"/>
  <c r="FN52" i="69"/>
  <c r="FJ52" i="69"/>
  <c r="FI52" i="69"/>
  <c r="FE52" i="69"/>
  <c r="FD52" i="69"/>
  <c r="EZ52" i="69"/>
  <c r="EY52" i="69"/>
  <c r="EU52" i="69"/>
  <c r="ET52" i="69"/>
  <c r="EP52" i="69"/>
  <c r="EO52" i="69"/>
  <c r="EK52" i="69"/>
  <c r="EJ52" i="69"/>
  <c r="EF52" i="69"/>
  <c r="EA52" i="69"/>
  <c r="DZ52" i="69"/>
  <c r="DV52" i="69"/>
  <c r="DU52" i="69"/>
  <c r="DQ52" i="69"/>
  <c r="DP52" i="69"/>
  <c r="DL52" i="69"/>
  <c r="DK52" i="69"/>
  <c r="DG52" i="69"/>
  <c r="DF52" i="69"/>
  <c r="DB52" i="69"/>
  <c r="DA52" i="69"/>
  <c r="CW52" i="69"/>
  <c r="CR52" i="69"/>
  <c r="CM52" i="69"/>
  <c r="CL52" i="69"/>
  <c r="CH52" i="69"/>
  <c r="CG52" i="69"/>
  <c r="CC52" i="69"/>
  <c r="CB52" i="69"/>
  <c r="BX52" i="69"/>
  <c r="BS52" i="69"/>
  <c r="BR52" i="69"/>
  <c r="BN52" i="69"/>
  <c r="BM52" i="69"/>
  <c r="BI52" i="69"/>
  <c r="BH52" i="69"/>
  <c r="BD52" i="69"/>
  <c r="BC52" i="69"/>
  <c r="AY52" i="69"/>
  <c r="AX52" i="69"/>
  <c r="AT52" i="69"/>
  <c r="AS52" i="69"/>
  <c r="AO52" i="69"/>
  <c r="AN52" i="69"/>
  <c r="AJ52" i="69"/>
  <c r="AI52" i="69"/>
  <c r="AE52" i="69"/>
  <c r="AD52" i="69"/>
  <c r="Z52" i="69"/>
  <c r="Y52" i="69"/>
  <c r="U52" i="69"/>
  <c r="J52" i="69"/>
  <c r="I52" i="69"/>
  <c r="H52" i="69"/>
  <c r="G52" i="69"/>
  <c r="GX51" i="69"/>
  <c r="GW51" i="69"/>
  <c r="GS51" i="69"/>
  <c r="GR51" i="69"/>
  <c r="GN51" i="69"/>
  <c r="GM51" i="69"/>
  <c r="GI51" i="69"/>
  <c r="GH51" i="69"/>
  <c r="GD51" i="69"/>
  <c r="GC51" i="69"/>
  <c r="FY51" i="69"/>
  <c r="FX51" i="69"/>
  <c r="FT51" i="69"/>
  <c r="FS51" i="69"/>
  <c r="FO51" i="69"/>
  <c r="FN51" i="69"/>
  <c r="FJ51" i="69"/>
  <c r="FI51" i="69"/>
  <c r="FE51" i="69"/>
  <c r="FD51" i="69"/>
  <c r="EZ51" i="69"/>
  <c r="EY51" i="69"/>
  <c r="EU51" i="69"/>
  <c r="ET51" i="69"/>
  <c r="EP51" i="69"/>
  <c r="EO51" i="69"/>
  <c r="EK51" i="69"/>
  <c r="EJ51" i="69"/>
  <c r="EF51" i="69"/>
  <c r="EA51" i="69"/>
  <c r="DZ51" i="69"/>
  <c r="DV51" i="69"/>
  <c r="DU51" i="69"/>
  <c r="DQ51" i="69"/>
  <c r="DP51" i="69"/>
  <c r="DL51" i="69"/>
  <c r="DK51" i="69"/>
  <c r="DG51" i="69"/>
  <c r="DF51" i="69"/>
  <c r="DB51" i="69"/>
  <c r="DA51" i="69"/>
  <c r="CW51" i="69"/>
  <c r="CR51" i="69"/>
  <c r="CM51" i="69"/>
  <c r="CL51" i="69"/>
  <c r="CH51" i="69"/>
  <c r="CG51" i="69"/>
  <c r="CC51" i="69"/>
  <c r="CB51" i="69"/>
  <c r="BX51" i="69"/>
  <c r="BS51" i="69"/>
  <c r="BR51" i="69"/>
  <c r="BN51" i="69"/>
  <c r="BM51" i="69"/>
  <c r="BI51" i="69"/>
  <c r="BH51" i="69"/>
  <c r="BD51" i="69"/>
  <c r="BC51" i="69"/>
  <c r="AY51" i="69"/>
  <c r="AX51" i="69"/>
  <c r="AT51" i="69"/>
  <c r="AS51" i="69"/>
  <c r="AO51" i="69"/>
  <c r="AN51" i="69"/>
  <c r="AJ51" i="69"/>
  <c r="AI51" i="69"/>
  <c r="AE51" i="69"/>
  <c r="AD51" i="69"/>
  <c r="Z51" i="69"/>
  <c r="Y51" i="69"/>
  <c r="U51" i="69"/>
  <c r="S51" i="69"/>
  <c r="J51" i="69"/>
  <c r="I51" i="69"/>
  <c r="H51" i="69"/>
  <c r="G51" i="69"/>
  <c r="GX50" i="69"/>
  <c r="GW50" i="69"/>
  <c r="GS50" i="69"/>
  <c r="GR50" i="69"/>
  <c r="GN50" i="69"/>
  <c r="GM50" i="69"/>
  <c r="GI50" i="69"/>
  <c r="GH50" i="69"/>
  <c r="GD50" i="69"/>
  <c r="GC50" i="69"/>
  <c r="FY50" i="69"/>
  <c r="FX50" i="69"/>
  <c r="FT50" i="69"/>
  <c r="FS50" i="69"/>
  <c r="FO50" i="69"/>
  <c r="FN50" i="69"/>
  <c r="FJ50" i="69"/>
  <c r="FI50" i="69"/>
  <c r="FE50" i="69"/>
  <c r="FD50" i="69"/>
  <c r="EZ50" i="69"/>
  <c r="EY50" i="69"/>
  <c r="EU50" i="69"/>
  <c r="ET50" i="69"/>
  <c r="EP50" i="69"/>
  <c r="EO50" i="69"/>
  <c r="EK50" i="69"/>
  <c r="EJ50" i="69"/>
  <c r="EF50" i="69"/>
  <c r="EA50" i="69"/>
  <c r="DZ50" i="69"/>
  <c r="DV50" i="69"/>
  <c r="DU50" i="69"/>
  <c r="DQ50" i="69"/>
  <c r="DP50" i="69"/>
  <c r="DL50" i="69"/>
  <c r="DK50" i="69"/>
  <c r="DG50" i="69"/>
  <c r="DF50" i="69"/>
  <c r="DB50" i="69"/>
  <c r="DA50" i="69"/>
  <c r="CW50" i="69"/>
  <c r="CR50" i="69"/>
  <c r="CM50" i="69"/>
  <c r="CL50" i="69"/>
  <c r="CH50" i="69"/>
  <c r="CG50" i="69"/>
  <c r="CC50" i="69"/>
  <c r="CB50" i="69"/>
  <c r="BX50" i="69"/>
  <c r="BS50" i="69"/>
  <c r="BR50" i="69"/>
  <c r="BN50" i="69"/>
  <c r="BM50" i="69"/>
  <c r="BI50" i="69"/>
  <c r="BH50" i="69"/>
  <c r="BD50" i="69"/>
  <c r="BC50" i="69"/>
  <c r="AY50" i="69"/>
  <c r="AX50" i="69"/>
  <c r="AT50" i="69"/>
  <c r="AS50" i="69"/>
  <c r="AO50" i="69"/>
  <c r="AN50" i="69"/>
  <c r="AJ50" i="69"/>
  <c r="AI50" i="69"/>
  <c r="AE50" i="69"/>
  <c r="AD50" i="69"/>
  <c r="Z50" i="69"/>
  <c r="Y50" i="69"/>
  <c r="U50" i="69"/>
  <c r="J50" i="69"/>
  <c r="I50" i="69"/>
  <c r="H50" i="69"/>
  <c r="G50" i="69"/>
  <c r="GX49" i="69"/>
  <c r="GW49" i="69"/>
  <c r="GS49" i="69"/>
  <c r="GR49" i="69"/>
  <c r="GN49" i="69"/>
  <c r="GM49" i="69"/>
  <c r="GI49" i="69"/>
  <c r="GH49" i="69"/>
  <c r="GD49" i="69"/>
  <c r="GC49" i="69"/>
  <c r="FY49" i="69"/>
  <c r="FX49" i="69"/>
  <c r="FT49" i="69"/>
  <c r="FS49" i="69"/>
  <c r="FO49" i="69"/>
  <c r="FN49" i="69"/>
  <c r="FJ49" i="69"/>
  <c r="FI49" i="69"/>
  <c r="FE49" i="69"/>
  <c r="FD49" i="69"/>
  <c r="EZ49" i="69"/>
  <c r="EY49" i="69"/>
  <c r="EU49" i="69"/>
  <c r="ET49" i="69"/>
  <c r="EP49" i="69"/>
  <c r="EO49" i="69"/>
  <c r="EK49" i="69"/>
  <c r="EJ49" i="69"/>
  <c r="EF49" i="69"/>
  <c r="EA49" i="69"/>
  <c r="DZ49" i="69"/>
  <c r="DV49" i="69"/>
  <c r="DU49" i="69"/>
  <c r="DQ49" i="69"/>
  <c r="DP49" i="69"/>
  <c r="DL49" i="69"/>
  <c r="DK49" i="69"/>
  <c r="DG49" i="69"/>
  <c r="DF49" i="69"/>
  <c r="DB49" i="69"/>
  <c r="DA49" i="69"/>
  <c r="CW49" i="69"/>
  <c r="CR49" i="69"/>
  <c r="CM49" i="69"/>
  <c r="CL49" i="69"/>
  <c r="CH49" i="69"/>
  <c r="CG49" i="69"/>
  <c r="CC49" i="69"/>
  <c r="CB49" i="69"/>
  <c r="BX49" i="69"/>
  <c r="BS49" i="69"/>
  <c r="BR49" i="69"/>
  <c r="BN49" i="69"/>
  <c r="BM49" i="69"/>
  <c r="BI49" i="69"/>
  <c r="BH49" i="69"/>
  <c r="BD49" i="69"/>
  <c r="BC49" i="69"/>
  <c r="AY49" i="69"/>
  <c r="AX49" i="69"/>
  <c r="AT49" i="69"/>
  <c r="AS49" i="69"/>
  <c r="AO49" i="69"/>
  <c r="AN49" i="69"/>
  <c r="AJ49" i="69"/>
  <c r="AI49" i="69"/>
  <c r="AE49" i="69"/>
  <c r="AD49" i="69"/>
  <c r="Z49" i="69"/>
  <c r="Y49" i="69"/>
  <c r="U49" i="69"/>
  <c r="J49" i="69"/>
  <c r="I49" i="69"/>
  <c r="H49" i="69"/>
  <c r="G49" i="69"/>
  <c r="GX48" i="69"/>
  <c r="GW48" i="69"/>
  <c r="GS48" i="69"/>
  <c r="GR48" i="69"/>
  <c r="GN48" i="69"/>
  <c r="GM48" i="69"/>
  <c r="GI48" i="69"/>
  <c r="GH48" i="69"/>
  <c r="GD48" i="69"/>
  <c r="GC48" i="69"/>
  <c r="FY48" i="69"/>
  <c r="FX48" i="69"/>
  <c r="FT48" i="69"/>
  <c r="FS48" i="69"/>
  <c r="FO48" i="69"/>
  <c r="FN48" i="69"/>
  <c r="FJ48" i="69"/>
  <c r="FI48" i="69"/>
  <c r="FE48" i="69"/>
  <c r="FD48" i="69"/>
  <c r="EZ48" i="69"/>
  <c r="EY48" i="69"/>
  <c r="EU48" i="69"/>
  <c r="ET48" i="69"/>
  <c r="EP48" i="69"/>
  <c r="EO48" i="69"/>
  <c r="EK48" i="69"/>
  <c r="EJ48" i="69"/>
  <c r="EF48" i="69"/>
  <c r="EA48" i="69"/>
  <c r="DZ48" i="69"/>
  <c r="DV48" i="69"/>
  <c r="DU48" i="69"/>
  <c r="DQ48" i="69"/>
  <c r="DP48" i="69"/>
  <c r="DL48" i="69"/>
  <c r="DK48" i="69"/>
  <c r="DG48" i="69"/>
  <c r="DF48" i="69"/>
  <c r="DB48" i="69"/>
  <c r="DA48" i="69"/>
  <c r="CW48" i="69"/>
  <c r="CR48" i="69"/>
  <c r="CM48" i="69"/>
  <c r="CL48" i="69"/>
  <c r="CH48" i="69"/>
  <c r="CG48" i="69"/>
  <c r="CC48" i="69"/>
  <c r="CB48" i="69"/>
  <c r="BX48" i="69"/>
  <c r="BS48" i="69"/>
  <c r="BR48" i="69"/>
  <c r="BN48" i="69"/>
  <c r="BM48" i="69"/>
  <c r="BI48" i="69"/>
  <c r="BH48" i="69"/>
  <c r="BD48" i="69"/>
  <c r="BC48" i="69"/>
  <c r="AY48" i="69"/>
  <c r="AX48" i="69"/>
  <c r="AT48" i="69"/>
  <c r="AS48" i="69"/>
  <c r="AO48" i="69"/>
  <c r="AN48" i="69"/>
  <c r="AJ48" i="69"/>
  <c r="AI48" i="69"/>
  <c r="AE48" i="69"/>
  <c r="AD48" i="69"/>
  <c r="Z48" i="69"/>
  <c r="Y48" i="69"/>
  <c r="U48" i="69"/>
  <c r="J48" i="69"/>
  <c r="I48" i="69"/>
  <c r="H48" i="69"/>
  <c r="G48" i="69"/>
  <c r="GX47" i="69"/>
  <c r="GW47" i="69"/>
  <c r="GS47" i="69"/>
  <c r="GR47" i="69"/>
  <c r="GN47" i="69"/>
  <c r="GM47" i="69"/>
  <c r="GI47" i="69"/>
  <c r="GH47" i="69"/>
  <c r="GD47" i="69"/>
  <c r="GC47" i="69"/>
  <c r="FY47" i="69"/>
  <c r="FX47" i="69"/>
  <c r="FT47" i="69"/>
  <c r="FS47" i="69"/>
  <c r="FO47" i="69"/>
  <c r="FN47" i="69"/>
  <c r="FJ47" i="69"/>
  <c r="FI47" i="69"/>
  <c r="FE47" i="69"/>
  <c r="FD47" i="69"/>
  <c r="EZ47" i="69"/>
  <c r="EY47" i="69"/>
  <c r="EU47" i="69"/>
  <c r="ET47" i="69"/>
  <c r="EP47" i="69"/>
  <c r="EO47" i="69"/>
  <c r="EK47" i="69"/>
  <c r="EJ47" i="69"/>
  <c r="EF47" i="69"/>
  <c r="EA47" i="69"/>
  <c r="DZ47" i="69"/>
  <c r="DV47" i="69"/>
  <c r="DU47" i="69"/>
  <c r="DQ47" i="69"/>
  <c r="DP47" i="69"/>
  <c r="DL47" i="69"/>
  <c r="DK47" i="69"/>
  <c r="DG47" i="69"/>
  <c r="DF47" i="69"/>
  <c r="DB47" i="69"/>
  <c r="DA47" i="69"/>
  <c r="CW47" i="69"/>
  <c r="CR47" i="69"/>
  <c r="CM47" i="69"/>
  <c r="CL47" i="69"/>
  <c r="CH47" i="69"/>
  <c r="CG47" i="69"/>
  <c r="CC47" i="69"/>
  <c r="CB47" i="69"/>
  <c r="BX47" i="69"/>
  <c r="BS47" i="69"/>
  <c r="BR47" i="69"/>
  <c r="BN47" i="69"/>
  <c r="BM47" i="69"/>
  <c r="BI47" i="69"/>
  <c r="BH47" i="69"/>
  <c r="BD47" i="69"/>
  <c r="BC47" i="69"/>
  <c r="AY47" i="69"/>
  <c r="AX47" i="69"/>
  <c r="AT47" i="69"/>
  <c r="AS47" i="69"/>
  <c r="AO47" i="69"/>
  <c r="AN47" i="69"/>
  <c r="AJ47" i="69"/>
  <c r="AI47" i="69"/>
  <c r="AE47" i="69"/>
  <c r="AD47" i="69"/>
  <c r="Z47" i="69"/>
  <c r="Y47" i="69"/>
  <c r="U47" i="69"/>
  <c r="J47" i="69"/>
  <c r="I47" i="69"/>
  <c r="H47" i="69"/>
  <c r="G47" i="69"/>
  <c r="GX46" i="69"/>
  <c r="GW46" i="69"/>
  <c r="GS46" i="69"/>
  <c r="GR46" i="69"/>
  <c r="GN46" i="69"/>
  <c r="GM46" i="69"/>
  <c r="GI46" i="69"/>
  <c r="GH46" i="69"/>
  <c r="GD46" i="69"/>
  <c r="GC46" i="69"/>
  <c r="FY46" i="69"/>
  <c r="FX46" i="69"/>
  <c r="FT46" i="69"/>
  <c r="FS46" i="69"/>
  <c r="FO46" i="69"/>
  <c r="FN46" i="69"/>
  <c r="FJ46" i="69"/>
  <c r="FI46" i="69"/>
  <c r="FE46" i="69"/>
  <c r="FD46" i="69"/>
  <c r="EZ46" i="69"/>
  <c r="EY46" i="69"/>
  <c r="EU46" i="69"/>
  <c r="ET46" i="69"/>
  <c r="EP46" i="69"/>
  <c r="EO46" i="69"/>
  <c r="EK46" i="69"/>
  <c r="EJ46" i="69"/>
  <c r="EF46" i="69"/>
  <c r="EA46" i="69"/>
  <c r="DZ46" i="69"/>
  <c r="DV46" i="69"/>
  <c r="DU46" i="69"/>
  <c r="DQ46" i="69"/>
  <c r="DP46" i="69"/>
  <c r="DL46" i="69"/>
  <c r="DK46" i="69"/>
  <c r="DG46" i="69"/>
  <c r="DF46" i="69"/>
  <c r="DB46" i="69"/>
  <c r="DA46" i="69"/>
  <c r="CW46" i="69"/>
  <c r="CR46" i="69"/>
  <c r="CM46" i="69"/>
  <c r="CL46" i="69"/>
  <c r="CH46" i="69"/>
  <c r="CG46" i="69"/>
  <c r="CC46" i="69"/>
  <c r="CB46" i="69"/>
  <c r="BX46" i="69"/>
  <c r="BS46" i="69"/>
  <c r="BR46" i="69"/>
  <c r="BN46" i="69"/>
  <c r="BM46" i="69"/>
  <c r="BI46" i="69"/>
  <c r="BH46" i="69"/>
  <c r="BD46" i="69"/>
  <c r="BC46" i="69"/>
  <c r="AY46" i="69"/>
  <c r="AX46" i="69"/>
  <c r="AT46" i="69"/>
  <c r="AS46" i="69"/>
  <c r="AO46" i="69"/>
  <c r="AN46" i="69"/>
  <c r="AJ46" i="69"/>
  <c r="AI46" i="69"/>
  <c r="AE46" i="69"/>
  <c r="AD46" i="69"/>
  <c r="Z46" i="69"/>
  <c r="Y46" i="69"/>
  <c r="U46" i="69"/>
  <c r="J46" i="69"/>
  <c r="I46" i="69"/>
  <c r="H46" i="69"/>
  <c r="G46" i="69"/>
  <c r="GX45" i="69"/>
  <c r="GW45" i="69"/>
  <c r="GS45" i="69"/>
  <c r="GR45" i="69"/>
  <c r="GN45" i="69"/>
  <c r="GM45" i="69"/>
  <c r="GI45" i="69"/>
  <c r="GH45" i="69"/>
  <c r="GD45" i="69"/>
  <c r="GC45" i="69"/>
  <c r="FY45" i="69"/>
  <c r="FX45" i="69"/>
  <c r="FT45" i="69"/>
  <c r="FS45" i="69"/>
  <c r="FO45" i="69"/>
  <c r="FN45" i="69"/>
  <c r="FJ45" i="69"/>
  <c r="FI45" i="69"/>
  <c r="FE45" i="69"/>
  <c r="FD45" i="69"/>
  <c r="EZ45" i="69"/>
  <c r="EY45" i="69"/>
  <c r="EU45" i="69"/>
  <c r="ET45" i="69"/>
  <c r="EP45" i="69"/>
  <c r="EO45" i="69"/>
  <c r="EK45" i="69"/>
  <c r="EJ45" i="69"/>
  <c r="EF45" i="69"/>
  <c r="EA45" i="69"/>
  <c r="DZ45" i="69"/>
  <c r="DV45" i="69"/>
  <c r="DU45" i="69"/>
  <c r="DQ45" i="69"/>
  <c r="DP45" i="69"/>
  <c r="DL45" i="69"/>
  <c r="DK45" i="69"/>
  <c r="DG45" i="69"/>
  <c r="DF45" i="69"/>
  <c r="DB45" i="69"/>
  <c r="DA45" i="69"/>
  <c r="CW45" i="69"/>
  <c r="CR45" i="69"/>
  <c r="CM45" i="69"/>
  <c r="CL45" i="69"/>
  <c r="CH45" i="69"/>
  <c r="CG45" i="69"/>
  <c r="CC45" i="69"/>
  <c r="CB45" i="69"/>
  <c r="BX45" i="69"/>
  <c r="BS45" i="69"/>
  <c r="BR45" i="69"/>
  <c r="BN45" i="69"/>
  <c r="BM45" i="69"/>
  <c r="BI45" i="69"/>
  <c r="BH45" i="69"/>
  <c r="BD45" i="69"/>
  <c r="BC45" i="69"/>
  <c r="AY45" i="69"/>
  <c r="AX45" i="69"/>
  <c r="AT45" i="69"/>
  <c r="AS45" i="69"/>
  <c r="AO45" i="69"/>
  <c r="AN45" i="69"/>
  <c r="AJ45" i="69"/>
  <c r="AI45" i="69"/>
  <c r="AE45" i="69"/>
  <c r="AD45" i="69"/>
  <c r="Z45" i="69"/>
  <c r="Y45" i="69"/>
  <c r="U45" i="69"/>
  <c r="J45" i="69"/>
  <c r="I45" i="69"/>
  <c r="H45" i="69"/>
  <c r="G45" i="69"/>
  <c r="GX44" i="69"/>
  <c r="GW44" i="69"/>
  <c r="GS44" i="69"/>
  <c r="GR44" i="69"/>
  <c r="GN44" i="69"/>
  <c r="GM44" i="69"/>
  <c r="GI44" i="69"/>
  <c r="GH44" i="69"/>
  <c r="GD44" i="69"/>
  <c r="GC44" i="69"/>
  <c r="FY44" i="69"/>
  <c r="FX44" i="69"/>
  <c r="FT44" i="69"/>
  <c r="FS44" i="69"/>
  <c r="FO44" i="69"/>
  <c r="FN44" i="69"/>
  <c r="FJ44" i="69"/>
  <c r="FI44" i="69"/>
  <c r="FE44" i="69"/>
  <c r="FD44" i="69"/>
  <c r="EZ44" i="69"/>
  <c r="EY44" i="69"/>
  <c r="EU44" i="69"/>
  <c r="ET44" i="69"/>
  <c r="EP44" i="69"/>
  <c r="EO44" i="69"/>
  <c r="EK44" i="69"/>
  <c r="EJ44" i="69"/>
  <c r="EF44" i="69"/>
  <c r="EA44" i="69"/>
  <c r="DZ44" i="69"/>
  <c r="DV44" i="69"/>
  <c r="DU44" i="69"/>
  <c r="DQ44" i="69"/>
  <c r="DP44" i="69"/>
  <c r="DL44" i="69"/>
  <c r="DK44" i="69"/>
  <c r="DG44" i="69"/>
  <c r="DF44" i="69"/>
  <c r="DB44" i="69"/>
  <c r="DA44" i="69"/>
  <c r="CW44" i="69"/>
  <c r="CR44" i="69"/>
  <c r="CM44" i="69"/>
  <c r="CL44" i="69"/>
  <c r="CH44" i="69"/>
  <c r="CG44" i="69"/>
  <c r="CC44" i="69"/>
  <c r="CB44" i="69"/>
  <c r="BX44" i="69"/>
  <c r="BS44" i="69"/>
  <c r="BR44" i="69"/>
  <c r="BN44" i="69"/>
  <c r="BM44" i="69"/>
  <c r="BI44" i="69"/>
  <c r="BH44" i="69"/>
  <c r="BD44" i="69"/>
  <c r="BC44" i="69"/>
  <c r="AY44" i="69"/>
  <c r="AX44" i="69"/>
  <c r="AT44" i="69"/>
  <c r="AS44" i="69"/>
  <c r="AO44" i="69"/>
  <c r="AN44" i="69"/>
  <c r="AJ44" i="69"/>
  <c r="AI44" i="69"/>
  <c r="AE44" i="69"/>
  <c r="AD44" i="69"/>
  <c r="Z44" i="69"/>
  <c r="Y44" i="69"/>
  <c r="U44" i="69"/>
  <c r="J44" i="69"/>
  <c r="I44" i="69"/>
  <c r="H44" i="69"/>
  <c r="G44" i="69"/>
  <c r="GX43" i="69"/>
  <c r="GW43" i="69"/>
  <c r="GS43" i="69"/>
  <c r="GR43" i="69"/>
  <c r="GN43" i="69"/>
  <c r="GM43" i="69"/>
  <c r="GI43" i="69"/>
  <c r="GH43" i="69"/>
  <c r="GD43" i="69"/>
  <c r="GC43" i="69"/>
  <c r="FY43" i="69"/>
  <c r="FX43" i="69"/>
  <c r="FT43" i="69"/>
  <c r="FS43" i="69"/>
  <c r="FO43" i="69"/>
  <c r="FN43" i="69"/>
  <c r="FJ43" i="69"/>
  <c r="FI43" i="69"/>
  <c r="FE43" i="69"/>
  <c r="FD43" i="69"/>
  <c r="EZ43" i="69"/>
  <c r="EY43" i="69"/>
  <c r="EU43" i="69"/>
  <c r="ET43" i="69"/>
  <c r="EP43" i="69"/>
  <c r="EO43" i="69"/>
  <c r="EK43" i="69"/>
  <c r="EJ43" i="69"/>
  <c r="EF43" i="69"/>
  <c r="EA43" i="69"/>
  <c r="DZ43" i="69"/>
  <c r="DV43" i="69"/>
  <c r="DU43" i="69"/>
  <c r="DQ43" i="69"/>
  <c r="DP43" i="69"/>
  <c r="DL43" i="69"/>
  <c r="DK43" i="69"/>
  <c r="DG43" i="69"/>
  <c r="DF43" i="69"/>
  <c r="DB43" i="69"/>
  <c r="DA43" i="69"/>
  <c r="CW43" i="69"/>
  <c r="CR43" i="69"/>
  <c r="CM43" i="69"/>
  <c r="CL43" i="69"/>
  <c r="CH43" i="69"/>
  <c r="CG43" i="69"/>
  <c r="CC43" i="69"/>
  <c r="CB43" i="69"/>
  <c r="BX43" i="69"/>
  <c r="BS43" i="69"/>
  <c r="BR43" i="69"/>
  <c r="BN43" i="69"/>
  <c r="BM43" i="69"/>
  <c r="BI43" i="69"/>
  <c r="BH43" i="69"/>
  <c r="BD43" i="69"/>
  <c r="BC43" i="69"/>
  <c r="AY43" i="69"/>
  <c r="AX43" i="69"/>
  <c r="AT43" i="69"/>
  <c r="AS43" i="69"/>
  <c r="AO43" i="69"/>
  <c r="AN43" i="69"/>
  <c r="AJ43" i="69"/>
  <c r="AI43" i="69"/>
  <c r="AE43" i="69"/>
  <c r="AD43" i="69"/>
  <c r="Z43" i="69"/>
  <c r="Y43" i="69"/>
  <c r="U43" i="69"/>
  <c r="J43" i="69"/>
  <c r="I43" i="69"/>
  <c r="H43" i="69"/>
  <c r="G43" i="69"/>
  <c r="GX42" i="69"/>
  <c r="GW42" i="69"/>
  <c r="GS42" i="69"/>
  <c r="GR42" i="69"/>
  <c r="GN42" i="69"/>
  <c r="GM42" i="69"/>
  <c r="GI42" i="69"/>
  <c r="GH42" i="69"/>
  <c r="GD42" i="69"/>
  <c r="GC42" i="69"/>
  <c r="FY42" i="69"/>
  <c r="FX42" i="69"/>
  <c r="FT42" i="69"/>
  <c r="FS42" i="69"/>
  <c r="FO42" i="69"/>
  <c r="FN42" i="69"/>
  <c r="FJ42" i="69"/>
  <c r="FI42" i="69"/>
  <c r="FE42" i="69"/>
  <c r="FD42" i="69"/>
  <c r="EZ42" i="69"/>
  <c r="EY42" i="69"/>
  <c r="EU42" i="69"/>
  <c r="ET42" i="69"/>
  <c r="EP42" i="69"/>
  <c r="EO42" i="69"/>
  <c r="EK42" i="69"/>
  <c r="EJ42" i="69"/>
  <c r="EF42" i="69"/>
  <c r="EA42" i="69"/>
  <c r="DZ42" i="69"/>
  <c r="DV42" i="69"/>
  <c r="DU42" i="69"/>
  <c r="DQ42" i="69"/>
  <c r="DP42" i="69"/>
  <c r="DL42" i="69"/>
  <c r="DK42" i="69"/>
  <c r="DG42" i="69"/>
  <c r="DF42" i="69"/>
  <c r="DB42" i="69"/>
  <c r="DA42" i="69"/>
  <c r="CW42" i="69"/>
  <c r="CR42" i="69"/>
  <c r="CM42" i="69"/>
  <c r="CL42" i="69"/>
  <c r="CH42" i="69"/>
  <c r="CG42" i="69"/>
  <c r="CC42" i="69"/>
  <c r="CB42" i="69"/>
  <c r="BX42" i="69"/>
  <c r="BS42" i="69"/>
  <c r="BR42" i="69"/>
  <c r="BN42" i="69"/>
  <c r="BM42" i="69"/>
  <c r="BI42" i="69"/>
  <c r="BH42" i="69"/>
  <c r="BC42" i="69"/>
  <c r="AY42" i="69"/>
  <c r="AX42" i="69"/>
  <c r="AT42" i="69"/>
  <c r="AS42" i="69"/>
  <c r="AO42" i="69"/>
  <c r="AN42" i="69"/>
  <c r="AJ42" i="69"/>
  <c r="AI42" i="69"/>
  <c r="AE42" i="69"/>
  <c r="AD42" i="69"/>
  <c r="Z42" i="69"/>
  <c r="Y42" i="69"/>
  <c r="U42" i="69"/>
  <c r="L42" i="69"/>
  <c r="K42" i="69"/>
  <c r="J42" i="69"/>
  <c r="I42" i="69"/>
  <c r="H42" i="69"/>
  <c r="G42" i="69"/>
  <c r="GX41" i="69"/>
  <c r="GW41" i="69"/>
  <c r="GS41" i="69"/>
  <c r="GR41" i="69"/>
  <c r="GN41" i="69"/>
  <c r="GM41" i="69"/>
  <c r="GI41" i="69"/>
  <c r="GH41" i="69"/>
  <c r="GD41" i="69"/>
  <c r="GC41" i="69"/>
  <c r="FY41" i="69"/>
  <c r="FX41" i="69"/>
  <c r="FT41" i="69"/>
  <c r="FS41" i="69"/>
  <c r="FO41" i="69"/>
  <c r="FN41" i="69"/>
  <c r="FJ41" i="69"/>
  <c r="FI41" i="69"/>
  <c r="FE41" i="69"/>
  <c r="FD41" i="69"/>
  <c r="EZ41" i="69"/>
  <c r="EY41" i="69"/>
  <c r="EU41" i="69"/>
  <c r="ET41" i="69"/>
  <c r="EP41" i="69"/>
  <c r="EO41" i="69"/>
  <c r="EK41" i="69"/>
  <c r="EJ41" i="69"/>
  <c r="EF41" i="69"/>
  <c r="EA41" i="69"/>
  <c r="DZ41" i="69"/>
  <c r="DV41" i="69"/>
  <c r="DU41" i="69"/>
  <c r="DQ41" i="69"/>
  <c r="DP41" i="69"/>
  <c r="DL41" i="69"/>
  <c r="DK41" i="69"/>
  <c r="DG41" i="69"/>
  <c r="DF41" i="69"/>
  <c r="DB41" i="69"/>
  <c r="DA41" i="69"/>
  <c r="CW41" i="69"/>
  <c r="CR41" i="69"/>
  <c r="CM41" i="69"/>
  <c r="CL41" i="69"/>
  <c r="CH41" i="69"/>
  <c r="CG41" i="69"/>
  <c r="CC41" i="69"/>
  <c r="CB41" i="69"/>
  <c r="BX41" i="69"/>
  <c r="BS41" i="69"/>
  <c r="BR41" i="69"/>
  <c r="BN41" i="69"/>
  <c r="BM41" i="69"/>
  <c r="BI41" i="69"/>
  <c r="BH41" i="69"/>
  <c r="BC41" i="69"/>
  <c r="AY41" i="69"/>
  <c r="AX41" i="69"/>
  <c r="AT41" i="69"/>
  <c r="AS41" i="69"/>
  <c r="AO41" i="69"/>
  <c r="AN41" i="69"/>
  <c r="AJ41" i="69"/>
  <c r="AI41" i="69"/>
  <c r="AE41" i="69"/>
  <c r="AD41" i="69"/>
  <c r="Z41" i="69"/>
  <c r="Y41" i="69"/>
  <c r="U41" i="69"/>
  <c r="L41" i="69"/>
  <c r="K41" i="69"/>
  <c r="J41" i="69"/>
  <c r="I41" i="69"/>
  <c r="H41" i="69"/>
  <c r="G41" i="69"/>
  <c r="GX40" i="69"/>
  <c r="GW40" i="69"/>
  <c r="GS40" i="69"/>
  <c r="GR40" i="69"/>
  <c r="GN40" i="69"/>
  <c r="GM40" i="69"/>
  <c r="GI40" i="69"/>
  <c r="GH40" i="69"/>
  <c r="GD40" i="69"/>
  <c r="GC40" i="69"/>
  <c r="FY40" i="69"/>
  <c r="FX40" i="69"/>
  <c r="FT40" i="69"/>
  <c r="FS40" i="69"/>
  <c r="FO40" i="69"/>
  <c r="FN40" i="69"/>
  <c r="FJ40" i="69"/>
  <c r="FI40" i="69"/>
  <c r="FE40" i="69"/>
  <c r="FD40" i="69"/>
  <c r="EZ40" i="69"/>
  <c r="EY40" i="69"/>
  <c r="EU40" i="69"/>
  <c r="ET40" i="69"/>
  <c r="EP40" i="69"/>
  <c r="EO40" i="69"/>
  <c r="EK40" i="69"/>
  <c r="EJ40" i="69"/>
  <c r="EF40" i="69"/>
  <c r="EA40" i="69"/>
  <c r="DZ40" i="69"/>
  <c r="DV40" i="69"/>
  <c r="DU40" i="69"/>
  <c r="DQ40" i="69"/>
  <c r="DP40" i="69"/>
  <c r="DL40" i="69"/>
  <c r="DK40" i="69"/>
  <c r="DG40" i="69"/>
  <c r="DF40" i="69"/>
  <c r="DB40" i="69"/>
  <c r="DA40" i="69"/>
  <c r="CW40" i="69"/>
  <c r="CR40" i="69"/>
  <c r="CM40" i="69"/>
  <c r="CL40" i="69"/>
  <c r="CH40" i="69"/>
  <c r="CG40" i="69"/>
  <c r="CC40" i="69"/>
  <c r="CB40" i="69"/>
  <c r="BX40" i="69"/>
  <c r="BS40" i="69"/>
  <c r="BR40" i="69"/>
  <c r="BN40" i="69"/>
  <c r="BM40" i="69"/>
  <c r="BI40" i="69"/>
  <c r="BH40" i="69"/>
  <c r="BC40" i="69"/>
  <c r="AY40" i="69"/>
  <c r="AX40" i="69"/>
  <c r="AT40" i="69"/>
  <c r="AS40" i="69"/>
  <c r="AO40" i="69"/>
  <c r="AN40" i="69"/>
  <c r="AJ40" i="69"/>
  <c r="AI40" i="69"/>
  <c r="AE40" i="69"/>
  <c r="AD40" i="69"/>
  <c r="Z40" i="69"/>
  <c r="Y40" i="69"/>
  <c r="U40" i="69"/>
  <c r="L40" i="69"/>
  <c r="K40" i="69"/>
  <c r="J40" i="69"/>
  <c r="I40" i="69"/>
  <c r="H40" i="69"/>
  <c r="G40" i="69"/>
  <c r="GX39" i="69"/>
  <c r="GW39" i="69"/>
  <c r="GS39" i="69"/>
  <c r="GR39" i="69"/>
  <c r="GN39" i="69"/>
  <c r="GM39" i="69"/>
  <c r="GI39" i="69"/>
  <c r="GH39" i="69"/>
  <c r="GD39" i="69"/>
  <c r="GC39" i="69"/>
  <c r="FY39" i="69"/>
  <c r="FX39" i="69"/>
  <c r="FT39" i="69"/>
  <c r="FS39" i="69"/>
  <c r="FO39" i="69"/>
  <c r="FN39" i="69"/>
  <c r="FJ39" i="69"/>
  <c r="FI39" i="69"/>
  <c r="FE39" i="69"/>
  <c r="FD39" i="69"/>
  <c r="EZ39" i="69"/>
  <c r="EY39" i="69"/>
  <c r="EU39" i="69"/>
  <c r="ET39" i="69"/>
  <c r="EP39" i="69"/>
  <c r="EO39" i="69"/>
  <c r="EK39" i="69"/>
  <c r="EJ39" i="69"/>
  <c r="EF39" i="69"/>
  <c r="EA39" i="69"/>
  <c r="DZ39" i="69"/>
  <c r="DV39" i="69"/>
  <c r="DU39" i="69"/>
  <c r="DQ39" i="69"/>
  <c r="DP39" i="69"/>
  <c r="DL39" i="69"/>
  <c r="DK39" i="69"/>
  <c r="DG39" i="69"/>
  <c r="DF39" i="69"/>
  <c r="DB39" i="69"/>
  <c r="DA39" i="69"/>
  <c r="CW39" i="69"/>
  <c r="CR39" i="69"/>
  <c r="CM39" i="69"/>
  <c r="CL39" i="69"/>
  <c r="CH39" i="69"/>
  <c r="CG39" i="69"/>
  <c r="CC39" i="69"/>
  <c r="CB39" i="69"/>
  <c r="BX39" i="69"/>
  <c r="BS39" i="69"/>
  <c r="BR39" i="69"/>
  <c r="BN39" i="69"/>
  <c r="BM39" i="69"/>
  <c r="BI39" i="69"/>
  <c r="BH39" i="69"/>
  <c r="BC39" i="69"/>
  <c r="AY39" i="69"/>
  <c r="AX39" i="69"/>
  <c r="AT39" i="69"/>
  <c r="AS39" i="69"/>
  <c r="AO39" i="69"/>
  <c r="AN39" i="69"/>
  <c r="AJ39" i="69"/>
  <c r="AI39" i="69"/>
  <c r="AE39" i="69"/>
  <c r="AD39" i="69"/>
  <c r="Z39" i="69"/>
  <c r="Y39" i="69"/>
  <c r="U39" i="69"/>
  <c r="L39" i="69"/>
  <c r="K39" i="69"/>
  <c r="J39" i="69"/>
  <c r="I39" i="69"/>
  <c r="H39" i="69"/>
  <c r="G39" i="69"/>
  <c r="GX38" i="69"/>
  <c r="GW38" i="69"/>
  <c r="GS38" i="69"/>
  <c r="GR38" i="69"/>
  <c r="GN38" i="69"/>
  <c r="GM38" i="69"/>
  <c r="GI38" i="69"/>
  <c r="GH38" i="69"/>
  <c r="GD38" i="69"/>
  <c r="GC38" i="69"/>
  <c r="FY38" i="69"/>
  <c r="FX38" i="69"/>
  <c r="FT38" i="69"/>
  <c r="FS38" i="69"/>
  <c r="FO38" i="69"/>
  <c r="FN38" i="69"/>
  <c r="FJ38" i="69"/>
  <c r="FI38" i="69"/>
  <c r="FE38" i="69"/>
  <c r="FD38" i="69"/>
  <c r="EZ38" i="69"/>
  <c r="EY38" i="69"/>
  <c r="EU38" i="69"/>
  <c r="ET38" i="69"/>
  <c r="EP38" i="69"/>
  <c r="EO38" i="69"/>
  <c r="EK38" i="69"/>
  <c r="EJ38" i="69"/>
  <c r="EF38" i="69"/>
  <c r="EA38" i="69"/>
  <c r="DZ38" i="69"/>
  <c r="DV38" i="69"/>
  <c r="DU38" i="69"/>
  <c r="DQ38" i="69"/>
  <c r="DP38" i="69"/>
  <c r="DL38" i="69"/>
  <c r="DK38" i="69"/>
  <c r="DG38" i="69"/>
  <c r="DF38" i="69"/>
  <c r="DB38" i="69"/>
  <c r="DA38" i="69"/>
  <c r="CW38" i="69"/>
  <c r="CR38" i="69"/>
  <c r="CM38" i="69"/>
  <c r="CL38" i="69"/>
  <c r="CH38" i="69"/>
  <c r="CG38" i="69"/>
  <c r="CC38" i="69"/>
  <c r="CB38" i="69"/>
  <c r="BX38" i="69"/>
  <c r="BS38" i="69"/>
  <c r="BR38" i="69"/>
  <c r="BN38" i="69"/>
  <c r="BM38" i="69"/>
  <c r="BI38" i="69"/>
  <c r="BH38" i="69"/>
  <c r="BC38" i="69"/>
  <c r="AY38" i="69"/>
  <c r="AX38" i="69"/>
  <c r="AT38" i="69"/>
  <c r="AS38" i="69"/>
  <c r="AO38" i="69"/>
  <c r="AN38" i="69"/>
  <c r="AJ38" i="69"/>
  <c r="AI38" i="69"/>
  <c r="AE38" i="69"/>
  <c r="AD38" i="69"/>
  <c r="Z38" i="69"/>
  <c r="Y38" i="69"/>
  <c r="U38" i="69"/>
  <c r="L38" i="69"/>
  <c r="K38" i="69"/>
  <c r="J38" i="69"/>
  <c r="I38" i="69"/>
  <c r="H38" i="69"/>
  <c r="G38" i="69"/>
  <c r="GX37" i="69"/>
  <c r="GW37" i="69"/>
  <c r="GS37" i="69"/>
  <c r="GR37" i="69"/>
  <c r="GN37" i="69"/>
  <c r="GM37" i="69"/>
  <c r="GI37" i="69"/>
  <c r="GH37" i="69"/>
  <c r="GD37" i="69"/>
  <c r="GC37" i="69"/>
  <c r="FY37" i="69"/>
  <c r="FX37" i="69"/>
  <c r="FT37" i="69"/>
  <c r="FS37" i="69"/>
  <c r="FO37" i="69"/>
  <c r="FN37" i="69"/>
  <c r="FJ37" i="69"/>
  <c r="FI37" i="69"/>
  <c r="FE37" i="69"/>
  <c r="FD37" i="69"/>
  <c r="EZ37" i="69"/>
  <c r="EY37" i="69"/>
  <c r="EU37" i="69"/>
  <c r="ET37" i="69"/>
  <c r="EP37" i="69"/>
  <c r="EO37" i="69"/>
  <c r="EK37" i="69"/>
  <c r="EJ37" i="69"/>
  <c r="EF37" i="69"/>
  <c r="EA37" i="69"/>
  <c r="DZ37" i="69"/>
  <c r="DV37" i="69"/>
  <c r="DU37" i="69"/>
  <c r="DQ37" i="69"/>
  <c r="DP37" i="69"/>
  <c r="DL37" i="69"/>
  <c r="DK37" i="69"/>
  <c r="DG37" i="69"/>
  <c r="DF37" i="69"/>
  <c r="DB37" i="69"/>
  <c r="DA37" i="69"/>
  <c r="CW37" i="69"/>
  <c r="CR37" i="69"/>
  <c r="CM37" i="69"/>
  <c r="CL37" i="69"/>
  <c r="CH37" i="69"/>
  <c r="CG37" i="69"/>
  <c r="CC37" i="69"/>
  <c r="CB37" i="69"/>
  <c r="BX37" i="69"/>
  <c r="BS37" i="69"/>
  <c r="BR37" i="69"/>
  <c r="BN37" i="69"/>
  <c r="BM37" i="69"/>
  <c r="BI37" i="69"/>
  <c r="BH37" i="69"/>
  <c r="BC37" i="69"/>
  <c r="AY37" i="69"/>
  <c r="AX37" i="69"/>
  <c r="AT37" i="69"/>
  <c r="AS37" i="69"/>
  <c r="AO37" i="69"/>
  <c r="AN37" i="69"/>
  <c r="AJ37" i="69"/>
  <c r="AI37" i="69"/>
  <c r="AE37" i="69"/>
  <c r="AD37" i="69"/>
  <c r="Z37" i="69"/>
  <c r="Y37" i="69"/>
  <c r="U37" i="69"/>
  <c r="L37" i="69"/>
  <c r="K37" i="69"/>
  <c r="J37" i="69"/>
  <c r="I37" i="69"/>
  <c r="H37" i="69"/>
  <c r="G37" i="69"/>
  <c r="GX36" i="69"/>
  <c r="GW36" i="69"/>
  <c r="GS36" i="69"/>
  <c r="GR36" i="69"/>
  <c r="GN36" i="69"/>
  <c r="GM36" i="69"/>
  <c r="GI36" i="69"/>
  <c r="GH36" i="69"/>
  <c r="GD36" i="69"/>
  <c r="GC36" i="69"/>
  <c r="FY36" i="69"/>
  <c r="FX36" i="69"/>
  <c r="FT36" i="69"/>
  <c r="FS36" i="69"/>
  <c r="FO36" i="69"/>
  <c r="FN36" i="69"/>
  <c r="FJ36" i="69"/>
  <c r="FI36" i="69"/>
  <c r="FE36" i="69"/>
  <c r="FD36" i="69"/>
  <c r="EZ36" i="69"/>
  <c r="EY36" i="69"/>
  <c r="EU36" i="69"/>
  <c r="ET36" i="69"/>
  <c r="EP36" i="69"/>
  <c r="EO36" i="69"/>
  <c r="EK36" i="69"/>
  <c r="EJ36" i="69"/>
  <c r="EF36" i="69"/>
  <c r="EA36" i="69"/>
  <c r="DZ36" i="69"/>
  <c r="DV36" i="69"/>
  <c r="DU36" i="69"/>
  <c r="DQ36" i="69"/>
  <c r="DP36" i="69"/>
  <c r="DL36" i="69"/>
  <c r="DK36" i="69"/>
  <c r="DG36" i="69"/>
  <c r="DF36" i="69"/>
  <c r="DB36" i="69"/>
  <c r="DA36" i="69"/>
  <c r="CW36" i="69"/>
  <c r="CR36" i="69"/>
  <c r="CM36" i="69"/>
  <c r="CL36" i="69"/>
  <c r="CH36" i="69"/>
  <c r="CG36" i="69"/>
  <c r="CC36" i="69"/>
  <c r="CB36" i="69"/>
  <c r="BX36" i="69"/>
  <c r="BS36" i="69"/>
  <c r="BR36" i="69"/>
  <c r="BN36" i="69"/>
  <c r="BM36" i="69"/>
  <c r="BI36" i="69"/>
  <c r="BH36" i="69"/>
  <c r="BC36" i="69"/>
  <c r="AY36" i="69"/>
  <c r="AX36" i="69"/>
  <c r="AT36" i="69"/>
  <c r="AS36" i="69"/>
  <c r="AO36" i="69"/>
  <c r="AN36" i="69"/>
  <c r="AJ36" i="69"/>
  <c r="AI36" i="69"/>
  <c r="AE36" i="69"/>
  <c r="AD36" i="69"/>
  <c r="Z36" i="69"/>
  <c r="Y36" i="69"/>
  <c r="U36" i="69"/>
  <c r="L36" i="69"/>
  <c r="K36" i="69"/>
  <c r="J36" i="69"/>
  <c r="I36" i="69"/>
  <c r="H36" i="69"/>
  <c r="G36" i="69"/>
  <c r="GX35" i="69"/>
  <c r="GW35" i="69"/>
  <c r="GS35" i="69"/>
  <c r="GR35" i="69"/>
  <c r="GN35" i="69"/>
  <c r="GM35" i="69"/>
  <c r="GI35" i="69"/>
  <c r="GH35" i="69"/>
  <c r="GD35" i="69"/>
  <c r="GC35" i="69"/>
  <c r="FY35" i="69"/>
  <c r="FX35" i="69"/>
  <c r="FT35" i="69"/>
  <c r="FS35" i="69"/>
  <c r="FO35" i="69"/>
  <c r="FN35" i="69"/>
  <c r="FJ35" i="69"/>
  <c r="FI35" i="69"/>
  <c r="FE35" i="69"/>
  <c r="FD35" i="69"/>
  <c r="EZ35" i="69"/>
  <c r="EY35" i="69"/>
  <c r="EU35" i="69"/>
  <c r="ET35" i="69"/>
  <c r="EP35" i="69"/>
  <c r="EO35" i="69"/>
  <c r="EK35" i="69"/>
  <c r="EJ35" i="69"/>
  <c r="EF35" i="69"/>
  <c r="EA35" i="69"/>
  <c r="DZ35" i="69"/>
  <c r="DV35" i="69"/>
  <c r="DU35" i="69"/>
  <c r="DQ35" i="69"/>
  <c r="DP35" i="69"/>
  <c r="DL35" i="69"/>
  <c r="DK35" i="69"/>
  <c r="DG35" i="69"/>
  <c r="DF35" i="69"/>
  <c r="DB35" i="69"/>
  <c r="DA35" i="69"/>
  <c r="CW35" i="69"/>
  <c r="CR35" i="69"/>
  <c r="CM35" i="69"/>
  <c r="CL35" i="69"/>
  <c r="CH35" i="69"/>
  <c r="CG35" i="69"/>
  <c r="CC35" i="69"/>
  <c r="CB35" i="69"/>
  <c r="BX35" i="69"/>
  <c r="BS35" i="69"/>
  <c r="BR35" i="69"/>
  <c r="BN35" i="69"/>
  <c r="BM35" i="69"/>
  <c r="BI35" i="69"/>
  <c r="BH35" i="69"/>
  <c r="BC35" i="69"/>
  <c r="AY35" i="69"/>
  <c r="AX35" i="69"/>
  <c r="AT35" i="69"/>
  <c r="AS35" i="69"/>
  <c r="AO35" i="69"/>
  <c r="AN35" i="69"/>
  <c r="AJ35" i="69"/>
  <c r="AI35" i="69"/>
  <c r="AE35" i="69"/>
  <c r="AD35" i="69"/>
  <c r="Z35" i="69"/>
  <c r="Y35" i="69"/>
  <c r="U35" i="69"/>
  <c r="L35" i="69"/>
  <c r="K35" i="69"/>
  <c r="J35" i="69"/>
  <c r="I35" i="69"/>
  <c r="H35" i="69"/>
  <c r="G35" i="69"/>
  <c r="GX34" i="69"/>
  <c r="GW34" i="69"/>
  <c r="GS34" i="69"/>
  <c r="GR34" i="69"/>
  <c r="GN34" i="69"/>
  <c r="GM34" i="69"/>
  <c r="GI34" i="69"/>
  <c r="GH34" i="69"/>
  <c r="GD34" i="69"/>
  <c r="GC34" i="69"/>
  <c r="FY34" i="69"/>
  <c r="FX34" i="69"/>
  <c r="FT34" i="69"/>
  <c r="FS34" i="69"/>
  <c r="FO34" i="69"/>
  <c r="FN34" i="69"/>
  <c r="FJ34" i="69"/>
  <c r="FI34" i="69"/>
  <c r="FE34" i="69"/>
  <c r="FD34" i="69"/>
  <c r="EZ34" i="69"/>
  <c r="EY34" i="69"/>
  <c r="EU34" i="69"/>
  <c r="ET34" i="69"/>
  <c r="EP34" i="69"/>
  <c r="EO34" i="69"/>
  <c r="EK34" i="69"/>
  <c r="EJ34" i="69"/>
  <c r="EF34" i="69"/>
  <c r="EA34" i="69"/>
  <c r="DZ34" i="69"/>
  <c r="DV34" i="69"/>
  <c r="DU34" i="69"/>
  <c r="DQ34" i="69"/>
  <c r="DP34" i="69"/>
  <c r="DL34" i="69"/>
  <c r="DK34" i="69"/>
  <c r="DG34" i="69"/>
  <c r="DF34" i="69"/>
  <c r="DB34" i="69"/>
  <c r="DA34" i="69"/>
  <c r="CW34" i="69"/>
  <c r="CR34" i="69"/>
  <c r="CM34" i="69"/>
  <c r="CL34" i="69"/>
  <c r="CH34" i="69"/>
  <c r="CG34" i="69"/>
  <c r="CC34" i="69"/>
  <c r="CB34" i="69"/>
  <c r="BX34" i="69"/>
  <c r="BS34" i="69"/>
  <c r="BR34" i="69"/>
  <c r="BN34" i="69"/>
  <c r="BM34" i="69"/>
  <c r="BI34" i="69"/>
  <c r="BH34" i="69"/>
  <c r="BC34" i="69"/>
  <c r="AY34" i="69"/>
  <c r="AX34" i="69"/>
  <c r="AT34" i="69"/>
  <c r="AS34" i="69"/>
  <c r="AO34" i="69"/>
  <c r="AN34" i="69"/>
  <c r="AJ34" i="69"/>
  <c r="AI34" i="69"/>
  <c r="AE34" i="69"/>
  <c r="AD34" i="69"/>
  <c r="AC34" i="69"/>
  <c r="Z34" i="69"/>
  <c r="Y34" i="69"/>
  <c r="U34" i="69"/>
  <c r="L34" i="69"/>
  <c r="K34" i="69"/>
  <c r="J34" i="69"/>
  <c r="I34" i="69"/>
  <c r="H34" i="69"/>
  <c r="G34" i="69"/>
  <c r="GX33" i="69"/>
  <c r="GW33" i="69"/>
  <c r="GS33" i="69"/>
  <c r="GR33" i="69"/>
  <c r="GN33" i="69"/>
  <c r="GM33" i="69"/>
  <c r="GI33" i="69"/>
  <c r="GH33" i="69"/>
  <c r="GD33" i="69"/>
  <c r="GC33" i="69"/>
  <c r="FY33" i="69"/>
  <c r="FX33" i="69"/>
  <c r="FT33" i="69"/>
  <c r="FS33" i="69"/>
  <c r="FO33" i="69"/>
  <c r="FN33" i="69"/>
  <c r="FJ33" i="69"/>
  <c r="FI33" i="69"/>
  <c r="FE33" i="69"/>
  <c r="FD33" i="69"/>
  <c r="EZ33" i="69"/>
  <c r="EY33" i="69"/>
  <c r="EU33" i="69"/>
  <c r="ET33" i="69"/>
  <c r="EP33" i="69"/>
  <c r="EO33" i="69"/>
  <c r="EK33" i="69"/>
  <c r="EJ33" i="69"/>
  <c r="EF33" i="69"/>
  <c r="EA33" i="69"/>
  <c r="DZ33" i="69"/>
  <c r="DV33" i="69"/>
  <c r="DU33" i="69"/>
  <c r="DQ33" i="69"/>
  <c r="DP33" i="69"/>
  <c r="DL33" i="69"/>
  <c r="DK33" i="69"/>
  <c r="DG33" i="69"/>
  <c r="DF33" i="69"/>
  <c r="DB33" i="69"/>
  <c r="DA33" i="69"/>
  <c r="CW33" i="69"/>
  <c r="CR33" i="69"/>
  <c r="CM33" i="69"/>
  <c r="CL33" i="69"/>
  <c r="CH33" i="69"/>
  <c r="CG33" i="69"/>
  <c r="CC33" i="69"/>
  <c r="CB33" i="69"/>
  <c r="BX33" i="69"/>
  <c r="BS33" i="69"/>
  <c r="BR33" i="69"/>
  <c r="BN33" i="69"/>
  <c r="BM33" i="69"/>
  <c r="BI33" i="69"/>
  <c r="BH33" i="69"/>
  <c r="BC33" i="69"/>
  <c r="AY33" i="69"/>
  <c r="AX33" i="69"/>
  <c r="AT33" i="69"/>
  <c r="AS33" i="69"/>
  <c r="AO33" i="69"/>
  <c r="AN33" i="69"/>
  <c r="AJ33" i="69"/>
  <c r="AI33" i="69"/>
  <c r="AE33" i="69"/>
  <c r="AD33" i="69"/>
  <c r="Z33" i="69"/>
  <c r="Y33" i="69"/>
  <c r="U33" i="69"/>
  <c r="L33" i="69"/>
  <c r="K33" i="69"/>
  <c r="J33" i="69"/>
  <c r="I33" i="69"/>
  <c r="H33" i="69"/>
  <c r="G33" i="69"/>
  <c r="GX32" i="69"/>
  <c r="GW32" i="69"/>
  <c r="GS32" i="69"/>
  <c r="GR32" i="69"/>
  <c r="GN32" i="69"/>
  <c r="GM32" i="69"/>
  <c r="GI32" i="69"/>
  <c r="GH32" i="69"/>
  <c r="GD32" i="69"/>
  <c r="GC32" i="69"/>
  <c r="FY32" i="69"/>
  <c r="FX32" i="69"/>
  <c r="FT32" i="69"/>
  <c r="FS32" i="69"/>
  <c r="FO32" i="69"/>
  <c r="FN32" i="69"/>
  <c r="FJ32" i="69"/>
  <c r="FI32" i="69"/>
  <c r="FE32" i="69"/>
  <c r="FD32" i="69"/>
  <c r="EZ32" i="69"/>
  <c r="EY32" i="69"/>
  <c r="EU32" i="69"/>
  <c r="ET32" i="69"/>
  <c r="EP32" i="69"/>
  <c r="EO32" i="69"/>
  <c r="EK32" i="69"/>
  <c r="EJ32" i="69"/>
  <c r="EF32" i="69"/>
  <c r="EA32" i="69"/>
  <c r="DZ32" i="69"/>
  <c r="DV32" i="69"/>
  <c r="DU32" i="69"/>
  <c r="DQ32" i="69"/>
  <c r="DP32" i="69"/>
  <c r="DL32" i="69"/>
  <c r="DK32" i="69"/>
  <c r="DG32" i="69"/>
  <c r="DF32" i="69"/>
  <c r="DB32" i="69"/>
  <c r="DA32" i="69"/>
  <c r="CW32" i="69"/>
  <c r="CR32" i="69"/>
  <c r="CM32" i="69"/>
  <c r="CL32" i="69"/>
  <c r="CH32" i="69"/>
  <c r="CG32" i="69"/>
  <c r="CC32" i="69"/>
  <c r="CB32" i="69"/>
  <c r="BX32" i="69"/>
  <c r="BS32" i="69"/>
  <c r="BR32" i="69"/>
  <c r="BN32" i="69"/>
  <c r="BM32" i="69"/>
  <c r="BI32" i="69"/>
  <c r="BH32" i="69"/>
  <c r="BC32" i="69"/>
  <c r="AY32" i="69"/>
  <c r="AX32" i="69"/>
  <c r="AT32" i="69"/>
  <c r="AS32" i="69"/>
  <c r="AO32" i="69"/>
  <c r="AN32" i="69"/>
  <c r="AJ32" i="69"/>
  <c r="AI32" i="69"/>
  <c r="AE32" i="69"/>
  <c r="AD32" i="69"/>
  <c r="Z32" i="69"/>
  <c r="Y32" i="69"/>
  <c r="U32" i="69"/>
  <c r="L32" i="69"/>
  <c r="K32" i="69"/>
  <c r="J32" i="69"/>
  <c r="I32" i="69"/>
  <c r="H32" i="69"/>
  <c r="G32" i="69"/>
  <c r="GX31" i="69"/>
  <c r="GW31" i="69"/>
  <c r="GS31" i="69"/>
  <c r="GR31" i="69"/>
  <c r="GN31" i="69"/>
  <c r="GM31" i="69"/>
  <c r="GI31" i="69"/>
  <c r="GH31" i="69"/>
  <c r="GD31" i="69"/>
  <c r="GC31" i="69"/>
  <c r="FY31" i="69"/>
  <c r="FX31" i="69"/>
  <c r="FT31" i="69"/>
  <c r="FS31" i="69"/>
  <c r="FO31" i="69"/>
  <c r="FN31" i="69"/>
  <c r="FJ31" i="69"/>
  <c r="FI31" i="69"/>
  <c r="FE31" i="69"/>
  <c r="FD31" i="69"/>
  <c r="EZ31" i="69"/>
  <c r="EY31" i="69"/>
  <c r="EU31" i="69"/>
  <c r="ET31" i="69"/>
  <c r="EP31" i="69"/>
  <c r="EO31" i="69"/>
  <c r="EK31" i="69"/>
  <c r="EJ31" i="69"/>
  <c r="EF31" i="69"/>
  <c r="EA31" i="69"/>
  <c r="DZ31" i="69"/>
  <c r="DV31" i="69"/>
  <c r="DU31" i="69"/>
  <c r="DQ31" i="69"/>
  <c r="DP31" i="69"/>
  <c r="DL31" i="69"/>
  <c r="DK31" i="69"/>
  <c r="DG31" i="69"/>
  <c r="DF31" i="69"/>
  <c r="DB31" i="69"/>
  <c r="DA31" i="69"/>
  <c r="CW31" i="69"/>
  <c r="CR31" i="69"/>
  <c r="CM31" i="69"/>
  <c r="CL31" i="69"/>
  <c r="CH31" i="69"/>
  <c r="CG31" i="69"/>
  <c r="CC31" i="69"/>
  <c r="CB31" i="69"/>
  <c r="BX31" i="69"/>
  <c r="BS31" i="69"/>
  <c r="BR31" i="69"/>
  <c r="BN31" i="69"/>
  <c r="BM31" i="69"/>
  <c r="BI31" i="69"/>
  <c r="BH31" i="69"/>
  <c r="BC31" i="69"/>
  <c r="AY31" i="69"/>
  <c r="AX31" i="69"/>
  <c r="AT31" i="69"/>
  <c r="AS31" i="69"/>
  <c r="AO31" i="69"/>
  <c r="AN31" i="69"/>
  <c r="AJ31" i="69"/>
  <c r="AI31" i="69"/>
  <c r="AE31" i="69"/>
  <c r="AD31" i="69"/>
  <c r="Z31" i="69"/>
  <c r="Y31" i="69"/>
  <c r="U31" i="69"/>
  <c r="L31" i="69"/>
  <c r="K31" i="69"/>
  <c r="J31" i="69"/>
  <c r="I31" i="69"/>
  <c r="H31" i="69"/>
  <c r="G31" i="69"/>
  <c r="GX30" i="69"/>
  <c r="GW30" i="69"/>
  <c r="GS30" i="69"/>
  <c r="GR30" i="69"/>
  <c r="GN30" i="69"/>
  <c r="GM30" i="69"/>
  <c r="GI30" i="69"/>
  <c r="GH30" i="69"/>
  <c r="GD30" i="69"/>
  <c r="GC30" i="69"/>
  <c r="FY30" i="69"/>
  <c r="FX30" i="69"/>
  <c r="FT30" i="69"/>
  <c r="FS30" i="69"/>
  <c r="FO30" i="69"/>
  <c r="FN30" i="69"/>
  <c r="FJ30" i="69"/>
  <c r="FI30" i="69"/>
  <c r="FE30" i="69"/>
  <c r="FD30" i="69"/>
  <c r="EZ30" i="69"/>
  <c r="EY30" i="69"/>
  <c r="EU30" i="69"/>
  <c r="ET30" i="69"/>
  <c r="EP30" i="69"/>
  <c r="EO30" i="69"/>
  <c r="EK30" i="69"/>
  <c r="EJ30" i="69"/>
  <c r="EF30" i="69"/>
  <c r="EA30" i="69"/>
  <c r="DZ30" i="69"/>
  <c r="DV30" i="69"/>
  <c r="DU30" i="69"/>
  <c r="DQ30" i="69"/>
  <c r="DP30" i="69"/>
  <c r="DL30" i="69"/>
  <c r="DK30" i="69"/>
  <c r="DG30" i="69"/>
  <c r="DF30" i="69"/>
  <c r="DB30" i="69"/>
  <c r="DA30" i="69"/>
  <c r="CW30" i="69"/>
  <c r="CR30" i="69"/>
  <c r="CM30" i="69"/>
  <c r="CL30" i="69"/>
  <c r="CH30" i="69"/>
  <c r="CG30" i="69"/>
  <c r="CC30" i="69"/>
  <c r="CB30" i="69"/>
  <c r="BX30" i="69"/>
  <c r="BS30" i="69"/>
  <c r="BR30" i="69"/>
  <c r="BN30" i="69"/>
  <c r="BM30" i="69"/>
  <c r="BI30" i="69"/>
  <c r="BH30" i="69"/>
  <c r="BC30" i="69"/>
  <c r="AY30" i="69"/>
  <c r="AX30" i="69"/>
  <c r="AT30" i="69"/>
  <c r="AS30" i="69"/>
  <c r="AO30" i="69"/>
  <c r="AN30" i="69"/>
  <c r="AJ30" i="69"/>
  <c r="AI30" i="69"/>
  <c r="AE30" i="69"/>
  <c r="AD30" i="69"/>
  <c r="Z30" i="69"/>
  <c r="Y30" i="69"/>
  <c r="U30" i="69"/>
  <c r="L30" i="69"/>
  <c r="K30" i="69"/>
  <c r="J30" i="69"/>
  <c r="I30" i="69"/>
  <c r="H30" i="69"/>
  <c r="G30" i="69"/>
  <c r="GX29" i="69"/>
  <c r="GW29" i="69"/>
  <c r="GS29" i="69"/>
  <c r="GR29" i="69"/>
  <c r="GN29" i="69"/>
  <c r="GM29" i="69"/>
  <c r="GI29" i="69"/>
  <c r="GH29" i="69"/>
  <c r="GD29" i="69"/>
  <c r="GC29" i="69"/>
  <c r="FY29" i="69"/>
  <c r="FX29" i="69"/>
  <c r="FT29" i="69"/>
  <c r="FS29" i="69"/>
  <c r="FO29" i="69"/>
  <c r="FN29" i="69"/>
  <c r="FJ29" i="69"/>
  <c r="FI29" i="69"/>
  <c r="FE29" i="69"/>
  <c r="FD29" i="69"/>
  <c r="EZ29" i="69"/>
  <c r="EY29" i="69"/>
  <c r="EU29" i="69"/>
  <c r="ET29" i="69"/>
  <c r="EP29" i="69"/>
  <c r="EO29" i="69"/>
  <c r="EK29" i="69"/>
  <c r="EJ29" i="69"/>
  <c r="EF29" i="69"/>
  <c r="EA29" i="69"/>
  <c r="DZ29" i="69"/>
  <c r="DV29" i="69"/>
  <c r="DU29" i="69"/>
  <c r="DQ29" i="69"/>
  <c r="DP29" i="69"/>
  <c r="DL29" i="69"/>
  <c r="DK29" i="69"/>
  <c r="DG29" i="69"/>
  <c r="DF29" i="69"/>
  <c r="DB29" i="69"/>
  <c r="DA29" i="69"/>
  <c r="CW29" i="69"/>
  <c r="CR29" i="69"/>
  <c r="CM29" i="69"/>
  <c r="CL29" i="69"/>
  <c r="CH29" i="69"/>
  <c r="CG29" i="69"/>
  <c r="CC29" i="69"/>
  <c r="CB29" i="69"/>
  <c r="BX29" i="69"/>
  <c r="BS29" i="69"/>
  <c r="BR29" i="69"/>
  <c r="BN29" i="69"/>
  <c r="BM29" i="69"/>
  <c r="BI29" i="69"/>
  <c r="BH29" i="69"/>
  <c r="BC29" i="69"/>
  <c r="AY29" i="69"/>
  <c r="AX29" i="69"/>
  <c r="AT29" i="69"/>
  <c r="AS29" i="69"/>
  <c r="AO29" i="69"/>
  <c r="AN29" i="69"/>
  <c r="AJ29" i="69"/>
  <c r="AI29" i="69"/>
  <c r="AE29" i="69"/>
  <c r="AD29" i="69"/>
  <c r="Z29" i="69"/>
  <c r="Y29" i="69"/>
  <c r="U29" i="69"/>
  <c r="L29" i="69"/>
  <c r="K29" i="69"/>
  <c r="J29" i="69"/>
  <c r="I29" i="69"/>
  <c r="H29" i="69"/>
  <c r="G29" i="69"/>
  <c r="GX28" i="69"/>
  <c r="GW28" i="69"/>
  <c r="GS28" i="69"/>
  <c r="GR28" i="69"/>
  <c r="GN28" i="69"/>
  <c r="GM28" i="69"/>
  <c r="GI28" i="69"/>
  <c r="GH28" i="69"/>
  <c r="GD28" i="69"/>
  <c r="GC28" i="69"/>
  <c r="FY28" i="69"/>
  <c r="FX28" i="69"/>
  <c r="FT28" i="69"/>
  <c r="FS28" i="69"/>
  <c r="FO28" i="69"/>
  <c r="FN28" i="69"/>
  <c r="FJ28" i="69"/>
  <c r="FI28" i="69"/>
  <c r="FE28" i="69"/>
  <c r="FD28" i="69"/>
  <c r="EZ28" i="69"/>
  <c r="EY28" i="69"/>
  <c r="EU28" i="69"/>
  <c r="ET28" i="69"/>
  <c r="EP28" i="69"/>
  <c r="EO28" i="69"/>
  <c r="EK28" i="69"/>
  <c r="EJ28" i="69"/>
  <c r="EF28" i="69"/>
  <c r="EA28" i="69"/>
  <c r="DZ28" i="69"/>
  <c r="DV28" i="69"/>
  <c r="DU28" i="69"/>
  <c r="DQ28" i="69"/>
  <c r="DP28" i="69"/>
  <c r="DL28" i="69"/>
  <c r="DK28" i="69"/>
  <c r="DG28" i="69"/>
  <c r="DF28" i="69"/>
  <c r="DB28" i="69"/>
  <c r="DA28" i="69"/>
  <c r="CW28" i="69"/>
  <c r="CR28" i="69"/>
  <c r="CM28" i="69"/>
  <c r="CL28" i="69"/>
  <c r="CH28" i="69"/>
  <c r="CG28" i="69"/>
  <c r="CC28" i="69"/>
  <c r="CB28" i="69"/>
  <c r="BX28" i="69"/>
  <c r="BS28" i="69"/>
  <c r="BR28" i="69"/>
  <c r="BN28" i="69"/>
  <c r="BM28" i="69"/>
  <c r="BI28" i="69"/>
  <c r="BH28" i="69"/>
  <c r="BC28" i="69"/>
  <c r="AY28" i="69"/>
  <c r="AX28" i="69"/>
  <c r="AT28" i="69"/>
  <c r="AS28" i="69"/>
  <c r="AO28" i="69"/>
  <c r="AN28" i="69"/>
  <c r="AJ28" i="69"/>
  <c r="AI28" i="69"/>
  <c r="AE28" i="69"/>
  <c r="AD28" i="69"/>
  <c r="Z28" i="69"/>
  <c r="Y28" i="69"/>
  <c r="U28" i="69"/>
  <c r="L28" i="69"/>
  <c r="K28" i="69"/>
  <c r="J28" i="69"/>
  <c r="I28" i="69"/>
  <c r="H28" i="69"/>
  <c r="G28" i="69"/>
  <c r="GX27" i="69"/>
  <c r="GW27" i="69"/>
  <c r="GS27" i="69"/>
  <c r="GR27" i="69"/>
  <c r="GN27" i="69"/>
  <c r="GM27" i="69"/>
  <c r="GI27" i="69"/>
  <c r="GH27" i="69"/>
  <c r="GD27" i="69"/>
  <c r="GC27" i="69"/>
  <c r="FY27" i="69"/>
  <c r="FX27" i="69"/>
  <c r="FT27" i="69"/>
  <c r="FS27" i="69"/>
  <c r="FO27" i="69"/>
  <c r="FN27" i="69"/>
  <c r="FJ27" i="69"/>
  <c r="FI27" i="69"/>
  <c r="FE27" i="69"/>
  <c r="FD27" i="69"/>
  <c r="EZ27" i="69"/>
  <c r="EY27" i="69"/>
  <c r="EU27" i="69"/>
  <c r="ET27" i="69"/>
  <c r="EP27" i="69"/>
  <c r="EO27" i="69"/>
  <c r="EK27" i="69"/>
  <c r="EJ27" i="69"/>
  <c r="EF27" i="69"/>
  <c r="EA27" i="69"/>
  <c r="DZ27" i="69"/>
  <c r="DV27" i="69"/>
  <c r="DU27" i="69"/>
  <c r="DQ27" i="69"/>
  <c r="DP27" i="69"/>
  <c r="DL27" i="69"/>
  <c r="DK27" i="69"/>
  <c r="DG27" i="69"/>
  <c r="DF27" i="69"/>
  <c r="DB27" i="69"/>
  <c r="DA27" i="69"/>
  <c r="CW27" i="69"/>
  <c r="CR27" i="69"/>
  <c r="CM27" i="69"/>
  <c r="CL27" i="69"/>
  <c r="CH27" i="69"/>
  <c r="CG27" i="69"/>
  <c r="CC27" i="69"/>
  <c r="CB27" i="69"/>
  <c r="BX27" i="69"/>
  <c r="BS27" i="69"/>
  <c r="BR27" i="69"/>
  <c r="BN27" i="69"/>
  <c r="BM27" i="69"/>
  <c r="BI27" i="69"/>
  <c r="BH27" i="69"/>
  <c r="BC27" i="69"/>
  <c r="AY27" i="69"/>
  <c r="AX27" i="69"/>
  <c r="AT27" i="69"/>
  <c r="AS27" i="69"/>
  <c r="AO27" i="69"/>
  <c r="AN27" i="69"/>
  <c r="AJ27" i="69"/>
  <c r="AI27" i="69"/>
  <c r="AE27" i="69"/>
  <c r="AD27" i="69"/>
  <c r="Z27" i="69"/>
  <c r="Y27" i="69"/>
  <c r="U27" i="69"/>
  <c r="L27" i="69"/>
  <c r="K27" i="69"/>
  <c r="J27" i="69"/>
  <c r="I27" i="69"/>
  <c r="H27" i="69"/>
  <c r="G27" i="69"/>
  <c r="GX26" i="69"/>
  <c r="GW26" i="69"/>
  <c r="GS26" i="69"/>
  <c r="GR26" i="69"/>
  <c r="GN26" i="69"/>
  <c r="GM26" i="69"/>
  <c r="GI26" i="69"/>
  <c r="GH26" i="69"/>
  <c r="GD26" i="69"/>
  <c r="GC26" i="69"/>
  <c r="FY26" i="69"/>
  <c r="FX26" i="69"/>
  <c r="FT26" i="69"/>
  <c r="FS26" i="69"/>
  <c r="FO26" i="69"/>
  <c r="FN26" i="69"/>
  <c r="FJ26" i="69"/>
  <c r="FI26" i="69"/>
  <c r="FE26" i="69"/>
  <c r="FD26" i="69"/>
  <c r="EZ26" i="69"/>
  <c r="EY26" i="69"/>
  <c r="EU26" i="69"/>
  <c r="ET26" i="69"/>
  <c r="EP26" i="69"/>
  <c r="EO26" i="69"/>
  <c r="EK26" i="69"/>
  <c r="EJ26" i="69"/>
  <c r="EF26" i="69"/>
  <c r="EA26" i="69"/>
  <c r="DZ26" i="69"/>
  <c r="DV26" i="69"/>
  <c r="DU26" i="69"/>
  <c r="DQ26" i="69"/>
  <c r="DP26" i="69"/>
  <c r="DL26" i="69"/>
  <c r="DK26" i="69"/>
  <c r="DG26" i="69"/>
  <c r="DF26" i="69"/>
  <c r="DB26" i="69"/>
  <c r="DA26" i="69"/>
  <c r="CW26" i="69"/>
  <c r="CR26" i="69"/>
  <c r="CM26" i="69"/>
  <c r="CL26" i="69"/>
  <c r="CH26" i="69"/>
  <c r="CG26" i="69"/>
  <c r="CC26" i="69"/>
  <c r="CB26" i="69"/>
  <c r="BX26" i="69"/>
  <c r="BS26" i="69"/>
  <c r="BR26" i="69"/>
  <c r="BN26" i="69"/>
  <c r="BM26" i="69"/>
  <c r="BI26" i="69"/>
  <c r="BH26" i="69"/>
  <c r="BC26" i="69"/>
  <c r="AY26" i="69"/>
  <c r="AX26" i="69"/>
  <c r="AT26" i="69"/>
  <c r="AS26" i="69"/>
  <c r="AO26" i="69"/>
  <c r="AN26" i="69"/>
  <c r="AJ26" i="69"/>
  <c r="AI26" i="69"/>
  <c r="AE26" i="69"/>
  <c r="AD26" i="69"/>
  <c r="Z26" i="69"/>
  <c r="Y26" i="69"/>
  <c r="U26" i="69"/>
  <c r="L26" i="69"/>
  <c r="K26" i="69"/>
  <c r="J26" i="69"/>
  <c r="I26" i="69"/>
  <c r="H26" i="69"/>
  <c r="G26" i="69"/>
  <c r="GX25" i="69"/>
  <c r="GW25" i="69"/>
  <c r="GS25" i="69"/>
  <c r="GR25" i="69"/>
  <c r="GN25" i="69"/>
  <c r="GM25" i="69"/>
  <c r="GI25" i="69"/>
  <c r="GH25" i="69"/>
  <c r="GD25" i="69"/>
  <c r="GC25" i="69"/>
  <c r="FY25" i="69"/>
  <c r="FX25" i="69"/>
  <c r="FT25" i="69"/>
  <c r="FS25" i="69"/>
  <c r="FO25" i="69"/>
  <c r="FN25" i="69"/>
  <c r="FJ25" i="69"/>
  <c r="FI25" i="69"/>
  <c r="FE25" i="69"/>
  <c r="FD25" i="69"/>
  <c r="EZ25" i="69"/>
  <c r="EY25" i="69"/>
  <c r="EU25" i="69"/>
  <c r="ET25" i="69"/>
  <c r="EP25" i="69"/>
  <c r="EO25" i="69"/>
  <c r="EK25" i="69"/>
  <c r="EJ25" i="69"/>
  <c r="EF25" i="69"/>
  <c r="EA25" i="69"/>
  <c r="DZ25" i="69"/>
  <c r="DV25" i="69"/>
  <c r="DU25" i="69"/>
  <c r="DQ25" i="69"/>
  <c r="DP25" i="69"/>
  <c r="DL25" i="69"/>
  <c r="DK25" i="69"/>
  <c r="DG25" i="69"/>
  <c r="DF25" i="69"/>
  <c r="DB25" i="69"/>
  <c r="DA25" i="69"/>
  <c r="CW25" i="69"/>
  <c r="CR25" i="69"/>
  <c r="CM25" i="69"/>
  <c r="CL25" i="69"/>
  <c r="CH25" i="69"/>
  <c r="CG25" i="69"/>
  <c r="CC25" i="69"/>
  <c r="CB25" i="69"/>
  <c r="BX25" i="69"/>
  <c r="BS25" i="69"/>
  <c r="BR25" i="69"/>
  <c r="BN25" i="69"/>
  <c r="BM25" i="69"/>
  <c r="BI25" i="69"/>
  <c r="BH25" i="69"/>
  <c r="BC25" i="69"/>
  <c r="AY25" i="69"/>
  <c r="AX25" i="69"/>
  <c r="AT25" i="69"/>
  <c r="AS25" i="69"/>
  <c r="AO25" i="69"/>
  <c r="AN25" i="69"/>
  <c r="AJ25" i="69"/>
  <c r="AI25" i="69"/>
  <c r="AH25" i="69"/>
  <c r="AE25" i="69"/>
  <c r="AD25" i="69"/>
  <c r="Z25" i="69"/>
  <c r="Y25" i="69"/>
  <c r="U25" i="69"/>
  <c r="P25" i="69"/>
  <c r="L25" i="69"/>
  <c r="K25" i="69"/>
  <c r="J25" i="69"/>
  <c r="I25" i="69"/>
  <c r="H25" i="69"/>
  <c r="G25" i="69"/>
  <c r="GX24" i="69"/>
  <c r="GW24" i="69"/>
  <c r="GS24" i="69"/>
  <c r="GR24" i="69"/>
  <c r="GN24" i="69"/>
  <c r="GM24" i="69"/>
  <c r="GI24" i="69"/>
  <c r="GH24" i="69"/>
  <c r="GD24" i="69"/>
  <c r="GC24" i="69"/>
  <c r="FY24" i="69"/>
  <c r="FX24" i="69"/>
  <c r="FT24" i="69"/>
  <c r="FS24" i="69"/>
  <c r="FO24" i="69"/>
  <c r="FN24" i="69"/>
  <c r="FJ24" i="69"/>
  <c r="FI24" i="69"/>
  <c r="FE24" i="69"/>
  <c r="FD24" i="69"/>
  <c r="EZ24" i="69"/>
  <c r="EY24" i="69"/>
  <c r="EU24" i="69"/>
  <c r="ET24" i="69"/>
  <c r="EP24" i="69"/>
  <c r="EO24" i="69"/>
  <c r="EK24" i="69"/>
  <c r="EJ24" i="69"/>
  <c r="EF24" i="69"/>
  <c r="EA24" i="69"/>
  <c r="DZ24" i="69"/>
  <c r="DV24" i="69"/>
  <c r="DU24" i="69"/>
  <c r="DQ24" i="69"/>
  <c r="DP24" i="69"/>
  <c r="DL24" i="69"/>
  <c r="DK24" i="69"/>
  <c r="DG24" i="69"/>
  <c r="DF24" i="69"/>
  <c r="DB24" i="69"/>
  <c r="DA24" i="69"/>
  <c r="CW24" i="69"/>
  <c r="CR24" i="69"/>
  <c r="CM24" i="69"/>
  <c r="CL24" i="69"/>
  <c r="CH24" i="69"/>
  <c r="CG24" i="69"/>
  <c r="CC24" i="69"/>
  <c r="CB24" i="69"/>
  <c r="BX24" i="69"/>
  <c r="BS24" i="69"/>
  <c r="BR24" i="69"/>
  <c r="BN24" i="69"/>
  <c r="BM24" i="69"/>
  <c r="BI24" i="69"/>
  <c r="BH24" i="69"/>
  <c r="BC24" i="69"/>
  <c r="AY24" i="69"/>
  <c r="AX24" i="69"/>
  <c r="AT24" i="69"/>
  <c r="AS24" i="69"/>
  <c r="AO24" i="69"/>
  <c r="AN24" i="69"/>
  <c r="AJ24" i="69"/>
  <c r="AI24" i="69"/>
  <c r="AE24" i="69"/>
  <c r="AD24" i="69"/>
  <c r="Z24" i="69"/>
  <c r="U24" i="69"/>
  <c r="L24" i="69"/>
  <c r="K24" i="69"/>
  <c r="J24" i="69"/>
  <c r="I24" i="69"/>
  <c r="H24" i="69"/>
  <c r="G24" i="69"/>
  <c r="GX23" i="69"/>
  <c r="GW23" i="69"/>
  <c r="GS23" i="69"/>
  <c r="GR23" i="69"/>
  <c r="GN23" i="69"/>
  <c r="GM23" i="69"/>
  <c r="GI23" i="69"/>
  <c r="GH23" i="69"/>
  <c r="GD23" i="69"/>
  <c r="GC23" i="69"/>
  <c r="FY23" i="69"/>
  <c r="FX23" i="69"/>
  <c r="FT23" i="69"/>
  <c r="FS23" i="69"/>
  <c r="FO23" i="69"/>
  <c r="FN23" i="69"/>
  <c r="FJ23" i="69"/>
  <c r="FI23" i="69"/>
  <c r="FE23" i="69"/>
  <c r="FD23" i="69"/>
  <c r="EZ23" i="69"/>
  <c r="EY23" i="69"/>
  <c r="EU23" i="69"/>
  <c r="ET23" i="69"/>
  <c r="EP23" i="69"/>
  <c r="EO23" i="69"/>
  <c r="EK23" i="69"/>
  <c r="EJ23" i="69"/>
  <c r="EF23" i="69"/>
  <c r="EA23" i="69"/>
  <c r="DZ23" i="69"/>
  <c r="DV23" i="69"/>
  <c r="DU23" i="69"/>
  <c r="DQ23" i="69"/>
  <c r="DP23" i="69"/>
  <c r="DL23" i="69"/>
  <c r="DK23" i="69"/>
  <c r="DG23" i="69"/>
  <c r="DF23" i="69"/>
  <c r="DB23" i="69"/>
  <c r="DA23" i="69"/>
  <c r="CW23" i="69"/>
  <c r="CR23" i="69"/>
  <c r="CM23" i="69"/>
  <c r="CL23" i="69"/>
  <c r="CH23" i="69"/>
  <c r="CG23" i="69"/>
  <c r="CC23" i="69"/>
  <c r="CB23" i="69"/>
  <c r="BX23" i="69"/>
  <c r="BS23" i="69"/>
  <c r="BR23" i="69"/>
  <c r="BN23" i="69"/>
  <c r="BM23" i="69"/>
  <c r="BI23" i="69"/>
  <c r="BH23" i="69"/>
  <c r="BC23" i="69"/>
  <c r="AY23" i="69"/>
  <c r="AX23" i="69"/>
  <c r="AT23" i="69"/>
  <c r="AS23" i="69"/>
  <c r="AO23" i="69"/>
  <c r="AN23" i="69"/>
  <c r="AJ23" i="69"/>
  <c r="AI23" i="69"/>
  <c r="AE23" i="69"/>
  <c r="AD23" i="69"/>
  <c r="Z23" i="69"/>
  <c r="U23" i="69"/>
  <c r="J23" i="69"/>
  <c r="I23" i="69"/>
  <c r="H23" i="69"/>
  <c r="G23" i="69"/>
  <c r="GX22" i="69"/>
  <c r="GW22" i="69"/>
  <c r="GS22" i="69"/>
  <c r="GR22" i="69"/>
  <c r="GN22" i="69"/>
  <c r="GM22" i="69"/>
  <c r="GI22" i="69"/>
  <c r="GH22" i="69"/>
  <c r="GD22" i="69"/>
  <c r="GC22" i="69"/>
  <c r="FY22" i="69"/>
  <c r="FX22" i="69"/>
  <c r="FT22" i="69"/>
  <c r="FS22" i="69"/>
  <c r="FO22" i="69"/>
  <c r="FN22" i="69"/>
  <c r="FJ22" i="69"/>
  <c r="FI22" i="69"/>
  <c r="FE22" i="69"/>
  <c r="FD22" i="69"/>
  <c r="EZ22" i="69"/>
  <c r="EY22" i="69"/>
  <c r="EU22" i="69"/>
  <c r="ET22" i="69"/>
  <c r="EP22" i="69"/>
  <c r="EO22" i="69"/>
  <c r="EK22" i="69"/>
  <c r="EJ22" i="69"/>
  <c r="EF22" i="69"/>
  <c r="EA22" i="69"/>
  <c r="DZ22" i="69"/>
  <c r="DV22" i="69"/>
  <c r="DU22" i="69"/>
  <c r="DQ22" i="69"/>
  <c r="DP22" i="69"/>
  <c r="DL22" i="69"/>
  <c r="DK22" i="69"/>
  <c r="DG22" i="69"/>
  <c r="DF22" i="69"/>
  <c r="DB22" i="69"/>
  <c r="DA22" i="69"/>
  <c r="CW22" i="69"/>
  <c r="CR22" i="69"/>
  <c r="CM22" i="69"/>
  <c r="CL22" i="69"/>
  <c r="CH22" i="69"/>
  <c r="CG22" i="69"/>
  <c r="CC22" i="69"/>
  <c r="CB22" i="69"/>
  <c r="BX22" i="69"/>
  <c r="BS22" i="69"/>
  <c r="BR22" i="69"/>
  <c r="BN22" i="69"/>
  <c r="BM22" i="69"/>
  <c r="BI22" i="69"/>
  <c r="BH22" i="69"/>
  <c r="BC22" i="69"/>
  <c r="AY22" i="69"/>
  <c r="AX22" i="69"/>
  <c r="AT22" i="69"/>
  <c r="AS22" i="69"/>
  <c r="AO22" i="69"/>
  <c r="AN22" i="69"/>
  <c r="AJ22" i="69"/>
  <c r="AI22" i="69"/>
  <c r="AE22" i="69"/>
  <c r="AD22" i="69"/>
  <c r="AC22" i="69"/>
  <c r="Z22" i="69"/>
  <c r="U22" i="69"/>
  <c r="J22" i="69"/>
  <c r="I22" i="69"/>
  <c r="H22" i="69"/>
  <c r="G22" i="69"/>
  <c r="GX21" i="69"/>
  <c r="GW21" i="69"/>
  <c r="GS21" i="69"/>
  <c r="GR21" i="69"/>
  <c r="GN21" i="69"/>
  <c r="GM21" i="69"/>
  <c r="GI21" i="69"/>
  <c r="GH21" i="69"/>
  <c r="GD21" i="69"/>
  <c r="GC21" i="69"/>
  <c r="FY21" i="69"/>
  <c r="FX21" i="69"/>
  <c r="FT21" i="69"/>
  <c r="FS21" i="69"/>
  <c r="FO21" i="69"/>
  <c r="FN21" i="69"/>
  <c r="FJ21" i="69"/>
  <c r="FI21" i="69"/>
  <c r="FE21" i="69"/>
  <c r="FD21" i="69"/>
  <c r="EZ21" i="69"/>
  <c r="EY21" i="69"/>
  <c r="EU21" i="69"/>
  <c r="ET21" i="69"/>
  <c r="EP21" i="69"/>
  <c r="EO21" i="69"/>
  <c r="EK21" i="69"/>
  <c r="EJ21" i="69"/>
  <c r="EF21" i="69"/>
  <c r="EA21" i="69"/>
  <c r="DZ21" i="69"/>
  <c r="DV21" i="69"/>
  <c r="DU21" i="69"/>
  <c r="DQ21" i="69"/>
  <c r="DP21" i="69"/>
  <c r="DL21" i="69"/>
  <c r="DK21" i="69"/>
  <c r="DG21" i="69"/>
  <c r="DF21" i="69"/>
  <c r="DB21" i="69"/>
  <c r="DA21" i="69"/>
  <c r="CW21" i="69"/>
  <c r="CR21" i="69"/>
  <c r="CM21" i="69"/>
  <c r="CL21" i="69"/>
  <c r="CH21" i="69"/>
  <c r="CG21" i="69"/>
  <c r="CC21" i="69"/>
  <c r="CB21" i="69"/>
  <c r="BX21" i="69"/>
  <c r="BS21" i="69"/>
  <c r="BR21" i="69"/>
  <c r="BN21" i="69"/>
  <c r="BM21" i="69"/>
  <c r="BI21" i="69"/>
  <c r="BH21" i="69"/>
  <c r="BC21" i="69"/>
  <c r="AY21" i="69"/>
  <c r="AX21" i="69"/>
  <c r="AT21" i="69"/>
  <c r="AS21" i="69"/>
  <c r="AO21" i="69"/>
  <c r="AN21" i="69"/>
  <c r="AJ21" i="69"/>
  <c r="AI21" i="69"/>
  <c r="AE21" i="69"/>
  <c r="AD21" i="69"/>
  <c r="Z21" i="69"/>
  <c r="U21" i="69"/>
  <c r="J21" i="69"/>
  <c r="I21" i="69"/>
  <c r="H21" i="69"/>
  <c r="G21" i="69"/>
  <c r="GX20" i="69"/>
  <c r="GW20" i="69"/>
  <c r="GS20" i="69"/>
  <c r="GR20" i="69"/>
  <c r="GN20" i="69"/>
  <c r="GM20" i="69"/>
  <c r="GI20" i="69"/>
  <c r="GH20" i="69"/>
  <c r="GD20" i="69"/>
  <c r="GC20" i="69"/>
  <c r="FY20" i="69"/>
  <c r="FX20" i="69"/>
  <c r="FT20" i="69"/>
  <c r="FS20" i="69"/>
  <c r="FO20" i="69"/>
  <c r="FN20" i="69"/>
  <c r="FJ20" i="69"/>
  <c r="FI20" i="69"/>
  <c r="FE20" i="69"/>
  <c r="FD20" i="69"/>
  <c r="EZ20" i="69"/>
  <c r="EY20" i="69"/>
  <c r="EU20" i="69"/>
  <c r="ET20" i="69"/>
  <c r="EP20" i="69"/>
  <c r="EO20" i="69"/>
  <c r="EK20" i="69"/>
  <c r="EJ20" i="69"/>
  <c r="EF20" i="69"/>
  <c r="EA20" i="69"/>
  <c r="DZ20" i="69"/>
  <c r="DV20" i="69"/>
  <c r="DU20" i="69"/>
  <c r="DQ20" i="69"/>
  <c r="DP20" i="69"/>
  <c r="DL20" i="69"/>
  <c r="DK20" i="69"/>
  <c r="DG20" i="69"/>
  <c r="DF20" i="69"/>
  <c r="DB20" i="69"/>
  <c r="DA20" i="69"/>
  <c r="CW20" i="69"/>
  <c r="CR20" i="69"/>
  <c r="CM20" i="69"/>
  <c r="CL20" i="69"/>
  <c r="CH20" i="69"/>
  <c r="CG20" i="69"/>
  <c r="CC20" i="69"/>
  <c r="CB20" i="69"/>
  <c r="BX20" i="69"/>
  <c r="BS20" i="69"/>
  <c r="BR20" i="69"/>
  <c r="BN20" i="69"/>
  <c r="BM20" i="69"/>
  <c r="BI20" i="69"/>
  <c r="BH20" i="69"/>
  <c r="BC20" i="69"/>
  <c r="AY20" i="69"/>
  <c r="AX20" i="69"/>
  <c r="AT20" i="69"/>
  <c r="AS20" i="69"/>
  <c r="AO20" i="69"/>
  <c r="AN20" i="69"/>
  <c r="AJ20" i="69"/>
  <c r="AI20" i="69"/>
  <c r="AE20" i="69"/>
  <c r="AD20" i="69"/>
  <c r="Z20" i="69"/>
  <c r="U20" i="69"/>
  <c r="J20" i="69"/>
  <c r="I20" i="69"/>
  <c r="H20" i="69"/>
  <c r="G20" i="69"/>
  <c r="GX19" i="69"/>
  <c r="GW19" i="69"/>
  <c r="GS19" i="69"/>
  <c r="GR19" i="69"/>
  <c r="GN19" i="69"/>
  <c r="GM19" i="69"/>
  <c r="GI19" i="69"/>
  <c r="GH19" i="69"/>
  <c r="GD19" i="69"/>
  <c r="GC19" i="69"/>
  <c r="FY19" i="69"/>
  <c r="FX19" i="69"/>
  <c r="FT19" i="69"/>
  <c r="FS19" i="69"/>
  <c r="FO19" i="69"/>
  <c r="FN19" i="69"/>
  <c r="FJ19" i="69"/>
  <c r="FI19" i="69"/>
  <c r="FE19" i="69"/>
  <c r="FD19" i="69"/>
  <c r="EZ19" i="69"/>
  <c r="EY19" i="69"/>
  <c r="EU19" i="69"/>
  <c r="ET19" i="69"/>
  <c r="EP19" i="69"/>
  <c r="EO19" i="69"/>
  <c r="EK19" i="69"/>
  <c r="EJ19" i="69"/>
  <c r="EF19" i="69"/>
  <c r="EA19" i="69"/>
  <c r="DZ19" i="69"/>
  <c r="DV19" i="69"/>
  <c r="DU19" i="69"/>
  <c r="DQ19" i="69"/>
  <c r="DP19" i="69"/>
  <c r="DL19" i="69"/>
  <c r="DK19" i="69"/>
  <c r="DG19" i="69"/>
  <c r="DF19" i="69"/>
  <c r="DB19" i="69"/>
  <c r="DA19" i="69"/>
  <c r="CW19" i="69"/>
  <c r="CR19" i="69"/>
  <c r="CM19" i="69"/>
  <c r="CL19" i="69"/>
  <c r="CH19" i="69"/>
  <c r="CG19" i="69"/>
  <c r="CC19" i="69"/>
  <c r="CB19" i="69"/>
  <c r="BX19" i="69"/>
  <c r="BS19" i="69"/>
  <c r="BR19" i="69"/>
  <c r="BN19" i="69"/>
  <c r="BM19" i="69"/>
  <c r="BI19" i="69"/>
  <c r="BH19" i="69"/>
  <c r="BC19" i="69"/>
  <c r="AY19" i="69"/>
  <c r="AX19" i="69"/>
  <c r="AT19" i="69"/>
  <c r="AS19" i="69"/>
  <c r="AO19" i="69"/>
  <c r="AN19" i="69"/>
  <c r="AJ19" i="69"/>
  <c r="AI19" i="69"/>
  <c r="AE19" i="69"/>
  <c r="AD19" i="69"/>
  <c r="Z19" i="69"/>
  <c r="U19" i="69"/>
  <c r="J19" i="69"/>
  <c r="I19" i="69"/>
  <c r="H19" i="69"/>
  <c r="G19" i="69"/>
  <c r="GX18" i="69"/>
  <c r="GW18" i="69"/>
  <c r="GS18" i="69"/>
  <c r="GR18" i="69"/>
  <c r="GN18" i="69"/>
  <c r="GM18" i="69"/>
  <c r="GI18" i="69"/>
  <c r="GH18" i="69"/>
  <c r="GD18" i="69"/>
  <c r="GC18" i="69"/>
  <c r="FY18" i="69"/>
  <c r="FX18" i="69"/>
  <c r="FT18" i="69"/>
  <c r="FS18" i="69"/>
  <c r="FO18" i="69"/>
  <c r="FN18" i="69"/>
  <c r="FJ18" i="69"/>
  <c r="FI18" i="69"/>
  <c r="FE18" i="69"/>
  <c r="FD18" i="69"/>
  <c r="EZ18" i="69"/>
  <c r="EY18" i="69"/>
  <c r="EU18" i="69"/>
  <c r="ET18" i="69"/>
  <c r="EP18" i="69"/>
  <c r="EO18" i="69"/>
  <c r="EK18" i="69"/>
  <c r="EJ18" i="69"/>
  <c r="EF18" i="69"/>
  <c r="EA18" i="69"/>
  <c r="DZ18" i="69"/>
  <c r="DV18" i="69"/>
  <c r="DU18" i="69"/>
  <c r="DQ18" i="69"/>
  <c r="DP18" i="69"/>
  <c r="DL18" i="69"/>
  <c r="DK18" i="69"/>
  <c r="DG18" i="69"/>
  <c r="DF18" i="69"/>
  <c r="DB18" i="69"/>
  <c r="DA18" i="69"/>
  <c r="CW18" i="69"/>
  <c r="CR18" i="69"/>
  <c r="CM18" i="69"/>
  <c r="CL18" i="69"/>
  <c r="CH18" i="69"/>
  <c r="CG18" i="69"/>
  <c r="CC18" i="69"/>
  <c r="CB18" i="69"/>
  <c r="BX18" i="69"/>
  <c r="BS18" i="69"/>
  <c r="BR18" i="69"/>
  <c r="BN18" i="69"/>
  <c r="BM18" i="69"/>
  <c r="BI18" i="69"/>
  <c r="BH18" i="69"/>
  <c r="BC18" i="69"/>
  <c r="AY18" i="69"/>
  <c r="AX18" i="69"/>
  <c r="AT18" i="69"/>
  <c r="AS18" i="69"/>
  <c r="AO18" i="69"/>
  <c r="AN18" i="69"/>
  <c r="AJ18" i="69"/>
  <c r="AI18" i="69"/>
  <c r="AE18" i="69"/>
  <c r="AD18" i="69"/>
  <c r="Z18" i="69"/>
  <c r="U18" i="69"/>
  <c r="J18" i="69"/>
  <c r="I18" i="69"/>
  <c r="H18" i="69"/>
  <c r="G18" i="69"/>
  <c r="GX17" i="69"/>
  <c r="GW17" i="69"/>
  <c r="GS17" i="69"/>
  <c r="GR17" i="69"/>
  <c r="GN17" i="69"/>
  <c r="GM17" i="69"/>
  <c r="GI17" i="69"/>
  <c r="GH17" i="69"/>
  <c r="GD17" i="69"/>
  <c r="GC17" i="69"/>
  <c r="FY17" i="69"/>
  <c r="FX17" i="69"/>
  <c r="FT17" i="69"/>
  <c r="FS17" i="69"/>
  <c r="FO17" i="69"/>
  <c r="FN17" i="69"/>
  <c r="FJ17" i="69"/>
  <c r="FI17" i="69"/>
  <c r="FE17" i="69"/>
  <c r="FD17" i="69"/>
  <c r="EZ17" i="69"/>
  <c r="EY17" i="69"/>
  <c r="EU17" i="69"/>
  <c r="ET17" i="69"/>
  <c r="EP17" i="69"/>
  <c r="EO17" i="69"/>
  <c r="EK17" i="69"/>
  <c r="EJ17" i="69"/>
  <c r="EF17" i="69"/>
  <c r="EA17" i="69"/>
  <c r="DZ17" i="69"/>
  <c r="DV17" i="69"/>
  <c r="DU17" i="69"/>
  <c r="DQ17" i="69"/>
  <c r="DP17" i="69"/>
  <c r="DL17" i="69"/>
  <c r="DK17" i="69"/>
  <c r="DG17" i="69"/>
  <c r="DF17" i="69"/>
  <c r="DB17" i="69"/>
  <c r="DA17" i="69"/>
  <c r="CW17" i="69"/>
  <c r="CR17" i="69"/>
  <c r="CM17" i="69"/>
  <c r="CL17" i="69"/>
  <c r="CH17" i="69"/>
  <c r="CG17" i="69"/>
  <c r="CC17" i="69"/>
  <c r="CB17" i="69"/>
  <c r="BX17" i="69"/>
  <c r="BS17" i="69"/>
  <c r="BR17" i="69"/>
  <c r="BN17" i="69"/>
  <c r="BM17" i="69"/>
  <c r="BI17" i="69"/>
  <c r="BH17" i="69"/>
  <c r="BC17" i="69"/>
  <c r="AY17" i="69"/>
  <c r="AX17" i="69"/>
  <c r="AT17" i="69"/>
  <c r="AS17" i="69"/>
  <c r="AO17" i="69"/>
  <c r="AN17" i="69"/>
  <c r="AJ17" i="69"/>
  <c r="AI17" i="69"/>
  <c r="AE17" i="69"/>
  <c r="AD17" i="69"/>
  <c r="Z17" i="69"/>
  <c r="U17" i="69"/>
  <c r="J17" i="69"/>
  <c r="I17" i="69"/>
  <c r="H17" i="69"/>
  <c r="G17" i="69"/>
  <c r="GX16" i="69"/>
  <c r="GW16" i="69"/>
  <c r="GS16" i="69"/>
  <c r="GR16" i="69"/>
  <c r="GN16" i="69"/>
  <c r="GM16" i="69"/>
  <c r="GI16" i="69"/>
  <c r="GH16" i="69"/>
  <c r="GD16" i="69"/>
  <c r="GC16" i="69"/>
  <c r="FY16" i="69"/>
  <c r="FX16" i="69"/>
  <c r="FT16" i="69"/>
  <c r="FS16" i="69"/>
  <c r="FO16" i="69"/>
  <c r="FN16" i="69"/>
  <c r="FJ16" i="69"/>
  <c r="FI16" i="69"/>
  <c r="FE16" i="69"/>
  <c r="FD16" i="69"/>
  <c r="EZ16" i="69"/>
  <c r="EY16" i="69"/>
  <c r="EU16" i="69"/>
  <c r="ET16" i="69"/>
  <c r="EP16" i="69"/>
  <c r="EO16" i="69"/>
  <c r="EK16" i="69"/>
  <c r="EJ16" i="69"/>
  <c r="EF16" i="69"/>
  <c r="EA16" i="69"/>
  <c r="DZ16" i="69"/>
  <c r="DV16" i="69"/>
  <c r="DU16" i="69"/>
  <c r="DQ16" i="69"/>
  <c r="DP16" i="69"/>
  <c r="DL16" i="69"/>
  <c r="DK16" i="69"/>
  <c r="DG16" i="69"/>
  <c r="DF16" i="69"/>
  <c r="DB16" i="69"/>
  <c r="DA16" i="69"/>
  <c r="CW16" i="69"/>
  <c r="CR16" i="69"/>
  <c r="L16" i="69"/>
  <c r="K16" i="69"/>
  <c r="J16" i="69"/>
  <c r="I16" i="69"/>
  <c r="H16" i="69"/>
  <c r="G16" i="69"/>
  <c r="GX15" i="69"/>
  <c r="GW15" i="69"/>
  <c r="GS15" i="69"/>
  <c r="GR15" i="69"/>
  <c r="GN15" i="69"/>
  <c r="GM15" i="69"/>
  <c r="GI15" i="69"/>
  <c r="GH15" i="69"/>
  <c r="GD15" i="69"/>
  <c r="GC15" i="69"/>
  <c r="FY15" i="69"/>
  <c r="FX15" i="69"/>
  <c r="FT15" i="69"/>
  <c r="FS15" i="69"/>
  <c r="FO15" i="69"/>
  <c r="FN15" i="69"/>
  <c r="FJ15" i="69"/>
  <c r="FI15" i="69"/>
  <c r="FE15" i="69"/>
  <c r="FD15" i="69"/>
  <c r="EZ15" i="69"/>
  <c r="EY15" i="69"/>
  <c r="EU15" i="69"/>
  <c r="ET15" i="69"/>
  <c r="EP15" i="69"/>
  <c r="EO15" i="69"/>
  <c r="EK15" i="69"/>
  <c r="EJ15" i="69"/>
  <c r="EF15" i="69"/>
  <c r="EA15" i="69"/>
  <c r="DZ15" i="69"/>
  <c r="DV15" i="69"/>
  <c r="DU15" i="69"/>
  <c r="DQ15" i="69"/>
  <c r="DP15" i="69"/>
  <c r="DL15" i="69"/>
  <c r="DK15" i="69"/>
  <c r="DG15" i="69"/>
  <c r="DF15" i="69"/>
  <c r="DB15" i="69"/>
  <c r="DA15" i="69"/>
  <c r="CW15" i="69"/>
  <c r="CR15" i="69"/>
  <c r="L15" i="69"/>
  <c r="K15" i="69"/>
  <c r="J15" i="69"/>
  <c r="I15" i="69"/>
  <c r="H15" i="69"/>
  <c r="G15" i="69"/>
  <c r="GX14" i="69"/>
  <c r="GW14" i="69"/>
  <c r="GS14" i="69"/>
  <c r="GR14" i="69"/>
  <c r="GN14" i="69"/>
  <c r="GM14" i="69"/>
  <c r="GI14" i="69"/>
  <c r="GH14" i="69"/>
  <c r="GD14" i="69"/>
  <c r="GC14" i="69"/>
  <c r="FY14" i="69"/>
  <c r="FX14" i="69"/>
  <c r="FT14" i="69"/>
  <c r="FS14" i="69"/>
  <c r="FO14" i="69"/>
  <c r="FN14" i="69"/>
  <c r="FJ14" i="69"/>
  <c r="FI14" i="69"/>
  <c r="FE14" i="69"/>
  <c r="FD14" i="69"/>
  <c r="EZ14" i="69"/>
  <c r="EY14" i="69"/>
  <c r="EU14" i="69"/>
  <c r="ET14" i="69"/>
  <c r="EP14" i="69"/>
  <c r="EO14" i="69"/>
  <c r="EK14" i="69"/>
  <c r="EJ14" i="69"/>
  <c r="EF14" i="69"/>
  <c r="EA14" i="69"/>
  <c r="DZ14" i="69"/>
  <c r="DV14" i="69"/>
  <c r="DU14" i="69"/>
  <c r="DQ14" i="69"/>
  <c r="DP14" i="69"/>
  <c r="DL14" i="69"/>
  <c r="DK14" i="69"/>
  <c r="DG14" i="69"/>
  <c r="DF14" i="69"/>
  <c r="DB14" i="69"/>
  <c r="DA14" i="69"/>
  <c r="CW14" i="69"/>
  <c r="CR14" i="69"/>
  <c r="L14" i="69"/>
  <c r="K14" i="69"/>
  <c r="J14" i="69"/>
  <c r="I14" i="69"/>
  <c r="H14" i="69"/>
  <c r="G14" i="69"/>
  <c r="GX13" i="69"/>
  <c r="GW13" i="69"/>
  <c r="GS13" i="69"/>
  <c r="GR13" i="69"/>
  <c r="GN13" i="69"/>
  <c r="GM13" i="69"/>
  <c r="GI13" i="69"/>
  <c r="GH13" i="69"/>
  <c r="GD13" i="69"/>
  <c r="GC13" i="69"/>
  <c r="FY13" i="69"/>
  <c r="FX13" i="69"/>
  <c r="FT13" i="69"/>
  <c r="FS13" i="69"/>
  <c r="FO13" i="69"/>
  <c r="FN13" i="69"/>
  <c r="FJ13" i="69"/>
  <c r="FI13" i="69"/>
  <c r="FE13" i="69"/>
  <c r="FD13" i="69"/>
  <c r="EZ13" i="69"/>
  <c r="EY13" i="69"/>
  <c r="EU13" i="69"/>
  <c r="ET13" i="69"/>
  <c r="EP13" i="69"/>
  <c r="EO13" i="69"/>
  <c r="EK13" i="69"/>
  <c r="EJ13" i="69"/>
  <c r="EF13" i="69"/>
  <c r="EA13" i="69"/>
  <c r="DZ13" i="69"/>
  <c r="DV13" i="69"/>
  <c r="DU13" i="69"/>
  <c r="DQ13" i="69"/>
  <c r="DP13" i="69"/>
  <c r="DL13" i="69"/>
  <c r="DK13" i="69"/>
  <c r="DG13" i="69"/>
  <c r="DF13" i="69"/>
  <c r="DB13" i="69"/>
  <c r="DA13" i="69"/>
  <c r="CW13" i="69"/>
  <c r="CR13" i="69"/>
  <c r="L13" i="69"/>
  <c r="K13" i="69"/>
  <c r="J13" i="69"/>
  <c r="I13" i="69"/>
  <c r="H13" i="69"/>
  <c r="G13" i="69"/>
  <c r="GX12" i="69"/>
  <c r="GW12" i="69"/>
  <c r="GS12" i="69"/>
  <c r="GR12" i="69"/>
  <c r="GN12" i="69"/>
  <c r="GM12" i="69"/>
  <c r="GI12" i="69"/>
  <c r="GH12" i="69"/>
  <c r="GD12" i="69"/>
  <c r="GC12" i="69"/>
  <c r="FY12" i="69"/>
  <c r="FX12" i="69"/>
  <c r="FT12" i="69"/>
  <c r="FS12" i="69"/>
  <c r="FO12" i="69"/>
  <c r="FN12" i="69"/>
  <c r="FJ12" i="69"/>
  <c r="FI12" i="69"/>
  <c r="FE12" i="69"/>
  <c r="FD12" i="69"/>
  <c r="EZ12" i="69"/>
  <c r="EY12" i="69"/>
  <c r="EU12" i="69"/>
  <c r="ET12" i="69"/>
  <c r="EP12" i="69"/>
  <c r="EO12" i="69"/>
  <c r="EK12" i="69"/>
  <c r="EJ12" i="69"/>
  <c r="EF12" i="69"/>
  <c r="EA12" i="69"/>
  <c r="DZ12" i="69"/>
  <c r="DV12" i="69"/>
  <c r="DU12" i="69"/>
  <c r="DQ12" i="69"/>
  <c r="DP12" i="69"/>
  <c r="DL12" i="69"/>
  <c r="DK12" i="69"/>
  <c r="DG12" i="69"/>
  <c r="DF12" i="69"/>
  <c r="DB12" i="69"/>
  <c r="DA12" i="69"/>
  <c r="CW12" i="69"/>
  <c r="CR12" i="69"/>
  <c r="L12" i="69"/>
  <c r="K12" i="69"/>
  <c r="J12" i="69"/>
  <c r="I12" i="69"/>
  <c r="H12" i="69"/>
  <c r="G12" i="69"/>
  <c r="GX11" i="69"/>
  <c r="GW11" i="69"/>
  <c r="GS11" i="69"/>
  <c r="GR11" i="69"/>
  <c r="GN11" i="69"/>
  <c r="GM11" i="69"/>
  <c r="GI11" i="69"/>
  <c r="GH11" i="69"/>
  <c r="GD11" i="69"/>
  <c r="GC11" i="69"/>
  <c r="FY11" i="69"/>
  <c r="FX11" i="69"/>
  <c r="FT11" i="69"/>
  <c r="FS11" i="69"/>
  <c r="FO11" i="69"/>
  <c r="FN11" i="69"/>
  <c r="FJ11" i="69"/>
  <c r="FI11" i="69"/>
  <c r="FE11" i="69"/>
  <c r="FD11" i="69"/>
  <c r="EZ11" i="69"/>
  <c r="EY11" i="69"/>
  <c r="EU11" i="69"/>
  <c r="ET11" i="69"/>
  <c r="EP11" i="69"/>
  <c r="EO11" i="69"/>
  <c r="EK11" i="69"/>
  <c r="EJ11" i="69"/>
  <c r="EF11" i="69"/>
  <c r="EA11" i="69"/>
  <c r="DZ11" i="69"/>
  <c r="DV11" i="69"/>
  <c r="DU11" i="69"/>
  <c r="DQ11" i="69"/>
  <c r="DP11" i="69"/>
  <c r="DL11" i="69"/>
  <c r="DK11" i="69"/>
  <c r="DG11" i="69"/>
  <c r="DF11" i="69"/>
  <c r="DB11" i="69"/>
  <c r="DA11" i="69"/>
  <c r="CW11" i="69"/>
  <c r="CR11" i="69"/>
  <c r="L11" i="69"/>
  <c r="K11" i="69"/>
  <c r="J11" i="69"/>
  <c r="I11" i="69"/>
  <c r="H11" i="69"/>
  <c r="G11" i="69"/>
  <c r="GX10" i="69"/>
  <c r="GW10" i="69"/>
  <c r="GS10" i="69"/>
  <c r="GR10" i="69"/>
  <c r="GN10" i="69"/>
  <c r="GM10" i="69"/>
  <c r="GI10" i="69"/>
  <c r="GH10" i="69"/>
  <c r="GD10" i="69"/>
  <c r="GC10" i="69"/>
  <c r="FY10" i="69"/>
  <c r="FX10" i="69"/>
  <c r="FT10" i="69"/>
  <c r="FS10" i="69"/>
  <c r="FO10" i="69"/>
  <c r="FN10" i="69"/>
  <c r="FJ10" i="69"/>
  <c r="FI10" i="69"/>
  <c r="FE10" i="69"/>
  <c r="FD10" i="69"/>
  <c r="EZ10" i="69"/>
  <c r="EY10" i="69"/>
  <c r="EU10" i="69"/>
  <c r="ET10" i="69"/>
  <c r="EP10" i="69"/>
  <c r="EO10" i="69"/>
  <c r="EK10" i="69"/>
  <c r="EJ10" i="69"/>
  <c r="EF10" i="69"/>
  <c r="EA10" i="69"/>
  <c r="DZ10" i="69"/>
  <c r="DV10" i="69"/>
  <c r="DU10" i="69"/>
  <c r="DQ10" i="69"/>
  <c r="DP10" i="69"/>
  <c r="DL10" i="69"/>
  <c r="DK10" i="69"/>
  <c r="DG10" i="69"/>
  <c r="DF10" i="69"/>
  <c r="DB10" i="69"/>
  <c r="DA10" i="69"/>
  <c r="CW10" i="69"/>
  <c r="CR10" i="69"/>
  <c r="CM10" i="69"/>
  <c r="CL10" i="69"/>
  <c r="CH10" i="69"/>
  <c r="CG10" i="69"/>
  <c r="CC10" i="69"/>
  <c r="CB10" i="69"/>
  <c r="BX10" i="69"/>
  <c r="BS10" i="69"/>
  <c r="BR10" i="69"/>
  <c r="BN10" i="69"/>
  <c r="BM10" i="69"/>
  <c r="BI10" i="69"/>
  <c r="BH10" i="69"/>
  <c r="BC10" i="69"/>
  <c r="AY10" i="69"/>
  <c r="AX10" i="69"/>
  <c r="AT10" i="69"/>
  <c r="AS10" i="69"/>
  <c r="AO10" i="69"/>
  <c r="AN10" i="69"/>
  <c r="AJ10" i="69"/>
  <c r="AI10" i="69"/>
  <c r="AE10" i="69"/>
  <c r="AD10" i="69"/>
  <c r="Z10" i="69"/>
  <c r="U10" i="69"/>
  <c r="L10" i="69"/>
  <c r="K10" i="69"/>
  <c r="J10" i="69"/>
  <c r="I10" i="69"/>
  <c r="H10" i="69"/>
  <c r="G10" i="69"/>
  <c r="GX9" i="69"/>
  <c r="GW9" i="69"/>
  <c r="GS9" i="69"/>
  <c r="GR9" i="69"/>
  <c r="GN9" i="69"/>
  <c r="GM9" i="69"/>
  <c r="GI9" i="69"/>
  <c r="GH9" i="69"/>
  <c r="GD9" i="69"/>
  <c r="GC9" i="69"/>
  <c r="FY9" i="69"/>
  <c r="FX9" i="69"/>
  <c r="FT9" i="69"/>
  <c r="FS9" i="69"/>
  <c r="FO9" i="69"/>
  <c r="FN9" i="69"/>
  <c r="FJ9" i="69"/>
  <c r="FI9" i="69"/>
  <c r="FE9" i="69"/>
  <c r="FD9" i="69"/>
  <c r="EZ9" i="69"/>
  <c r="EY9" i="69"/>
  <c r="EU9" i="69"/>
  <c r="ET9" i="69"/>
  <c r="EP9" i="69"/>
  <c r="EO9" i="69"/>
  <c r="EK9" i="69"/>
  <c r="EJ9" i="69"/>
  <c r="EF9" i="69"/>
  <c r="EA9" i="69"/>
  <c r="DZ9" i="69"/>
  <c r="DV9" i="69"/>
  <c r="DU9" i="69"/>
  <c r="DQ9" i="69"/>
  <c r="DP9" i="69"/>
  <c r="DL9" i="69"/>
  <c r="DK9" i="69"/>
  <c r="DG9" i="69"/>
  <c r="DF9" i="69"/>
  <c r="DB9" i="69"/>
  <c r="DA9" i="69"/>
  <c r="CW9" i="69"/>
  <c r="CR9" i="69"/>
  <c r="CM9" i="69"/>
  <c r="CL9" i="69"/>
  <c r="CH9" i="69"/>
  <c r="CG9" i="69"/>
  <c r="CC9" i="69"/>
  <c r="CB9" i="69"/>
  <c r="BX9" i="69"/>
  <c r="BS9" i="69"/>
  <c r="BR9" i="69"/>
  <c r="BN9" i="69"/>
  <c r="BM9" i="69"/>
  <c r="BI9" i="69"/>
  <c r="BH9" i="69"/>
  <c r="BC9" i="69"/>
  <c r="AY9" i="69"/>
  <c r="AX9" i="69"/>
  <c r="AV9" i="69"/>
  <c r="AT9" i="69"/>
  <c r="AS9" i="69"/>
  <c r="AO9" i="69"/>
  <c r="AN9" i="69"/>
  <c r="AJ9" i="69"/>
  <c r="AI9" i="69"/>
  <c r="AE9" i="69"/>
  <c r="AD9" i="69"/>
  <c r="Z9" i="69"/>
  <c r="U9" i="69"/>
  <c r="P9" i="69"/>
  <c r="L9" i="69"/>
  <c r="K9" i="69"/>
  <c r="J9" i="69"/>
  <c r="I9" i="69"/>
  <c r="H9" i="69"/>
  <c r="G9" i="69"/>
  <c r="GX8" i="69"/>
  <c r="GW8" i="69"/>
  <c r="GS8" i="69"/>
  <c r="GR8" i="69"/>
  <c r="GN8" i="69"/>
  <c r="GM8" i="69"/>
  <c r="GI8" i="69"/>
  <c r="GH8" i="69"/>
  <c r="GD8" i="69"/>
  <c r="GC8" i="69"/>
  <c r="FY8" i="69"/>
  <c r="FX8" i="69"/>
  <c r="FT8" i="69"/>
  <c r="FS8" i="69"/>
  <c r="FO8" i="69"/>
  <c r="FN8" i="69"/>
  <c r="FJ8" i="69"/>
  <c r="FI8" i="69"/>
  <c r="FE8" i="69"/>
  <c r="FD8" i="69"/>
  <c r="EZ8" i="69"/>
  <c r="EY8" i="69"/>
  <c r="EU8" i="69"/>
  <c r="ET8" i="69"/>
  <c r="EP8" i="69"/>
  <c r="EO8" i="69"/>
  <c r="EK8" i="69"/>
  <c r="EJ8" i="69"/>
  <c r="EF8" i="69"/>
  <c r="EA8" i="69"/>
  <c r="DZ8" i="69"/>
  <c r="DV8" i="69"/>
  <c r="DU8" i="69"/>
  <c r="DQ8" i="69"/>
  <c r="DP8" i="69"/>
  <c r="DL8" i="69"/>
  <c r="DK8" i="69"/>
  <c r="DG8" i="69"/>
  <c r="DF8" i="69"/>
  <c r="DB8" i="69"/>
  <c r="DA8" i="69"/>
  <c r="CW8" i="69"/>
  <c r="CR8" i="69"/>
  <c r="CM8" i="69"/>
  <c r="CL8" i="69"/>
  <c r="CH8" i="69"/>
  <c r="CG8" i="69"/>
  <c r="CC8" i="69"/>
  <c r="CB8" i="69"/>
  <c r="BX8" i="69"/>
  <c r="BS8" i="69"/>
  <c r="BR8" i="69"/>
  <c r="BN8" i="69"/>
  <c r="BM8" i="69"/>
  <c r="BI8" i="69"/>
  <c r="BH8" i="69"/>
  <c r="BC8" i="69"/>
  <c r="AY8" i="69"/>
  <c r="AX8" i="69"/>
  <c r="AT8" i="69"/>
  <c r="AS8" i="69"/>
  <c r="AO8" i="69"/>
  <c r="AN8" i="69"/>
  <c r="AJ8" i="69"/>
  <c r="AI8" i="69"/>
  <c r="AE8" i="69"/>
  <c r="AD8" i="69"/>
  <c r="Z8" i="69"/>
  <c r="U8" i="69"/>
  <c r="L8" i="69"/>
  <c r="K8" i="69"/>
  <c r="J8" i="69"/>
  <c r="I8" i="69"/>
  <c r="H8" i="69"/>
  <c r="G8" i="69"/>
  <c r="GX7" i="69"/>
  <c r="GW7" i="69"/>
  <c r="GS7" i="69"/>
  <c r="GR7" i="69"/>
  <c r="GN7" i="69"/>
  <c r="GM7" i="69"/>
  <c r="GI7" i="69"/>
  <c r="GH7" i="69"/>
  <c r="GD7" i="69"/>
  <c r="GC7" i="69"/>
  <c r="FY7" i="69"/>
  <c r="FX7" i="69"/>
  <c r="FT7" i="69"/>
  <c r="FS7" i="69"/>
  <c r="FO7" i="69"/>
  <c r="FN7" i="69"/>
  <c r="FJ7" i="69"/>
  <c r="FI7" i="69"/>
  <c r="FE7" i="69"/>
  <c r="FD7" i="69"/>
  <c r="EZ7" i="69"/>
  <c r="EY7" i="69"/>
  <c r="EU7" i="69"/>
  <c r="ET7" i="69"/>
  <c r="EP7" i="69"/>
  <c r="EO7" i="69"/>
  <c r="EK7" i="69"/>
  <c r="EJ7" i="69"/>
  <c r="EF7" i="69"/>
  <c r="EA7" i="69"/>
  <c r="DZ7" i="69"/>
  <c r="DV7" i="69"/>
  <c r="DU7" i="69"/>
  <c r="DQ7" i="69"/>
  <c r="DP7" i="69"/>
  <c r="DL7" i="69"/>
  <c r="DK7" i="69"/>
  <c r="DG7" i="69"/>
  <c r="DF7" i="69"/>
  <c r="DB7" i="69"/>
  <c r="DA7" i="69"/>
  <c r="CW7" i="69"/>
  <c r="CR7" i="69"/>
  <c r="CM7" i="69"/>
  <c r="CL7" i="69"/>
  <c r="CH7" i="69"/>
  <c r="CG7" i="69"/>
  <c r="CC7" i="69"/>
  <c r="CB7" i="69"/>
  <c r="BX7" i="69"/>
  <c r="BS7" i="69"/>
  <c r="BR7" i="69"/>
  <c r="BN7" i="69"/>
  <c r="BM7" i="69"/>
  <c r="BI7" i="69"/>
  <c r="BH7" i="69"/>
  <c r="BC7" i="69"/>
  <c r="AY7" i="69"/>
  <c r="AX7" i="69"/>
  <c r="AT7" i="69"/>
  <c r="AS7" i="69"/>
  <c r="AO7" i="69"/>
  <c r="AN7" i="69"/>
  <c r="AJ7" i="69"/>
  <c r="AI7" i="69"/>
  <c r="AE7" i="69"/>
  <c r="AD7" i="69"/>
  <c r="Z7" i="69"/>
  <c r="U7" i="69"/>
  <c r="L7" i="69"/>
  <c r="K7" i="69"/>
  <c r="J7" i="69"/>
  <c r="I7" i="69"/>
  <c r="H7" i="69"/>
  <c r="G7" i="69"/>
  <c r="GX6" i="69"/>
  <c r="GW6" i="69"/>
  <c r="GS6" i="69"/>
  <c r="GR6" i="69"/>
  <c r="GN6" i="69"/>
  <c r="GM6" i="69"/>
  <c r="GI6" i="69"/>
  <c r="GH6" i="69"/>
  <c r="GD6" i="69"/>
  <c r="GC6" i="69"/>
  <c r="FY6" i="69"/>
  <c r="FX6" i="69"/>
  <c r="FT6" i="69"/>
  <c r="FS6" i="69"/>
  <c r="FO6" i="69"/>
  <c r="FN6" i="69"/>
  <c r="FJ6" i="69"/>
  <c r="FI6" i="69"/>
  <c r="FE6" i="69"/>
  <c r="FD6" i="69"/>
  <c r="EZ6" i="69"/>
  <c r="EY6" i="69"/>
  <c r="EU6" i="69"/>
  <c r="ET6" i="69"/>
  <c r="EP6" i="69"/>
  <c r="EO6" i="69"/>
  <c r="EK6" i="69"/>
  <c r="EJ6" i="69"/>
  <c r="EF6" i="69"/>
  <c r="EA6" i="69"/>
  <c r="DZ6" i="69"/>
  <c r="DV6" i="69"/>
  <c r="DU6" i="69"/>
  <c r="DQ6" i="69"/>
  <c r="DP6" i="69"/>
  <c r="DL6" i="69"/>
  <c r="DK6" i="69"/>
  <c r="DG6" i="69"/>
  <c r="DF6" i="69"/>
  <c r="DB6" i="69"/>
  <c r="DA6" i="69"/>
  <c r="CW6" i="69"/>
  <c r="CR6" i="69"/>
  <c r="CM6" i="69"/>
  <c r="CL6" i="69"/>
  <c r="CH6" i="69"/>
  <c r="CG6" i="69"/>
  <c r="CC6" i="69"/>
  <c r="CB6" i="69"/>
  <c r="BX6" i="69"/>
  <c r="BS6" i="69"/>
  <c r="BR6" i="69"/>
  <c r="BN6" i="69"/>
  <c r="BM6" i="69"/>
  <c r="BI6" i="69"/>
  <c r="BH6" i="69"/>
  <c r="BC6" i="69"/>
  <c r="AY6" i="69"/>
  <c r="AX6" i="69"/>
  <c r="AT6" i="69"/>
  <c r="AS6" i="69"/>
  <c r="AO6" i="69"/>
  <c r="AN6" i="69"/>
  <c r="AJ6" i="69"/>
  <c r="AI6" i="69"/>
  <c r="AE6" i="69"/>
  <c r="AD6" i="69"/>
  <c r="Z6" i="69"/>
  <c r="U6" i="69"/>
  <c r="L6" i="69"/>
  <c r="K6" i="69"/>
  <c r="J6" i="69"/>
  <c r="I6" i="69"/>
  <c r="H6" i="69"/>
  <c r="G6" i="69"/>
  <c r="GX5" i="69"/>
  <c r="GW5" i="69"/>
  <c r="GS5" i="69"/>
  <c r="GR5" i="69"/>
  <c r="GN5" i="69"/>
  <c r="GM5" i="69"/>
  <c r="GI5" i="69"/>
  <c r="GH5" i="69"/>
  <c r="GD5" i="69"/>
  <c r="GC5" i="69"/>
  <c r="FY5" i="69"/>
  <c r="FX5" i="69"/>
  <c r="FT5" i="69"/>
  <c r="FS5" i="69"/>
  <c r="FO5" i="69"/>
  <c r="FN5" i="69"/>
  <c r="FJ5" i="69"/>
  <c r="FI5" i="69"/>
  <c r="FE5" i="69"/>
  <c r="FD5" i="69"/>
  <c r="EZ5" i="69"/>
  <c r="EY5" i="69"/>
  <c r="EU5" i="69"/>
  <c r="ET5" i="69"/>
  <c r="EP5" i="69"/>
  <c r="EO5" i="69"/>
  <c r="EK5" i="69"/>
  <c r="EJ5" i="69"/>
  <c r="EF5" i="69"/>
  <c r="EA5" i="69"/>
  <c r="DZ5" i="69"/>
  <c r="DV5" i="69"/>
  <c r="DU5" i="69"/>
  <c r="DQ5" i="69"/>
  <c r="DP5" i="69"/>
  <c r="DL5" i="69"/>
  <c r="DK5" i="69"/>
  <c r="DG5" i="69"/>
  <c r="DF5" i="69"/>
  <c r="DB5" i="69"/>
  <c r="DA5" i="69"/>
  <c r="CW5" i="69"/>
  <c r="CR5" i="69"/>
  <c r="CM5" i="69"/>
  <c r="CL5" i="69"/>
  <c r="CH5" i="69"/>
  <c r="CG5" i="69"/>
  <c r="CC5" i="69"/>
  <c r="CB5" i="69"/>
  <c r="BX5" i="69"/>
  <c r="BS5" i="69"/>
  <c r="BR5" i="69"/>
  <c r="BN5" i="69"/>
  <c r="BM5" i="69"/>
  <c r="BI5" i="69"/>
  <c r="BH5" i="69"/>
  <c r="BC5" i="69"/>
  <c r="AY5" i="69"/>
  <c r="AX5" i="69"/>
  <c r="AT5" i="69"/>
  <c r="AS5" i="69"/>
  <c r="AO5" i="69"/>
  <c r="AN5" i="69"/>
  <c r="AJ5" i="69"/>
  <c r="AI5" i="69"/>
  <c r="AE5" i="69"/>
  <c r="AD5" i="69"/>
  <c r="Z5" i="69"/>
  <c r="U5" i="69"/>
  <c r="L5" i="69"/>
  <c r="K5" i="69"/>
  <c r="J5" i="69"/>
  <c r="I5" i="69"/>
  <c r="H5" i="69"/>
  <c r="G5" i="69"/>
  <c r="GX4" i="69"/>
  <c r="GW4" i="69"/>
  <c r="GS4" i="69"/>
  <c r="GR4" i="69"/>
  <c r="GN4" i="69"/>
  <c r="GM4" i="69"/>
  <c r="GI4" i="69"/>
  <c r="GH4" i="69"/>
  <c r="GD4" i="69"/>
  <c r="GC4" i="69"/>
  <c r="FY4" i="69"/>
  <c r="FX4" i="69"/>
  <c r="FT4" i="69"/>
  <c r="FS4" i="69"/>
  <c r="FO4" i="69"/>
  <c r="FN4" i="69"/>
  <c r="FJ4" i="69"/>
  <c r="FI4" i="69"/>
  <c r="FE4" i="69"/>
  <c r="FD4" i="69"/>
  <c r="EZ4" i="69"/>
  <c r="EY4" i="69"/>
  <c r="EU4" i="69"/>
  <c r="ET4" i="69"/>
  <c r="EP4" i="69"/>
  <c r="EO4" i="69"/>
  <c r="EK4" i="69"/>
  <c r="EJ4" i="69"/>
  <c r="EF4" i="69"/>
  <c r="EA4" i="69"/>
  <c r="DZ4" i="69"/>
  <c r="DV4" i="69"/>
  <c r="DU4" i="69"/>
  <c r="DQ4" i="69"/>
  <c r="DP4" i="69"/>
  <c r="DL4" i="69"/>
  <c r="DK4" i="69"/>
  <c r="DG4" i="69"/>
  <c r="DF4" i="69"/>
  <c r="DB4" i="69"/>
  <c r="DA4" i="69"/>
  <c r="CW4" i="69"/>
  <c r="CR4" i="69"/>
  <c r="CM4" i="69"/>
  <c r="CL4" i="69"/>
  <c r="CH4" i="69"/>
  <c r="CG4" i="69"/>
  <c r="CC4" i="69"/>
  <c r="CB4" i="69"/>
  <c r="BX4" i="69"/>
  <c r="BS4" i="69"/>
  <c r="BR4" i="69"/>
  <c r="BN4" i="69"/>
  <c r="BM4" i="69"/>
  <c r="BI4" i="69"/>
  <c r="BH4" i="69"/>
  <c r="BC4" i="69"/>
  <c r="AY4" i="69"/>
  <c r="AX4" i="69"/>
  <c r="AT4" i="69"/>
  <c r="AS4" i="69"/>
  <c r="AO4" i="69"/>
  <c r="AN4" i="69"/>
  <c r="AJ4" i="69"/>
  <c r="AI4" i="69"/>
  <c r="AE4" i="69"/>
  <c r="AD4" i="69"/>
  <c r="Z4" i="69"/>
  <c r="U4" i="69"/>
  <c r="L4" i="69"/>
  <c r="K4" i="69"/>
  <c r="J4" i="69"/>
  <c r="I4" i="69"/>
  <c r="H4" i="69"/>
  <c r="G4" i="69"/>
  <c r="GX3" i="69"/>
  <c r="GW3" i="69"/>
  <c r="GS3" i="69"/>
  <c r="GR3" i="69"/>
  <c r="GN3" i="69"/>
  <c r="GM3" i="69"/>
  <c r="GI3" i="69"/>
  <c r="GH3" i="69"/>
  <c r="GD3" i="69"/>
  <c r="GC3" i="69"/>
  <c r="FY3" i="69"/>
  <c r="FX3" i="69"/>
  <c r="FT3" i="69"/>
  <c r="FS3" i="69"/>
  <c r="FO3" i="69"/>
  <c r="FN3" i="69"/>
  <c r="FJ3" i="69"/>
  <c r="FI3" i="69"/>
  <c r="FE3" i="69"/>
  <c r="FD3" i="69"/>
  <c r="EZ3" i="69"/>
  <c r="EY3" i="69"/>
  <c r="EU3" i="69"/>
  <c r="ET3" i="69"/>
  <c r="EP3" i="69"/>
  <c r="EO3" i="69"/>
  <c r="EK3" i="69"/>
  <c r="EJ3" i="69"/>
  <c r="EF3" i="69"/>
  <c r="EA3" i="69"/>
  <c r="DZ3" i="69"/>
  <c r="DV3" i="69"/>
  <c r="DU3" i="69"/>
  <c r="DQ3" i="69"/>
  <c r="DP3" i="69"/>
  <c r="DL3" i="69"/>
  <c r="DK3" i="69"/>
  <c r="DG3" i="69"/>
  <c r="DF3" i="69"/>
  <c r="DC3" i="69"/>
  <c r="DB3" i="69"/>
  <c r="DA3" i="69"/>
  <c r="CZ3" i="69"/>
  <c r="CY3" i="69"/>
  <c r="CX3" i="69"/>
  <c r="CW3" i="69"/>
  <c r="CV3" i="69"/>
  <c r="CU3" i="69"/>
  <c r="CT3" i="69"/>
  <c r="CS3" i="69"/>
  <c r="CR3" i="69"/>
  <c r="CQ3" i="69"/>
  <c r="CP3" i="69"/>
  <c r="CO3" i="69"/>
  <c r="CN3" i="69"/>
  <c r="CM3" i="69"/>
  <c r="CL3" i="69"/>
  <c r="CK3" i="69"/>
  <c r="CJ3" i="69"/>
  <c r="CI3" i="69"/>
  <c r="CH3" i="69"/>
  <c r="CG3" i="69"/>
  <c r="CF3" i="69"/>
  <c r="CE3" i="69"/>
  <c r="CD3" i="69"/>
  <c r="CC3" i="69"/>
  <c r="CB3" i="69"/>
  <c r="CA3" i="69"/>
  <c r="BZ3" i="69"/>
  <c r="BY3" i="69"/>
  <c r="BX3" i="69"/>
  <c r="BW3" i="69"/>
  <c r="BV3" i="69"/>
  <c r="BU3" i="69"/>
  <c r="BT3" i="69"/>
  <c r="BS3" i="69"/>
  <c r="BR3" i="69"/>
  <c r="BQ3" i="69"/>
  <c r="BP3" i="69"/>
  <c r="BO3" i="69"/>
  <c r="BN3" i="69"/>
  <c r="BM3" i="69"/>
  <c r="BL3" i="69"/>
  <c r="BK3" i="69"/>
  <c r="BJ3" i="69"/>
  <c r="BI3" i="69"/>
  <c r="BH3" i="69"/>
  <c r="BG3" i="69"/>
  <c r="BF3" i="69"/>
  <c r="BE3" i="69"/>
  <c r="BD3" i="69"/>
  <c r="BC3" i="69"/>
  <c r="BB3" i="69"/>
  <c r="BA3" i="69"/>
  <c r="AZ3" i="69"/>
  <c r="AY3" i="69"/>
  <c r="AX3" i="69"/>
  <c r="AW3" i="69"/>
  <c r="AV3" i="69"/>
  <c r="AU3" i="69"/>
  <c r="AT3" i="69"/>
  <c r="AS3" i="69"/>
  <c r="AR3" i="69"/>
  <c r="AQ3" i="69"/>
  <c r="AP3" i="69"/>
  <c r="AO3" i="69"/>
  <c r="AN3" i="69"/>
  <c r="AM3" i="69"/>
  <c r="AL3" i="69"/>
  <c r="AK3" i="69"/>
  <c r="AJ3" i="69"/>
  <c r="AI3" i="69"/>
  <c r="AH3" i="69"/>
  <c r="AG3" i="69"/>
  <c r="AF3" i="69"/>
  <c r="AE3" i="69"/>
  <c r="AD3" i="69"/>
  <c r="AC3" i="69"/>
  <c r="AB3" i="69"/>
  <c r="AA3" i="69"/>
  <c r="Z3" i="69"/>
  <c r="Y3" i="69"/>
  <c r="X3" i="69"/>
  <c r="W3" i="69"/>
  <c r="V3" i="69"/>
  <c r="U3" i="69"/>
  <c r="T3" i="69"/>
  <c r="S3" i="69"/>
  <c r="R3" i="69"/>
  <c r="Q3" i="69"/>
  <c r="P3" i="69"/>
  <c r="O3" i="69"/>
  <c r="N3" i="69"/>
  <c r="M3" i="69"/>
  <c r="L3" i="69"/>
  <c r="K3" i="69"/>
  <c r="J3" i="69"/>
  <c r="I3" i="69"/>
  <c r="H3" i="69"/>
  <c r="G3" i="69"/>
  <c r="GX1" i="69"/>
  <c r="GW1" i="69"/>
  <c r="GV1" i="69"/>
  <c r="GU1" i="69"/>
  <c r="GT1" i="69"/>
  <c r="GS1" i="69"/>
  <c r="GR1" i="69"/>
  <c r="GQ1" i="69"/>
  <c r="GP1" i="69"/>
  <c r="GO1" i="69"/>
  <c r="GN1" i="69"/>
  <c r="GM1" i="69"/>
  <c r="GL1" i="69"/>
  <c r="GK1" i="69"/>
  <c r="GJ1" i="69"/>
  <c r="GI1" i="69"/>
  <c r="GH1" i="69"/>
  <c r="GG1" i="69"/>
  <c r="GF1" i="69"/>
  <c r="GE1" i="69"/>
  <c r="GD1" i="69"/>
  <c r="GC1" i="69"/>
  <c r="GB1" i="69"/>
  <c r="GA1" i="69"/>
  <c r="FZ1" i="69"/>
  <c r="FY1" i="69"/>
  <c r="FX1" i="69"/>
  <c r="FW1" i="69"/>
  <c r="FV1" i="69"/>
  <c r="FU1" i="69"/>
  <c r="FT1" i="69"/>
  <c r="FS1" i="69"/>
  <c r="FR1" i="69"/>
  <c r="FQ1" i="69"/>
  <c r="FP1" i="69"/>
  <c r="FO1" i="69"/>
  <c r="FN1" i="69"/>
  <c r="FM1" i="69"/>
  <c r="FL1" i="69"/>
  <c r="FK1" i="69"/>
  <c r="FJ1" i="69"/>
  <c r="FI1" i="69"/>
  <c r="FH1" i="69"/>
  <c r="FG1" i="69"/>
  <c r="FF1" i="69"/>
  <c r="FE1" i="69"/>
  <c r="FD1" i="69"/>
  <c r="FC1" i="69"/>
  <c r="FB1" i="69"/>
  <c r="FA1" i="69"/>
  <c r="EZ1" i="69"/>
  <c r="EY1" i="69"/>
  <c r="EX1" i="69"/>
  <c r="EW1" i="69"/>
  <c r="EV1" i="69"/>
  <c r="EU1" i="69"/>
  <c r="ET1" i="69"/>
  <c r="ES1" i="69"/>
  <c r="ER1" i="69"/>
  <c r="EQ1" i="69"/>
  <c r="EP1" i="69"/>
  <c r="EO1" i="69"/>
  <c r="EN1" i="69"/>
  <c r="EM1" i="69"/>
  <c r="EL1" i="69"/>
  <c r="EK1" i="69"/>
  <c r="EJ1" i="69"/>
  <c r="EI1" i="69"/>
  <c r="EH1" i="69"/>
  <c r="EG1" i="69"/>
  <c r="EF1" i="69"/>
  <c r="EE1" i="69"/>
  <c r="ED1" i="69"/>
  <c r="EC1" i="69"/>
  <c r="EB1" i="69"/>
  <c r="EA1" i="69"/>
  <c r="DZ1" i="69"/>
  <c r="DY1" i="69"/>
  <c r="DX1" i="69"/>
  <c r="DW1" i="69"/>
  <c r="DV1" i="69"/>
  <c r="DU1" i="69"/>
  <c r="DT1" i="69"/>
  <c r="DS1" i="69"/>
  <c r="DR1" i="69"/>
  <c r="DQ1" i="69"/>
  <c r="DP1" i="69"/>
  <c r="DO1" i="69"/>
  <c r="DN1" i="69"/>
  <c r="DM1" i="69"/>
  <c r="DL1" i="69"/>
  <c r="DK1" i="69"/>
  <c r="DJ1" i="69"/>
  <c r="DI1" i="69"/>
  <c r="DH1" i="69"/>
  <c r="DG1" i="69"/>
  <c r="DF1" i="69"/>
  <c r="DE1" i="69"/>
  <c r="DD1" i="69"/>
  <c r="DC1" i="69"/>
  <c r="DB1" i="69"/>
  <c r="DA1" i="69"/>
  <c r="CZ1" i="69"/>
  <c r="CY1" i="69"/>
  <c r="CX1" i="69"/>
  <c r="CW1" i="69"/>
  <c r="CV1" i="69"/>
  <c r="CU1" i="69"/>
  <c r="CT1" i="69"/>
  <c r="CS1" i="69"/>
  <c r="CR1" i="69"/>
  <c r="CQ1" i="69"/>
  <c r="CP1" i="69"/>
  <c r="CO1" i="69"/>
  <c r="CN1" i="69"/>
  <c r="CM1" i="69"/>
  <c r="CL1" i="69"/>
  <c r="CK1" i="69"/>
  <c r="CJ1" i="69"/>
  <c r="CI1" i="69"/>
  <c r="CH1" i="69"/>
  <c r="CG1" i="69"/>
  <c r="CF1" i="69"/>
  <c r="CE1" i="69"/>
  <c r="CD1" i="69"/>
  <c r="CC1" i="69"/>
  <c r="CB1" i="69"/>
  <c r="CA1" i="69"/>
  <c r="BZ1" i="69"/>
  <c r="BY1" i="69"/>
  <c r="BX1" i="69"/>
  <c r="BW1" i="69"/>
  <c r="BV1" i="69"/>
  <c r="BU1" i="69"/>
  <c r="BT1" i="69"/>
  <c r="BS1" i="69"/>
  <c r="BR1" i="69"/>
  <c r="BQ1" i="69"/>
  <c r="BP1" i="69"/>
  <c r="BO1" i="69"/>
  <c r="BN1" i="69"/>
  <c r="BM1" i="69"/>
  <c r="BL1" i="69"/>
  <c r="BK1" i="69"/>
  <c r="BJ1" i="69"/>
  <c r="BI1" i="69"/>
  <c r="BH1" i="69"/>
  <c r="BG1" i="69"/>
  <c r="BF1" i="69"/>
  <c r="BE1" i="69"/>
  <c r="BD1" i="69"/>
  <c r="BC1" i="69"/>
  <c r="BB1" i="69"/>
  <c r="BA1" i="69"/>
  <c r="AZ1" i="69"/>
  <c r="AY1" i="69"/>
  <c r="AX1" i="69"/>
  <c r="AW1" i="69"/>
  <c r="AV1" i="69"/>
  <c r="AU1" i="69"/>
  <c r="AT1" i="69"/>
  <c r="AS1" i="69"/>
  <c r="AR1" i="69"/>
  <c r="AQ1" i="69"/>
  <c r="AP1" i="69"/>
  <c r="AO1" i="69"/>
  <c r="AN1" i="69"/>
  <c r="AM1" i="69"/>
  <c r="AL1" i="69"/>
  <c r="AK1" i="69"/>
  <c r="AJ1" i="69"/>
  <c r="AI1" i="69"/>
  <c r="AH1" i="69"/>
  <c r="AG1" i="69"/>
  <c r="AF1" i="69"/>
  <c r="AE1" i="69"/>
  <c r="AD1" i="69"/>
  <c r="AC1" i="69"/>
  <c r="AB1" i="69"/>
  <c r="AA1" i="69"/>
  <c r="Z1" i="69"/>
  <c r="Y1" i="69"/>
  <c r="X1" i="69"/>
  <c r="W1" i="69"/>
  <c r="V1" i="69"/>
  <c r="U1" i="69"/>
  <c r="T1" i="69"/>
  <c r="S1" i="69"/>
  <c r="R1" i="69"/>
  <c r="Q1" i="69"/>
  <c r="P1" i="69"/>
  <c r="O1" i="69"/>
  <c r="N1" i="69"/>
  <c r="M1" i="69"/>
  <c r="L1" i="69"/>
  <c r="K1" i="69"/>
  <c r="J1" i="69"/>
  <c r="I1" i="69"/>
  <c r="H1" i="69"/>
  <c r="G1" i="69"/>
  <c r="K435" i="68"/>
  <c r="H435" i="68"/>
  <c r="G435" i="68"/>
  <c r="F435" i="68"/>
  <c r="AB434" i="68"/>
  <c r="K434" i="68"/>
  <c r="G434" i="68"/>
  <c r="F434" i="68"/>
  <c r="AB433" i="68"/>
  <c r="K433" i="68"/>
  <c r="G433" i="68"/>
  <c r="F433" i="68"/>
  <c r="K432" i="68"/>
  <c r="K431" i="68"/>
  <c r="K430" i="68"/>
  <c r="K429" i="68"/>
  <c r="K428" i="68"/>
  <c r="K427" i="68"/>
  <c r="K426" i="68"/>
  <c r="AI417" i="68"/>
  <c r="AH417" i="68"/>
  <c r="AG417" i="68"/>
  <c r="AF417" i="68"/>
  <c r="AA417" i="68"/>
  <c r="Z417" i="68"/>
  <c r="Y417" i="68"/>
  <c r="X417" i="68"/>
  <c r="E417" i="68"/>
  <c r="BJ416" i="68"/>
  <c r="BI416" i="68"/>
  <c r="BH416" i="68"/>
  <c r="BG416" i="68"/>
  <c r="BF416" i="68"/>
  <c r="BE416" i="68"/>
  <c r="BD416" i="68"/>
  <c r="BC416" i="68"/>
  <c r="BB416" i="68"/>
  <c r="BA416" i="68"/>
  <c r="AZ416" i="68"/>
  <c r="AY416" i="68"/>
  <c r="AX416" i="68"/>
  <c r="AW416" i="68"/>
  <c r="AV416" i="68"/>
  <c r="AU416" i="68"/>
  <c r="AT416" i="68"/>
  <c r="AS416" i="68"/>
  <c r="AR416" i="68"/>
  <c r="AQ416" i="68"/>
  <c r="AP416" i="68"/>
  <c r="AO416" i="68"/>
  <c r="AN416" i="68"/>
  <c r="AM416" i="68"/>
  <c r="AL416" i="68"/>
  <c r="AK416" i="68"/>
  <c r="AJ416" i="68"/>
  <c r="AI416" i="68"/>
  <c r="AH416" i="68"/>
  <c r="AG416" i="68"/>
  <c r="AF416" i="68"/>
  <c r="AE416" i="68"/>
  <c r="AD416" i="68"/>
  <c r="AC416" i="68"/>
  <c r="AB416" i="68"/>
  <c r="AA416" i="68"/>
  <c r="Z416" i="68"/>
  <c r="Y416" i="68"/>
  <c r="X416" i="68"/>
  <c r="V416" i="68"/>
  <c r="T416" i="68"/>
  <c r="R416" i="68"/>
  <c r="P416" i="68"/>
  <c r="N416" i="68"/>
  <c r="L416" i="68"/>
  <c r="G416" i="68"/>
  <c r="F416" i="68"/>
  <c r="E416" i="68"/>
  <c r="D416" i="68"/>
  <c r="P415" i="68"/>
  <c r="I415" i="68"/>
  <c r="H415" i="68"/>
  <c r="G415" i="68"/>
  <c r="F415" i="68"/>
  <c r="E415" i="68"/>
  <c r="D415" i="68"/>
  <c r="I414" i="68"/>
  <c r="H414" i="68"/>
  <c r="G414" i="68"/>
  <c r="F414" i="68"/>
  <c r="E414" i="68"/>
  <c r="D414" i="68"/>
  <c r="I413" i="68"/>
  <c r="H413" i="68"/>
  <c r="G413" i="68"/>
  <c r="F413" i="68"/>
  <c r="E413" i="68"/>
  <c r="D413" i="68"/>
  <c r="I412" i="68"/>
  <c r="G412" i="68"/>
  <c r="F412" i="68"/>
  <c r="E412" i="68"/>
  <c r="D412" i="68"/>
  <c r="I411" i="68"/>
  <c r="G411" i="68"/>
  <c r="F411" i="68"/>
  <c r="E411" i="68"/>
  <c r="D411" i="68"/>
  <c r="BJ408" i="68"/>
  <c r="BI408" i="68"/>
  <c r="BH408" i="68"/>
  <c r="BG408" i="68"/>
  <c r="BF408" i="68"/>
  <c r="BE408" i="68"/>
  <c r="BD408" i="68"/>
  <c r="BC408" i="68"/>
  <c r="BB408" i="68"/>
  <c r="BA408" i="68"/>
  <c r="AZ408" i="68"/>
  <c r="AY408" i="68"/>
  <c r="AX408" i="68"/>
  <c r="AW408" i="68"/>
  <c r="AV408" i="68"/>
  <c r="AU408" i="68"/>
  <c r="AT408" i="68"/>
  <c r="AS408" i="68"/>
  <c r="AR408" i="68"/>
  <c r="AQ408" i="68"/>
  <c r="AP408" i="68"/>
  <c r="AO408" i="68"/>
  <c r="AN408" i="68"/>
  <c r="AM408" i="68"/>
  <c r="AL408" i="68"/>
  <c r="AK408" i="68"/>
  <c r="AJ408" i="68"/>
  <c r="AI408" i="68"/>
  <c r="AH408" i="68"/>
  <c r="AG408" i="68"/>
  <c r="AF408" i="68"/>
  <c r="AE408" i="68"/>
  <c r="AD408" i="68"/>
  <c r="AC408" i="68"/>
  <c r="AB408" i="68"/>
  <c r="AA408" i="68"/>
  <c r="Z408" i="68"/>
  <c r="Y408" i="68"/>
  <c r="X408" i="68"/>
  <c r="W408" i="68"/>
  <c r="V408" i="68"/>
  <c r="U408" i="68"/>
  <c r="T408" i="68"/>
  <c r="S408" i="68"/>
  <c r="R408" i="68"/>
  <c r="Q408" i="68"/>
  <c r="P408" i="68"/>
  <c r="O408" i="68"/>
  <c r="N408" i="68"/>
  <c r="M408" i="68"/>
  <c r="L408" i="68"/>
  <c r="K408" i="68"/>
  <c r="J408" i="68"/>
  <c r="I408" i="68"/>
  <c r="H408" i="68"/>
  <c r="AI406" i="68"/>
  <c r="AG405" i="68"/>
  <c r="AF405" i="68"/>
  <c r="AE405" i="68"/>
  <c r="AD405" i="68"/>
  <c r="AC405" i="68"/>
  <c r="AB405" i="68"/>
  <c r="AA405" i="68"/>
  <c r="Z405" i="68"/>
  <c r="Y405" i="68"/>
  <c r="X405" i="68"/>
  <c r="W405" i="68"/>
  <c r="V405" i="68"/>
  <c r="U405" i="68"/>
  <c r="T405" i="68"/>
  <c r="S405" i="68"/>
  <c r="R405" i="68"/>
  <c r="Q405" i="68"/>
  <c r="P405" i="68"/>
  <c r="O405" i="68"/>
  <c r="N405" i="68"/>
  <c r="M405" i="68"/>
  <c r="L405" i="68"/>
  <c r="K405" i="68"/>
  <c r="J405" i="68"/>
  <c r="BJ404" i="68"/>
  <c r="BI404" i="68"/>
  <c r="BH404" i="68"/>
  <c r="BG404" i="68"/>
  <c r="BF404" i="68"/>
  <c r="BE404" i="68"/>
  <c r="BD404" i="68"/>
  <c r="BC404" i="68"/>
  <c r="BB404" i="68"/>
  <c r="BA404" i="68"/>
  <c r="AZ404" i="68"/>
  <c r="AY404" i="68"/>
  <c r="AX404" i="68"/>
  <c r="AW404" i="68"/>
  <c r="AV404" i="68"/>
  <c r="AU404" i="68"/>
  <c r="AT404" i="68"/>
  <c r="AS404" i="68"/>
  <c r="AR404" i="68"/>
  <c r="AQ404" i="68"/>
  <c r="AP404" i="68"/>
  <c r="AO404" i="68"/>
  <c r="AN404" i="68"/>
  <c r="AM404" i="68"/>
  <c r="AL404" i="68"/>
  <c r="AK404" i="68"/>
  <c r="AJ404" i="68"/>
  <c r="AI404" i="68"/>
  <c r="AH404" i="68"/>
  <c r="Y404" i="68"/>
  <c r="BJ403" i="68"/>
  <c r="BI403" i="68"/>
  <c r="BH403" i="68"/>
  <c r="BG403" i="68"/>
  <c r="BF403" i="68"/>
  <c r="BE403" i="68"/>
  <c r="BD403" i="68"/>
  <c r="BC403" i="68"/>
  <c r="BB403" i="68"/>
  <c r="BA403" i="68"/>
  <c r="AZ403" i="68"/>
  <c r="AY403" i="68"/>
  <c r="AX403" i="68"/>
  <c r="AW403" i="68"/>
  <c r="AV403" i="68"/>
  <c r="AU403" i="68"/>
  <c r="AT403" i="68"/>
  <c r="AS403" i="68"/>
  <c r="AR403" i="68"/>
  <c r="AQ403" i="68"/>
  <c r="AP403" i="68"/>
  <c r="AO403" i="68"/>
  <c r="AN403" i="68"/>
  <c r="AM403" i="68"/>
  <c r="AL403" i="68"/>
  <c r="AK403" i="68"/>
  <c r="AJ403" i="68"/>
  <c r="AI403" i="68"/>
  <c r="AH403" i="68"/>
  <c r="AG403" i="68"/>
  <c r="AF403" i="68"/>
  <c r="AE403" i="68"/>
  <c r="AD403" i="68"/>
  <c r="AC403" i="68"/>
  <c r="AB403" i="68"/>
  <c r="AA403" i="68"/>
  <c r="Z403" i="68"/>
  <c r="Y403" i="68"/>
  <c r="X403" i="68"/>
  <c r="W403" i="68"/>
  <c r="V403" i="68"/>
  <c r="U403" i="68"/>
  <c r="T403" i="68"/>
  <c r="S403" i="68"/>
  <c r="R403" i="68"/>
  <c r="Q403" i="68"/>
  <c r="P403" i="68"/>
  <c r="O403" i="68"/>
  <c r="N403" i="68"/>
  <c r="M403" i="68"/>
  <c r="L403" i="68"/>
  <c r="K403" i="68"/>
  <c r="J403" i="68"/>
  <c r="I403" i="68"/>
  <c r="H403" i="68"/>
  <c r="G403" i="68"/>
  <c r="D417" i="68" s="1"/>
  <c r="H402" i="68"/>
  <c r="G402" i="68"/>
  <c r="I401" i="68"/>
  <c r="H401" i="68"/>
  <c r="G401" i="68"/>
  <c r="I400" i="68"/>
  <c r="H400" i="68"/>
  <c r="G400" i="68"/>
  <c r="I399" i="68"/>
  <c r="H399" i="68"/>
  <c r="G399" i="68"/>
  <c r="I398" i="68"/>
  <c r="H398" i="68"/>
  <c r="G398" i="68"/>
  <c r="I397" i="68"/>
  <c r="H397" i="68"/>
  <c r="G397" i="68"/>
  <c r="I396" i="68"/>
  <c r="H396" i="68"/>
  <c r="G396" i="68"/>
  <c r="I395" i="68"/>
  <c r="H395" i="68"/>
  <c r="G395" i="68"/>
  <c r="I394" i="68"/>
  <c r="H394" i="68"/>
  <c r="G394" i="68"/>
  <c r="I393" i="68"/>
  <c r="H393" i="68"/>
  <c r="G393" i="68"/>
  <c r="H392" i="68"/>
  <c r="G392" i="68"/>
  <c r="H391" i="68"/>
  <c r="G391" i="68"/>
  <c r="H390" i="68"/>
  <c r="G390" i="68"/>
  <c r="H389" i="68"/>
  <c r="G389" i="68"/>
  <c r="H388" i="68"/>
  <c r="G388" i="68"/>
  <c r="H387" i="68"/>
  <c r="G387" i="68"/>
  <c r="H386" i="68"/>
  <c r="G386" i="68"/>
  <c r="H385" i="68"/>
  <c r="G385" i="68"/>
  <c r="H384" i="68"/>
  <c r="G384" i="68"/>
  <c r="H383" i="68"/>
  <c r="G383" i="68"/>
  <c r="H382" i="68"/>
  <c r="G382" i="68"/>
  <c r="H381" i="68"/>
  <c r="G381" i="68"/>
  <c r="H380" i="68"/>
  <c r="G380" i="68"/>
  <c r="H379" i="68"/>
  <c r="G379" i="68"/>
  <c r="H378" i="68"/>
  <c r="G378" i="68"/>
  <c r="H377" i="68"/>
  <c r="G377" i="68"/>
  <c r="H376" i="68"/>
  <c r="G376" i="68"/>
  <c r="H375" i="68"/>
  <c r="G375" i="68"/>
  <c r="H374" i="68"/>
  <c r="G374" i="68"/>
  <c r="H373" i="68"/>
  <c r="G373" i="68"/>
  <c r="H372" i="68"/>
  <c r="G372" i="68"/>
  <c r="H371" i="68"/>
  <c r="G371" i="68"/>
  <c r="H370" i="68"/>
  <c r="G370" i="68"/>
  <c r="H369" i="68"/>
  <c r="G369" i="68"/>
  <c r="H368" i="68"/>
  <c r="G368" i="68"/>
  <c r="H367" i="68"/>
  <c r="G367" i="68"/>
  <c r="H366" i="68"/>
  <c r="G366" i="68"/>
  <c r="H365" i="68"/>
  <c r="G365" i="68"/>
  <c r="H364" i="68"/>
  <c r="G364" i="68"/>
  <c r="H363" i="68"/>
  <c r="G363" i="68"/>
  <c r="H362" i="68"/>
  <c r="G362" i="68"/>
  <c r="H361" i="68"/>
  <c r="G361" i="68"/>
  <c r="H360" i="68"/>
  <c r="G360" i="68"/>
  <c r="I359" i="68"/>
  <c r="H359" i="68"/>
  <c r="G359" i="68"/>
  <c r="I358" i="68"/>
  <c r="H358" i="68"/>
  <c r="G358" i="68"/>
  <c r="I357" i="68"/>
  <c r="H357" i="68"/>
  <c r="G357" i="68"/>
  <c r="I356" i="68"/>
  <c r="H356" i="68"/>
  <c r="G356" i="68"/>
  <c r="I355" i="68"/>
  <c r="H355" i="68"/>
  <c r="G355" i="68"/>
  <c r="I354" i="68"/>
  <c r="H354" i="68"/>
  <c r="G354" i="68"/>
  <c r="I353" i="68"/>
  <c r="H353" i="68"/>
  <c r="G353" i="68"/>
  <c r="I352" i="68"/>
  <c r="H352" i="68"/>
  <c r="G352" i="68"/>
  <c r="I351" i="68"/>
  <c r="H351" i="68"/>
  <c r="G351" i="68"/>
  <c r="H350" i="68"/>
  <c r="G350" i="68"/>
  <c r="H349" i="68"/>
  <c r="G349" i="68"/>
  <c r="H348" i="68"/>
  <c r="G348" i="68"/>
  <c r="H347" i="68"/>
  <c r="G347" i="68"/>
  <c r="H346" i="68"/>
  <c r="G346" i="68"/>
  <c r="H345" i="68"/>
  <c r="G345" i="68"/>
  <c r="H344" i="68"/>
  <c r="G344" i="68"/>
  <c r="H343" i="68"/>
  <c r="G343" i="68"/>
  <c r="H342" i="68"/>
  <c r="G342" i="68"/>
  <c r="I341" i="68"/>
  <c r="H341" i="68"/>
  <c r="G341" i="68"/>
  <c r="I340" i="68"/>
  <c r="H340" i="68"/>
  <c r="G340" i="68"/>
  <c r="I339" i="68"/>
  <c r="H339" i="68"/>
  <c r="G339" i="68"/>
  <c r="H338" i="68"/>
  <c r="G338" i="68"/>
  <c r="H337" i="68"/>
  <c r="G337" i="68"/>
  <c r="H336" i="68"/>
  <c r="G336" i="68"/>
  <c r="H335" i="68"/>
  <c r="G335" i="68"/>
  <c r="H334" i="68"/>
  <c r="G334" i="68"/>
  <c r="H333" i="68"/>
  <c r="G333" i="68"/>
  <c r="H332" i="68"/>
  <c r="G332" i="68"/>
  <c r="H331" i="68"/>
  <c r="G331" i="68"/>
  <c r="H330" i="68"/>
  <c r="G330" i="68"/>
  <c r="I329" i="68"/>
  <c r="H329" i="68"/>
  <c r="G329" i="68"/>
  <c r="I328" i="68"/>
  <c r="H328" i="68"/>
  <c r="G328" i="68"/>
  <c r="I327" i="68"/>
  <c r="H327" i="68"/>
  <c r="G327" i="68"/>
  <c r="I326" i="68"/>
  <c r="H326" i="68"/>
  <c r="G326" i="68"/>
  <c r="I325" i="68"/>
  <c r="H325" i="68"/>
  <c r="G325" i="68"/>
  <c r="I324" i="68"/>
  <c r="H324" i="68"/>
  <c r="G324" i="68"/>
  <c r="H323" i="68"/>
  <c r="G323" i="68"/>
  <c r="H322" i="68"/>
  <c r="G322" i="68"/>
  <c r="H321" i="68"/>
  <c r="G321" i="68"/>
  <c r="H320" i="68"/>
  <c r="G320" i="68"/>
  <c r="H319" i="68"/>
  <c r="G319" i="68"/>
  <c r="H318" i="68"/>
  <c r="G318" i="68"/>
  <c r="H317" i="68"/>
  <c r="G317" i="68"/>
  <c r="H316" i="68"/>
  <c r="G316" i="68"/>
  <c r="H315" i="68"/>
  <c r="G315" i="68"/>
  <c r="I314" i="68"/>
  <c r="H314" i="68"/>
  <c r="G314" i="68"/>
  <c r="I313" i="68"/>
  <c r="H313" i="68"/>
  <c r="G313" i="68"/>
  <c r="I312" i="68"/>
  <c r="H312" i="68"/>
  <c r="G312" i="68"/>
  <c r="I311" i="68"/>
  <c r="H311" i="68"/>
  <c r="G311" i="68"/>
  <c r="I310" i="68"/>
  <c r="H310" i="68"/>
  <c r="G310" i="68"/>
  <c r="I309" i="68"/>
  <c r="H309" i="68"/>
  <c r="G309" i="68"/>
  <c r="I308" i="68"/>
  <c r="H308" i="68"/>
  <c r="G308" i="68"/>
  <c r="I307" i="68"/>
  <c r="H307" i="68"/>
  <c r="G307" i="68"/>
  <c r="I306" i="68"/>
  <c r="H306" i="68"/>
  <c r="G306" i="68"/>
  <c r="I305" i="68"/>
  <c r="H305" i="68"/>
  <c r="G305" i="68"/>
  <c r="I304" i="68"/>
  <c r="H304" i="68"/>
  <c r="G304" i="68"/>
  <c r="I303" i="68"/>
  <c r="H303" i="68"/>
  <c r="G303" i="68"/>
  <c r="I302" i="68"/>
  <c r="H302" i="68"/>
  <c r="G302" i="68"/>
  <c r="I301" i="68"/>
  <c r="H301" i="68"/>
  <c r="G301" i="68"/>
  <c r="I300" i="68"/>
  <c r="H300" i="68"/>
  <c r="G300" i="68"/>
  <c r="I299" i="68"/>
  <c r="H299" i="68"/>
  <c r="G299" i="68"/>
  <c r="I298" i="68"/>
  <c r="H298" i="68"/>
  <c r="G298" i="68"/>
  <c r="I297" i="68"/>
  <c r="H297" i="68"/>
  <c r="G297" i="68"/>
  <c r="I296" i="68"/>
  <c r="H296" i="68"/>
  <c r="G296" i="68"/>
  <c r="I295" i="68"/>
  <c r="H295" i="68"/>
  <c r="G295" i="68"/>
  <c r="I294" i="68"/>
  <c r="H294" i="68"/>
  <c r="G294" i="68"/>
  <c r="I293" i="68"/>
  <c r="H293" i="68"/>
  <c r="G293" i="68"/>
  <c r="I292" i="68"/>
  <c r="H292" i="68"/>
  <c r="G292" i="68"/>
  <c r="I291" i="68"/>
  <c r="H291" i="68"/>
  <c r="G291" i="68"/>
  <c r="H290" i="68"/>
  <c r="G290" i="68"/>
  <c r="H289" i="68"/>
  <c r="G289" i="68"/>
  <c r="H288" i="68"/>
  <c r="G288" i="68"/>
  <c r="I287" i="68"/>
  <c r="H287" i="68"/>
  <c r="G287" i="68"/>
  <c r="I286" i="68"/>
  <c r="H286" i="68"/>
  <c r="G286" i="68"/>
  <c r="I285" i="68"/>
  <c r="H285" i="68"/>
  <c r="G285" i="68"/>
  <c r="I284" i="68"/>
  <c r="H284" i="68"/>
  <c r="G284" i="68"/>
  <c r="I283" i="68"/>
  <c r="H283" i="68"/>
  <c r="G283" i="68"/>
  <c r="I282" i="68"/>
  <c r="H282" i="68"/>
  <c r="G282" i="68"/>
  <c r="I281" i="68"/>
  <c r="H281" i="68"/>
  <c r="G281" i="68"/>
  <c r="I280" i="68"/>
  <c r="H280" i="68"/>
  <c r="G280" i="68"/>
  <c r="I279" i="68"/>
  <c r="H279" i="68"/>
  <c r="G279" i="68"/>
  <c r="I278" i="68"/>
  <c r="H278" i="68"/>
  <c r="G278" i="68"/>
  <c r="I277" i="68"/>
  <c r="H277" i="68"/>
  <c r="G277" i="68"/>
  <c r="I276" i="68"/>
  <c r="H276" i="68"/>
  <c r="G276" i="68"/>
  <c r="I275" i="68"/>
  <c r="H275" i="68"/>
  <c r="G275" i="68"/>
  <c r="I274" i="68"/>
  <c r="H274" i="68"/>
  <c r="G274" i="68"/>
  <c r="I273" i="68"/>
  <c r="H273" i="68"/>
  <c r="G273" i="68"/>
  <c r="I272" i="68"/>
  <c r="H272" i="68"/>
  <c r="G272" i="68"/>
  <c r="I271" i="68"/>
  <c r="H271" i="68"/>
  <c r="G271" i="68"/>
  <c r="I270" i="68"/>
  <c r="H270" i="68"/>
  <c r="G270" i="68"/>
  <c r="I269" i="68"/>
  <c r="H269" i="68"/>
  <c r="G269" i="68"/>
  <c r="I268" i="68"/>
  <c r="H268" i="68"/>
  <c r="G268" i="68"/>
  <c r="I267" i="68"/>
  <c r="H267" i="68"/>
  <c r="G267" i="68"/>
  <c r="I266" i="68"/>
  <c r="H266" i="68"/>
  <c r="G266" i="68"/>
  <c r="I265" i="68"/>
  <c r="H265" i="68"/>
  <c r="G265" i="68"/>
  <c r="I264" i="68"/>
  <c r="H264" i="68"/>
  <c r="G264" i="68"/>
  <c r="I263" i="68"/>
  <c r="H263" i="68"/>
  <c r="G263" i="68"/>
  <c r="I262" i="68"/>
  <c r="H262" i="68"/>
  <c r="G262" i="68"/>
  <c r="I261" i="68"/>
  <c r="H261" i="68"/>
  <c r="G261" i="68"/>
  <c r="I260" i="68"/>
  <c r="H260" i="68"/>
  <c r="G260" i="68"/>
  <c r="I259" i="68"/>
  <c r="H259" i="68"/>
  <c r="G259" i="68"/>
  <c r="I258" i="68"/>
  <c r="H258" i="68"/>
  <c r="G258" i="68"/>
  <c r="I257" i="68"/>
  <c r="H257" i="68"/>
  <c r="G257" i="68"/>
  <c r="I256" i="68"/>
  <c r="H256" i="68"/>
  <c r="G256" i="68"/>
  <c r="I255" i="68"/>
  <c r="H255" i="68"/>
  <c r="G255" i="68"/>
  <c r="I254" i="68"/>
  <c r="H254" i="68"/>
  <c r="G254" i="68"/>
  <c r="I253" i="68"/>
  <c r="H253" i="68"/>
  <c r="G253" i="68"/>
  <c r="I252" i="68"/>
  <c r="H252" i="68"/>
  <c r="G252" i="68"/>
  <c r="I251" i="68"/>
  <c r="H251" i="68"/>
  <c r="G251" i="68"/>
  <c r="I250" i="68"/>
  <c r="H250" i="68"/>
  <c r="G250" i="68"/>
  <c r="I249" i="68"/>
  <c r="H249" i="68"/>
  <c r="G249" i="68"/>
  <c r="I248" i="68"/>
  <c r="H248" i="68"/>
  <c r="G248" i="68"/>
  <c r="I247" i="68"/>
  <c r="H247" i="68"/>
  <c r="G247" i="68"/>
  <c r="I246" i="68"/>
  <c r="H246" i="68"/>
  <c r="G246" i="68"/>
  <c r="I245" i="68"/>
  <c r="H245" i="68"/>
  <c r="G245" i="68"/>
  <c r="I244" i="68"/>
  <c r="H244" i="68"/>
  <c r="G244" i="68"/>
  <c r="I243" i="68"/>
  <c r="H243" i="68"/>
  <c r="G243" i="68"/>
  <c r="I242" i="68"/>
  <c r="H242" i="68"/>
  <c r="G242" i="68"/>
  <c r="I241" i="68"/>
  <c r="H241" i="68"/>
  <c r="G241" i="68"/>
  <c r="I240" i="68"/>
  <c r="H240" i="68"/>
  <c r="G240" i="68"/>
  <c r="I239" i="68"/>
  <c r="H239" i="68"/>
  <c r="G239" i="68"/>
  <c r="I238" i="68"/>
  <c r="H238" i="68"/>
  <c r="G238" i="68"/>
  <c r="I237" i="68"/>
  <c r="H237" i="68"/>
  <c r="G237" i="68"/>
  <c r="I236" i="68"/>
  <c r="H236" i="68"/>
  <c r="G236" i="68"/>
  <c r="I235" i="68"/>
  <c r="H235" i="68"/>
  <c r="G235" i="68"/>
  <c r="I234" i="68"/>
  <c r="H234" i="68"/>
  <c r="G234" i="68"/>
  <c r="I233" i="68"/>
  <c r="H233" i="68"/>
  <c r="G233" i="68"/>
  <c r="I232" i="68"/>
  <c r="H232" i="68"/>
  <c r="G232" i="68"/>
  <c r="I231" i="68"/>
  <c r="H231" i="68"/>
  <c r="G231" i="68"/>
  <c r="I230" i="68"/>
  <c r="H230" i="68"/>
  <c r="G230" i="68"/>
  <c r="I229" i="68"/>
  <c r="H229" i="68"/>
  <c r="G229" i="68"/>
  <c r="I228" i="68"/>
  <c r="H228" i="68"/>
  <c r="G228" i="68"/>
  <c r="I227" i="68"/>
  <c r="H227" i="68"/>
  <c r="G227" i="68"/>
  <c r="I226" i="68"/>
  <c r="H226" i="68"/>
  <c r="G226" i="68"/>
  <c r="I225" i="68"/>
  <c r="H225" i="68"/>
  <c r="G225" i="68"/>
  <c r="I224" i="68"/>
  <c r="H224" i="68"/>
  <c r="G224" i="68"/>
  <c r="I223" i="68"/>
  <c r="H223" i="68"/>
  <c r="G223" i="68"/>
  <c r="I222" i="68"/>
  <c r="H222" i="68"/>
  <c r="G222" i="68"/>
  <c r="I221" i="68"/>
  <c r="H221" i="68"/>
  <c r="G221" i="68"/>
  <c r="I220" i="68"/>
  <c r="H220" i="68"/>
  <c r="G220" i="68"/>
  <c r="I219" i="68"/>
  <c r="H219" i="68"/>
  <c r="G219" i="68"/>
  <c r="I218" i="68"/>
  <c r="H218" i="68"/>
  <c r="G218" i="68"/>
  <c r="I217" i="68"/>
  <c r="H217" i="68"/>
  <c r="G217" i="68"/>
  <c r="I216" i="68"/>
  <c r="H216" i="68"/>
  <c r="G216" i="68"/>
  <c r="I215" i="68"/>
  <c r="H215" i="68"/>
  <c r="G215" i="68"/>
  <c r="I214" i="68"/>
  <c r="H214" i="68"/>
  <c r="G214" i="68"/>
  <c r="I213" i="68"/>
  <c r="H213" i="68"/>
  <c r="G213" i="68"/>
  <c r="I212" i="68"/>
  <c r="H212" i="68"/>
  <c r="G212" i="68"/>
  <c r="I211" i="68"/>
  <c r="H211" i="68"/>
  <c r="G211" i="68"/>
  <c r="I210" i="68"/>
  <c r="H210" i="68"/>
  <c r="G210" i="68"/>
  <c r="I209" i="68"/>
  <c r="H209" i="68"/>
  <c r="G209" i="68"/>
  <c r="I208" i="68"/>
  <c r="H208" i="68"/>
  <c r="G208" i="68"/>
  <c r="I207" i="68"/>
  <c r="H207" i="68"/>
  <c r="G207" i="68"/>
  <c r="H206" i="68"/>
  <c r="G206" i="68"/>
  <c r="H205" i="68"/>
  <c r="G205" i="68"/>
  <c r="H204" i="68"/>
  <c r="G204" i="68"/>
  <c r="I203" i="68"/>
  <c r="H203" i="68"/>
  <c r="G203" i="68"/>
  <c r="I202" i="68"/>
  <c r="H202" i="68"/>
  <c r="G202" i="68"/>
  <c r="I201" i="68"/>
  <c r="H201" i="68"/>
  <c r="G201" i="68"/>
  <c r="I200" i="68"/>
  <c r="H200" i="68"/>
  <c r="G200" i="68"/>
  <c r="I199" i="68"/>
  <c r="H199" i="68"/>
  <c r="G199" i="68"/>
  <c r="I198" i="68"/>
  <c r="H198" i="68"/>
  <c r="G198" i="68"/>
  <c r="I197" i="68"/>
  <c r="H197" i="68"/>
  <c r="G197" i="68"/>
  <c r="I196" i="68"/>
  <c r="H196" i="68"/>
  <c r="G196" i="68"/>
  <c r="I195" i="68"/>
  <c r="H195" i="68"/>
  <c r="G195" i="68"/>
  <c r="I194" i="68"/>
  <c r="H194" i="68"/>
  <c r="G194" i="68"/>
  <c r="I193" i="68"/>
  <c r="H193" i="68"/>
  <c r="G193" i="68"/>
  <c r="I192" i="68"/>
  <c r="H192" i="68"/>
  <c r="G192" i="68"/>
  <c r="I191" i="68"/>
  <c r="H191" i="68"/>
  <c r="G191" i="68"/>
  <c r="I190" i="68"/>
  <c r="H190" i="68"/>
  <c r="G190" i="68"/>
  <c r="I189" i="68"/>
  <c r="H189" i="68"/>
  <c r="G189" i="68"/>
  <c r="I188" i="68"/>
  <c r="H188" i="68"/>
  <c r="G188" i="68"/>
  <c r="I187" i="68"/>
  <c r="H187" i="68"/>
  <c r="G187" i="68"/>
  <c r="I186" i="68"/>
  <c r="H186" i="68"/>
  <c r="G186" i="68"/>
  <c r="H185" i="68"/>
  <c r="G185" i="68"/>
  <c r="H184" i="68"/>
  <c r="G184" i="68"/>
  <c r="H183" i="68"/>
  <c r="G183" i="68"/>
  <c r="H182" i="68"/>
  <c r="G182" i="68"/>
  <c r="H181" i="68"/>
  <c r="G181" i="68"/>
  <c r="H180" i="68"/>
  <c r="G180" i="68"/>
  <c r="I179" i="68"/>
  <c r="H179" i="68"/>
  <c r="G179" i="68"/>
  <c r="I178" i="68"/>
  <c r="H178" i="68"/>
  <c r="G178" i="68"/>
  <c r="I177" i="68"/>
  <c r="H177" i="68"/>
  <c r="G177" i="68"/>
  <c r="I176" i="68"/>
  <c r="H176" i="68"/>
  <c r="G176" i="68"/>
  <c r="I175" i="68"/>
  <c r="H175" i="68"/>
  <c r="G175" i="68"/>
  <c r="I174" i="68"/>
  <c r="H174" i="68"/>
  <c r="G174" i="68"/>
  <c r="I173" i="68"/>
  <c r="H173" i="68"/>
  <c r="G173" i="68"/>
  <c r="I172" i="68"/>
  <c r="H172" i="68"/>
  <c r="G172" i="68"/>
  <c r="I171" i="68"/>
  <c r="H171" i="68"/>
  <c r="G171" i="68"/>
  <c r="I170" i="68"/>
  <c r="H170" i="68"/>
  <c r="G170" i="68"/>
  <c r="I169" i="68"/>
  <c r="H169" i="68"/>
  <c r="G169" i="68"/>
  <c r="I168" i="68"/>
  <c r="H168" i="68"/>
  <c r="G168" i="68"/>
  <c r="I167" i="68"/>
  <c r="H167" i="68"/>
  <c r="G167" i="68"/>
  <c r="I166" i="68"/>
  <c r="H166" i="68"/>
  <c r="G166" i="68"/>
  <c r="I165" i="68"/>
  <c r="H165" i="68"/>
  <c r="G165" i="68"/>
  <c r="I164" i="68"/>
  <c r="H164" i="68"/>
  <c r="G164" i="68"/>
  <c r="I163" i="68"/>
  <c r="H163" i="68"/>
  <c r="G163" i="68"/>
  <c r="I162" i="68"/>
  <c r="H162" i="68"/>
  <c r="G162" i="68"/>
  <c r="I161" i="68"/>
  <c r="H161" i="68"/>
  <c r="G161" i="68"/>
  <c r="I160" i="68"/>
  <c r="H160" i="68"/>
  <c r="G160" i="68"/>
  <c r="I159" i="68"/>
  <c r="H159" i="68"/>
  <c r="G159" i="68"/>
  <c r="I158" i="68"/>
  <c r="H158" i="68"/>
  <c r="G158" i="68"/>
  <c r="I157" i="68"/>
  <c r="H157" i="68"/>
  <c r="G157" i="68"/>
  <c r="I156" i="68"/>
  <c r="H156" i="68"/>
  <c r="G156" i="68"/>
  <c r="I155" i="68"/>
  <c r="H155" i="68"/>
  <c r="G155" i="68"/>
  <c r="I154" i="68"/>
  <c r="H154" i="68"/>
  <c r="G154" i="68"/>
  <c r="I153" i="68"/>
  <c r="H153" i="68"/>
  <c r="G153" i="68"/>
  <c r="I152" i="68"/>
  <c r="H152" i="68"/>
  <c r="G152" i="68"/>
  <c r="AB151" i="68"/>
  <c r="I151" i="68"/>
  <c r="H151" i="68"/>
  <c r="G151" i="68"/>
  <c r="I150" i="68"/>
  <c r="H150" i="68"/>
  <c r="G150" i="68"/>
  <c r="I149" i="68"/>
  <c r="H149" i="68"/>
  <c r="G149" i="68"/>
  <c r="I148" i="68"/>
  <c r="H148" i="68"/>
  <c r="G148" i="68"/>
  <c r="I147" i="68"/>
  <c r="H147" i="68"/>
  <c r="G147" i="68"/>
  <c r="I146" i="68"/>
  <c r="H146" i="68"/>
  <c r="G146" i="68"/>
  <c r="I145" i="68"/>
  <c r="H145" i="68"/>
  <c r="G145" i="68"/>
  <c r="I144" i="68"/>
  <c r="H144" i="68"/>
  <c r="G144" i="68"/>
  <c r="AC143" i="68"/>
  <c r="AB143" i="68"/>
  <c r="W143" i="68"/>
  <c r="I143" i="68"/>
  <c r="H143" i="68"/>
  <c r="G143" i="68"/>
  <c r="I142" i="68"/>
  <c r="H142" i="68"/>
  <c r="G142" i="68"/>
  <c r="I141" i="68"/>
  <c r="H141" i="68"/>
  <c r="G141" i="68"/>
  <c r="I140" i="68"/>
  <c r="H140" i="68"/>
  <c r="G140" i="68"/>
  <c r="I139" i="68"/>
  <c r="H139" i="68"/>
  <c r="G139" i="68"/>
  <c r="I138" i="68"/>
  <c r="H138" i="68"/>
  <c r="G138" i="68"/>
  <c r="I137" i="68"/>
  <c r="H137" i="68"/>
  <c r="G137" i="68"/>
  <c r="I136" i="68"/>
  <c r="H136" i="68"/>
  <c r="G136" i="68"/>
  <c r="I135" i="68"/>
  <c r="H135" i="68"/>
  <c r="G135" i="68"/>
  <c r="I134" i="68"/>
  <c r="H134" i="68"/>
  <c r="G134" i="68"/>
  <c r="I133" i="68"/>
  <c r="H133" i="68"/>
  <c r="G133" i="68"/>
  <c r="I132" i="68"/>
  <c r="H132" i="68"/>
  <c r="G132" i="68"/>
  <c r="I131" i="68"/>
  <c r="H131" i="68"/>
  <c r="G131" i="68"/>
  <c r="I130" i="68"/>
  <c r="H130" i="68"/>
  <c r="G130" i="68"/>
  <c r="I129" i="68"/>
  <c r="H129" i="68"/>
  <c r="G129" i="68"/>
  <c r="I128" i="68"/>
  <c r="H128" i="68"/>
  <c r="G128" i="68"/>
  <c r="I127" i="68"/>
  <c r="H127" i="68"/>
  <c r="G127" i="68"/>
  <c r="I126" i="68"/>
  <c r="H126" i="68"/>
  <c r="G126" i="68"/>
  <c r="I125" i="68"/>
  <c r="H125" i="68"/>
  <c r="G125" i="68"/>
  <c r="I124" i="68"/>
  <c r="H124" i="68"/>
  <c r="G124" i="68"/>
  <c r="I123" i="68"/>
  <c r="H123" i="68"/>
  <c r="G123" i="68"/>
  <c r="I122" i="68"/>
  <c r="H122" i="68"/>
  <c r="G122" i="68"/>
  <c r="BD121" i="68"/>
  <c r="BC121" i="68"/>
  <c r="I121" i="68"/>
  <c r="H121" i="68"/>
  <c r="G121" i="68"/>
  <c r="I120" i="68"/>
  <c r="H120" i="68"/>
  <c r="G120" i="68"/>
  <c r="V119" i="68"/>
  <c r="I119" i="68"/>
  <c r="H119" i="68"/>
  <c r="G119" i="68"/>
  <c r="I118" i="68"/>
  <c r="H118" i="68"/>
  <c r="G118" i="68"/>
  <c r="I117" i="68"/>
  <c r="H117" i="68"/>
  <c r="G117" i="68"/>
  <c r="I116" i="68"/>
  <c r="H116" i="68"/>
  <c r="G116" i="68"/>
  <c r="AB115" i="68"/>
  <c r="I115" i="68"/>
  <c r="H115" i="68"/>
  <c r="G115" i="68"/>
  <c r="I114" i="68"/>
  <c r="H114" i="68"/>
  <c r="G114" i="68"/>
  <c r="I113" i="68"/>
  <c r="H113" i="68"/>
  <c r="G113" i="68"/>
  <c r="X112" i="68"/>
  <c r="V112" i="68"/>
  <c r="I112" i="68"/>
  <c r="H112" i="68"/>
  <c r="G112" i="68"/>
  <c r="I111" i="68"/>
  <c r="H111" i="68"/>
  <c r="G111" i="68"/>
  <c r="I110" i="68"/>
  <c r="H110" i="68"/>
  <c r="G110" i="68"/>
  <c r="I109" i="68"/>
  <c r="H109" i="68"/>
  <c r="G109" i="68"/>
  <c r="I108" i="68"/>
  <c r="H108" i="68"/>
  <c r="G108" i="68"/>
  <c r="I107" i="68"/>
  <c r="H107" i="68"/>
  <c r="G107" i="68"/>
  <c r="I106" i="68"/>
  <c r="H106" i="68"/>
  <c r="G106" i="68"/>
  <c r="I105" i="68"/>
  <c r="H105" i="68"/>
  <c r="G105" i="68"/>
  <c r="I104" i="68"/>
  <c r="H104" i="68"/>
  <c r="G104" i="68"/>
  <c r="R103" i="68"/>
  <c r="L103" i="68"/>
  <c r="I103" i="68"/>
  <c r="H103" i="68"/>
  <c r="G103" i="68"/>
  <c r="I102" i="68"/>
  <c r="H102" i="68"/>
  <c r="G102" i="68"/>
  <c r="I101" i="68"/>
  <c r="H101" i="68"/>
  <c r="G101" i="68"/>
  <c r="V100" i="68"/>
  <c r="L100" i="68"/>
  <c r="I100" i="68"/>
  <c r="H100" i="68"/>
  <c r="G100" i="68"/>
  <c r="I99" i="68"/>
  <c r="H99" i="68"/>
  <c r="G99" i="68"/>
  <c r="I98" i="68"/>
  <c r="H98" i="68"/>
  <c r="G98" i="68"/>
  <c r="V97" i="68"/>
  <c r="L97" i="68"/>
  <c r="I97" i="68"/>
  <c r="H97" i="68"/>
  <c r="G97" i="68"/>
  <c r="I96" i="68"/>
  <c r="H96" i="68"/>
  <c r="G96" i="68"/>
  <c r="I95" i="68"/>
  <c r="H95" i="68"/>
  <c r="G95" i="68"/>
  <c r="V94" i="68"/>
  <c r="R94" i="68"/>
  <c r="L94" i="68"/>
  <c r="I94" i="68"/>
  <c r="H94" i="68"/>
  <c r="G94" i="68"/>
  <c r="I93" i="68"/>
  <c r="H93" i="68"/>
  <c r="G93" i="68"/>
  <c r="I92" i="68"/>
  <c r="H92" i="68"/>
  <c r="G92" i="68"/>
  <c r="V91" i="68"/>
  <c r="L91" i="68"/>
  <c r="I91" i="68"/>
  <c r="H91" i="68"/>
  <c r="G91" i="68"/>
  <c r="I90" i="68"/>
  <c r="H90" i="68"/>
  <c r="G90" i="68"/>
  <c r="I89" i="68"/>
  <c r="H89" i="68"/>
  <c r="G89" i="68"/>
  <c r="V88" i="68"/>
  <c r="L88" i="68"/>
  <c r="I88" i="68"/>
  <c r="H88" i="68"/>
  <c r="G88" i="68"/>
  <c r="I87" i="68"/>
  <c r="H87" i="68"/>
  <c r="G87" i="68"/>
  <c r="I86" i="68"/>
  <c r="H86" i="68"/>
  <c r="G86" i="68"/>
  <c r="L85" i="68"/>
  <c r="I85" i="68"/>
  <c r="H85" i="68"/>
  <c r="G85" i="68"/>
  <c r="I84" i="68"/>
  <c r="H84" i="68"/>
  <c r="G84" i="68"/>
  <c r="I83" i="68"/>
  <c r="H83" i="68"/>
  <c r="G83" i="68"/>
  <c r="V82" i="68"/>
  <c r="L82" i="68"/>
  <c r="I82" i="68"/>
  <c r="H82" i="68"/>
  <c r="G82" i="68"/>
  <c r="I81" i="68"/>
  <c r="H81" i="68"/>
  <c r="G81" i="68"/>
  <c r="I80" i="68"/>
  <c r="H80" i="68"/>
  <c r="G80" i="68"/>
  <c r="W79" i="68"/>
  <c r="V79" i="68"/>
  <c r="I79" i="68"/>
  <c r="H79" i="68"/>
  <c r="G79" i="68"/>
  <c r="AE78" i="68"/>
  <c r="I78" i="68"/>
  <c r="H78" i="68"/>
  <c r="G78" i="68"/>
  <c r="I77" i="68"/>
  <c r="H77" i="68"/>
  <c r="G77" i="68"/>
  <c r="I76" i="68"/>
  <c r="H76" i="68"/>
  <c r="G76" i="68"/>
  <c r="V75" i="68"/>
  <c r="I75" i="68"/>
  <c r="H75" i="68"/>
  <c r="G75" i="68"/>
  <c r="V74" i="68"/>
  <c r="I74" i="68"/>
  <c r="H74" i="68"/>
  <c r="G74" i="68"/>
  <c r="I73" i="68"/>
  <c r="H73" i="68"/>
  <c r="G73" i="68"/>
  <c r="I72" i="68"/>
  <c r="H72" i="68"/>
  <c r="G72" i="68"/>
  <c r="I71" i="68"/>
  <c r="H71" i="68"/>
  <c r="G71" i="68"/>
  <c r="I70" i="68"/>
  <c r="H70" i="68"/>
  <c r="G70" i="68"/>
  <c r="I69" i="68"/>
  <c r="H69" i="68"/>
  <c r="G69" i="68"/>
  <c r="I68" i="68"/>
  <c r="H68" i="68"/>
  <c r="G68" i="68"/>
  <c r="I67" i="68"/>
  <c r="H67" i="68"/>
  <c r="G67" i="68"/>
  <c r="I66" i="68"/>
  <c r="H66" i="68"/>
  <c r="G66" i="68"/>
  <c r="I65" i="68"/>
  <c r="H65" i="68"/>
  <c r="G65" i="68"/>
  <c r="H64" i="68"/>
  <c r="G64" i="68"/>
  <c r="H63" i="68"/>
  <c r="G63" i="68"/>
  <c r="H62" i="68"/>
  <c r="G62" i="68"/>
  <c r="H61" i="68"/>
  <c r="G61" i="68"/>
  <c r="H60" i="68"/>
  <c r="G60" i="68"/>
  <c r="H59" i="68"/>
  <c r="G59" i="68"/>
  <c r="P58" i="68"/>
  <c r="N58" i="68"/>
  <c r="L58" i="68"/>
  <c r="I58" i="68"/>
  <c r="H58" i="68"/>
  <c r="G58" i="68"/>
  <c r="AF57" i="68"/>
  <c r="I57" i="68"/>
  <c r="H57" i="68"/>
  <c r="G57" i="68"/>
  <c r="I56" i="68"/>
  <c r="H56" i="68"/>
  <c r="G56" i="68"/>
  <c r="V55" i="68"/>
  <c r="I55" i="68"/>
  <c r="H55" i="68"/>
  <c r="G55" i="68"/>
  <c r="I54" i="68"/>
  <c r="H54" i="68"/>
  <c r="G54" i="68"/>
  <c r="I53" i="68"/>
  <c r="H53" i="68"/>
  <c r="G53" i="68"/>
  <c r="V52" i="68"/>
  <c r="I52" i="68"/>
  <c r="H52" i="68"/>
  <c r="G52" i="68"/>
  <c r="I51" i="68"/>
  <c r="H51" i="68"/>
  <c r="G51" i="68"/>
  <c r="I50" i="68"/>
  <c r="H50" i="68"/>
  <c r="G50" i="68"/>
  <c r="W49" i="68"/>
  <c r="V49" i="68"/>
  <c r="I49" i="68"/>
  <c r="H49" i="68"/>
  <c r="G49" i="68"/>
  <c r="I48" i="68"/>
  <c r="H48" i="68"/>
  <c r="G48" i="68"/>
  <c r="I47" i="68"/>
  <c r="H47" i="68"/>
  <c r="G47" i="68"/>
  <c r="I46" i="68"/>
  <c r="H46" i="68"/>
  <c r="G46" i="68"/>
  <c r="I45" i="68"/>
  <c r="H45" i="68"/>
  <c r="G45" i="68"/>
  <c r="I44" i="68"/>
  <c r="H44" i="68"/>
  <c r="G44" i="68"/>
  <c r="V43" i="68"/>
  <c r="L43" i="68"/>
  <c r="I43" i="68"/>
  <c r="H43" i="68"/>
  <c r="G43" i="68"/>
  <c r="I42" i="68"/>
  <c r="H42" i="68"/>
  <c r="G42" i="68"/>
  <c r="I41" i="68"/>
  <c r="H41" i="68"/>
  <c r="G41" i="68"/>
  <c r="V40" i="68"/>
  <c r="I40" i="68"/>
  <c r="H40" i="68"/>
  <c r="G40" i="68"/>
  <c r="I39" i="68"/>
  <c r="H39" i="68"/>
  <c r="G39" i="68"/>
  <c r="I38" i="68"/>
  <c r="H38" i="68"/>
  <c r="G38" i="68"/>
  <c r="V37" i="68"/>
  <c r="I37" i="68"/>
  <c r="H37" i="68"/>
  <c r="G37" i="68"/>
  <c r="I36" i="68"/>
  <c r="H36" i="68"/>
  <c r="G36" i="68"/>
  <c r="I35" i="68"/>
  <c r="H35" i="68"/>
  <c r="G35" i="68"/>
  <c r="I34" i="68"/>
  <c r="H34" i="68"/>
  <c r="G34" i="68"/>
  <c r="I33" i="68"/>
  <c r="H33" i="68"/>
  <c r="G33" i="68"/>
  <c r="I32" i="68"/>
  <c r="H32" i="68"/>
  <c r="G32" i="68"/>
  <c r="I31" i="68"/>
  <c r="H31" i="68"/>
  <c r="G31" i="68"/>
  <c r="I30" i="68"/>
  <c r="H30" i="68"/>
  <c r="G30" i="68"/>
  <c r="I29" i="68"/>
  <c r="H29" i="68"/>
  <c r="G29" i="68"/>
  <c r="V28" i="68"/>
  <c r="I28" i="68"/>
  <c r="H28" i="68"/>
  <c r="G28" i="68"/>
  <c r="I27" i="68"/>
  <c r="H27" i="68"/>
  <c r="G27" i="68"/>
  <c r="I26" i="68"/>
  <c r="H26" i="68"/>
  <c r="G26" i="68"/>
  <c r="V25" i="68"/>
  <c r="I25" i="68"/>
  <c r="H25" i="68"/>
  <c r="G25" i="68"/>
  <c r="I24" i="68"/>
  <c r="H24" i="68"/>
  <c r="G24" i="68"/>
  <c r="I23" i="68"/>
  <c r="H23" i="68"/>
  <c r="G23" i="68"/>
  <c r="V22" i="68"/>
  <c r="I22" i="68"/>
  <c r="H22" i="68"/>
  <c r="G22" i="68"/>
  <c r="I21" i="68"/>
  <c r="H21" i="68"/>
  <c r="I20" i="68"/>
  <c r="H20" i="68"/>
  <c r="G20" i="68"/>
  <c r="V19" i="68"/>
  <c r="I19" i="68"/>
  <c r="H19" i="68"/>
  <c r="G19" i="68"/>
  <c r="I18" i="68"/>
  <c r="H18" i="68"/>
  <c r="G18" i="68"/>
  <c r="I17" i="68"/>
  <c r="H17" i="68"/>
  <c r="G17" i="68"/>
  <c r="I16" i="68"/>
  <c r="H16" i="68"/>
  <c r="G16" i="68"/>
  <c r="I15" i="68"/>
  <c r="H15" i="68"/>
  <c r="G15" i="68"/>
  <c r="I14" i="68"/>
  <c r="H14" i="68"/>
  <c r="G14" i="68"/>
  <c r="H13" i="68"/>
  <c r="G13" i="68"/>
  <c r="H12" i="68"/>
  <c r="G12" i="68"/>
  <c r="H11" i="68"/>
  <c r="G11" i="68"/>
  <c r="I10" i="68"/>
  <c r="H10" i="68"/>
  <c r="G10" i="68"/>
  <c r="I9" i="68"/>
  <c r="H9" i="68"/>
  <c r="G9" i="68"/>
  <c r="I8" i="68"/>
  <c r="H8" i="68"/>
  <c r="G8" i="68"/>
  <c r="I7" i="68"/>
  <c r="H7" i="68"/>
  <c r="G7" i="68"/>
  <c r="I6" i="68"/>
  <c r="H6" i="68"/>
  <c r="G6" i="68"/>
  <c r="I5" i="68"/>
  <c r="H5" i="68"/>
  <c r="G5" i="68"/>
  <c r="I4" i="68"/>
  <c r="H4" i="68"/>
  <c r="G4" i="68"/>
  <c r="I3" i="68"/>
  <c r="H3" i="68"/>
  <c r="G3" i="68"/>
  <c r="Y1" i="68"/>
  <c r="X1" i="68"/>
  <c r="W1" i="68"/>
  <c r="V1" i="68"/>
  <c r="U1" i="68"/>
  <c r="T1" i="68"/>
  <c r="S1" i="68"/>
  <c r="R1" i="68"/>
  <c r="Q1" i="68"/>
  <c r="P1" i="68"/>
  <c r="O1" i="68"/>
  <c r="N1" i="68"/>
  <c r="M1" i="68"/>
  <c r="L1" i="68"/>
  <c r="K1" i="68"/>
  <c r="J1" i="68"/>
  <c r="P22" i="61"/>
  <c r="O22" i="61"/>
  <c r="N22" i="61"/>
  <c r="M22" i="61"/>
  <c r="L22" i="61"/>
  <c r="K22" i="61"/>
  <c r="J22" i="61"/>
  <c r="I22" i="61"/>
  <c r="H22" i="61"/>
  <c r="G22" i="61"/>
  <c r="F22" i="61"/>
  <c r="E22" i="61"/>
  <c r="D22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P14" i="61"/>
  <c r="O14" i="61"/>
  <c r="N14" i="61"/>
  <c r="M14" i="61"/>
  <c r="L14" i="61"/>
  <c r="K14" i="61"/>
  <c r="J14" i="61"/>
  <c r="I14" i="61"/>
  <c r="H14" i="61"/>
  <c r="G14" i="61"/>
  <c r="F14" i="61"/>
  <c r="E14" i="61"/>
  <c r="P12" i="61"/>
  <c r="O12" i="61"/>
  <c r="N12" i="61"/>
  <c r="M12" i="61"/>
  <c r="L12" i="61"/>
  <c r="K12" i="61"/>
  <c r="J12" i="61"/>
  <c r="I12" i="61"/>
  <c r="G12" i="61"/>
  <c r="F12" i="61"/>
  <c r="E12" i="61"/>
  <c r="E19" i="26" l="1"/>
  <c r="G33" i="26"/>
  <c r="H33" i="26" s="1"/>
  <c r="H35" i="26" s="1"/>
  <c r="K27" i="26"/>
  <c r="H4" i="26"/>
  <c r="H19" i="26" s="1"/>
  <c r="K39" i="26"/>
  <c r="H31" i="26"/>
  <c r="H44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Gary</author>
  </authors>
  <commentList>
    <comment ref="J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0"/>
            <rFont val="宋体"/>
            <family val="3"/>
            <charset val="134"/>
          </rPr>
          <t xml:space="preserve">本月账面收入为： 29,972,935.44 
</t>
        </r>
      </text>
    </comment>
    <comment ref="I19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异地预缴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Gary</author>
  </authors>
  <commentList>
    <comment ref="C4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047:</t>
        </r>
        <r>
          <rPr>
            <sz val="9"/>
            <rFont val="宋体"/>
            <family val="3"/>
            <charset val="134"/>
          </rPr>
          <t xml:space="preserve">
不含税计税</t>
        </r>
      </text>
    </comment>
    <comment ref="D34" authorId="1" shapeId="0" xr:uid="{00000000-0006-0000-0D00-000002000000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累计预缴数</t>
        </r>
      </text>
    </comment>
    <comment ref="J35" authorId="1" shapeId="0" xr:uid="{00000000-0006-0000-0D00-000003000000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9月科目余额表数据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86131</author>
    <author>wangj</author>
  </authors>
  <commentList>
    <comment ref="F3" authorId="0" shapeId="0" xr:uid="{00000000-0006-0000-1000-000001000000}">
      <text>
        <r>
          <rPr>
            <b/>
            <sz val="9"/>
            <rFont val="宋体"/>
            <family val="3"/>
            <charset val="134"/>
          </rPr>
          <t>86131:</t>
        </r>
        <r>
          <rPr>
            <sz val="9"/>
            <rFont val="宋体"/>
            <family val="3"/>
            <charset val="134"/>
          </rPr>
          <t xml:space="preserve">
13%税率对应收入</t>
        </r>
      </text>
    </comment>
    <comment ref="F5" authorId="0" shapeId="0" xr:uid="{00000000-0006-0000-1000-000002000000}">
      <text>
        <r>
          <rPr>
            <b/>
            <sz val="9"/>
            <rFont val="宋体"/>
            <family val="3"/>
            <charset val="134"/>
          </rPr>
          <t>86131:</t>
        </r>
        <r>
          <rPr>
            <sz val="9"/>
            <rFont val="宋体"/>
            <family val="3"/>
            <charset val="134"/>
          </rPr>
          <t xml:space="preserve">
9%税率对应收入</t>
        </r>
      </text>
    </comment>
    <comment ref="F7" authorId="1" shapeId="0" xr:uid="{00000000-0006-0000-1000-000003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6%税率对应收入</t>
        </r>
      </text>
    </comment>
    <comment ref="F14" authorId="0" shapeId="0" xr:uid="{00000000-0006-0000-1000-000004000000}">
      <text>
        <r>
          <rPr>
            <b/>
            <sz val="9"/>
            <rFont val="宋体"/>
            <family val="3"/>
            <charset val="134"/>
          </rPr>
          <t>86131:</t>
        </r>
        <r>
          <rPr>
            <sz val="9"/>
            <rFont val="宋体"/>
            <family val="3"/>
            <charset val="134"/>
          </rPr>
          <t xml:space="preserve">
13%税率对应销项</t>
        </r>
      </text>
    </comment>
    <comment ref="F16" authorId="0" shapeId="0" xr:uid="{00000000-0006-0000-1000-000005000000}">
      <text>
        <r>
          <rPr>
            <b/>
            <sz val="9"/>
            <rFont val="宋体"/>
            <family val="3"/>
            <charset val="134"/>
          </rPr>
          <t>86131:</t>
        </r>
        <r>
          <rPr>
            <sz val="9"/>
            <rFont val="宋体"/>
            <family val="3"/>
            <charset val="134"/>
          </rPr>
          <t xml:space="preserve">
9%税率对应销项</t>
        </r>
      </text>
    </comment>
    <comment ref="F18" authorId="1" shapeId="0" xr:uid="{00000000-0006-0000-1000-000006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6%对应销项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admin</author>
  </authors>
  <commentList>
    <comment ref="M10" authorId="0" shapeId="0" xr:uid="{00000000-0006-0000-1300-000001000000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残疾人保障金</t>
        </r>
      </text>
    </comment>
    <comment ref="M12" authorId="1" shapeId="0" xr:uid="{00000000-0006-0000-13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水利基金</t>
        </r>
      </text>
    </comment>
  </commentList>
</comments>
</file>

<file path=xl/sharedStrings.xml><?xml version="1.0" encoding="utf-8"?>
<sst xmlns="http://schemas.openxmlformats.org/spreadsheetml/2006/main" count="59521" uniqueCount="6630">
  <si>
    <t xml:space="preserve">时间：所属期    单位：元          </t>
  </si>
  <si>
    <t>税金缴纳标准</t>
  </si>
  <si>
    <t>基数</t>
  </si>
  <si>
    <t>账面收入</t>
  </si>
  <si>
    <t>其他收益</t>
  </si>
  <si>
    <t>项目开票</t>
  </si>
  <si>
    <t>利息开票</t>
  </si>
  <si>
    <t>销项税额</t>
  </si>
  <si>
    <t>A</t>
  </si>
  <si>
    <t>本期进项税额</t>
  </si>
  <si>
    <t>B</t>
  </si>
  <si>
    <t>上期留抵税额</t>
  </si>
  <si>
    <t>C</t>
  </si>
  <si>
    <t>进项税额转出</t>
  </si>
  <si>
    <t>D</t>
  </si>
  <si>
    <t>异地预缴税增值税</t>
  </si>
  <si>
    <t>E</t>
  </si>
  <si>
    <t>应纳增值税额</t>
  </si>
  <si>
    <t>A-B-C+D-E</t>
  </si>
  <si>
    <t>税金</t>
  </si>
  <si>
    <t>增值税</t>
  </si>
  <si>
    <t>印花税</t>
  </si>
  <si>
    <t>城建税</t>
  </si>
  <si>
    <t>增值税额的7%</t>
  </si>
  <si>
    <t>教育费附加</t>
  </si>
  <si>
    <t>增值税额的3%</t>
  </si>
  <si>
    <t>地方教育费附加</t>
  </si>
  <si>
    <t>增值税额的2%</t>
  </si>
  <si>
    <t>房产税</t>
  </si>
  <si>
    <t>城镇土地使用</t>
  </si>
  <si>
    <t>企业所得税</t>
  </si>
  <si>
    <t>个税</t>
  </si>
  <si>
    <t>残疾人保障金</t>
  </si>
  <si>
    <t>合计</t>
  </si>
  <si>
    <t>异地预缴</t>
  </si>
  <si>
    <t>郎溪景宇风力发电有限公司</t>
  </si>
  <si>
    <t>郎溪</t>
  </si>
  <si>
    <t>馆陶县汇恒风电有限公司</t>
  </si>
  <si>
    <t>察哈尔景源</t>
  </si>
  <si>
    <t>伊金霍洛旗悦盛新能源有限公司</t>
  </si>
  <si>
    <t>定远纳驰</t>
  </si>
  <si>
    <t>定远纳风</t>
  </si>
  <si>
    <t>哈密博景</t>
  </si>
  <si>
    <t>中国石油天然气股份有限公司 吐哈油田分公司</t>
  </si>
  <si>
    <t>吐哈油田</t>
  </si>
  <si>
    <t>定远智贮能源科技有限公司</t>
  </si>
  <si>
    <t xml:space="preserve">远景定远智慧储能共享电站项目 EPC </t>
  </si>
  <si>
    <t>定边远边汇新能源有限公司</t>
  </si>
  <si>
    <t>定边县红柳沟镇白兴庄</t>
  </si>
  <si>
    <t>乌海市远鸿富景新能源科技有限公司</t>
  </si>
  <si>
    <t>乌海市金湖独立储能电站项目EPC总承</t>
  </si>
  <si>
    <t>招银金融租赁有限公司</t>
  </si>
  <si>
    <t>利豪鸡泽县50MW保障类风电场</t>
  </si>
  <si>
    <t>滨州远凌新能源有限责任公司</t>
  </si>
  <si>
    <t>滨州北海储能电站项目</t>
  </si>
  <si>
    <t>清水河县云景风力发电有限公
司</t>
  </si>
  <si>
    <t>清水河县城关分散式风电场项目EPC总承包</t>
  </si>
  <si>
    <t>射阳汇智风电场项目 EPC 总承包采购合同</t>
  </si>
  <si>
    <t>陕西省榆林市靖边县东南部天赐湾乡</t>
  </si>
  <si>
    <t>靖边县状泽城河100兆瓦风电场项目EPC工程总承包合同</t>
  </si>
  <si>
    <t>内蒙古自治区乌兰察布市察哈尔右翼后旗</t>
  </si>
  <si>
    <t>项目类型</t>
  </si>
  <si>
    <t>公司代码
或项目号</t>
  </si>
  <si>
    <t>项目名称</t>
  </si>
  <si>
    <t>类别</t>
  </si>
  <si>
    <t>税率</t>
  </si>
  <si>
    <t>累计收入</t>
  </si>
  <si>
    <t>累计开票</t>
  </si>
  <si>
    <t>未开票收入</t>
  </si>
  <si>
    <t>202403之前月度
收入额小计</t>
  </si>
  <si>
    <t>202403之前月度
开票额小计</t>
  </si>
  <si>
    <t>202403账面收入</t>
  </si>
  <si>
    <t>202403开票</t>
  </si>
  <si>
    <t>202404账面收入</t>
  </si>
  <si>
    <t>202404开票</t>
  </si>
  <si>
    <t>202405账面收入</t>
  </si>
  <si>
    <t>202405开票</t>
  </si>
  <si>
    <t>202406账面收入</t>
  </si>
  <si>
    <t>202406开票</t>
  </si>
  <si>
    <t>202407账面收入</t>
  </si>
  <si>
    <t>202407开票</t>
  </si>
  <si>
    <t>202408账面收入</t>
  </si>
  <si>
    <t>202408开票</t>
  </si>
  <si>
    <t>202409账面收入</t>
  </si>
  <si>
    <t>202409开票</t>
  </si>
  <si>
    <t>202410账面收入</t>
  </si>
  <si>
    <t>202410开票</t>
  </si>
  <si>
    <t>202411账面收入</t>
  </si>
  <si>
    <t>202411开票</t>
  </si>
  <si>
    <t>202412账面收入</t>
  </si>
  <si>
    <t>202412开票</t>
  </si>
  <si>
    <t>202501账面收入</t>
  </si>
  <si>
    <t>202501开票</t>
  </si>
  <si>
    <t>202502账面收入</t>
  </si>
  <si>
    <t>202502开票</t>
  </si>
  <si>
    <t>202503账面收入</t>
  </si>
  <si>
    <t>202503开票</t>
  </si>
  <si>
    <t>202504账面收入</t>
  </si>
  <si>
    <t>202504开票</t>
  </si>
  <si>
    <t>202505账面收入</t>
  </si>
  <si>
    <t>202505开票</t>
  </si>
  <si>
    <t>202506账面收入</t>
  </si>
  <si>
    <t>202506开票</t>
  </si>
  <si>
    <t>202507账面收入</t>
  </si>
  <si>
    <t>202507开票</t>
  </si>
  <si>
    <t>202508预开票金额</t>
  </si>
  <si>
    <t>202508账面收入</t>
  </si>
  <si>
    <t>202508开票</t>
  </si>
  <si>
    <t>202509账面收入</t>
  </si>
  <si>
    <t>202509开票</t>
  </si>
  <si>
    <t>202510账面收入</t>
  </si>
  <si>
    <t>202510开票</t>
  </si>
  <si>
    <t>202510预开票</t>
  </si>
  <si>
    <t>202510预开票冲回</t>
  </si>
  <si>
    <t>202511账面收入</t>
  </si>
  <si>
    <t>202511开票</t>
  </si>
  <si>
    <t>202511预开票</t>
  </si>
  <si>
    <t>202511预开票冲回</t>
  </si>
  <si>
    <t>202512账面收入</t>
  </si>
  <si>
    <t>202512开票</t>
  </si>
  <si>
    <t>202512预开票</t>
  </si>
  <si>
    <t>202512预开票冲回</t>
  </si>
  <si>
    <t>202403之前
各月度数据结转</t>
  </si>
  <si>
    <t>商品销售</t>
  </si>
  <si>
    <t>工程施工</t>
  </si>
  <si>
    <t>设计咨询</t>
  </si>
  <si>
    <t>EPC自建</t>
  </si>
  <si>
    <t>安徽宣城郎溪</t>
  </si>
  <si>
    <t>安新县阔达有色金属熔炼有限公司</t>
  </si>
  <si>
    <t>巴彦淖尔</t>
  </si>
  <si>
    <t>定边白兴庄</t>
  </si>
  <si>
    <t>定边王家梁</t>
  </si>
  <si>
    <t>定远乘风</t>
  </si>
  <si>
    <t>定远欣月</t>
  </si>
  <si>
    <t>2A50</t>
  </si>
  <si>
    <t>定远独立储能</t>
  </si>
  <si>
    <t>丰宁</t>
  </si>
  <si>
    <t>丰宁二期</t>
  </si>
  <si>
    <t>丰宁三期</t>
  </si>
  <si>
    <t>广西融水</t>
  </si>
  <si>
    <t>河南濮阳台前</t>
  </si>
  <si>
    <t>江西高安</t>
  </si>
  <si>
    <t>内蒙察右后旗项目二</t>
  </si>
  <si>
    <t>内蒙察右后旗项目一</t>
  </si>
  <si>
    <t>内蒙伊旗风光储</t>
  </si>
  <si>
    <t>甘肃宏宇天成电力工程有限公司</t>
  </si>
  <si>
    <t xml:space="preserve">河间市绿洁再生资源回收有限公司
</t>
  </si>
  <si>
    <t>3A18</t>
  </si>
  <si>
    <t>钦州灵山独立储能</t>
  </si>
  <si>
    <t>新疆巴里坤</t>
  </si>
  <si>
    <t>射阳汇智风电场110kv升压站站内设备检测工程</t>
  </si>
  <si>
    <t>内蒙鄂尔多斯风电场运检维护项目</t>
  </si>
  <si>
    <t>内蒙伊旗风光储-光伏</t>
  </si>
  <si>
    <t>河北沧县</t>
  </si>
  <si>
    <t>河南濮阳昆吾</t>
  </si>
  <si>
    <t>灵山玖伯一期</t>
  </si>
  <si>
    <t>灵山玖伯二期</t>
  </si>
  <si>
    <t>钦南久沙</t>
  </si>
  <si>
    <t>灵山文利</t>
  </si>
  <si>
    <t>钦州三期
（枫木山）</t>
  </si>
  <si>
    <t>河北魏县</t>
  </si>
  <si>
    <t>射阳储能</t>
  </si>
  <si>
    <t>耐克工厂</t>
  </si>
  <si>
    <t>民勤独青山二期</t>
  </si>
  <si>
    <t>3A12</t>
  </si>
  <si>
    <t>民勤共享储能电站</t>
  </si>
  <si>
    <t>滨州北海</t>
  </si>
  <si>
    <t>后服务</t>
  </si>
  <si>
    <t>对外EPC&amp;芯鑫</t>
  </si>
  <si>
    <t>陕西靖边城河项目</t>
  </si>
  <si>
    <t>对外EPC&amp;靖边县状泽国鸿新能源有限公司</t>
  </si>
  <si>
    <t>对外EPC</t>
  </si>
  <si>
    <t>陕西利豪鸡泽县-泽风邯郸风力发电有限责任公司</t>
  </si>
  <si>
    <t>陕西利豪鸡泽县-招银金融租赁</t>
  </si>
  <si>
    <t>3A23</t>
  </si>
  <si>
    <t>杭锦旗储能站</t>
  </si>
  <si>
    <t>4A40/4301</t>
  </si>
  <si>
    <t>锡盟苏右100万千瓦/400万千瓦时储能</t>
  </si>
  <si>
    <t xml:space="preserve"> </t>
  </si>
  <si>
    <t>4A90</t>
  </si>
  <si>
    <t>巴彦淖尔1000MW/4000MWh储能</t>
  </si>
  <si>
    <t>大宗商品</t>
  </si>
  <si>
    <t>钢贸、法兰</t>
  </si>
  <si>
    <t>152万吨/年零碳氢氨项目(一期)</t>
  </si>
  <si>
    <t>2C00</t>
  </si>
  <si>
    <t>条线</t>
  </si>
  <si>
    <t>F项目</t>
  </si>
  <si>
    <t>赤峰市风光制氢</t>
  </si>
  <si>
    <t>XC00</t>
  </si>
  <si>
    <t>华西村储能项目</t>
  </si>
  <si>
    <t>射阳零碳机关光储充项目【综能】</t>
  </si>
  <si>
    <t>射阳县沿海投资</t>
  </si>
  <si>
    <t>聆科</t>
  </si>
  <si>
    <t>乌海市金湖独立储能电站项目</t>
  </si>
  <si>
    <t>福建海西金融租赁有限责任公司</t>
  </si>
  <si>
    <t>巴彦淖尔磴口</t>
  </si>
  <si>
    <t>陕西佳县</t>
  </si>
  <si>
    <t>星巴克（昆山）储能项目</t>
  </si>
  <si>
    <t>Mongolia BESS Project</t>
  </si>
  <si>
    <t>鄂尔多斯储能项目测试站工程施工项目（增补）</t>
  </si>
  <si>
    <t>射阳样机_远景</t>
  </si>
  <si>
    <t>综能</t>
  </si>
  <si>
    <t>惠山区循环产业园储能系统设备采购及安装项目【综能】</t>
  </si>
  <si>
    <t>贵港桂平一期</t>
  </si>
  <si>
    <t>4620</t>
  </si>
  <si>
    <t>河北沧县开元</t>
  </si>
  <si>
    <t>4650</t>
  </si>
  <si>
    <t>通榆二期</t>
  </si>
  <si>
    <t>3397</t>
  </si>
  <si>
    <t>民勤三期</t>
  </si>
  <si>
    <t>4304</t>
  </si>
  <si>
    <t>锡盟防沙治沙二连浩特市20万kW</t>
  </si>
  <si>
    <t>2342</t>
  </si>
  <si>
    <t>五河彩舟</t>
  </si>
  <si>
    <t>蚌埠五河</t>
  </si>
  <si>
    <t>4305</t>
  </si>
  <si>
    <t>锡盟防沙治沙正镶白旗10万kW+10万kW光伏</t>
  </si>
  <si>
    <t>阿拉善右旗-光伏</t>
  </si>
  <si>
    <t>阿拉善左旗</t>
  </si>
  <si>
    <t>沧县三期沧县永乐风电场</t>
  </si>
  <si>
    <t>滨州三期滨州北海马山子镇118.75MW风电场</t>
  </si>
  <si>
    <t>滨州二期</t>
  </si>
  <si>
    <t>4470</t>
  </si>
  <si>
    <t>零碳-景元汇流站</t>
  </si>
  <si>
    <t>山东大业新能源有限公司</t>
  </si>
  <si>
    <t>大业EPC项目</t>
  </si>
  <si>
    <t>芯鑫融资租赁有限责任公司</t>
  </si>
  <si>
    <t>无锡惠山投资发展有限公司</t>
  </si>
  <si>
    <t>惠山储能项目</t>
  </si>
  <si>
    <t>华能陕西靖边电力有限公司</t>
  </si>
  <si>
    <t>F-001280华能陕西靖边风电场海装一期二期风机变频器升级改造</t>
  </si>
  <si>
    <t>广西横州马安山风电场</t>
  </si>
  <si>
    <t>广西邕宁百济风电场</t>
  </si>
  <si>
    <t>广西邕宁那楼中山风电场</t>
  </si>
  <si>
    <t>广西邕宁屯王风电场</t>
  </si>
  <si>
    <t>广西邕宁中和风电场</t>
  </si>
  <si>
    <t>四子王旗储能站</t>
  </si>
  <si>
    <t>唐山乐亭项目(市场化）</t>
  </si>
  <si>
    <t>唐山乐亭项目(保障性）</t>
  </si>
  <si>
    <t>鄂尔多斯风储协同项目</t>
  </si>
  <si>
    <t>锡盟防沙治沙正蓝旗20万kW-光伏</t>
  </si>
  <si>
    <t>沧县永乐项目（三期）</t>
  </si>
  <si>
    <t>沧县长芦项目（四期）</t>
  </si>
  <si>
    <t>白城洮北</t>
  </si>
  <si>
    <t>3A17</t>
  </si>
  <si>
    <t>内蒙古特变电工能源装备有限公司</t>
  </si>
  <si>
    <t>哈密巴里坤项目_特变15套</t>
  </si>
  <si>
    <t>北京双江物资有限责任公司</t>
  </si>
  <si>
    <t>乌兹_天能26套项目</t>
  </si>
  <si>
    <t>苏州金融租赁股份有限公司</t>
  </si>
  <si>
    <t>XJ00</t>
  </si>
  <si>
    <t>零碳合金</t>
  </si>
  <si>
    <t>内蒙鄂尔多斯分散式</t>
  </si>
  <si>
    <t>内蒙鄂尔多斯分散式-光伏</t>
  </si>
  <si>
    <t>内蒙鄂尔多斯分散式-改造</t>
  </si>
  <si>
    <t>内蒙伊旗风光储-远景样机</t>
  </si>
  <si>
    <t>内蒙伊旗风光储-景元汇流站</t>
  </si>
  <si>
    <t>零碳-景元汇流站及送出</t>
  </si>
  <si>
    <t>内蒙赤峰零碳氢氨-赤峰元宝山</t>
  </si>
  <si>
    <t>赤峰市风光制氢一体化项目-赤峰翁牛特旗P1-375</t>
  </si>
  <si>
    <t>赤峰市风光制氢一体化项目-赤峰翁牛特旗P1-850</t>
  </si>
  <si>
    <t>赤峰市能源物联网零碳氢氨一体化示范项目（元宝山区34兆瓦光伏）</t>
  </si>
  <si>
    <t>赤峰1000MW/4000MWh储能</t>
  </si>
  <si>
    <t>4A60</t>
  </si>
  <si>
    <t>呼市武川100万千瓦/400万千瓦时储能</t>
  </si>
  <si>
    <t>阿拉善1000MW/4000MWh储能</t>
  </si>
  <si>
    <t>陇南西和项目</t>
  </si>
  <si>
    <t>DHL项目</t>
  </si>
  <si>
    <t>中外运—敦豪国际航空快件有限公司</t>
  </si>
  <si>
    <t>兴业金融租赁有限责任公司</t>
  </si>
  <si>
    <t>4A00</t>
  </si>
  <si>
    <t>谷山梁500千伏变电站电源侧独立储能电站子项目1</t>
  </si>
  <si>
    <t>全州凤凰岭</t>
  </si>
  <si>
    <t>大金重工70万风电项目</t>
  </si>
  <si>
    <t>睿景代后服务（致博）人员费用</t>
  </si>
  <si>
    <t>光大金融租赁股份有限公司</t>
  </si>
  <si>
    <t>嫩江晟景新材料制造有限公司</t>
  </si>
  <si>
    <t>嫩江市远景铜基新材料新能源科创产业园电缆加工项目</t>
  </si>
  <si>
    <t>综能项目</t>
  </si>
  <si>
    <t>综能-射阳光伏车棚</t>
  </si>
  <si>
    <t>1A00</t>
  </si>
  <si>
    <t>安徽定远</t>
  </si>
  <si>
    <t>锡盟京能储能项目</t>
  </si>
  <si>
    <t>合浦</t>
  </si>
  <si>
    <t>J047</t>
  </si>
  <si>
    <t>锦联科右中旗哲里木49万千瓦风电项目</t>
  </si>
  <si>
    <t>定远工厂</t>
  </si>
  <si>
    <t>转销</t>
  </si>
  <si>
    <t>from月结数据</t>
  </si>
  <si>
    <t>diff check</t>
  </si>
  <si>
    <t>累计账面收入</t>
  </si>
  <si>
    <t>累计销项</t>
  </si>
  <si>
    <t>累计申报收入</t>
  </si>
  <si>
    <t>202509应申报收入</t>
  </si>
  <si>
    <t>202509应申报销项</t>
  </si>
  <si>
    <t>202403之前月度</t>
  </si>
  <si>
    <t>开票</t>
  </si>
  <si>
    <t>预开票金额</t>
  </si>
  <si>
    <t>预开票</t>
  </si>
  <si>
    <t>预开票冲回</t>
  </si>
  <si>
    <t>账面收入（即申报收入）</t>
  </si>
  <si>
    <t>累计申报销项</t>
  </si>
  <si>
    <t>审计报告营业收入</t>
  </si>
  <si>
    <t>营业外收入</t>
  </si>
  <si>
    <t>注</t>
  </si>
  <si>
    <t>申报收入与营业收入之差</t>
  </si>
  <si>
    <t>差异</t>
  </si>
  <si>
    <t>2017年</t>
  </si>
  <si>
    <t>2018年</t>
  </si>
  <si>
    <t>产业扶持基金</t>
  </si>
  <si>
    <t>2019年</t>
  </si>
  <si>
    <t>财政税收返还</t>
  </si>
  <si>
    <t>2020年</t>
  </si>
  <si>
    <t>质量问题扣款</t>
  </si>
  <si>
    <t>2021年</t>
  </si>
  <si>
    <t>2022年</t>
  </si>
  <si>
    <t>2023年</t>
  </si>
  <si>
    <t>2024年</t>
  </si>
  <si>
    <t>错账</t>
  </si>
  <si>
    <t>2025年</t>
  </si>
  <si>
    <t>大业项目预开票</t>
  </si>
  <si>
    <t>注意</t>
  </si>
  <si>
    <t>牟平、绿港历史项目须一、二期合并计算</t>
  </si>
  <si>
    <t>项目分类</t>
  </si>
  <si>
    <t>预开票统计</t>
  </si>
  <si>
    <t>17-20年累计收入</t>
  </si>
  <si>
    <t>17-20年累计开票</t>
  </si>
  <si>
    <t>17-20年累计销项</t>
  </si>
  <si>
    <t>202013收入</t>
  </si>
  <si>
    <t>202101收入</t>
  </si>
  <si>
    <t>202101开票</t>
  </si>
  <si>
    <t>202101销项</t>
  </si>
  <si>
    <t>202101申报收入</t>
  </si>
  <si>
    <t>帐税收入差异</t>
  </si>
  <si>
    <t>202102收入</t>
  </si>
  <si>
    <t>202102开票</t>
  </si>
  <si>
    <t>202102销项</t>
  </si>
  <si>
    <t>202102申报收入</t>
  </si>
  <si>
    <t>202103收入</t>
  </si>
  <si>
    <t>202103开票</t>
  </si>
  <si>
    <t>202103销项</t>
  </si>
  <si>
    <t>202103申报收入</t>
  </si>
  <si>
    <t>202104收入</t>
  </si>
  <si>
    <t>202104开票</t>
  </si>
  <si>
    <t>202104销项</t>
  </si>
  <si>
    <t>202104申报收入</t>
  </si>
  <si>
    <t>202105收入</t>
  </si>
  <si>
    <t>202105开票</t>
  </si>
  <si>
    <t>202105销项</t>
  </si>
  <si>
    <t>202105申报收入</t>
  </si>
  <si>
    <t>202106收入</t>
  </si>
  <si>
    <t>202106开票</t>
  </si>
  <si>
    <t>202106销项</t>
  </si>
  <si>
    <t>202106申报收入</t>
  </si>
  <si>
    <t>202107收入</t>
  </si>
  <si>
    <t>202107开票</t>
  </si>
  <si>
    <t>202107销项</t>
  </si>
  <si>
    <t>202107申报收入</t>
  </si>
  <si>
    <t>202108收入</t>
  </si>
  <si>
    <t>202108开票</t>
  </si>
  <si>
    <t>202108销项</t>
  </si>
  <si>
    <t>202108申报收入</t>
  </si>
  <si>
    <t>202109收入</t>
  </si>
  <si>
    <t>202109开票</t>
  </si>
  <si>
    <t>202109销项</t>
  </si>
  <si>
    <t>202109申报收入</t>
  </si>
  <si>
    <t>202110收入</t>
  </si>
  <si>
    <t>202110开票</t>
  </si>
  <si>
    <t>202110销项</t>
  </si>
  <si>
    <t>202110申报收入</t>
  </si>
  <si>
    <t>202111收入</t>
  </si>
  <si>
    <t>202111开票</t>
  </si>
  <si>
    <t>202111销项</t>
  </si>
  <si>
    <t>202111申报收入</t>
  </si>
  <si>
    <t>202112收入</t>
  </si>
  <si>
    <t>202112开票</t>
  </si>
  <si>
    <t>202112销项</t>
  </si>
  <si>
    <t>202112申报收入</t>
  </si>
  <si>
    <t>202201收入</t>
  </si>
  <si>
    <t>202201开票</t>
  </si>
  <si>
    <t>202201销项</t>
  </si>
  <si>
    <t>202201申报收入</t>
  </si>
  <si>
    <t>202202收入</t>
  </si>
  <si>
    <t>202202开票</t>
  </si>
  <si>
    <t>202202销项</t>
  </si>
  <si>
    <t>202202申报收入</t>
  </si>
  <si>
    <t>202203收入</t>
  </si>
  <si>
    <t>202203开票</t>
  </si>
  <si>
    <t>202203销项</t>
  </si>
  <si>
    <t>202203申报收入</t>
  </si>
  <si>
    <t>202204收入</t>
  </si>
  <si>
    <t>202204开票</t>
  </si>
  <si>
    <t>202204销项</t>
  </si>
  <si>
    <t>202204申报收入</t>
  </si>
  <si>
    <t>202205收入</t>
  </si>
  <si>
    <t>202205开票</t>
  </si>
  <si>
    <t>202205销项</t>
  </si>
  <si>
    <t>202205申报收入</t>
  </si>
  <si>
    <t>202206收入</t>
  </si>
  <si>
    <t>202206开票</t>
  </si>
  <si>
    <t>202206销项</t>
  </si>
  <si>
    <t>202206申报收入</t>
  </si>
  <si>
    <t>202207收入</t>
  </si>
  <si>
    <t>202207开票</t>
  </si>
  <si>
    <t>202207销项</t>
  </si>
  <si>
    <t>202207申报收入</t>
  </si>
  <si>
    <t>202208收入</t>
  </si>
  <si>
    <t>202208开票</t>
  </si>
  <si>
    <t>202208销项</t>
  </si>
  <si>
    <t>202208申报收入</t>
  </si>
  <si>
    <t>202209收入</t>
  </si>
  <si>
    <t>202209开票</t>
  </si>
  <si>
    <t>202209销项</t>
  </si>
  <si>
    <t>202209申报收入</t>
  </si>
  <si>
    <t>202210收入</t>
  </si>
  <si>
    <t>202210开票</t>
  </si>
  <si>
    <t>202210销项</t>
  </si>
  <si>
    <t>202210申报收入</t>
  </si>
  <si>
    <t>202211收入</t>
  </si>
  <si>
    <t>202211开票</t>
  </si>
  <si>
    <t>202211销项</t>
  </si>
  <si>
    <t>202211申报收入</t>
  </si>
  <si>
    <t>202212收入</t>
  </si>
  <si>
    <t>202212开票</t>
  </si>
  <si>
    <t>202212销项</t>
  </si>
  <si>
    <t>202212申报收入</t>
  </si>
  <si>
    <t>202301收入</t>
  </si>
  <si>
    <t>202301开票</t>
  </si>
  <si>
    <t>202301销项</t>
  </si>
  <si>
    <t>202301申报收入</t>
  </si>
  <si>
    <t>202302收入</t>
  </si>
  <si>
    <t>202302开票</t>
  </si>
  <si>
    <t>202302销项</t>
  </si>
  <si>
    <t>202302申报收入</t>
  </si>
  <si>
    <t>202303收入</t>
  </si>
  <si>
    <t>202303开票</t>
  </si>
  <si>
    <t>202303销项</t>
  </si>
  <si>
    <t>202303申报收入</t>
  </si>
  <si>
    <t>202304收入</t>
  </si>
  <si>
    <t>202304开票</t>
  </si>
  <si>
    <t>202304销项</t>
  </si>
  <si>
    <t>202304申报收入</t>
  </si>
  <si>
    <t>202305收入</t>
  </si>
  <si>
    <t>202305开票</t>
  </si>
  <si>
    <t>202305销项</t>
  </si>
  <si>
    <t>202305申报收入</t>
  </si>
  <si>
    <t>202306收入</t>
  </si>
  <si>
    <t>202306开票</t>
  </si>
  <si>
    <t>202306销项</t>
  </si>
  <si>
    <t>202306申报收入</t>
  </si>
  <si>
    <t>202307收入</t>
  </si>
  <si>
    <t>202307开票</t>
  </si>
  <si>
    <t>202307销项</t>
  </si>
  <si>
    <t>202307申报收入</t>
  </si>
  <si>
    <t>202308收入</t>
  </si>
  <si>
    <t>202308开票</t>
  </si>
  <si>
    <t>202308销项</t>
  </si>
  <si>
    <t>202308申报收入</t>
  </si>
  <si>
    <t>202309收入</t>
  </si>
  <si>
    <t>202309开票</t>
  </si>
  <si>
    <t>202309销项</t>
  </si>
  <si>
    <t>202309申报收入</t>
  </si>
  <si>
    <t>202310收入</t>
  </si>
  <si>
    <t>202310开票</t>
  </si>
  <si>
    <t>202310销项</t>
  </si>
  <si>
    <t>202310申报收入</t>
  </si>
  <si>
    <t>202311收入</t>
  </si>
  <si>
    <t>202311开票</t>
  </si>
  <si>
    <t>202311销项</t>
  </si>
  <si>
    <t>202311申报收入</t>
  </si>
  <si>
    <t>202312收入</t>
  </si>
  <si>
    <t>202312开票</t>
  </si>
  <si>
    <t>202312销项</t>
  </si>
  <si>
    <t>202312申报收入</t>
  </si>
  <si>
    <t>202401收入</t>
  </si>
  <si>
    <t>202401开票</t>
  </si>
  <si>
    <t>202401销项</t>
  </si>
  <si>
    <t>202401申报收入</t>
  </si>
  <si>
    <t>202402收入</t>
  </si>
  <si>
    <t>202402开票</t>
  </si>
  <si>
    <t>202402销项</t>
  </si>
  <si>
    <t>202402申报收入</t>
  </si>
  <si>
    <t>1050</t>
  </si>
  <si>
    <t>内部EPC项目</t>
  </si>
  <si>
    <t>1050（智慧能源）</t>
  </si>
  <si>
    <t>1080</t>
  </si>
  <si>
    <t>1080（丰宁）</t>
  </si>
  <si>
    <t>1080（丰宁二期）</t>
  </si>
  <si>
    <t>1080（丰宁三期）</t>
  </si>
  <si>
    <t>1300</t>
  </si>
  <si>
    <t>1300（牟平一期）</t>
  </si>
  <si>
    <t>1300（牟平二期）</t>
  </si>
  <si>
    <t>2310</t>
  </si>
  <si>
    <t>2310（吉县一期）</t>
  </si>
  <si>
    <t>2320</t>
  </si>
  <si>
    <t>2320（EPC）</t>
  </si>
  <si>
    <t>2330</t>
  </si>
  <si>
    <t>2330 (濉溪一期)【已出售】</t>
  </si>
  <si>
    <t>2330 (濉溪二期)【已出售】</t>
  </si>
  <si>
    <t>2370</t>
  </si>
  <si>
    <t>2370（馆陶一期）【23出售】</t>
  </si>
  <si>
    <t>2370（馆陶二期）【23出售】</t>
  </si>
  <si>
    <t>2440</t>
  </si>
  <si>
    <t>2440（绿港一期)</t>
  </si>
  <si>
    <t>2440（绿港二期)</t>
  </si>
  <si>
    <t>4320</t>
  </si>
  <si>
    <t>4320（绥滨 )【已出售】</t>
  </si>
  <si>
    <t>J047（合浦）【已出售】</t>
  </si>
  <si>
    <t>4400</t>
  </si>
  <si>
    <t>4400 （海伦）【23出售】</t>
  </si>
  <si>
    <t>4340</t>
  </si>
  <si>
    <t>4340（龙江）</t>
  </si>
  <si>
    <t>2690</t>
  </si>
  <si>
    <t>2690（北海乌家）/丰能【已出售】</t>
  </si>
  <si>
    <t>3620</t>
  </si>
  <si>
    <t>3620（北海石湾）/远阳【已出售】</t>
  </si>
  <si>
    <t>3600</t>
  </si>
  <si>
    <t>3600（阜新阜蒙）【已出售】</t>
  </si>
  <si>
    <t>2302</t>
  </si>
  <si>
    <t>2302（南乐鼎基）【已出售】</t>
  </si>
  <si>
    <t>2303</t>
  </si>
  <si>
    <t>2303（南乐绿匠）【已出售】</t>
  </si>
  <si>
    <t>3590</t>
  </si>
  <si>
    <t>3590 （铁岭西丰）【已出售】</t>
  </si>
  <si>
    <t>3350</t>
  </si>
  <si>
    <t>3350（射阳汇智）</t>
  </si>
  <si>
    <t>4370</t>
  </si>
  <si>
    <t>4370（通榆远通）【已出售】</t>
  </si>
  <si>
    <t>1040</t>
  </si>
  <si>
    <t>1040（灵璧）【已出售】</t>
  </si>
  <si>
    <t>2301</t>
  </si>
  <si>
    <t>2301（定远远丰）【已出售】</t>
  </si>
  <si>
    <t>2301（定远万家-储能）</t>
  </si>
  <si>
    <t>2301（定远万家-风电）</t>
  </si>
  <si>
    <t>3660</t>
  </si>
  <si>
    <t>3660（巴彦淖尔-乌拉特）</t>
  </si>
  <si>
    <t>1050（天创江阴分布式）</t>
  </si>
  <si>
    <t>3690</t>
  </si>
  <si>
    <t>3690 武川-风电【已出售】</t>
  </si>
  <si>
    <t>3690 武川-储能【已出售】</t>
  </si>
  <si>
    <t>2313</t>
  </si>
  <si>
    <t>2313 伊旗-风电【已出售】</t>
  </si>
  <si>
    <t>2313 伊旗-储能【已出售】</t>
  </si>
  <si>
    <t>2600</t>
  </si>
  <si>
    <t>2600 安徽砀山【已出售】</t>
  </si>
  <si>
    <t>2317</t>
  </si>
  <si>
    <t>钦州灵山-储能</t>
  </si>
  <si>
    <t>钦州灵山-风电</t>
  </si>
  <si>
    <t>内蒙鄂尔多斯分散式-储能</t>
  </si>
  <si>
    <t>内蒙鄂尔多斯分散式-风电</t>
  </si>
  <si>
    <t>内蒙伊旗风光储-储能</t>
  </si>
  <si>
    <t>内蒙伊旗风光储-风电</t>
  </si>
  <si>
    <t>2323</t>
  </si>
  <si>
    <t>钦州一期【23出售】</t>
  </si>
  <si>
    <t>钦州二期【23出售】</t>
  </si>
  <si>
    <t>2016</t>
  </si>
  <si>
    <t>2311</t>
  </si>
  <si>
    <t>广西西乌【已出售】</t>
  </si>
  <si>
    <t>2315</t>
  </si>
  <si>
    <t>陆川二期【已出售】</t>
  </si>
  <si>
    <t>3303</t>
  </si>
  <si>
    <t>民勤A区【23出售】</t>
  </si>
  <si>
    <t>3301</t>
  </si>
  <si>
    <t>民勤B区【23出售】</t>
  </si>
  <si>
    <t>3302</t>
  </si>
  <si>
    <t>民勤C区【23出售】</t>
  </si>
  <si>
    <t>3100</t>
  </si>
  <si>
    <t>耐克</t>
  </si>
  <si>
    <t>2026</t>
  </si>
  <si>
    <t>河南濮阳台前-风电【23出售】</t>
  </si>
  <si>
    <t>河南濮阳台前-储能【23出售】</t>
  </si>
  <si>
    <t>3640</t>
  </si>
  <si>
    <t>内蒙清水河【23出售】</t>
  </si>
  <si>
    <t>4030</t>
  </si>
  <si>
    <t>定边白兴庄-储能</t>
  </si>
  <si>
    <t>定边白兴庄-风电</t>
  </si>
  <si>
    <t>4020</t>
  </si>
  <si>
    <t>定边王家梁-储能</t>
  </si>
  <si>
    <t>定边王家梁-风电</t>
  </si>
  <si>
    <t>2319</t>
  </si>
  <si>
    <t>定远万家-风电</t>
  </si>
  <si>
    <t>2318</t>
  </si>
  <si>
    <t>3314</t>
  </si>
  <si>
    <t>江西高安-储能</t>
  </si>
  <si>
    <t>江西高安-风电</t>
  </si>
  <si>
    <t>3315</t>
  </si>
  <si>
    <t>滨州北海-储能</t>
  </si>
  <si>
    <t>2316</t>
  </si>
  <si>
    <t>内蒙赤峰零碳氢氨-赤峰元宝山-光伏</t>
  </si>
  <si>
    <t>3318</t>
  </si>
  <si>
    <t>新疆巴里坤【23出售】</t>
  </si>
  <si>
    <t>2346</t>
  </si>
  <si>
    <t>13857</t>
  </si>
  <si>
    <t>2351</t>
  </si>
  <si>
    <t>4570</t>
  </si>
  <si>
    <t>3308</t>
  </si>
  <si>
    <t>3307</t>
  </si>
  <si>
    <t>2058</t>
  </si>
  <si>
    <t>2057</t>
  </si>
  <si>
    <t>钦南东场枫木山</t>
  </si>
  <si>
    <t>华西村特种化纤厂/菏泽国电投/大唐灵武</t>
  </si>
  <si>
    <t>外部EPC</t>
  </si>
  <si>
    <t>靖边县状泽国鸿/吐哈油田/菏泽国电投/大唐灵武</t>
  </si>
  <si>
    <t>鸡泽</t>
  </si>
  <si>
    <t>钢材销售</t>
  </si>
  <si>
    <t>大宗商品_钢材_民勤40套</t>
  </si>
  <si>
    <t>天能重工（广东）</t>
  </si>
  <si>
    <t>大宗商品_钢材_巴彦淖尔86套</t>
  </si>
  <si>
    <t>大宗商品_钢材_苍南2号海上风电36套</t>
  </si>
  <si>
    <t>大宗商品_钢材_龙源射阳28套</t>
  </si>
  <si>
    <t>大宗商品_钢材_陆川二期11套</t>
  </si>
  <si>
    <t>大宗商品_钢材_清水河4套</t>
  </si>
  <si>
    <t>包头泰胜</t>
  </si>
  <si>
    <t>大宗商品_钢材_巴彦淖尔-泰胜</t>
  </si>
  <si>
    <t>大宗商品_钢材_灵山</t>
  </si>
  <si>
    <t>大宗商品_钢材_台前-分片式</t>
  </si>
  <si>
    <t>大宗商品_钢材_中广核青海冷湖</t>
  </si>
  <si>
    <t>大宗商品_钢材_蒙能四子王旗</t>
  </si>
  <si>
    <t>大宗商品_钢材_蒙能四子王旗_武晓</t>
  </si>
  <si>
    <t xml:space="preserve">大宗商品_钢材_老挝Monsoon项目_重山 </t>
  </si>
  <si>
    <t>大宗商品_钢材_国华山东海上项目中车</t>
  </si>
  <si>
    <t>大宗商品_钢材_交投平泉项目</t>
  </si>
  <si>
    <t>大宗商品_钢材_老挝Monsoon项目_海力</t>
  </si>
  <si>
    <t>大宗商品_钢材_老挝Monsoon项目_泰胜</t>
  </si>
  <si>
    <t>大宗商品_钢材_国华山东海上项目_大金</t>
  </si>
  <si>
    <t>大宗商品_钢材_台前-混塔钢段</t>
  </si>
  <si>
    <t>大宗商品_钢材_国华山东海上项目_天能</t>
  </si>
  <si>
    <t>大宗商品_钢材_国华山东海上项目_泰胜</t>
  </si>
  <si>
    <t>大宗商品_钢材_国华山东海上项目_海力</t>
  </si>
  <si>
    <t>大宗商品_钢材_乌兹别克斯坦_包钢</t>
  </si>
  <si>
    <t>大宗商品_钢材_蒙能四子王旗项目_特变25套</t>
  </si>
  <si>
    <t>大宗商品_钢材_乌兹别克斯坦_首钢</t>
  </si>
  <si>
    <t>大宗商品_钢材_XTXG样机</t>
  </si>
  <si>
    <t>大宗商品_钢材_蒙能四子王旗项目_泰胜</t>
  </si>
  <si>
    <t>大宗商品_钢材_华润佳木斯项目_泰胜</t>
  </si>
  <si>
    <t>大宗商品_钢材_赤峰元宝山项目-10套</t>
  </si>
  <si>
    <t>大宗商品_钢材_赤峰元宝山项目-5套</t>
  </si>
  <si>
    <t>大宗商品_钢材_化德30套项目</t>
  </si>
  <si>
    <t>大宗商品_钢材_民勤项目_武晓</t>
  </si>
  <si>
    <t>大宗商品_钢材_哈密巴里坤项目_天能（正火板）</t>
  </si>
  <si>
    <t>大宗商品_钢材_化德36套项目</t>
  </si>
  <si>
    <t>大宗商品_钢材_哈密巴里坤项目_泰胜</t>
  </si>
  <si>
    <t>大宗商品_钢材_哈密巴里坤项目_天能11套</t>
  </si>
  <si>
    <t>大宗商品_钢材_哈密巴里坤项目_天能10套</t>
  </si>
  <si>
    <t>大宗商品_钢材_安徽定远项目分片_12套</t>
  </si>
  <si>
    <t>大宗商品_钢材_化德40套项目</t>
  </si>
  <si>
    <t>大宗商品_钢材_安徽定远项目分片_6套（天能）</t>
  </si>
  <si>
    <t>大宗商品_钢材_哈密巴里坤项目_特变15套</t>
  </si>
  <si>
    <t>大宗商品_钢材_哈密巴里坤项目_特变10套</t>
  </si>
  <si>
    <t>大宗商品_钢材_中广核若羌项目_特变</t>
  </si>
  <si>
    <t>大宗商品_钢材_中广核若羌项目_泰胜24套</t>
  </si>
  <si>
    <t>大宗商品_钢材_中广核若羌项目_泰胜20套</t>
  </si>
  <si>
    <t>大宗商品_钢材_中广核若羌项目_泰胜6套</t>
  </si>
  <si>
    <t>大宗商品_钢材_中广核若羌项目_泰胜4套</t>
  </si>
  <si>
    <t>大宗商品_钢材_中广核若羌项目_泰胜30套</t>
  </si>
  <si>
    <t>大宗商品_钢材_宁夏西吉偏乡项目</t>
  </si>
  <si>
    <t>大宗商品_钢材_蒙能四子王旗项目_天能1套</t>
  </si>
  <si>
    <t>大宗商品_钢材_乌兹_天能22套项目</t>
  </si>
  <si>
    <t>大宗商品_钢材_乌兹_天能22套项目（正火板）</t>
  </si>
  <si>
    <t>大宗商品_钢材_乌兹_天能26套项目</t>
  </si>
  <si>
    <t>大宗商品_钢材_化德1套分片项目_特变</t>
  </si>
  <si>
    <t>大宗商品_钢材_老挝Monsoon项目_泰胜16套</t>
  </si>
  <si>
    <t>大宗商品_钢材_老挝重塔8套项目</t>
  </si>
  <si>
    <t>大宗商品_钢材_阿塞拜疆_泰胜21套</t>
  </si>
  <si>
    <t>大宗商品_钢材_中核新源_特变</t>
  </si>
  <si>
    <t>大宗商品_钢材_阿联酋项目_泰胜14套</t>
  </si>
  <si>
    <t>大宗商品_钢材_榆林状泽项目_14套</t>
  </si>
  <si>
    <t>大宗商品_钢材_榆林状泽项目_4套</t>
  </si>
  <si>
    <t>大宗商品_钢材_阿联酋前13套复用台前+南钢钢板</t>
  </si>
  <si>
    <t>大宗商品_钢材_中广核若羌项目_特变（正火板）</t>
  </si>
  <si>
    <t>大宗商品_钢材_伊旗项目_泰胜41套</t>
  </si>
  <si>
    <t>大宗商品_钢材_寰泰哈萨克项目_前16套</t>
  </si>
  <si>
    <t>大宗商品_钢材_寰泰哈萨克项目_24套（正火板）</t>
  </si>
  <si>
    <t>大宗商品_钢材_还老挝Monsoon项目_泰胜13套钢板（3 段）</t>
  </si>
  <si>
    <t>大宗商品_钢材_广东甲东项目</t>
  </si>
  <si>
    <t>大宗商品_钢材_康熙岭项目_4套</t>
  </si>
  <si>
    <t>法兰销售</t>
  </si>
  <si>
    <t>大宗商品_法兰</t>
  </si>
  <si>
    <t>三峡新能源云南姚安运维项目</t>
  </si>
  <si>
    <t>备品备件</t>
  </si>
  <si>
    <t>运维服务</t>
  </si>
  <si>
    <t>九洲可研合同</t>
  </si>
  <si>
    <t>中国电建</t>
  </si>
  <si>
    <t>华润新能源（睢宁）有限公司</t>
  </si>
  <si>
    <t>山东泓德</t>
  </si>
  <si>
    <t>徐州朗臻</t>
  </si>
  <si>
    <t>华润新能源（邳州）有限公司</t>
  </si>
  <si>
    <t>青海油田</t>
  </si>
  <si>
    <t>广西汉锐</t>
  </si>
  <si>
    <t>河北馆陶运维服务</t>
  </si>
  <si>
    <t>2006</t>
  </si>
  <si>
    <t>储能项目</t>
  </si>
  <si>
    <t>乌兰察布-察哈尔</t>
  </si>
  <si>
    <t>咨询服务</t>
  </si>
  <si>
    <t>消缺服务</t>
  </si>
  <si>
    <t>J016远景远智</t>
  </si>
  <si>
    <t>1000</t>
  </si>
  <si>
    <t>远景能源</t>
  </si>
  <si>
    <t>3530</t>
  </si>
  <si>
    <t>泰旌</t>
  </si>
  <si>
    <t>2060</t>
  </si>
  <si>
    <t>射阳</t>
  </si>
  <si>
    <t>营业收入合计</t>
  </si>
  <si>
    <t>利息</t>
  </si>
  <si>
    <t>景泰</t>
  </si>
  <si>
    <t>能源</t>
  </si>
  <si>
    <t>河北</t>
  </si>
  <si>
    <t>其他</t>
  </si>
  <si>
    <t>清湾差异</t>
  </si>
  <si>
    <t>申报收入比账面收入少1404万元，其中建安收入-1511.7万元用于弥补丰宁13期和成武倒冲收入，设计收入-65.3万元用于弥补合浦倒冲收入；绿港-18.1万为锚栓报废应计入资产损失，账务将于202102反冲，税务不处理；合浦+190万元中45万元为13期确认收入，145万元错误多开票</t>
  </si>
  <si>
    <t>申报收较账面收入少327.89万元，其中256.26万为吉县13期确认收入，2月确认申报导致；18.17万元为绿港报废锚栓，应计资产损失，税务不处理；-602.32万元为成武一期13期收入差异</t>
  </si>
  <si>
    <t>申报收入较账面收入少1097万元，其中-145.69万元为合浦红冲发票；-347.67万元为龙江冲减预开票；-605万元为13期收入（牟平二期、濉溪二期和永福二期）</t>
  </si>
  <si>
    <t>申报收入较账面收入少1018万元，系馆陶、绥滨、丰宁、吉县调减13期收入1018万元</t>
  </si>
  <si>
    <t>申报收入较账面收入少3896万元，-784万系龙江项目20年预开票交税，本月确认收入不交税；22万系华润（睢宁）预开票导致;-3134万系丰宁13期调整</t>
  </si>
  <si>
    <t>申报收入较账面收入少1209万元，其中丰宁收入系13期调整原因为-584万元；龙江为20年预开票原因，收入不再确认-602万元；华润（雎宁）为21年预开票，不再确认收入-23万元；馆陶将4月一期倒冲13期销项调整至二期</t>
  </si>
  <si>
    <t>申报收入较账面收入少100.37万元，系龙江项目20年预开票，本月确认收入</t>
  </si>
  <si>
    <t>多开了一张发票（远景），10月红冲</t>
  </si>
  <si>
    <t>9月多开了一张发票于10月红冲</t>
  </si>
  <si>
    <t>申报收入</t>
  </si>
  <si>
    <t>1300（牟平）</t>
  </si>
  <si>
    <t>2440（绿港)</t>
  </si>
  <si>
    <t>所属期</t>
  </si>
  <si>
    <t>涉税类别</t>
  </si>
  <si>
    <t>已开票</t>
  </si>
  <si>
    <t>未开票</t>
  </si>
  <si>
    <t>不含税金额</t>
  </si>
  <si>
    <t>税额</t>
  </si>
  <si>
    <t>工程建设</t>
  </si>
  <si>
    <t>设计服务</t>
  </si>
  <si>
    <t>日期</t>
  </si>
  <si>
    <t>商品销售（13%）</t>
  </si>
  <si>
    <t>建筑安装（9%）</t>
  </si>
  <si>
    <t>设计服务（6%）</t>
  </si>
  <si>
    <t>汇总</t>
  </si>
  <si>
    <t>帐税差异</t>
  </si>
  <si>
    <t>差异分析</t>
  </si>
  <si>
    <t>增值税申报收入</t>
  </si>
  <si>
    <t>调整5月数据，为了全年累计收入和销项税金额和账面对上</t>
  </si>
  <si>
    <t>DHL项目8月只确认了销项，没确认收入，和大业项目预开票金额确认申报</t>
  </si>
  <si>
    <t>大业项目预开票金额冲回10730530.06，综能项目预开票收入申报395103.89，五河项目融资设备预开票金额159050800.11</t>
  </si>
  <si>
    <t>大业项目预开票金额冲回124130974.37，综能项目预开票收入冲回395103.89，五河项目融资设备预开票冲回159050800.11</t>
  </si>
  <si>
    <t>资产负债表-单体</t>
  </si>
  <si>
    <t>编制单位：上海睿景能源科技有限公司</t>
  </si>
  <si>
    <t>编制时间：2025.01</t>
  </si>
  <si>
    <t>项目</t>
  </si>
  <si>
    <t>行</t>
  </si>
  <si>
    <t>年初数</t>
  </si>
  <si>
    <t>累计发生数</t>
  </si>
  <si>
    <t>流动资产：</t>
  </si>
  <si>
    <t>流动负债：</t>
  </si>
  <si>
    <t xml:space="preserve">    货币资金</t>
  </si>
  <si>
    <t xml:space="preserve">    短期借款</t>
  </si>
  <si>
    <t xml:space="preserve">    交易性金融资产</t>
  </si>
  <si>
    <t xml:space="preserve">    衍生金融负债</t>
  </si>
  <si>
    <t xml:space="preserve">    衍生金融资产</t>
  </si>
  <si>
    <t xml:space="preserve">   应付票据</t>
  </si>
  <si>
    <t xml:space="preserve">    应收票据</t>
  </si>
  <si>
    <t xml:space="preserve">   应付账款</t>
  </si>
  <si>
    <t xml:space="preserve">    应收账款</t>
  </si>
  <si>
    <t xml:space="preserve">   预收款项</t>
  </si>
  <si>
    <t xml:space="preserve">    应收款项融资</t>
  </si>
  <si>
    <t xml:space="preserve">   合同负债</t>
  </si>
  <si>
    <t xml:space="preserve">    预付款项</t>
  </si>
  <si>
    <t xml:space="preserve">   应付职工薪酬</t>
  </si>
  <si>
    <t xml:space="preserve">    应收利息</t>
  </si>
  <si>
    <t xml:space="preserve">   应交税费</t>
  </si>
  <si>
    <t xml:space="preserve">    应收股利</t>
  </si>
  <si>
    <t xml:space="preserve">   应付利息</t>
  </si>
  <si>
    <t xml:space="preserve">    其他应收款</t>
  </si>
  <si>
    <t xml:space="preserve">    存货</t>
  </si>
  <si>
    <t xml:space="preserve">   应付股利</t>
  </si>
  <si>
    <t xml:space="preserve">    合同资产</t>
  </si>
  <si>
    <t xml:space="preserve">   其他应付款</t>
  </si>
  <si>
    <t xml:space="preserve">    一年内到期的非流动资产</t>
  </si>
  <si>
    <t xml:space="preserve">   递延收益</t>
  </si>
  <si>
    <t xml:space="preserve">    其他流动资产</t>
  </si>
  <si>
    <t xml:space="preserve">   一年内到期的非流动负债</t>
  </si>
  <si>
    <t>流动资产合计</t>
  </si>
  <si>
    <t xml:space="preserve">   其他流动负债</t>
  </si>
  <si>
    <t>非流动资产：</t>
  </si>
  <si>
    <t>流动负债合计</t>
  </si>
  <si>
    <t xml:space="preserve">     其他权益工具投资 </t>
  </si>
  <si>
    <t>非流动负债：</t>
  </si>
  <si>
    <t xml:space="preserve">     债权投资</t>
  </si>
  <si>
    <t xml:space="preserve">    长期借款</t>
  </si>
  <si>
    <t xml:space="preserve">     长期应收款</t>
  </si>
  <si>
    <t xml:space="preserve">    应付债券</t>
  </si>
  <si>
    <t xml:space="preserve">     长期股权投资</t>
  </si>
  <si>
    <t xml:space="preserve">    租赁负债</t>
  </si>
  <si>
    <t xml:space="preserve">     其他非流动金融资产</t>
  </si>
  <si>
    <t xml:space="preserve">    长期应付款</t>
  </si>
  <si>
    <t xml:space="preserve">     投资性房地产</t>
  </si>
  <si>
    <t xml:space="preserve">    专项应付款</t>
  </si>
  <si>
    <t xml:space="preserve">     固定资产-原值</t>
  </si>
  <si>
    <t xml:space="preserve">    预计负债</t>
  </si>
  <si>
    <t xml:space="preserve">     减：累计折旧</t>
  </si>
  <si>
    <t xml:space="preserve">    递延所得税负债</t>
  </si>
  <si>
    <t xml:space="preserve">     减：固定资产减值准备</t>
  </si>
  <si>
    <t xml:space="preserve">    其他非流动负债</t>
  </si>
  <si>
    <t xml:space="preserve">     固定资产净值</t>
  </si>
  <si>
    <t>非流动负债合计</t>
  </si>
  <si>
    <t xml:space="preserve">     在建工程</t>
  </si>
  <si>
    <t xml:space="preserve">     使用权资产-原值</t>
  </si>
  <si>
    <t xml:space="preserve">     减：使用权资产-累计折旧</t>
  </si>
  <si>
    <t>负债合计</t>
  </si>
  <si>
    <t xml:space="preserve">     使用权资产-净值</t>
  </si>
  <si>
    <t xml:space="preserve">   无形资产</t>
  </si>
  <si>
    <t>所有者权益（股东权益）</t>
  </si>
  <si>
    <t xml:space="preserve">   开发支出</t>
  </si>
  <si>
    <t xml:space="preserve">    实收资本</t>
  </si>
  <si>
    <t xml:space="preserve">   商誉</t>
  </si>
  <si>
    <t xml:space="preserve">    资本公积</t>
  </si>
  <si>
    <t xml:space="preserve">   长期待摊费用</t>
  </si>
  <si>
    <t xml:space="preserve">   盈余公积</t>
  </si>
  <si>
    <t xml:space="preserve">   递延所得税资产</t>
  </si>
  <si>
    <t xml:space="preserve">   其他综合收益</t>
  </si>
  <si>
    <t xml:space="preserve">   其他非流动资产</t>
  </si>
  <si>
    <t xml:space="preserve">   未分配利润</t>
  </si>
  <si>
    <t>非流动资产合计</t>
  </si>
  <si>
    <t>所有者权益（或股东权益）合计</t>
  </si>
  <si>
    <t>资产总计</t>
  </si>
  <si>
    <t>负债和所有者权益总计</t>
  </si>
  <si>
    <t>编制时间：2025.02</t>
  </si>
  <si>
    <t>编制时间：2025.03</t>
  </si>
  <si>
    <t>编制时间：2025.04</t>
  </si>
  <si>
    <t>编制时间：2025.05</t>
  </si>
  <si>
    <t>编制时间：2025.06</t>
  </si>
  <si>
    <t>编制时间：2025.07</t>
  </si>
  <si>
    <t>编制时间：2025.08</t>
  </si>
  <si>
    <t>编制时间：2025.09</t>
  </si>
  <si>
    <t>编制时间：2025.10</t>
  </si>
  <si>
    <t>编制时间：2025.11</t>
  </si>
  <si>
    <t>编制时间：2025.12</t>
  </si>
  <si>
    <t>利润表-单体</t>
  </si>
  <si>
    <t>当期时间</t>
  </si>
  <si>
    <t>本期发生额</t>
  </si>
  <si>
    <t>累计发生额</t>
  </si>
  <si>
    <t>上月累计发生额</t>
  </si>
  <si>
    <t>当前月份</t>
  </si>
  <si>
    <t>一、营业总收入</t>
  </si>
  <si>
    <t>销项</t>
  </si>
  <si>
    <t>已开票收入</t>
  </si>
  <si>
    <t>已开票销项</t>
  </si>
  <si>
    <t>其中：营业收入</t>
  </si>
  <si>
    <t>主营业务收入</t>
  </si>
  <si>
    <t>其他业务收入</t>
  </si>
  <si>
    <t>二：营业总成本</t>
  </si>
  <si>
    <t>其中：营业成本</t>
  </si>
  <si>
    <t>主营业务成本</t>
  </si>
  <si>
    <t>其他业务成本</t>
  </si>
  <si>
    <t>营业税金及附加</t>
  </si>
  <si>
    <t>申报金额</t>
  </si>
  <si>
    <t>申报税金</t>
  </si>
  <si>
    <t>销售费用</t>
  </si>
  <si>
    <t>管理费用</t>
  </si>
  <si>
    <t>销售费用（新）</t>
  </si>
  <si>
    <t>管理费用（新）</t>
  </si>
  <si>
    <t>研发费用</t>
  </si>
  <si>
    <t>合计：</t>
  </si>
  <si>
    <t>财务费用</t>
  </si>
  <si>
    <t>投资收益（损失以“-”号填列）</t>
  </si>
  <si>
    <t>净敞口套期收益（亏损以“－”号填列）</t>
  </si>
  <si>
    <t>公允价值变动损益</t>
  </si>
  <si>
    <t>信用减值损失</t>
  </si>
  <si>
    <t>资产减值损失</t>
  </si>
  <si>
    <t>资产处置收益（损失以“-”号填列）</t>
  </si>
  <si>
    <t>三、营业利润（亏损以“－”号填列）</t>
  </si>
  <si>
    <t>加：营业外收入</t>
  </si>
  <si>
    <t>减：营业外支出</t>
  </si>
  <si>
    <t>四、利润总额（亏损总额以“－”号填列）</t>
  </si>
  <si>
    <t>减：所得税费用以“－”号填列）</t>
  </si>
  <si>
    <t>五、净利润（净亏损以“－”号填列）</t>
  </si>
  <si>
    <t>一、营业收入</t>
  </si>
  <si>
    <t xml:space="preserve">    其中：营业收入</t>
  </si>
  <si>
    <t xml:space="preserve">      其他业务收入</t>
  </si>
  <si>
    <t xml:space="preserve">    其中：营业成本</t>
  </si>
  <si>
    <t xml:space="preserve">      主营业务成本</t>
  </si>
  <si>
    <t xml:space="preserve">      其他业务成本</t>
  </si>
  <si>
    <t xml:space="preserve">    营业税金及附加</t>
  </si>
  <si>
    <t xml:space="preserve">    销售费用</t>
  </si>
  <si>
    <t xml:space="preserve">    管理费用</t>
  </si>
  <si>
    <t xml:space="preserve">    研发费用</t>
  </si>
  <si>
    <t>公允价值变动收益</t>
  </si>
  <si>
    <t>信用减值损失（亏损以“－”号填列）</t>
  </si>
  <si>
    <t>三、营业利润</t>
  </si>
  <si>
    <t xml:space="preserve">    加：营业外收入</t>
  </si>
  <si>
    <t xml:space="preserve">    减：营业外支出</t>
  </si>
  <si>
    <t xml:space="preserve">   减：所得税费用</t>
  </si>
  <si>
    <t>账面申报金额</t>
  </si>
  <si>
    <t>账面申报税金</t>
  </si>
  <si>
    <t>大业EPC项目预开票金额</t>
  </si>
  <si>
    <t>大业EPC项目预开票税金</t>
  </si>
  <si>
    <t>DHL预开票金额</t>
  </si>
  <si>
    <t>实际申报金额</t>
  </si>
  <si>
    <t>实际申报税金</t>
  </si>
  <si>
    <t>五河项目融资设备预开票金额</t>
  </si>
  <si>
    <t>五河项目融资设备预开票税金</t>
  </si>
  <si>
    <t>综能项目预开票金额</t>
  </si>
  <si>
    <t>大业EPC项目预开票冲回金额</t>
  </si>
  <si>
    <t>大业EPC项目预开票冲回税金</t>
  </si>
  <si>
    <t>账面金额</t>
  </si>
  <si>
    <t>账面税金</t>
  </si>
  <si>
    <t>五河项目融资设备预开票冲回金额</t>
  </si>
  <si>
    <t>五河项目融资设备预开票冲回税金税金</t>
  </si>
  <si>
    <t>综能项目预开票冲回金额</t>
  </si>
  <si>
    <r>
      <rPr>
        <b/>
        <sz val="13"/>
        <rFont val="SimSun"/>
        <charset val="134"/>
      </rPr>
      <t>现金流量表</t>
    </r>
  </si>
  <si>
    <r>
      <rPr>
        <b/>
        <sz val="8"/>
        <rFont val="SimSun"/>
        <charset val="134"/>
      </rPr>
      <t>(适用执行企业会计制度的企业)</t>
    </r>
  </si>
  <si>
    <r>
      <rPr>
        <b/>
        <sz val="7"/>
        <rFont val="SimSun"/>
        <charset val="134"/>
      </rPr>
      <t>纳税人识别号：</t>
    </r>
  </si>
  <si>
    <r>
      <rPr>
        <b/>
        <sz val="7"/>
        <rFont val="SimSun"/>
        <charset val="134"/>
      </rPr>
      <t>报表所属期：</t>
    </r>
  </si>
  <si>
    <r>
      <rPr>
        <b/>
        <sz val="7"/>
        <rFont val="SimSun"/>
        <charset val="134"/>
      </rPr>
      <t>至</t>
    </r>
  </si>
  <si>
    <r>
      <rPr>
        <b/>
        <sz val="7"/>
        <rFont val="SimSun"/>
        <charset val="134"/>
      </rPr>
      <t>纳税人名称：</t>
    </r>
  </si>
  <si>
    <r>
      <rPr>
        <b/>
        <sz val="7"/>
        <rFont val="SimSun"/>
        <charset val="134"/>
      </rPr>
      <t>上海睿景能源科技有限公司</t>
    </r>
  </si>
  <si>
    <r>
      <rPr>
        <b/>
        <sz val="7"/>
        <rFont val="SimSun"/>
        <charset val="134"/>
      </rPr>
      <t>填报日期：</t>
    </r>
  </si>
  <si>
    <r>
      <rPr>
        <b/>
        <sz val="7"/>
        <rFont val="SimSun"/>
        <charset val="134"/>
      </rPr>
      <t>单位：元</t>
    </r>
  </si>
  <si>
    <r>
      <rPr>
        <b/>
        <sz val="7"/>
        <rFont val="SimSun"/>
        <charset val="134"/>
      </rPr>
      <t>项目</t>
    </r>
  </si>
  <si>
    <r>
      <rPr>
        <b/>
        <sz val="7"/>
        <rFont val="SimSun"/>
        <charset val="134"/>
      </rPr>
      <t>行次</t>
    </r>
  </si>
  <si>
    <r>
      <rPr>
        <b/>
        <sz val="7"/>
        <rFont val="SimSun"/>
        <charset val="134"/>
      </rPr>
      <t>金额</t>
    </r>
  </si>
  <si>
    <r>
      <rPr>
        <b/>
        <sz val="7"/>
        <rFont val="SimSun"/>
        <charset val="134"/>
      </rPr>
      <t>一、经营活动产生的现金流量：</t>
    </r>
  </si>
  <si>
    <r>
      <rPr>
        <b/>
        <sz val="7"/>
        <rFont val="SimSun"/>
        <charset val="134"/>
      </rPr>
      <t>销售商品、提供劳务收到的现金</t>
    </r>
  </si>
  <si>
    <r>
      <rPr>
        <b/>
        <sz val="7"/>
        <rFont val="SimSun"/>
        <charset val="134"/>
      </rPr>
      <t>收到的税费返还</t>
    </r>
  </si>
  <si>
    <r>
      <rPr>
        <b/>
        <sz val="7"/>
        <rFont val="SimSun"/>
        <charset val="134"/>
      </rPr>
      <t>收到的其他与经营活动有关的现金</t>
    </r>
  </si>
  <si>
    <r>
      <rPr>
        <b/>
        <sz val="7"/>
        <rFont val="SimSun"/>
        <charset val="134"/>
      </rPr>
      <t>现金流入小计</t>
    </r>
  </si>
  <si>
    <r>
      <rPr>
        <b/>
        <sz val="7"/>
        <rFont val="SimSun"/>
        <charset val="134"/>
      </rPr>
      <t>购买商品、接受劳务支付的现金</t>
    </r>
  </si>
  <si>
    <r>
      <rPr>
        <b/>
        <sz val="7"/>
        <rFont val="SimSun"/>
        <charset val="134"/>
      </rPr>
      <t>支付给职工以及为职工支付的现金</t>
    </r>
  </si>
  <si>
    <r>
      <rPr>
        <b/>
        <sz val="7"/>
        <rFont val="SimSun"/>
        <charset val="134"/>
      </rPr>
      <t>支付的各项税费</t>
    </r>
  </si>
  <si>
    <r>
      <rPr>
        <b/>
        <sz val="7"/>
        <rFont val="SimSun"/>
        <charset val="134"/>
      </rPr>
      <t>支付的其他与经营活动有关的现金</t>
    </r>
  </si>
  <si>
    <r>
      <rPr>
        <b/>
        <sz val="7"/>
        <rFont val="SimSun"/>
        <charset val="134"/>
      </rPr>
      <t>现金流出小计</t>
    </r>
  </si>
  <si>
    <r>
      <rPr>
        <b/>
        <sz val="7"/>
        <rFont val="SimSun"/>
        <charset val="134"/>
      </rPr>
      <t>经营活动产生的现金流量净额</t>
    </r>
  </si>
  <si>
    <r>
      <rPr>
        <b/>
        <sz val="7"/>
        <rFont val="SimSun"/>
        <charset val="134"/>
      </rPr>
      <t>二、投资活动产生的现金流量：</t>
    </r>
  </si>
  <si>
    <r>
      <rPr>
        <b/>
        <sz val="7"/>
        <rFont val="SimSun"/>
        <charset val="134"/>
      </rPr>
      <t>收回投资所收到的现金</t>
    </r>
  </si>
  <si>
    <r>
      <rPr>
        <b/>
        <sz val="7"/>
        <rFont val="SimSun"/>
        <charset val="134"/>
      </rPr>
      <t>取得投资收益所收到的现金</t>
    </r>
  </si>
  <si>
    <r>
      <rPr>
        <b/>
        <sz val="7"/>
        <rFont val="SimSun"/>
        <charset val="134"/>
      </rPr>
      <t>处置固定资产、无形资产和其他长期资产所收回的现金净额</t>
    </r>
  </si>
  <si>
    <r>
      <rPr>
        <b/>
        <sz val="7"/>
        <rFont val="SimSun"/>
        <charset val="134"/>
      </rPr>
      <t>收到的其他与投资活动有关的现金</t>
    </r>
  </si>
  <si>
    <r>
      <rPr>
        <b/>
        <sz val="7"/>
        <rFont val="SimSun"/>
        <charset val="134"/>
      </rPr>
      <t>购建固定资产、无形资产和其他长期资产所支付的现金</t>
    </r>
  </si>
  <si>
    <r>
      <rPr>
        <b/>
        <sz val="7"/>
        <rFont val="SimSun"/>
        <charset val="134"/>
      </rPr>
      <t>投资所支付的现金</t>
    </r>
  </si>
  <si>
    <r>
      <rPr>
        <b/>
        <sz val="7"/>
        <rFont val="SimSun"/>
        <charset val="134"/>
      </rPr>
      <t>支付的其他与投资活动有关的现金</t>
    </r>
  </si>
  <si>
    <r>
      <rPr>
        <b/>
        <sz val="7"/>
        <rFont val="SimSun"/>
        <charset val="134"/>
      </rPr>
      <t>投资活动产生的现金流量净额</t>
    </r>
  </si>
  <si>
    <r>
      <rPr>
        <b/>
        <sz val="7"/>
        <rFont val="SimSun"/>
        <charset val="134"/>
      </rPr>
      <t>三、筹资活动产生的现金流量：</t>
    </r>
  </si>
  <si>
    <r>
      <rPr>
        <b/>
        <sz val="7"/>
        <rFont val="SimSun"/>
        <charset val="134"/>
      </rPr>
      <t>吸收投资所收到的现金</t>
    </r>
  </si>
  <si>
    <r>
      <rPr>
        <b/>
        <sz val="7"/>
        <rFont val="SimSun"/>
        <charset val="134"/>
      </rPr>
      <t>借款所收到的现金</t>
    </r>
  </si>
  <si>
    <r>
      <rPr>
        <b/>
        <sz val="7"/>
        <rFont val="SimSun"/>
        <charset val="134"/>
      </rPr>
      <t>收到的其他与筹资活动有关的现金</t>
    </r>
  </si>
  <si>
    <r>
      <rPr>
        <b/>
        <sz val="7"/>
        <rFont val="SimSun"/>
        <charset val="134"/>
      </rPr>
      <t>偿还债务所支付的现金</t>
    </r>
  </si>
  <si>
    <r>
      <rPr>
        <b/>
        <sz val="7"/>
        <rFont val="SimSun"/>
        <charset val="134"/>
      </rPr>
      <t>分配股利、利润或偿付利息所支付的现金</t>
    </r>
  </si>
  <si>
    <r>
      <rPr>
        <b/>
        <sz val="7"/>
        <rFont val="SimSun"/>
        <charset val="134"/>
      </rPr>
      <t>支付的其他与筹资活动有关的现金</t>
    </r>
  </si>
  <si>
    <r>
      <rPr>
        <b/>
        <sz val="7"/>
        <rFont val="SimSun"/>
        <charset val="134"/>
      </rPr>
      <t>筹资活动产生的现金流量净额</t>
    </r>
  </si>
  <si>
    <r>
      <rPr>
        <b/>
        <sz val="7"/>
        <rFont val="SimSun"/>
        <charset val="134"/>
      </rPr>
      <t>四、汇率变动对现金的影响</t>
    </r>
  </si>
  <si>
    <r>
      <rPr>
        <b/>
        <sz val="7"/>
        <rFont val="SimSun"/>
        <charset val="134"/>
      </rPr>
      <t>五、现金及现金等价物净增加额</t>
    </r>
  </si>
  <si>
    <r>
      <rPr>
        <b/>
        <sz val="7"/>
        <rFont val="SimSun"/>
        <charset val="134"/>
      </rPr>
      <t>补充资料</t>
    </r>
  </si>
  <si>
    <t>金额</t>
  </si>
  <si>
    <r>
      <rPr>
        <b/>
        <sz val="7"/>
        <rFont val="SimSun"/>
        <charset val="134"/>
      </rPr>
      <t>1．将净利润调节为经营活动现金流量：</t>
    </r>
  </si>
  <si>
    <r>
      <rPr>
        <b/>
        <sz val="7"/>
        <rFont val="SimSun"/>
        <charset val="134"/>
      </rPr>
      <t>净利润</t>
    </r>
  </si>
  <si>
    <r>
      <rPr>
        <b/>
        <sz val="7"/>
        <rFont val="SimSun"/>
        <charset val="134"/>
      </rPr>
      <t>加:计提的资产减值准备</t>
    </r>
  </si>
  <si>
    <r>
      <rPr>
        <b/>
        <sz val="7"/>
        <rFont val="SimSun"/>
        <charset val="134"/>
      </rPr>
      <t>固定资产折旧</t>
    </r>
  </si>
  <si>
    <r>
      <rPr>
        <b/>
        <sz val="7"/>
        <rFont val="SimSun"/>
        <charset val="134"/>
      </rPr>
      <t>无形资产摊销</t>
    </r>
  </si>
  <si>
    <r>
      <rPr>
        <b/>
        <sz val="7"/>
        <rFont val="SimSun"/>
        <charset val="134"/>
      </rPr>
      <t>长期待摊费用摊销</t>
    </r>
  </si>
  <si>
    <r>
      <rPr>
        <b/>
        <sz val="7"/>
        <rFont val="SimSun"/>
        <charset val="134"/>
      </rPr>
      <t>待摊费用减少(减:增加)</t>
    </r>
  </si>
  <si>
    <r>
      <rPr>
        <b/>
        <sz val="7"/>
        <rFont val="SimSun"/>
        <charset val="134"/>
      </rPr>
      <t>预提费用增加(减:减少)</t>
    </r>
  </si>
  <si>
    <r>
      <rPr>
        <b/>
        <sz val="7"/>
        <rFont val="SimSun"/>
        <charset val="134"/>
      </rPr>
      <t xml:space="preserve">                        处置固定资产
</t>
    </r>
    <r>
      <rPr>
        <b/>
        <sz val="7"/>
        <rFont val="SimSun"/>
        <charset val="134"/>
      </rPr>
      <t xml:space="preserve">、无形资产和其他长期资产的损失(减:收
</t>
    </r>
    <r>
      <rPr>
        <b/>
        <sz val="7"/>
        <rFont val="SimSun"/>
        <charset val="134"/>
      </rPr>
      <t>益)</t>
    </r>
  </si>
  <si>
    <r>
      <rPr>
        <b/>
        <sz val="7"/>
        <rFont val="SimSun"/>
        <charset val="134"/>
      </rPr>
      <t>固定资产报废损失</t>
    </r>
  </si>
  <si>
    <r>
      <rPr>
        <b/>
        <sz val="7"/>
        <rFont val="SimSun"/>
        <charset val="134"/>
      </rPr>
      <t>财务费用</t>
    </r>
  </si>
  <si>
    <r>
      <rPr>
        <b/>
        <sz val="7"/>
        <rFont val="SimSun"/>
        <charset val="134"/>
      </rPr>
      <t>投资损失(减:收益)</t>
    </r>
  </si>
  <si>
    <r>
      <rPr>
        <b/>
        <sz val="7"/>
        <rFont val="SimSun"/>
        <charset val="134"/>
      </rPr>
      <t>递延税款贷项(减:借项)</t>
    </r>
  </si>
  <si>
    <r>
      <rPr>
        <b/>
        <sz val="7"/>
        <rFont val="SimSun"/>
        <charset val="134"/>
      </rPr>
      <t>存货的减少(减:增加)</t>
    </r>
  </si>
  <si>
    <r>
      <rPr>
        <b/>
        <sz val="7"/>
        <rFont val="SimSun"/>
        <charset val="134"/>
      </rPr>
      <t>经营性应收项目的减少(减:增加)</t>
    </r>
  </si>
  <si>
    <r>
      <rPr>
        <b/>
        <sz val="7"/>
        <rFont val="SimSun"/>
        <charset val="134"/>
      </rPr>
      <t>经营性应付项目的增加(减:减少)</t>
    </r>
  </si>
  <si>
    <r>
      <rPr>
        <b/>
        <sz val="7"/>
        <rFont val="SimSun"/>
        <charset val="134"/>
      </rPr>
      <t>其他</t>
    </r>
  </si>
  <si>
    <r>
      <rPr>
        <b/>
        <sz val="7"/>
        <rFont val="SimSun"/>
        <charset val="134"/>
      </rPr>
      <t>2．不涉及现金收支的投资和筹资活动：</t>
    </r>
  </si>
  <si>
    <r>
      <rPr>
        <b/>
        <sz val="7"/>
        <rFont val="SimSun"/>
        <charset val="134"/>
      </rPr>
      <t>债务转为资本</t>
    </r>
  </si>
  <si>
    <r>
      <rPr>
        <b/>
        <sz val="7"/>
        <rFont val="SimSun"/>
        <charset val="134"/>
      </rPr>
      <t>一年内到期的可转换公司债券</t>
    </r>
  </si>
  <si>
    <r>
      <rPr>
        <b/>
        <sz val="7"/>
        <rFont val="SimSun"/>
        <charset val="134"/>
      </rPr>
      <t>融资租入固定资产</t>
    </r>
  </si>
  <si>
    <r>
      <rPr>
        <b/>
        <sz val="7"/>
        <rFont val="SimSun"/>
        <charset val="134"/>
      </rPr>
      <t>3．现金及现金等价物净增加情况：</t>
    </r>
  </si>
  <si>
    <r>
      <rPr>
        <b/>
        <sz val="7"/>
        <rFont val="SimSun"/>
        <charset val="134"/>
      </rPr>
      <t>现金的期末余额</t>
    </r>
  </si>
  <si>
    <r>
      <rPr>
        <b/>
        <sz val="7"/>
        <rFont val="SimSun"/>
        <charset val="134"/>
      </rPr>
      <t>减:现金的期初余额</t>
    </r>
  </si>
  <si>
    <r>
      <rPr>
        <b/>
        <sz val="7"/>
        <rFont val="SimSun"/>
        <charset val="134"/>
      </rPr>
      <t>加:现金等价物的期末余额</t>
    </r>
  </si>
  <si>
    <r>
      <rPr>
        <b/>
        <sz val="7"/>
        <rFont val="SimSun"/>
        <charset val="134"/>
      </rPr>
      <t>减:现金等价物的期初余额</t>
    </r>
  </si>
  <si>
    <r>
      <rPr>
        <b/>
        <sz val="7"/>
        <rFont val="SimSun"/>
        <charset val="134"/>
      </rPr>
      <t>现金及现金等价物净增加额</t>
    </r>
  </si>
  <si>
    <t>公司代码</t>
  </si>
  <si>
    <t>财年</t>
  </si>
  <si>
    <t>年度/月份</t>
  </si>
  <si>
    <t>科目</t>
  </si>
  <si>
    <t>凭证编号</t>
  </si>
  <si>
    <t>凭证类型</t>
  </si>
  <si>
    <t>凭证日期</t>
  </si>
  <si>
    <t>过账日期</t>
  </si>
  <si>
    <t>本币金额</t>
  </si>
  <si>
    <t>本币</t>
  </si>
  <si>
    <t>显示货币的金额</t>
  </si>
  <si>
    <t>凭证货币</t>
  </si>
  <si>
    <t>文本</t>
  </si>
  <si>
    <t>凭证抬头文本</t>
  </si>
  <si>
    <t>付款参考</t>
  </si>
  <si>
    <t>贸易伙伴</t>
  </si>
  <si>
    <t>客户</t>
  </si>
  <si>
    <t>供应商</t>
  </si>
  <si>
    <t>成本中心</t>
  </si>
  <si>
    <t>WBS 要素</t>
  </si>
  <si>
    <t>参照</t>
  </si>
  <si>
    <t>冲销清帐</t>
  </si>
  <si>
    <t>采购凭证</t>
  </si>
  <si>
    <t>参考代码 1</t>
  </si>
  <si>
    <t>分配</t>
  </si>
  <si>
    <t>用户名</t>
  </si>
  <si>
    <t>特别总账标识</t>
  </si>
  <si>
    <t>2025</t>
  </si>
  <si>
    <t>2025/12</t>
  </si>
  <si>
    <t>6001000140</t>
  </si>
  <si>
    <t>1000012180</t>
  </si>
  <si>
    <t>SA</t>
  </si>
  <si>
    <t>RMB</t>
  </si>
  <si>
    <t>射阳样机_远景_12月确认建安收入25312000000407999682-冲销</t>
  </si>
  <si>
    <t>射阳样机_远景_12月确认建安收入25312000</t>
  </si>
  <si>
    <t>9210215916</t>
  </si>
  <si>
    <t>2A32</t>
  </si>
  <si>
    <t/>
  </si>
  <si>
    <t>NER-1122</t>
  </si>
  <si>
    <t>JIE.HU</t>
  </si>
  <si>
    <t>1000012181</t>
  </si>
  <si>
    <t>射阳样机_远景_12月确认建安收入25312000000408000714-冲销</t>
  </si>
  <si>
    <t>9210209850</t>
  </si>
  <si>
    <t>6001000150</t>
  </si>
  <si>
    <t>1000012182</t>
  </si>
  <si>
    <t>射阳样机_远景_12月确认设计服务收入25312000000408000429-冲销</t>
  </si>
  <si>
    <t>射阳样机_远景_12月确认设计服务收入253120</t>
  </si>
  <si>
    <t>OFPCN23202025021700013</t>
  </si>
  <si>
    <t>1000014558</t>
  </si>
  <si>
    <t>射阳样机_远景_12月确认建安收入25312000000407999682</t>
  </si>
  <si>
    <t>2260</t>
  </si>
  <si>
    <t>1000014559</t>
  </si>
  <si>
    <t>射阳样机_远景_12月确认建安收入25312000000408000714</t>
  </si>
  <si>
    <t>1000014560</t>
  </si>
  <si>
    <t>射阳样机_远景_12月确认设计服务收入25312000000408000429</t>
  </si>
  <si>
    <t>6001000130</t>
  </si>
  <si>
    <t>1000012232</t>
  </si>
  <si>
    <t>内蒙伊旗风光储-远景样机确认设备收入-冲销</t>
  </si>
  <si>
    <t>内蒙伊旗风光储-远景样机确认设备收入</t>
  </si>
  <si>
    <t>9210154682</t>
  </si>
  <si>
    <t>ER-1246</t>
  </si>
  <si>
    <t>1000012233</t>
  </si>
  <si>
    <t>9210157053</t>
  </si>
  <si>
    <t>1000012234</t>
  </si>
  <si>
    <t>9210157055</t>
  </si>
  <si>
    <t>1000012235</t>
  </si>
  <si>
    <t>内蒙伊旗风光储-远景样机确认设计服务收入-冲销</t>
  </si>
  <si>
    <t>内蒙伊旗风光储-远景样机确认设计服务收入</t>
  </si>
  <si>
    <t>9210161930</t>
  </si>
  <si>
    <t>1000012236</t>
  </si>
  <si>
    <t>内蒙伊旗风光储-远景样机确认建安收入-冲销</t>
  </si>
  <si>
    <t>内蒙伊旗风光储-远景样机确认建安收入</t>
  </si>
  <si>
    <t>9210159688</t>
  </si>
  <si>
    <t>1000012237</t>
  </si>
  <si>
    <t>9210167389</t>
  </si>
  <si>
    <t>1000012238</t>
  </si>
  <si>
    <t>9720012558</t>
  </si>
  <si>
    <t>1000012239</t>
  </si>
  <si>
    <t>9720012601</t>
  </si>
  <si>
    <t>1000012240</t>
  </si>
  <si>
    <t>9720012628</t>
  </si>
  <si>
    <t>1000012242</t>
  </si>
  <si>
    <t>9720012652</t>
  </si>
  <si>
    <t>1000012243</t>
  </si>
  <si>
    <t>OFPCN23202025050700001</t>
  </si>
  <si>
    <t>1000012244</t>
  </si>
  <si>
    <t>9720013013</t>
  </si>
  <si>
    <t>1000012245</t>
  </si>
  <si>
    <t>9720013084</t>
  </si>
  <si>
    <t>1000012314</t>
  </si>
  <si>
    <t>陕西佳县_12月确认确认景程方设计服务收入</t>
  </si>
  <si>
    <t>陕西佳县_12月确认景程方设计服务收入</t>
  </si>
  <si>
    <t>9210115101</t>
  </si>
  <si>
    <t>2355</t>
  </si>
  <si>
    <t>NER-1479</t>
  </si>
  <si>
    <t>ZHOUYING</t>
  </si>
  <si>
    <t>1000012315</t>
  </si>
  <si>
    <t>9210099460</t>
  </si>
  <si>
    <t>1000012316</t>
  </si>
  <si>
    <t>9210114931</t>
  </si>
  <si>
    <t>1000012317</t>
  </si>
  <si>
    <t>ASACN23202025090800006</t>
  </si>
  <si>
    <t>1000014591</t>
  </si>
  <si>
    <t>1000014592</t>
  </si>
  <si>
    <t>1000014593</t>
  </si>
  <si>
    <t>1000014594</t>
  </si>
  <si>
    <t>1000014595</t>
  </si>
  <si>
    <t>1000014596</t>
  </si>
  <si>
    <t>1000014597</t>
  </si>
  <si>
    <t>1000014598</t>
  </si>
  <si>
    <t>1000014599</t>
  </si>
  <si>
    <t>1000014601</t>
  </si>
  <si>
    <t>1000014602</t>
  </si>
  <si>
    <t>1000014603</t>
  </si>
  <si>
    <t>1000014604</t>
  </si>
  <si>
    <t>1000012284</t>
  </si>
  <si>
    <t>1000012285</t>
  </si>
  <si>
    <t>零碳样机手续费暂估</t>
  </si>
  <si>
    <t>1000012289</t>
  </si>
  <si>
    <t>1000012290</t>
  </si>
  <si>
    <t>1000012291</t>
  </si>
  <si>
    <t>1000012292</t>
  </si>
  <si>
    <t>1000012293</t>
  </si>
  <si>
    <t>9210159689</t>
  </si>
  <si>
    <t>1000012294</t>
  </si>
  <si>
    <t>1000012295</t>
  </si>
  <si>
    <t>9720012469</t>
  </si>
  <si>
    <t>1000012296</t>
  </si>
  <si>
    <t>1000012297</t>
  </si>
  <si>
    <t>1000012298</t>
  </si>
  <si>
    <t>1000012308</t>
  </si>
  <si>
    <t>9720013350</t>
  </si>
  <si>
    <t>1000012309</t>
  </si>
  <si>
    <t>1000012333</t>
  </si>
  <si>
    <t>五河彩舟_12月确认建安收入</t>
  </si>
  <si>
    <t>9720013179</t>
  </si>
  <si>
    <t>NER-1453</t>
  </si>
  <si>
    <t>1000012334</t>
  </si>
  <si>
    <t>五河彩舟_12月确认设计服务收入</t>
  </si>
  <si>
    <t>XNCN23202025120100001</t>
  </si>
  <si>
    <t>1000012335</t>
  </si>
  <si>
    <t>XNCN23202025120500275</t>
  </si>
  <si>
    <t>1000012336</t>
  </si>
  <si>
    <t>9720013025</t>
  </si>
  <si>
    <t>1000012337</t>
  </si>
  <si>
    <t>XNCN23202025121500619</t>
  </si>
  <si>
    <t>1000012338</t>
  </si>
  <si>
    <t>XNCN23202025121500615</t>
  </si>
  <si>
    <t>1000012339</t>
  </si>
  <si>
    <t>XNCN23202025121500613</t>
  </si>
  <si>
    <t>1000012340</t>
  </si>
  <si>
    <t>XNCN23202025121500617</t>
  </si>
  <si>
    <t>1000012341</t>
  </si>
  <si>
    <t>费用报销单</t>
  </si>
  <si>
    <t>1000012351</t>
  </si>
  <si>
    <t>建安预留成本</t>
  </si>
  <si>
    <t>1000012352</t>
  </si>
  <si>
    <t>设计预留成本</t>
  </si>
  <si>
    <t>1000012353</t>
  </si>
  <si>
    <t>五河彩舟_12月确认设备收入</t>
  </si>
  <si>
    <t>设备预留成本</t>
  </si>
  <si>
    <t>1000012356</t>
  </si>
  <si>
    <t>CPACN23202025112700002</t>
  </si>
  <si>
    <t>1000012360</t>
  </si>
  <si>
    <t>9720013128</t>
  </si>
  <si>
    <t>1000012362</t>
  </si>
  <si>
    <t>五河彩舟_11月确认建安收入-冲销</t>
  </si>
  <si>
    <t>五河彩舟_11月确认建安收入</t>
  </si>
  <si>
    <t>CPACN23202025073000019</t>
  </si>
  <si>
    <t>1000012363</t>
  </si>
  <si>
    <t>9720012950</t>
  </si>
  <si>
    <t>1000014620</t>
  </si>
  <si>
    <t>1000014621</t>
  </si>
  <si>
    <t>1000012387</t>
  </si>
  <si>
    <t>巴彦淖尔1000MW/4000MWh储能_12月确认设备收入</t>
  </si>
  <si>
    <t>巴彦淖尔1000MW/4000MWh储能_12月确</t>
  </si>
  <si>
    <t>OFPCN23202025110700006</t>
  </si>
  <si>
    <t>NER-1621</t>
  </si>
  <si>
    <t>1000012388</t>
  </si>
  <si>
    <t>9210233640</t>
  </si>
  <si>
    <t>1000012389</t>
  </si>
  <si>
    <t>巴彦淖尔1000MW/4000MWh储能_12月确认建安收入</t>
  </si>
  <si>
    <t>9210233695</t>
  </si>
  <si>
    <t>1000012390</t>
  </si>
  <si>
    <t>9720013044</t>
  </si>
  <si>
    <t>1000012391</t>
  </si>
  <si>
    <t>9720013046</t>
  </si>
  <si>
    <t>1000012392</t>
  </si>
  <si>
    <t>9210233916</t>
  </si>
  <si>
    <t>1000012393</t>
  </si>
  <si>
    <t>9720013080</t>
  </si>
  <si>
    <t>1000012394</t>
  </si>
  <si>
    <t>巴彦淖尔1000MW/4000MWh储能_12月确认设计服务收入</t>
  </si>
  <si>
    <t>9210235830</t>
  </si>
  <si>
    <t>1000012395</t>
  </si>
  <si>
    <t>9210235992</t>
  </si>
  <si>
    <t>1000012397</t>
  </si>
  <si>
    <t>9720013105</t>
  </si>
  <si>
    <t>1000012398</t>
  </si>
  <si>
    <t>9720013147</t>
  </si>
  <si>
    <t>1000012399</t>
  </si>
  <si>
    <t>9720013170</t>
  </si>
  <si>
    <t>1000012400</t>
  </si>
  <si>
    <t>9210243217</t>
  </si>
  <si>
    <t>1000012401</t>
  </si>
  <si>
    <t>9720013230</t>
  </si>
  <si>
    <t>1000012402</t>
  </si>
  <si>
    <t>9720013235</t>
  </si>
  <si>
    <t>1000012403</t>
  </si>
  <si>
    <t>9720013243</t>
  </si>
  <si>
    <t>1000012404</t>
  </si>
  <si>
    <t>9720013244</t>
  </si>
  <si>
    <t>1000012405</t>
  </si>
  <si>
    <t>OFPCN23202025112300013</t>
  </si>
  <si>
    <t>1000012406</t>
  </si>
  <si>
    <t>OFPCN23202025112700017</t>
  </si>
  <si>
    <t>1000012408</t>
  </si>
  <si>
    <t>CPACN23202025112800017</t>
  </si>
  <si>
    <t>1000012409</t>
  </si>
  <si>
    <t>OFPCN23202025112900002</t>
  </si>
  <si>
    <t>1000012410</t>
  </si>
  <si>
    <t>OFPCN23202025112900003</t>
  </si>
  <si>
    <t>1000012411</t>
  </si>
  <si>
    <t>CPACN23202025120200022</t>
  </si>
  <si>
    <t>1000012412</t>
  </si>
  <si>
    <t>OFPCN23202025120900006</t>
  </si>
  <si>
    <t>1000012413</t>
  </si>
  <si>
    <t>9720013325</t>
  </si>
  <si>
    <t>1000012414</t>
  </si>
  <si>
    <t>9720013355</t>
  </si>
  <si>
    <t>1000012415</t>
  </si>
  <si>
    <t>9720013357</t>
  </si>
  <si>
    <t>1000012416</t>
  </si>
  <si>
    <t>9210250884</t>
  </si>
  <si>
    <t>1000012417</t>
  </si>
  <si>
    <t>9720013370</t>
  </si>
  <si>
    <t>1000012419</t>
  </si>
  <si>
    <t>9210250931</t>
  </si>
  <si>
    <t>1000012420</t>
  </si>
  <si>
    <t>XNCN23202025121600657</t>
  </si>
  <si>
    <t>1000012421</t>
  </si>
  <si>
    <t>XNCN23202025122201253</t>
  </si>
  <si>
    <t>1000012422</t>
  </si>
  <si>
    <t>XNCN23202025122301255</t>
  </si>
  <si>
    <t>1000012423</t>
  </si>
  <si>
    <t>远景前期技术服务费</t>
  </si>
  <si>
    <t>1000012424</t>
  </si>
  <si>
    <t>1000012425</t>
  </si>
  <si>
    <t>景泰中央分摊</t>
  </si>
  <si>
    <t>1000012493</t>
  </si>
  <si>
    <t>OFPCN23202025101000015</t>
  </si>
  <si>
    <t>1000012494</t>
  </si>
  <si>
    <t>OFPCN23202025102700016</t>
  </si>
  <si>
    <t>1000012495</t>
  </si>
  <si>
    <t>OFPCN23202025103000028</t>
  </si>
  <si>
    <t>1000012496</t>
  </si>
  <si>
    <t>OFPCN23202025103000031</t>
  </si>
  <si>
    <t>1000012497</t>
  </si>
  <si>
    <t>9210233605</t>
  </si>
  <si>
    <t>1000012498</t>
  </si>
  <si>
    <t>9210233639</t>
  </si>
  <si>
    <t>1000012499</t>
  </si>
  <si>
    <t>1000012500</t>
  </si>
  <si>
    <t>9210234006</t>
  </si>
  <si>
    <t>1000012501</t>
  </si>
  <si>
    <t>9210235108</t>
  </si>
  <si>
    <t>1000012503</t>
  </si>
  <si>
    <t>1000012504</t>
  </si>
  <si>
    <t>1000012505</t>
  </si>
  <si>
    <t>9720013126</t>
  </si>
  <si>
    <t>1000012506</t>
  </si>
  <si>
    <t>9210238390</t>
  </si>
  <si>
    <t>1000012507</t>
  </si>
  <si>
    <t>储能设备款</t>
  </si>
  <si>
    <t>1000012508</t>
  </si>
  <si>
    <t>9720013148</t>
  </si>
  <si>
    <t>1000012509</t>
  </si>
  <si>
    <t>9720013157</t>
  </si>
  <si>
    <t>1000012510</t>
  </si>
  <si>
    <t>9210239856</t>
  </si>
  <si>
    <t>1000012511</t>
  </si>
  <si>
    <t>1000012512</t>
  </si>
  <si>
    <t>9720013190</t>
  </si>
  <si>
    <t>1000012514</t>
  </si>
  <si>
    <t>9210241991</t>
  </si>
  <si>
    <t>1000012515</t>
  </si>
  <si>
    <t>9210241992</t>
  </si>
  <si>
    <t>1000012516</t>
  </si>
  <si>
    <t>9720013196</t>
  </si>
  <si>
    <t>1000012517</t>
  </si>
  <si>
    <t>9210243131</t>
  </si>
  <si>
    <t>1000012518</t>
  </si>
  <si>
    <t>9720013208</t>
  </si>
  <si>
    <t>1000012519</t>
  </si>
  <si>
    <t>1000012520</t>
  </si>
  <si>
    <t>9720013245</t>
  </si>
  <si>
    <t>1000012521</t>
  </si>
  <si>
    <t>9720013266</t>
  </si>
  <si>
    <t>1000012522</t>
  </si>
  <si>
    <t>OFPCN23202025111700013</t>
  </si>
  <si>
    <t>1000012523</t>
  </si>
  <si>
    <t>OFPCN23202025112100003</t>
  </si>
  <si>
    <t>1000012525</t>
  </si>
  <si>
    <t>OFPCN23202025112300008</t>
  </si>
  <si>
    <t>1000012526</t>
  </si>
  <si>
    <t>OFPCN23202025112800010</t>
  </si>
  <si>
    <t>1000012527</t>
  </si>
  <si>
    <t>1000012528</t>
  </si>
  <si>
    <t>CPACN23202025120200020</t>
  </si>
  <si>
    <t>1000012529</t>
  </si>
  <si>
    <t>1000012530</t>
  </si>
  <si>
    <t>ASACN23202025120200030</t>
  </si>
  <si>
    <t>1000012531</t>
  </si>
  <si>
    <t>OFPCN23202025120800006</t>
  </si>
  <si>
    <t>1000012532</t>
  </si>
  <si>
    <t>OFPCN23202025120800008</t>
  </si>
  <si>
    <t>1000012533</t>
  </si>
  <si>
    <t>9720013346</t>
  </si>
  <si>
    <t>1000012534</t>
  </si>
  <si>
    <t>9720013369</t>
  </si>
  <si>
    <t>1000012536</t>
  </si>
  <si>
    <t>9720013320</t>
  </si>
  <si>
    <t>1000012537</t>
  </si>
  <si>
    <t>9720013368</t>
  </si>
  <si>
    <t>1000012538</t>
  </si>
  <si>
    <t>1000012539</t>
  </si>
  <si>
    <t>1000012540</t>
  </si>
  <si>
    <t>OFPCN23202025122200016</t>
  </si>
  <si>
    <t>1000012541</t>
  </si>
  <si>
    <t>OFPCN23202025121500019</t>
  </si>
  <si>
    <t>1000012542</t>
  </si>
  <si>
    <t>ASACN23202025121000024</t>
  </si>
  <si>
    <t>1000013039</t>
  </si>
  <si>
    <t>五河彩舟_12月确认睿景方设计服务收入</t>
  </si>
  <si>
    <t>CPACN23552025061000004</t>
  </si>
  <si>
    <t>1000013040</t>
  </si>
  <si>
    <t>CPACN23552025061300002</t>
  </si>
  <si>
    <t>1000013041</t>
  </si>
  <si>
    <t>五河彩舟_12月确认睿景方建安收入</t>
  </si>
  <si>
    <t>9720012569</t>
  </si>
  <si>
    <t>1000013042</t>
  </si>
  <si>
    <t>9720012567</t>
  </si>
  <si>
    <t>1000013043</t>
  </si>
  <si>
    <t>9720012562</t>
  </si>
  <si>
    <t>1000013044</t>
  </si>
  <si>
    <t>9720012563</t>
  </si>
  <si>
    <t>1000013045</t>
  </si>
  <si>
    <t>9720012564</t>
  </si>
  <si>
    <t>1000013046</t>
  </si>
  <si>
    <t>9210187644</t>
  </si>
  <si>
    <t>1000013047</t>
  </si>
  <si>
    <t>五河彩舟_12月确认睿景方设备收入</t>
  </si>
  <si>
    <t>9720012693</t>
  </si>
  <si>
    <t>1000013048</t>
  </si>
  <si>
    <t>9720012543</t>
  </si>
  <si>
    <t>1000013049</t>
  </si>
  <si>
    <t>9720012565</t>
  </si>
  <si>
    <t>1000013050</t>
  </si>
  <si>
    <t>CPACN23552025042400021</t>
  </si>
  <si>
    <t>1000013098</t>
  </si>
  <si>
    <t>1000013099</t>
  </si>
  <si>
    <t>1000013100</t>
  </si>
  <si>
    <t>9210198335</t>
  </si>
  <si>
    <t>1000013101</t>
  </si>
  <si>
    <t>1000013102</t>
  </si>
  <si>
    <t>1000013103</t>
  </si>
  <si>
    <t>1000013104</t>
  </si>
  <si>
    <t>1000013105</t>
  </si>
  <si>
    <t>9720012566</t>
  </si>
  <si>
    <t>1000013106</t>
  </si>
  <si>
    <t>1000013107</t>
  </si>
  <si>
    <t>9720012568</t>
  </si>
  <si>
    <t>1000013108</t>
  </si>
  <si>
    <t>1000013109</t>
  </si>
  <si>
    <t>9720012660</t>
  </si>
  <si>
    <t>1000013110</t>
  </si>
  <si>
    <t>OFPCN23552025042500009</t>
  </si>
  <si>
    <t>1000013111</t>
  </si>
  <si>
    <t>CPACN23552025041200007</t>
  </si>
  <si>
    <t>1000013112</t>
  </si>
  <si>
    <t>CPACN23552025041200008</t>
  </si>
  <si>
    <t>1000013113</t>
  </si>
  <si>
    <t>OFPCN23552025022800030</t>
  </si>
  <si>
    <t>1000013114</t>
  </si>
  <si>
    <t>CPACN23552025032900003</t>
  </si>
  <si>
    <t>1000013115</t>
  </si>
  <si>
    <t>CPACN23552025032900004</t>
  </si>
  <si>
    <t>1000013116</t>
  </si>
  <si>
    <t>CPACN23552025032900005</t>
  </si>
  <si>
    <t>1000013117</t>
  </si>
  <si>
    <t>CPACN23552025040100002</t>
  </si>
  <si>
    <t>1000013118</t>
  </si>
  <si>
    <t>CPACN23552025040100003</t>
  </si>
  <si>
    <t>1000013119</t>
  </si>
  <si>
    <t>CPACN23552025041200009</t>
  </si>
  <si>
    <t>1000013120</t>
  </si>
  <si>
    <t>CPACN23552025041300001</t>
  </si>
  <si>
    <t>1000013121</t>
  </si>
  <si>
    <t>1000013122</t>
  </si>
  <si>
    <t>1000013123</t>
  </si>
  <si>
    <t>9720012696</t>
  </si>
  <si>
    <t>1000013124</t>
  </si>
  <si>
    <t>9720012699</t>
  </si>
  <si>
    <t>1000013125</t>
  </si>
  <si>
    <t>9720012700</t>
  </si>
  <si>
    <t>1000013126</t>
  </si>
  <si>
    <t>9210208013</t>
  </si>
  <si>
    <t>1000013127</t>
  </si>
  <si>
    <t>1000013128</t>
  </si>
  <si>
    <t>1000013129</t>
  </si>
  <si>
    <t>CPACN23552025061300011</t>
  </si>
  <si>
    <t>1000013130</t>
  </si>
  <si>
    <t>9720012809</t>
  </si>
  <si>
    <t>1000013131</t>
  </si>
  <si>
    <t>9720012811</t>
  </si>
  <si>
    <t>1000013132</t>
  </si>
  <si>
    <t>9720012847</t>
  </si>
  <si>
    <t>1000013133</t>
  </si>
  <si>
    <t>9720012845</t>
  </si>
  <si>
    <t>1000013134</t>
  </si>
  <si>
    <t>9210222437</t>
  </si>
  <si>
    <t>1000013135</t>
  </si>
  <si>
    <t>CPACN23552025071100005</t>
  </si>
  <si>
    <t>1000013136</t>
  </si>
  <si>
    <t>9720013045</t>
  </si>
  <si>
    <t>1000012659</t>
  </si>
  <si>
    <t>锡盟苏右100万千瓦/400万千瓦时储能_12月确认建安收入</t>
  </si>
  <si>
    <t>锡盟苏右100万千瓦/400万千瓦时储能_12月确</t>
  </si>
  <si>
    <t>OFPCN23202025102900002</t>
  </si>
  <si>
    <t>4301</t>
  </si>
  <si>
    <t>NER-1597</t>
  </si>
  <si>
    <t>1000012660</t>
  </si>
  <si>
    <t>OFPCN23202025103000005</t>
  </si>
  <si>
    <t>1000012661</t>
  </si>
  <si>
    <t>锡盟苏右100万千瓦/400万千瓦时储能_12月确认设备收入</t>
  </si>
  <si>
    <t>OFPCN23202025111100012</t>
  </si>
  <si>
    <t>1000012662</t>
  </si>
  <si>
    <t>9210233661</t>
  </si>
  <si>
    <t>1000012663</t>
  </si>
  <si>
    <t>9210235061</t>
  </si>
  <si>
    <t>1000012664</t>
  </si>
  <si>
    <t>9210233998</t>
  </si>
  <si>
    <t>1000012665</t>
  </si>
  <si>
    <t>9720013034</t>
  </si>
  <si>
    <t>1000012666</t>
  </si>
  <si>
    <t>锡盟苏右100万千瓦/400万千瓦时储能_12月确认设计服务收入</t>
  </si>
  <si>
    <t>9210238805</t>
  </si>
  <si>
    <t>1000012667</t>
  </si>
  <si>
    <t>9210239664</t>
  </si>
  <si>
    <t>1000012669</t>
  </si>
  <si>
    <t>9210239685</t>
  </si>
  <si>
    <t>1000012670</t>
  </si>
  <si>
    <t>9210242559</t>
  </si>
  <si>
    <t>1000012671</t>
  </si>
  <si>
    <t>OFPCN23202025111100019</t>
  </si>
  <si>
    <t>1000012672</t>
  </si>
  <si>
    <t>OFPCN23202025112100006</t>
  </si>
  <si>
    <t>1000012673</t>
  </si>
  <si>
    <t>XNCN23202025121700866</t>
  </si>
  <si>
    <t>1000012674</t>
  </si>
  <si>
    <t>XNCN23202025121801025</t>
  </si>
  <si>
    <t>1000012675</t>
  </si>
  <si>
    <t>XNCN23202025121700993</t>
  </si>
  <si>
    <t>1000012676</t>
  </si>
  <si>
    <t>XNCN23202025121801023</t>
  </si>
  <si>
    <t>1000012677</t>
  </si>
  <si>
    <t>XNCN23202025121801021</t>
  </si>
  <si>
    <t>1000012678</t>
  </si>
  <si>
    <t>OFPCN23202025121300001</t>
  </si>
  <si>
    <t>1000012680</t>
  </si>
  <si>
    <t>9210249803</t>
  </si>
  <si>
    <t>1000012681</t>
  </si>
  <si>
    <t>9210251119</t>
  </si>
  <si>
    <t>1000012682</t>
  </si>
  <si>
    <t>9210251122</t>
  </si>
  <si>
    <t>1000012683</t>
  </si>
  <si>
    <t>9210251121</t>
  </si>
  <si>
    <t>1000012684</t>
  </si>
  <si>
    <t>9210251123</t>
  </si>
  <si>
    <t>1000012685</t>
  </si>
  <si>
    <t>9210251118</t>
  </si>
  <si>
    <t>1000012686</t>
  </si>
  <si>
    <t>1000012734</t>
  </si>
  <si>
    <t>OFPCN23202025101000020</t>
  </si>
  <si>
    <t>1000012735</t>
  </si>
  <si>
    <t>OFPCN23202025101600019</t>
  </si>
  <si>
    <t>1000012736</t>
  </si>
  <si>
    <t>OFPCN23202025102100018</t>
  </si>
  <si>
    <t>1000012737</t>
  </si>
  <si>
    <t>OFPCN23202025103000027</t>
  </si>
  <si>
    <t>1000012738</t>
  </si>
  <si>
    <t>1000012739</t>
  </si>
  <si>
    <t>1000012740</t>
  </si>
  <si>
    <t>9720013085</t>
  </si>
  <si>
    <t>1000012741</t>
  </si>
  <si>
    <t>9720013041</t>
  </si>
  <si>
    <t>1000012742</t>
  </si>
  <si>
    <t>9720013042</t>
  </si>
  <si>
    <t>1000012744</t>
  </si>
  <si>
    <t>9720013043</t>
  </si>
  <si>
    <t>1000012745</t>
  </si>
  <si>
    <t>9210233995</t>
  </si>
  <si>
    <t>1000012746</t>
  </si>
  <si>
    <t>9210234887</t>
  </si>
  <si>
    <t>1000012747</t>
  </si>
  <si>
    <t>9210235309</t>
  </si>
  <si>
    <t>1000012748</t>
  </si>
  <si>
    <t>9720013129</t>
  </si>
  <si>
    <t>1000012749</t>
  </si>
  <si>
    <t>1000012750</t>
  </si>
  <si>
    <t>9210240295</t>
  </si>
  <si>
    <t>1000012751</t>
  </si>
  <si>
    <t>9720013172</t>
  </si>
  <si>
    <t>1000012752</t>
  </si>
  <si>
    <t>9720013186</t>
  </si>
  <si>
    <t>1000012753</t>
  </si>
  <si>
    <t>9720013183</t>
  </si>
  <si>
    <t>1000012755</t>
  </si>
  <si>
    <t>9720013185</t>
  </si>
  <si>
    <t>1000012756</t>
  </si>
  <si>
    <t>9720013195</t>
  </si>
  <si>
    <t>1000012757</t>
  </si>
  <si>
    <t>1000012758</t>
  </si>
  <si>
    <t>9720013216</t>
  </si>
  <si>
    <t>1000012759</t>
  </si>
  <si>
    <t>9720013231</t>
  </si>
  <si>
    <t>1000012760</t>
  </si>
  <si>
    <t>9720013267</t>
  </si>
  <si>
    <t>1000012761</t>
  </si>
  <si>
    <t>9720013268</t>
  </si>
  <si>
    <t>1000012762</t>
  </si>
  <si>
    <t>9720013270</t>
  </si>
  <si>
    <t>1000012763</t>
  </si>
  <si>
    <t>OFPCN23202025111700011</t>
  </si>
  <si>
    <t>1000012764</t>
  </si>
  <si>
    <t>OFPCN23202025111700017</t>
  </si>
  <si>
    <t>1000012766</t>
  </si>
  <si>
    <t>OFPCN23202025111700024</t>
  </si>
  <si>
    <t>1000012767</t>
  </si>
  <si>
    <t>OFPCN23202025112100013</t>
  </si>
  <si>
    <t>1000012768</t>
  </si>
  <si>
    <t>OFPCN23202025112300009</t>
  </si>
  <si>
    <t>1000012769</t>
  </si>
  <si>
    <t>ASACN23202025120200032</t>
  </si>
  <si>
    <t>1000012770</t>
  </si>
  <si>
    <t>OFPCN23202025121700011</t>
  </si>
  <si>
    <t>1000012771</t>
  </si>
  <si>
    <t>OFPCN23202025121700018</t>
  </si>
  <si>
    <t>1000012772</t>
  </si>
  <si>
    <t>9720013382</t>
  </si>
  <si>
    <t>1000012773</t>
  </si>
  <si>
    <t>9720013379</t>
  </si>
  <si>
    <t>1000012774</t>
  </si>
  <si>
    <t>9210252946</t>
  </si>
  <si>
    <t>1000012775</t>
  </si>
  <si>
    <t>1000012777</t>
  </si>
  <si>
    <t>9210248611</t>
  </si>
  <si>
    <t>1000012869</t>
  </si>
  <si>
    <t>呼市武川100万千瓦/400万千瓦时储能_12月确认设备收入</t>
  </si>
  <si>
    <t>呼市武川100万千瓦/400万千瓦时储能_12月确</t>
  </si>
  <si>
    <t>9210233636</t>
  </si>
  <si>
    <t>NER-1442</t>
  </si>
  <si>
    <t>1000012870</t>
  </si>
  <si>
    <t>9210233955</t>
  </si>
  <si>
    <t>1000012871</t>
  </si>
  <si>
    <t>9720013029</t>
  </si>
  <si>
    <t>1000012872</t>
  </si>
  <si>
    <t>9210234009</t>
  </si>
  <si>
    <t>1000012873</t>
  </si>
  <si>
    <t>9210234010</t>
  </si>
  <si>
    <t>1000012874</t>
  </si>
  <si>
    <t>9210234531</t>
  </si>
  <si>
    <t>1000012875</t>
  </si>
  <si>
    <t>9720013047</t>
  </si>
  <si>
    <t>1000012876</t>
  </si>
  <si>
    <t>9720013073</t>
  </si>
  <si>
    <t>1000012877</t>
  </si>
  <si>
    <t>呼市武川100万千瓦/400万千瓦时储能_12月确认建安收入</t>
  </si>
  <si>
    <t>9210235012</t>
  </si>
  <si>
    <t>1000012879</t>
  </si>
  <si>
    <t>9210235013</t>
  </si>
  <si>
    <t>1000012880</t>
  </si>
  <si>
    <t>9210239665</t>
  </si>
  <si>
    <t>1000012881</t>
  </si>
  <si>
    <t>9210239671</t>
  </si>
  <si>
    <t>1000012882</t>
  </si>
  <si>
    <t>呼市武川100万千瓦/400万千瓦时储能_12月确认设计服务收入</t>
  </si>
  <si>
    <t>9210240729</t>
  </si>
  <si>
    <t>1000012883</t>
  </si>
  <si>
    <t>9720013182</t>
  </si>
  <si>
    <t>1000012884</t>
  </si>
  <si>
    <t>9720013194</t>
  </si>
  <si>
    <t>1000012885</t>
  </si>
  <si>
    <t>9720013219</t>
  </si>
  <si>
    <t>1000012886</t>
  </si>
  <si>
    <t>9720013240</t>
  </si>
  <si>
    <t>1000012887</t>
  </si>
  <si>
    <t>9210244051</t>
  </si>
  <si>
    <t>1000012888</t>
  </si>
  <si>
    <t>呼市武川100万千瓦/400万千瓦时储能_12月确认设计服务收入-冲销</t>
  </si>
  <si>
    <t>OFPCN23202025111100013</t>
  </si>
  <si>
    <t>1000012890</t>
  </si>
  <si>
    <t>OFPCN23202025111700004</t>
  </si>
  <si>
    <t>1000012891</t>
  </si>
  <si>
    <t>OFPCN23202025112100019</t>
  </si>
  <si>
    <t>1000012892</t>
  </si>
  <si>
    <t>FWACN23202025121400001</t>
  </si>
  <si>
    <t>1000012893</t>
  </si>
  <si>
    <t>XNCN23202025121600719</t>
  </si>
  <si>
    <t>1000012894</t>
  </si>
  <si>
    <t>XNCN23202025121801015</t>
  </si>
  <si>
    <t>1000012895</t>
  </si>
  <si>
    <t>XNCN23202025121801018</t>
  </si>
  <si>
    <t>1000012896</t>
  </si>
  <si>
    <t>9210247193</t>
  </si>
  <si>
    <t>1000012897</t>
  </si>
  <si>
    <t>9210248614</t>
  </si>
  <si>
    <t>1000012898</t>
  </si>
  <si>
    <t>1000012937</t>
  </si>
  <si>
    <t>呼市武川100万千瓦/400万千瓦时储能_12月确认睿景方建安收入-冲销</t>
  </si>
  <si>
    <t>CPACN23552025090300020</t>
  </si>
  <si>
    <t>1000012938</t>
  </si>
  <si>
    <t>FWACN23552025091500002</t>
  </si>
  <si>
    <t>1000012944</t>
  </si>
  <si>
    <t>OFPCN23202025101000013</t>
  </si>
  <si>
    <t>1000012945</t>
  </si>
  <si>
    <t>OFPCN23202025102100017</t>
  </si>
  <si>
    <t>1000012946</t>
  </si>
  <si>
    <t>OFPCN23202025102900027</t>
  </si>
  <si>
    <t>1000012947</t>
  </si>
  <si>
    <t>OFPCN23202025110700021</t>
  </si>
  <si>
    <t>1000012948</t>
  </si>
  <si>
    <t>OFPCN23202025111100006</t>
  </si>
  <si>
    <t>1000012949</t>
  </si>
  <si>
    <t>9210234190</t>
  </si>
  <si>
    <t>1000012950</t>
  </si>
  <si>
    <t>9720013048</t>
  </si>
  <si>
    <t>1000012951</t>
  </si>
  <si>
    <t>9210234008</t>
  </si>
  <si>
    <t>1000012952</t>
  </si>
  <si>
    <t>1000012954</t>
  </si>
  <si>
    <t>呼市武川100万千瓦/400万千瓦时储能_12月确认建安收入-冲销</t>
  </si>
  <si>
    <t>9210235011</t>
  </si>
  <si>
    <t>1000012955</t>
  </si>
  <si>
    <t>1000012956</t>
  </si>
  <si>
    <t>1000012957</t>
  </si>
  <si>
    <t>9210235107</t>
  </si>
  <si>
    <t>1000012958</t>
  </si>
  <si>
    <t>9210239668</t>
  </si>
  <si>
    <t>1000012959</t>
  </si>
  <si>
    <t>9720013158</t>
  </si>
  <si>
    <t>1000012960</t>
  </si>
  <si>
    <t>1000012961</t>
  </si>
  <si>
    <t>9720013187</t>
  </si>
  <si>
    <t>1000012962</t>
  </si>
  <si>
    <t>9720013191</t>
  </si>
  <si>
    <t>1000012963</t>
  </si>
  <si>
    <t>9210242274</t>
  </si>
  <si>
    <t>1000012965</t>
  </si>
  <si>
    <t>9720013209</t>
  </si>
  <si>
    <t>1000012966</t>
  </si>
  <si>
    <t>9720013222</t>
  </si>
  <si>
    <t>1000012967</t>
  </si>
  <si>
    <t>9210243559</t>
  </si>
  <si>
    <t>1000012968</t>
  </si>
  <si>
    <t>1000012969</t>
  </si>
  <si>
    <t>呼市武川100万千瓦/400万千瓦时储能_12月确认设备收入-冲销</t>
  </si>
  <si>
    <t>9210243932</t>
  </si>
  <si>
    <t>1000012970</t>
  </si>
  <si>
    <t>9210244333</t>
  </si>
  <si>
    <t>1000012971</t>
  </si>
  <si>
    <t>9210244430</t>
  </si>
  <si>
    <t>1000012972</t>
  </si>
  <si>
    <t>9210244431</t>
  </si>
  <si>
    <t>1000012973</t>
  </si>
  <si>
    <t>9210246302</t>
  </si>
  <si>
    <t>1000012974</t>
  </si>
  <si>
    <t>OFPCN23202025112100014</t>
  </si>
  <si>
    <t>1000012976</t>
  </si>
  <si>
    <t>OFPCN23202025112300010</t>
  </si>
  <si>
    <t>1000012977</t>
  </si>
  <si>
    <t>ASACN23202025120200031</t>
  </si>
  <si>
    <t>1000012978</t>
  </si>
  <si>
    <t>CPACN23202025122100002</t>
  </si>
  <si>
    <t>1000012979</t>
  </si>
  <si>
    <t>OFPCN23202025121900007</t>
  </si>
  <si>
    <t>1000012980</t>
  </si>
  <si>
    <t>OFPCN23202025121100001</t>
  </si>
  <si>
    <t>1000012981</t>
  </si>
  <si>
    <t>ASACN23202025121000023</t>
  </si>
  <si>
    <t>1000012982</t>
  </si>
  <si>
    <t>9210252974</t>
  </si>
  <si>
    <t>1000012983</t>
  </si>
  <si>
    <t>9720013380</t>
  </si>
  <si>
    <t>1000012984</t>
  </si>
  <si>
    <t>9210252973</t>
  </si>
  <si>
    <t>1000012985</t>
  </si>
  <si>
    <t>9210250144</t>
  </si>
  <si>
    <t>1000012987</t>
  </si>
  <si>
    <t>9720013321</t>
  </si>
  <si>
    <t>1000012988</t>
  </si>
  <si>
    <t>9210252972</t>
  </si>
  <si>
    <t>1000012989</t>
  </si>
  <si>
    <t>1000013181</t>
  </si>
  <si>
    <t>1000013182</t>
  </si>
  <si>
    <t>1000013183</t>
  </si>
  <si>
    <t>呼市武川100万千瓦/400万千瓦时储能_12月确认睿景方建安收入</t>
  </si>
  <si>
    <t>1000013184</t>
  </si>
  <si>
    <t>1000013413</t>
  </si>
  <si>
    <t>邕宁那楼中山风电场_12月确认确认景程方设备收入-冲销</t>
  </si>
  <si>
    <t>邕宁那楼中山风电场-冲销</t>
  </si>
  <si>
    <t>9210233648</t>
  </si>
  <si>
    <t>NER-1555</t>
  </si>
  <si>
    <t>1000014422</t>
  </si>
  <si>
    <t>1000014423</t>
  </si>
  <si>
    <t>1000014711</t>
  </si>
  <si>
    <t>1000013139</t>
  </si>
  <si>
    <t>阿拉善1000MW/4000MWh储能_12月确认建安收入</t>
  </si>
  <si>
    <t>阿拉善1000MW/4000MWh储能_12月确认</t>
  </si>
  <si>
    <t>OFPCN23202025101000018</t>
  </si>
  <si>
    <t>4307</t>
  </si>
  <si>
    <t>NER-1611</t>
  </si>
  <si>
    <t>1000013140</t>
  </si>
  <si>
    <t>阿拉善1000MW/4000MWh储能_12月确认设备收入</t>
  </si>
  <si>
    <t>OFPCN23202025110700005</t>
  </si>
  <si>
    <t>1000013141</t>
  </si>
  <si>
    <t>9720013020</t>
  </si>
  <si>
    <t>1000013142</t>
  </si>
  <si>
    <t>9720013039</t>
  </si>
  <si>
    <t>1000013143</t>
  </si>
  <si>
    <t>9210233865</t>
  </si>
  <si>
    <t>1000013144</t>
  </si>
  <si>
    <t>9720013038</t>
  </si>
  <si>
    <t>1000013145</t>
  </si>
  <si>
    <t>9210234445</t>
  </si>
  <si>
    <t>1000013146</t>
  </si>
  <si>
    <t>9720013037</t>
  </si>
  <si>
    <t>1000013147</t>
  </si>
  <si>
    <t>9720013076</t>
  </si>
  <si>
    <t>1000013149</t>
  </si>
  <si>
    <t>9720013083</t>
  </si>
  <si>
    <t>1000013150</t>
  </si>
  <si>
    <t>9720013098</t>
  </si>
  <si>
    <t>1000013151</t>
  </si>
  <si>
    <t>9720013135</t>
  </si>
  <si>
    <t>1000013152</t>
  </si>
  <si>
    <t>9720013150</t>
  </si>
  <si>
    <t>1000013153</t>
  </si>
  <si>
    <t>9210242608</t>
  </si>
  <si>
    <t>1000013154</t>
  </si>
  <si>
    <t>9210243187</t>
  </si>
  <si>
    <t>1000013155</t>
  </si>
  <si>
    <t>9720013218</t>
  </si>
  <si>
    <t>1000013156</t>
  </si>
  <si>
    <t>9720013229</t>
  </si>
  <si>
    <t>1000013157</t>
  </si>
  <si>
    <t>9720013232</t>
  </si>
  <si>
    <t>1000013158</t>
  </si>
  <si>
    <t>9720013233</t>
  </si>
  <si>
    <t>1000013160</t>
  </si>
  <si>
    <t>OFPCN23202025112300011</t>
  </si>
  <si>
    <t>1000013161</t>
  </si>
  <si>
    <t>阿拉善1000MW/4000MWh储能_12月确认设计服务收入</t>
  </si>
  <si>
    <t>XNCN23202025121600651</t>
  </si>
  <si>
    <t>1000013162</t>
  </si>
  <si>
    <t>9210249897</t>
  </si>
  <si>
    <t>1000013186</t>
  </si>
  <si>
    <t>阿拉善1000MW/4000MWh储能_12月确认睿景方建安收入</t>
  </si>
  <si>
    <t>OFPCN23552025090800017</t>
  </si>
  <si>
    <t>1000013189</t>
  </si>
  <si>
    <t>OFPCN23552025082200015</t>
  </si>
  <si>
    <t>1000013190</t>
  </si>
  <si>
    <t>OFPCN23202025101000030</t>
  </si>
  <si>
    <t>1000013191</t>
  </si>
  <si>
    <t>OFPCN23202025101600013</t>
  </si>
  <si>
    <t>1000013192</t>
  </si>
  <si>
    <t>OFPCN23202025101700022</t>
  </si>
  <si>
    <t>1000013193</t>
  </si>
  <si>
    <t>OFPCN23202025102100008</t>
  </si>
  <si>
    <t>1000013194</t>
  </si>
  <si>
    <t>OFPCN23202025103000026</t>
  </si>
  <si>
    <t>1000013195</t>
  </si>
  <si>
    <t>9210233846</t>
  </si>
  <si>
    <t>1000013196</t>
  </si>
  <si>
    <t>9720013036</t>
  </si>
  <si>
    <t>1000013197</t>
  </si>
  <si>
    <t>9210234090</t>
  </si>
  <si>
    <t>1000013199</t>
  </si>
  <si>
    <t>1000013200</t>
  </si>
  <si>
    <t>9720013074</t>
  </si>
  <si>
    <t>1000013201</t>
  </si>
  <si>
    <t>9720013075</t>
  </si>
  <si>
    <t>1000013202</t>
  </si>
  <si>
    <t>1000013203</t>
  </si>
  <si>
    <t>XNCN23202025102200495</t>
  </si>
  <si>
    <t>1000013204</t>
  </si>
  <si>
    <t>9210239669</t>
  </si>
  <si>
    <t>1000013205</t>
  </si>
  <si>
    <t>9720013156</t>
  </si>
  <si>
    <t>1000013206</t>
  </si>
  <si>
    <t>9720013181</t>
  </si>
  <si>
    <t>1000013207</t>
  </si>
  <si>
    <t>9210241854</t>
  </si>
  <si>
    <t>1000013208</t>
  </si>
  <si>
    <t>9210241857</t>
  </si>
  <si>
    <t>1000013210</t>
  </si>
  <si>
    <t>9210242121</t>
  </si>
  <si>
    <t>1000013211</t>
  </si>
  <si>
    <t>9720013193</t>
  </si>
  <si>
    <t>1000013212</t>
  </si>
  <si>
    <t>1000013213</t>
  </si>
  <si>
    <t>9720013215</t>
  </si>
  <si>
    <t>1000013214</t>
  </si>
  <si>
    <t>OFPCN23202025112100015</t>
  </si>
  <si>
    <t>1000013215</t>
  </si>
  <si>
    <t>OFPCN23202025120200001</t>
  </si>
  <si>
    <t>1000013216</t>
  </si>
  <si>
    <t>XNCN23202025120500299</t>
  </si>
  <si>
    <t>1000013217</t>
  </si>
  <si>
    <t>XNCN23202025121500635</t>
  </si>
  <si>
    <t>1000013218</t>
  </si>
  <si>
    <t>9720013358</t>
  </si>
  <si>
    <t>1000013219</t>
  </si>
  <si>
    <t>9720013338</t>
  </si>
  <si>
    <t>1000013221</t>
  </si>
  <si>
    <t>9210250827</t>
  </si>
  <si>
    <t>1000013222</t>
  </si>
  <si>
    <t>9720013294</t>
  </si>
  <si>
    <t>1000013223</t>
  </si>
  <si>
    <t>9210249513</t>
  </si>
  <si>
    <t>1000013224</t>
  </si>
  <si>
    <t>9210248612</t>
  </si>
  <si>
    <t>1000013255</t>
  </si>
  <si>
    <t>谷山梁500千伏变电站电源侧独立储能电站子项目1_10月确认设计服务收入-冲销</t>
  </si>
  <si>
    <t>谷山梁500千伏变电站电源侧独立储能电站子项目1_</t>
  </si>
  <si>
    <t>XNCN23202025101400259</t>
  </si>
  <si>
    <t>NER-1657</t>
  </si>
  <si>
    <t>1000013256</t>
  </si>
  <si>
    <t>谷山梁500千伏变电站电源侧独立储能电站子项目1_11月确认设计服务收入-冲销</t>
  </si>
  <si>
    <t>OFPCN23202025112000003</t>
  </si>
  <si>
    <t>1000013257</t>
  </si>
  <si>
    <t>XNCN23202025111700636</t>
  </si>
  <si>
    <t>6001000200</t>
  </si>
  <si>
    <t>1000013258</t>
  </si>
  <si>
    <t>谷山梁1000MW/4000MWh_11月确认咨询服务-在建收入-冲销</t>
  </si>
  <si>
    <t>谷山梁1000MW/4000MWh_11月确认咨询</t>
  </si>
  <si>
    <t>咨询服务-在建</t>
  </si>
  <si>
    <t>1000013287</t>
  </si>
  <si>
    <t>谷山梁1000MW/4000MWh_12月确认设备收入</t>
  </si>
  <si>
    <t>谷山梁1000MW/4000MWh_12月确认设备</t>
  </si>
  <si>
    <t>OFPCN23202025110700007</t>
  </si>
  <si>
    <t>1000013288</t>
  </si>
  <si>
    <t>9720013081</t>
  </si>
  <si>
    <t>1000013289</t>
  </si>
  <si>
    <t>9720013082</t>
  </si>
  <si>
    <t>1000013290</t>
  </si>
  <si>
    <t>9720013086</t>
  </si>
  <si>
    <t>1000013291</t>
  </si>
  <si>
    <t>9210238716</t>
  </si>
  <si>
    <t>1000013292</t>
  </si>
  <si>
    <t>谷山梁1000MW/4000MWh_12月确认建安收入</t>
  </si>
  <si>
    <t>谷山梁1000MW/4000MWh_12月确认建安</t>
  </si>
  <si>
    <t>9720013139</t>
  </si>
  <si>
    <t>1000013293</t>
  </si>
  <si>
    <t>9720013141</t>
  </si>
  <si>
    <t>1000013294</t>
  </si>
  <si>
    <t>9720013142</t>
  </si>
  <si>
    <t>1000013295</t>
  </si>
  <si>
    <t>9720013143</t>
  </si>
  <si>
    <t>1000013296</t>
  </si>
  <si>
    <t>9720013136</t>
  </si>
  <si>
    <t>1000013297</t>
  </si>
  <si>
    <t>9720013155</t>
  </si>
  <si>
    <t>1000013298</t>
  </si>
  <si>
    <t>9720013165</t>
  </si>
  <si>
    <t>1000013299</t>
  </si>
  <si>
    <t>9720013167</t>
  </si>
  <si>
    <t>1000013300</t>
  </si>
  <si>
    <t>9720013212</t>
  </si>
  <si>
    <t>1000013301</t>
  </si>
  <si>
    <t>9720013213</t>
  </si>
  <si>
    <t>1000013302</t>
  </si>
  <si>
    <t>9720013214</t>
  </si>
  <si>
    <t>1000013303</t>
  </si>
  <si>
    <t>9720013278</t>
  </si>
  <si>
    <t>1000013304</t>
  </si>
  <si>
    <t>9720013283</t>
  </si>
  <si>
    <t>1000013305</t>
  </si>
  <si>
    <t>9720013285</t>
  </si>
  <si>
    <t>1000013306</t>
  </si>
  <si>
    <t>9720013286</t>
  </si>
  <si>
    <t>1000013307</t>
  </si>
  <si>
    <t>9720013302</t>
  </si>
  <si>
    <t>1000013360</t>
  </si>
  <si>
    <t>CPACN23202025101300031</t>
  </si>
  <si>
    <t>1000013361</t>
  </si>
  <si>
    <t>9210235710</t>
  </si>
  <si>
    <t>1000013362</t>
  </si>
  <si>
    <t>9210237830</t>
  </si>
  <si>
    <t>1000013363</t>
  </si>
  <si>
    <t>9720013078</t>
  </si>
  <si>
    <t>1000013364</t>
  </si>
  <si>
    <t>9210237671</t>
  </si>
  <si>
    <t>1000013365</t>
  </si>
  <si>
    <t>9720013121</t>
  </si>
  <si>
    <t>1000013366</t>
  </si>
  <si>
    <t>9720013132</t>
  </si>
  <si>
    <t>1000013367</t>
  </si>
  <si>
    <t>9720013133</t>
  </si>
  <si>
    <t>1000013368</t>
  </si>
  <si>
    <t>1000013369</t>
  </si>
  <si>
    <t>9720013140</t>
  </si>
  <si>
    <t>1000013370</t>
  </si>
  <si>
    <t>1000013371</t>
  </si>
  <si>
    <t>1000013372</t>
  </si>
  <si>
    <t>1000013373</t>
  </si>
  <si>
    <t>9720013153</t>
  </si>
  <si>
    <t>1000013374</t>
  </si>
  <si>
    <t>9720013163</t>
  </si>
  <si>
    <t>1000013375</t>
  </si>
  <si>
    <t>9720013169</t>
  </si>
  <si>
    <t>1000013376</t>
  </si>
  <si>
    <t>9720013174</t>
  </si>
  <si>
    <t>1000013377</t>
  </si>
  <si>
    <t>9720013188</t>
  </si>
  <si>
    <t>1000013378</t>
  </si>
  <si>
    <t>9210241856</t>
  </si>
  <si>
    <t>1000013379</t>
  </si>
  <si>
    <t>9210241858</t>
  </si>
  <si>
    <t>1000013380</t>
  </si>
  <si>
    <t>9720013211</t>
  </si>
  <si>
    <t>1000013381</t>
  </si>
  <si>
    <t>1000013382</t>
  </si>
  <si>
    <t>9720013287</t>
  </si>
  <si>
    <t>1000013383</t>
  </si>
  <si>
    <t>9720013288</t>
  </si>
  <si>
    <t>1000013384</t>
  </si>
  <si>
    <t>9720013284</t>
  </si>
  <si>
    <t>1000013385</t>
  </si>
  <si>
    <t>1000013386</t>
  </si>
  <si>
    <t>1000013387</t>
  </si>
  <si>
    <t>9720013282</t>
  </si>
  <si>
    <t>1000013388</t>
  </si>
  <si>
    <t>9210246301</t>
  </si>
  <si>
    <t>1000013389</t>
  </si>
  <si>
    <t>ASACN23202025111800002</t>
  </si>
  <si>
    <t>1000013390</t>
  </si>
  <si>
    <t>1000013391</t>
  </si>
  <si>
    <t>9720013319</t>
  </si>
  <si>
    <t>1000013392</t>
  </si>
  <si>
    <t>9720013352</t>
  </si>
  <si>
    <t>1000013393</t>
  </si>
  <si>
    <t>9720013366</t>
  </si>
  <si>
    <t>1000013394</t>
  </si>
  <si>
    <t>9720013353</t>
  </si>
  <si>
    <t>1000013395</t>
  </si>
  <si>
    <t>9720013301</t>
  </si>
  <si>
    <t>1000013396</t>
  </si>
  <si>
    <t>9720013330</t>
  </si>
  <si>
    <t>1000013397</t>
  </si>
  <si>
    <t>9720013318</t>
  </si>
  <si>
    <t>1000013398</t>
  </si>
  <si>
    <t>9720013360</t>
  </si>
  <si>
    <t>1000013399</t>
  </si>
  <si>
    <t>1000013400</t>
  </si>
  <si>
    <t>1000013447</t>
  </si>
  <si>
    <t>阿拉善左旗_12月确认咨询服务-在建收入</t>
  </si>
  <si>
    <t>NER-1552</t>
  </si>
  <si>
    <t>1000013448</t>
  </si>
  <si>
    <t>锡盟防沙治沙正镶白旗10万kW风电_12月确认咨询服务-在建收入</t>
  </si>
  <si>
    <t>锡盟防沙治沙正镶白旗10万kW风电_12月确认咨询</t>
  </si>
  <si>
    <t>NER-1565</t>
  </si>
  <si>
    <t>1000013449</t>
  </si>
  <si>
    <t>冲销</t>
  </si>
  <si>
    <t>锡盟防沙治沙正镶白旗10万kW光伏_12月确认咨询</t>
  </si>
  <si>
    <t>4306</t>
  </si>
  <si>
    <t>NER-1583</t>
  </si>
  <si>
    <t>1000013450</t>
  </si>
  <si>
    <t>河北沧县开元_12月确认咨询服务-在建收入</t>
  </si>
  <si>
    <t>NER-J040</t>
  </si>
  <si>
    <t>1000013451</t>
  </si>
  <si>
    <t>沧县三期沧县永乐风电场_12月确认咨询服务-在建收入</t>
  </si>
  <si>
    <t>沧县三期沧县永乐风电场_12月确认咨询服务-在建收</t>
  </si>
  <si>
    <t>4312</t>
  </si>
  <si>
    <t>NER-1548</t>
  </si>
  <si>
    <t>1000013452</t>
  </si>
  <si>
    <t>广西邕宁那楼中山风电场_12月确认咨询服务-在建收入</t>
  </si>
  <si>
    <t>广西邕宁那楼中山风电场_12月确认咨询服务-在建收</t>
  </si>
  <si>
    <t>3398</t>
  </si>
  <si>
    <t>1000013453</t>
  </si>
  <si>
    <t>广西邕宁中和风电场_12月确认咨询服务-在建收入</t>
  </si>
  <si>
    <t>3402</t>
  </si>
  <si>
    <t>NER-1556</t>
  </si>
  <si>
    <t>1000013454</t>
  </si>
  <si>
    <t>广西邕宁百济风电场_12月确认咨询服务-在建收入</t>
  </si>
  <si>
    <t>3403</t>
  </si>
  <si>
    <t>NER-1554</t>
  </si>
  <si>
    <t>1000013455</t>
  </si>
  <si>
    <t>呼市武川100万千瓦/400万千瓦时储能_12月确认咨询服务-在建收入</t>
  </si>
  <si>
    <t>1000013456</t>
  </si>
  <si>
    <t>阿拉善1000MW/4000MWh储能_12月确认咨询服务-在建收入</t>
  </si>
  <si>
    <t>1000013458</t>
  </si>
  <si>
    <t>巴彦淖尔1000MW/4000MWh储能_12月确认咨询服务-在建收入</t>
  </si>
  <si>
    <t>1000013459</t>
  </si>
  <si>
    <t>锡盟苏右100万千瓦/400万千瓦时储能_12月确认咨询服务-在建收入</t>
  </si>
  <si>
    <t>1000013460</t>
  </si>
  <si>
    <t>四子王旗储能站_12月确认咨询服务-在建收入</t>
  </si>
  <si>
    <t>NEC-1436</t>
  </si>
  <si>
    <t>1000013461</t>
  </si>
  <si>
    <t>唐山乐亭项目（保障性）_12月确认咨询服务-在建收入</t>
  </si>
  <si>
    <t>唐山乐亭项目（保障性）_12月确认咨询服务-在建收</t>
  </si>
  <si>
    <t>NER-1520</t>
  </si>
  <si>
    <t>1000013462</t>
  </si>
  <si>
    <t>唐山乐亭项目（市场化）_12月确认咨询服务-在建收入</t>
  </si>
  <si>
    <t>唐山乐亭项目（市场化）_12月确认咨询服务-在建收</t>
  </si>
  <si>
    <t>NER-J042</t>
  </si>
  <si>
    <t>1000013464</t>
  </si>
  <si>
    <t>沧县四期沧县长芦风电场_12月确认咨询服务-前期收入</t>
  </si>
  <si>
    <t>沧县四期沧县长芦风电场_12月确认咨询服务-前期收</t>
  </si>
  <si>
    <t>咨询服务-前期</t>
  </si>
  <si>
    <t>NER-1550</t>
  </si>
  <si>
    <t>1000013486</t>
  </si>
  <si>
    <t>NER-J039</t>
  </si>
  <si>
    <t>1000013487</t>
  </si>
  <si>
    <t>1000013488</t>
  </si>
  <si>
    <t>贵港桂平一期_12月确认咨询服务-在建收入</t>
  </si>
  <si>
    <t>2056</t>
  </si>
  <si>
    <t>NER-1508</t>
  </si>
  <si>
    <t>1000013489</t>
  </si>
  <si>
    <t>陕西佳县_12月确认咨询服务-在建收入</t>
  </si>
  <si>
    <t>1000013490</t>
  </si>
  <si>
    <t>锡盟防沙治沙二连浩特市20万kW_12月确认咨询服务-在建收入</t>
  </si>
  <si>
    <t>锡盟防沙治沙二连浩特市20万kW_12月确认咨询服</t>
  </si>
  <si>
    <t>NEC-1567</t>
  </si>
  <si>
    <t>1000013491</t>
  </si>
  <si>
    <t>民勤三期_12月确认咨询服务-在建收入</t>
  </si>
  <si>
    <t>NER-1518</t>
  </si>
  <si>
    <t>1000013492</t>
  </si>
  <si>
    <t>蚌埠五河_12月确认咨询服务-在建收入</t>
  </si>
  <si>
    <t>1000013493</t>
  </si>
  <si>
    <t>白城洮北_12月确认咨询服务-在建收入</t>
  </si>
  <si>
    <t>NER-1257</t>
  </si>
  <si>
    <t>1000013494</t>
  </si>
  <si>
    <t>滨州二期-风电_12月确认咨询服务-在建收入</t>
  </si>
  <si>
    <t>4313</t>
  </si>
  <si>
    <t>NEC-1570</t>
  </si>
  <si>
    <t>1000014318</t>
  </si>
  <si>
    <t>1000014319</t>
  </si>
  <si>
    <t>1000014324</t>
  </si>
  <si>
    <t>1000014325</t>
  </si>
  <si>
    <t>1000013829</t>
  </si>
  <si>
    <t>内蒙伊旗风光储-风电_12月确认建安收入</t>
  </si>
  <si>
    <t>9720011936</t>
  </si>
  <si>
    <t>1000013830</t>
  </si>
  <si>
    <t>9720011937</t>
  </si>
  <si>
    <t>1000013831</t>
  </si>
  <si>
    <t>9720011939</t>
  </si>
  <si>
    <t>1000013832</t>
  </si>
  <si>
    <t>9720011938</t>
  </si>
  <si>
    <t>1000013833</t>
  </si>
  <si>
    <t>内蒙伊旗风光储-风电_12月确认设备收入</t>
  </si>
  <si>
    <t>9210143556</t>
  </si>
  <si>
    <t>1000013834</t>
  </si>
  <si>
    <t>9720011796</t>
  </si>
  <si>
    <t>1000013835</t>
  </si>
  <si>
    <t>9720011772</t>
  </si>
  <si>
    <t>1000013836</t>
  </si>
  <si>
    <t>9720012230</t>
  </si>
  <si>
    <t>1000013837</t>
  </si>
  <si>
    <t>民勤共享储能电站_12月确认建安收入</t>
  </si>
  <si>
    <t>9720012272</t>
  </si>
  <si>
    <t>NER-1499</t>
  </si>
  <si>
    <t>1000013839</t>
  </si>
  <si>
    <t>9720012271</t>
  </si>
  <si>
    <t>1000013840</t>
  </si>
  <si>
    <t>9210146819</t>
  </si>
  <si>
    <t>1000013841</t>
  </si>
  <si>
    <t>9720012273</t>
  </si>
  <si>
    <t>1000013842</t>
  </si>
  <si>
    <t>内蒙赤峰零碳氢氨-赤峰元宝山-风电_12月确认建安收入</t>
  </si>
  <si>
    <t>内蒙赤峰零碳氢氨-赤峰元宝山-风电_12月确认建安</t>
  </si>
  <si>
    <t>OFPCN232020241115303</t>
  </si>
  <si>
    <t>NER-1460</t>
  </si>
  <si>
    <t>1000013843</t>
  </si>
  <si>
    <t>民勤共享储能电站_12月确认设计服务收入</t>
  </si>
  <si>
    <t>CPACN232020240927798-2</t>
  </si>
  <si>
    <t>1000013844</t>
  </si>
  <si>
    <t>1000013845</t>
  </si>
  <si>
    <t>1000013846</t>
  </si>
  <si>
    <t>1000013847</t>
  </si>
  <si>
    <t>1000013848</t>
  </si>
  <si>
    <t>1000013850</t>
  </si>
  <si>
    <t>CPACN232020241213176-1</t>
  </si>
  <si>
    <t>1000013851</t>
  </si>
  <si>
    <t>9720013349</t>
  </si>
  <si>
    <t>1000013852</t>
  </si>
  <si>
    <t>OFPCN23202025112300002</t>
  </si>
  <si>
    <t>1000013853</t>
  </si>
  <si>
    <t>赤峰市能源物联网零碳氢氨一体化示范项目（元宝山区34兆瓦光伏）_12月确认设备收入</t>
  </si>
  <si>
    <t>赤峰市能源物联网零碳氢氨一体化示范项目（元宝山区3</t>
  </si>
  <si>
    <t>9210234875</t>
  </si>
  <si>
    <t>NER-J044</t>
  </si>
  <si>
    <t>1000013854</t>
  </si>
  <si>
    <t>9210240728</t>
  </si>
  <si>
    <t>1000013855</t>
  </si>
  <si>
    <t>赤峰市能源物联网零碳氢氨一体化示范项目（元宝山区34兆瓦光伏）_12月确认设计服务收入</t>
  </si>
  <si>
    <t>OFPCN23202025070300025</t>
  </si>
  <si>
    <t>1000013856</t>
  </si>
  <si>
    <t>XNCN23202025122501392</t>
  </si>
  <si>
    <t>1000013871</t>
  </si>
  <si>
    <t>赤峰元宝山区34兆瓦光伏_12月确认睿景方建安收入</t>
  </si>
  <si>
    <t>9720012893</t>
  </si>
  <si>
    <t>1000013872</t>
  </si>
  <si>
    <t>民勤共享储能电站_12月确认睿景方设计服务收入</t>
  </si>
  <si>
    <t>1000014105</t>
  </si>
  <si>
    <t>灵山玖伯一期_12月确认确认景程方设计服务收入</t>
  </si>
  <si>
    <t>灵山玖伯一期_12月确认景程方设计服务收入</t>
  </si>
  <si>
    <t>OFPCN232020231223609</t>
  </si>
  <si>
    <t>NER-1410</t>
  </si>
  <si>
    <t>1000014106</t>
  </si>
  <si>
    <t>贵港桂平一期_12月确认确认景程方设计服务收入</t>
  </si>
  <si>
    <t>贵港桂平一期_12月确认景程方设计服务收入</t>
  </si>
  <si>
    <t>9210245094</t>
  </si>
  <si>
    <t>1000014174</t>
  </si>
  <si>
    <t>内蒙伊旗风光储-风电_12月确认设计服务收入</t>
  </si>
  <si>
    <t>NER-1246</t>
  </si>
  <si>
    <t>1000014175</t>
  </si>
  <si>
    <t>OFPCN232020240119627-6</t>
  </si>
  <si>
    <t>1000014176</t>
  </si>
  <si>
    <t>XNCN44702025080800178</t>
  </si>
  <si>
    <t>1000014177</t>
  </si>
  <si>
    <t>XNCN44702025080700138</t>
  </si>
  <si>
    <t>1000014178</t>
  </si>
  <si>
    <t>XNCN44702025080700141</t>
  </si>
  <si>
    <t>1000014179</t>
  </si>
  <si>
    <t>9210161967</t>
  </si>
  <si>
    <t>1000014180</t>
  </si>
  <si>
    <t>9210203265</t>
  </si>
  <si>
    <t>1000014194</t>
  </si>
  <si>
    <t>内蒙伊旗风光储-远景样机_12月确认设计服务收入-冲销</t>
  </si>
  <si>
    <t>内蒙伊旗风光储-远景样机_12月确认设计服务收入</t>
  </si>
  <si>
    <t>1000014195</t>
  </si>
  <si>
    <t>1000014196</t>
  </si>
  <si>
    <t>1000014197</t>
  </si>
  <si>
    <t>1000014198</t>
  </si>
  <si>
    <t>1000014199</t>
  </si>
  <si>
    <t>1000014200</t>
  </si>
  <si>
    <t>1000014201</t>
  </si>
  <si>
    <t>1000014202</t>
  </si>
  <si>
    <t>1000014203</t>
  </si>
  <si>
    <t>1000014270</t>
  </si>
  <si>
    <t>锡盟京能储能项目_12月确认睿景设计服务收入</t>
  </si>
  <si>
    <t>建管费</t>
  </si>
  <si>
    <t>EO-0011</t>
  </si>
  <si>
    <t>1000014272</t>
  </si>
  <si>
    <t>后服务（致博）人员费用-12月_确认咨询服务-在建收入25312000000440783357</t>
  </si>
  <si>
    <t>后服务（致博）人员费用-12月_确认咨询服务-在建</t>
  </si>
  <si>
    <t>1000014330</t>
  </si>
  <si>
    <t>零碳合金_12月确认咨询服务-在建收入</t>
  </si>
  <si>
    <t>NEC-Z004</t>
  </si>
  <si>
    <t>1000014333</t>
  </si>
  <si>
    <t>赤峰市风光制氢一体化项目-赤峰翁牛特旗P1-375-风电_12月确认咨询服务-在建收入</t>
  </si>
  <si>
    <t>1000014334</t>
  </si>
  <si>
    <t>赤峰市风光制氢一体化项目-赤峰翁牛特旗P1-850_12月确认咨询服务-在建收入</t>
  </si>
  <si>
    <t>1000014388</t>
  </si>
  <si>
    <t>防火墙安装</t>
  </si>
  <si>
    <t>1000014389</t>
  </si>
  <si>
    <t>1000014390</t>
  </si>
  <si>
    <t>1000014391</t>
  </si>
  <si>
    <t>避雷针及钢构件采购</t>
  </si>
  <si>
    <t>1000014392</t>
  </si>
  <si>
    <t>管母支架构件采购</t>
  </si>
  <si>
    <t>1000014393</t>
  </si>
  <si>
    <t>消防暖通设备</t>
  </si>
  <si>
    <t>1000014394</t>
  </si>
  <si>
    <t>OFPCN3A172025081700003</t>
  </si>
  <si>
    <t>1000014395</t>
  </si>
  <si>
    <t>CPACN23202025122500014</t>
  </si>
  <si>
    <t>1000014396</t>
  </si>
  <si>
    <t>CPACN23202025122500008</t>
  </si>
  <si>
    <t>1000014398</t>
  </si>
  <si>
    <t>ALC防火墙板增补一（高速费）</t>
  </si>
  <si>
    <t>1000014399</t>
  </si>
  <si>
    <t>电缆终端接头增补</t>
  </si>
  <si>
    <t>1000014400</t>
  </si>
  <si>
    <t>电缆(ZC-YJY23-26/35KV-3*95)</t>
  </si>
  <si>
    <t>1000014401</t>
  </si>
  <si>
    <t>OFPCN23202026010400008</t>
  </si>
  <si>
    <t>1000014402</t>
  </si>
  <si>
    <t>CPACN23202026010400022</t>
  </si>
  <si>
    <t>1000014414</t>
  </si>
  <si>
    <t>设备预留事项</t>
  </si>
  <si>
    <t>1000014415</t>
  </si>
  <si>
    <t>建安预留事项</t>
  </si>
  <si>
    <t>1000014416</t>
  </si>
  <si>
    <t>设计预留事项</t>
  </si>
  <si>
    <t>1000014425</t>
  </si>
  <si>
    <t>9110302283</t>
  </si>
  <si>
    <t>1000014426</t>
  </si>
  <si>
    <t>1000014427</t>
  </si>
  <si>
    <t>1000014428</t>
  </si>
  <si>
    <t>1000014431</t>
  </si>
  <si>
    <t>远景前期费用结算预估</t>
  </si>
  <si>
    <t>1000014432</t>
  </si>
  <si>
    <t>出售-设备加价</t>
  </si>
  <si>
    <t>1000014433</t>
  </si>
  <si>
    <t>EPC-建安加价</t>
  </si>
  <si>
    <t>1000014434</t>
  </si>
  <si>
    <t>1000014437</t>
  </si>
  <si>
    <t>内蒙鄂尔多斯分散式-储能_12月确认设计服务收入</t>
  </si>
  <si>
    <t>9210074476</t>
  </si>
  <si>
    <t>ER-J022</t>
  </si>
  <si>
    <t>1000014438</t>
  </si>
  <si>
    <t>内蒙鄂尔多斯分散式-风电_12月确认设计服务收入</t>
  </si>
  <si>
    <t>OFPCN23202025041500019</t>
  </si>
  <si>
    <t>1000014439</t>
  </si>
  <si>
    <t>内蒙鄂尔多斯分散式-改造_12月确认设计服务收入</t>
  </si>
  <si>
    <t>9210238653</t>
  </si>
  <si>
    <t>1000014440</t>
  </si>
  <si>
    <t>OFPCN232020240123825</t>
  </si>
  <si>
    <t>1000014441</t>
  </si>
  <si>
    <t>9720012201</t>
  </si>
  <si>
    <t>1000014442</t>
  </si>
  <si>
    <t>OFPCN23202025040300003</t>
  </si>
  <si>
    <t>1000014443</t>
  </si>
  <si>
    <t>内蒙伊旗风光储-光伏_12月确认设计服务收入</t>
  </si>
  <si>
    <t>9210154844</t>
  </si>
  <si>
    <t>1000014444</t>
  </si>
  <si>
    <t>OFPCN232020240703373</t>
  </si>
  <si>
    <t>1000014445</t>
  </si>
  <si>
    <t>OFPCN23202025061200011</t>
  </si>
  <si>
    <t>1000014447</t>
  </si>
  <si>
    <t>9720013145</t>
  </si>
  <si>
    <t>1000014448</t>
  </si>
  <si>
    <t>内蒙伊旗风光储-光伏_12月确认建安收入</t>
  </si>
  <si>
    <t>9210143612</t>
  </si>
  <si>
    <t>1000014449</t>
  </si>
  <si>
    <t>9210143614</t>
  </si>
  <si>
    <t>1000014450</t>
  </si>
  <si>
    <t>9210131749</t>
  </si>
  <si>
    <t>1000014451</t>
  </si>
  <si>
    <t>OFPCN232020221110234</t>
  </si>
  <si>
    <t>1000014452</t>
  </si>
  <si>
    <t>1000014453</t>
  </si>
  <si>
    <t>1000014454</t>
  </si>
  <si>
    <t>1000014470</t>
  </si>
  <si>
    <t>内蒙伊旗风光储-远景样机订单实际由零碳项目承担结转设备收入</t>
  </si>
  <si>
    <t>内蒙伊旗风光储-远景样机订单实际由零碳项目承担结转</t>
  </si>
  <si>
    <t>1000014471</t>
  </si>
  <si>
    <t>内蒙伊旗风光储-远景样机订单实际由零碳项目承担结转建安收入</t>
  </si>
  <si>
    <t>1000014472</t>
  </si>
  <si>
    <t>1000014477</t>
  </si>
  <si>
    <t>1000014482</t>
  </si>
  <si>
    <t>呼市武川100万千瓦/400万千瓦时储能_11月确认设备收入-冲销</t>
  </si>
  <si>
    <t>呼市武川100万千瓦/400万千瓦时储能_11月确</t>
  </si>
  <si>
    <t>CHENHONG</t>
  </si>
  <si>
    <t>1000014483</t>
  </si>
  <si>
    <t>1000014486</t>
  </si>
  <si>
    <t>1000014488</t>
  </si>
  <si>
    <t>1000014489</t>
  </si>
  <si>
    <t>1000014490</t>
  </si>
  <si>
    <t>1000014491</t>
  </si>
  <si>
    <t>1000014493</t>
  </si>
  <si>
    <t>EO-0009-99-01-01项目2025年12</t>
  </si>
  <si>
    <t>EO-0009-99-01-01</t>
  </si>
  <si>
    <t>LIXIAOSHUANG</t>
  </si>
  <si>
    <t>1000014494</t>
  </si>
  <si>
    <t>EO-0009-99-01-02项目2025年12</t>
  </si>
  <si>
    <t>EO-0009-99-01-02</t>
  </si>
  <si>
    <t>1000014499</t>
  </si>
  <si>
    <t>1000014500</t>
  </si>
  <si>
    <t>1000014501</t>
  </si>
  <si>
    <t>1000014502</t>
  </si>
  <si>
    <t>睿景&amp;景泰中央分摊预留</t>
  </si>
  <si>
    <t>1000014503</t>
  </si>
  <si>
    <t>远景前期费预留</t>
  </si>
  <si>
    <t>1000014543</t>
  </si>
  <si>
    <t>1000014544</t>
  </si>
  <si>
    <t>1000014545</t>
  </si>
  <si>
    <t>1000014565</t>
  </si>
  <si>
    <t>1000014566</t>
  </si>
  <si>
    <t>1000014567</t>
  </si>
  <si>
    <t>1000014568</t>
  </si>
  <si>
    <t>1000014569</t>
  </si>
  <si>
    <t>1000014570</t>
  </si>
  <si>
    <t>1000014571</t>
  </si>
  <si>
    <t>1000014572</t>
  </si>
  <si>
    <t>1000014573</t>
  </si>
  <si>
    <t>1000014575</t>
  </si>
  <si>
    <t>1000014576</t>
  </si>
  <si>
    <t>1000014577</t>
  </si>
  <si>
    <t>1000014578</t>
  </si>
  <si>
    <t>1000014616</t>
  </si>
  <si>
    <t>1000014617</t>
  </si>
  <si>
    <t>1000014623</t>
  </si>
  <si>
    <t>1000014624</t>
  </si>
  <si>
    <t>1000014625</t>
  </si>
  <si>
    <t>1000014626</t>
  </si>
  <si>
    <t>1000014627</t>
  </si>
  <si>
    <t>1000014628</t>
  </si>
  <si>
    <t>1000014629</t>
  </si>
  <si>
    <t>1000014637</t>
  </si>
  <si>
    <t>1000014638</t>
  </si>
  <si>
    <t>1000014639</t>
  </si>
  <si>
    <t>1000014640</t>
  </si>
  <si>
    <t>1000014641</t>
  </si>
  <si>
    <t>1000014642</t>
  </si>
  <si>
    <t>1000014643</t>
  </si>
  <si>
    <t>1000014657</t>
  </si>
  <si>
    <t>巴彦淖尔1000MW/4000MWh储能_12月确认建安服务收入</t>
  </si>
  <si>
    <t>6001000100</t>
  </si>
  <si>
    <t>1000014662</t>
  </si>
  <si>
    <t>F-001660大唐湖南永州分水塘风电场维检技术服务_12月确认后服务收入-设备收入</t>
  </si>
  <si>
    <t>F-001660大唐湖南永州分水塘风电场维检技术服</t>
  </si>
  <si>
    <t>OFPCN23202025051200002</t>
  </si>
  <si>
    <t>F-001660</t>
  </si>
  <si>
    <t>1000014663</t>
  </si>
  <si>
    <t>FC-000071广西钦南久沙风电场变电运维服务_12月确认后服务收入-运维服务收入</t>
  </si>
  <si>
    <t>FC-000071广西钦南久沙风电场变电运维服务_</t>
  </si>
  <si>
    <t>OFPCN23202025030700005</t>
  </si>
  <si>
    <t>FC-000071</t>
  </si>
  <si>
    <t>1000014664</t>
  </si>
  <si>
    <t>F-000824三峡新能源云南姚安小箐山风电场运维服务_12月确认后服务收入-运维服务收入</t>
  </si>
  <si>
    <t>F-000824三峡新能源云南姚安小箐山风电场运维</t>
  </si>
  <si>
    <t>OFPCN232020240703342</t>
  </si>
  <si>
    <t>F-000824</t>
  </si>
  <si>
    <t>1000014665</t>
  </si>
  <si>
    <t>F-001227海伦市东林乡分散式风电场项目场站运维服务_12月确认后服务收入-运维服务收入</t>
  </si>
  <si>
    <t>F-001227海伦市东林乡分散式风电场项目场站运</t>
  </si>
  <si>
    <t>OFPCN232020241108657</t>
  </si>
  <si>
    <t>F-001227</t>
  </si>
  <si>
    <t>1000014666</t>
  </si>
  <si>
    <t>F-001227海伦市东林乡分散式风电场项目场站运维服务_12月确认后服务收入-设备收入</t>
  </si>
  <si>
    <t>1000014667</t>
  </si>
  <si>
    <t>F-001454华能安徽龙池风电场年度定检、检修_12月确认后服务收入-设备收入</t>
  </si>
  <si>
    <t>F-001454华能安徽龙池风电场年度定检、检修_</t>
  </si>
  <si>
    <t>OFPCN232020241108622</t>
  </si>
  <si>
    <t>F-001454</t>
  </si>
  <si>
    <t>1000014668</t>
  </si>
  <si>
    <t>FC-000068清池河北沧县浮阳风电场变电运维服务_12月确认后服务收入-运维服务收入</t>
  </si>
  <si>
    <t>FC-000068清池河北沧县浮阳风电场变电运维服</t>
  </si>
  <si>
    <t>OFPCN23202025030700001</t>
  </si>
  <si>
    <t>FC-000068</t>
  </si>
  <si>
    <t>1000014669</t>
  </si>
  <si>
    <t>F-001612国电投广西黄花岭风电场 23 台风机运维服务_12月确认后服务收入-设备收入</t>
  </si>
  <si>
    <t>F-001612国电投广西黄花岭风电场 23 台风</t>
  </si>
  <si>
    <t>OFPCN23202025030700004</t>
  </si>
  <si>
    <t>F-001612</t>
  </si>
  <si>
    <t>1000014670</t>
  </si>
  <si>
    <t>F-001421华能陕西靖边马畔梁风电场度运行维护_12月确认后服务收入-运维服务收入</t>
  </si>
  <si>
    <t>F-001421华能陕西靖边马畔梁风电场度运行维护</t>
  </si>
  <si>
    <t>OFPCN23202025031200027</t>
  </si>
  <si>
    <t>F-001421</t>
  </si>
  <si>
    <t>1000014671</t>
  </si>
  <si>
    <t>F-001812大唐宁夏灵武风电场3年检修维护_12月确认后服务收入-运维服务收入</t>
  </si>
  <si>
    <t>F-001812大唐宁夏灵武风电场3年检修维护_1</t>
  </si>
  <si>
    <t>后服务收入-运维服务</t>
  </si>
  <si>
    <t>F-001812</t>
  </si>
  <si>
    <t>1000014679</t>
  </si>
  <si>
    <t>安徽定远_12月确认建安收入</t>
  </si>
  <si>
    <t>OFPCN232020240613929</t>
  </si>
  <si>
    <t>XQ-2003</t>
  </si>
  <si>
    <t>1000014680</t>
  </si>
  <si>
    <t>1000014681</t>
  </si>
  <si>
    <t>1000014685</t>
  </si>
  <si>
    <t>9720013390</t>
  </si>
  <si>
    <t>1000014686</t>
  </si>
  <si>
    <t>9720013407</t>
  </si>
  <si>
    <t>1000014687</t>
  </si>
  <si>
    <t>9720013401</t>
  </si>
  <si>
    <t>1000014688</t>
  </si>
  <si>
    <t>OFPCN23202025122500016</t>
  </si>
  <si>
    <t>1000014689</t>
  </si>
  <si>
    <t>设备预留成本事项</t>
  </si>
  <si>
    <t>1000014690</t>
  </si>
  <si>
    <t>设计预留成本事项</t>
  </si>
  <si>
    <t>1000014691</t>
  </si>
  <si>
    <t>建安预留成本事项</t>
  </si>
  <si>
    <t>1000014692</t>
  </si>
  <si>
    <t>远景能源前期资源费</t>
  </si>
  <si>
    <t>1000014693</t>
  </si>
  <si>
    <t>1000014694</t>
  </si>
  <si>
    <t>1000014695</t>
  </si>
  <si>
    <t>1000014706</t>
  </si>
  <si>
    <t>1000014720</t>
  </si>
  <si>
    <t>远景风机款</t>
  </si>
  <si>
    <t>1000014731</t>
  </si>
  <si>
    <t>XNCN23202025101400198</t>
  </si>
  <si>
    <t>1000014732</t>
  </si>
  <si>
    <t>噪音预留</t>
  </si>
  <si>
    <t>1000014733</t>
  </si>
  <si>
    <t>XNCN23202025112701634</t>
  </si>
  <si>
    <t>1000014734</t>
  </si>
  <si>
    <t>1000014735</t>
  </si>
  <si>
    <t>9720012877</t>
  </si>
  <si>
    <t>1000014736</t>
  </si>
  <si>
    <t>1000014743</t>
  </si>
  <si>
    <t>1000014747</t>
  </si>
  <si>
    <t>射阳样机_远景_12月确认设计服务收入</t>
  </si>
  <si>
    <t>OFPCN232020211212230</t>
  </si>
  <si>
    <t>ER-1122</t>
  </si>
  <si>
    <t>1000014748</t>
  </si>
  <si>
    <t>OFPCN232020220804055</t>
  </si>
  <si>
    <t>1000014749</t>
  </si>
  <si>
    <t>射阳样机_远景_12月确认建安收入</t>
  </si>
  <si>
    <t>OFPCN232020220811175</t>
  </si>
  <si>
    <t>1000014750</t>
  </si>
  <si>
    <t>9210131608</t>
  </si>
  <si>
    <t>1000014751</t>
  </si>
  <si>
    <t>9210189575</t>
  </si>
  <si>
    <t>1000014752</t>
  </si>
  <si>
    <t>9210193579</t>
  </si>
  <si>
    <t>1000014753</t>
  </si>
  <si>
    <t>9210200213</t>
  </si>
  <si>
    <t>1000014754</t>
  </si>
  <si>
    <t>9210208784</t>
  </si>
  <si>
    <t>1000014755</t>
  </si>
  <si>
    <t>9210214393</t>
  </si>
  <si>
    <t>1000014757</t>
  </si>
  <si>
    <t>9210220338</t>
  </si>
  <si>
    <t>1000014758</t>
  </si>
  <si>
    <t>9210221451</t>
  </si>
  <si>
    <t>1000014759</t>
  </si>
  <si>
    <t>9210227771</t>
  </si>
  <si>
    <t>1000014760</t>
  </si>
  <si>
    <t>9210239500</t>
  </si>
  <si>
    <t>1000014761</t>
  </si>
  <si>
    <t>基础改造期间</t>
  </si>
  <si>
    <t>1000014773</t>
  </si>
  <si>
    <t>1000014774</t>
  </si>
  <si>
    <t>1000014775</t>
  </si>
  <si>
    <t>1000014776</t>
  </si>
  <si>
    <t>1000014781</t>
  </si>
  <si>
    <t>OFPCN232020211104094</t>
  </si>
  <si>
    <t>1000014782</t>
  </si>
  <si>
    <t>OFPCN232020211116690</t>
  </si>
  <si>
    <t>1000014783</t>
  </si>
  <si>
    <t>1000014784</t>
  </si>
  <si>
    <t>1000014785</t>
  </si>
  <si>
    <t>1000014786</t>
  </si>
  <si>
    <t>9210192048</t>
  </si>
  <si>
    <t>1000014787</t>
  </si>
  <si>
    <t>1000014800</t>
  </si>
  <si>
    <t>大金重工70万风电项目_12月确认设计服务收入</t>
  </si>
  <si>
    <t>EO-0004</t>
  </si>
  <si>
    <t>1000014801</t>
  </si>
  <si>
    <t>1000014802</t>
  </si>
  <si>
    <t>9210182525</t>
  </si>
  <si>
    <t>1000014812</t>
  </si>
  <si>
    <t>1000014814</t>
  </si>
  <si>
    <t>EO-0005-99-01-02项目2025年12</t>
  </si>
  <si>
    <t>EO-0005-99-01-02</t>
  </si>
  <si>
    <t>ZHOUYUQI</t>
  </si>
  <si>
    <t>1000014816</t>
  </si>
  <si>
    <t>EO-0003-99-01-01项目2025年12</t>
  </si>
  <si>
    <t>EO-0003-99-01-01</t>
  </si>
  <si>
    <t>1000014817</t>
  </si>
  <si>
    <t>EO-0003-99-01-03项目2025年12</t>
  </si>
  <si>
    <t>EO-0003-99-01-03</t>
  </si>
  <si>
    <t>2221010200</t>
  </si>
  <si>
    <t>1000011117</t>
  </si>
  <si>
    <t>EO-0002项目11月销项税调整</t>
  </si>
  <si>
    <t>EO-0002-99-01-03</t>
  </si>
  <si>
    <t>EO-0002-99-01-02</t>
  </si>
  <si>
    <t>EO-0002-99-01-01</t>
  </si>
  <si>
    <t>1000011120</t>
  </si>
  <si>
    <t>EO-0003项目11月销项税调整</t>
  </si>
  <si>
    <t>EO-0003-99-01-02</t>
  </si>
  <si>
    <t>1000011122</t>
  </si>
  <si>
    <t>EO-0005项目11月销项税调整</t>
  </si>
  <si>
    <t>EO-0005-99-01-03</t>
  </si>
  <si>
    <t>EO-0005-99-01-01</t>
  </si>
  <si>
    <t>1000011149</t>
  </si>
  <si>
    <t>EO-0009项目11月销项税调整</t>
  </si>
  <si>
    <t>1000011151</t>
  </si>
  <si>
    <t>1000011960</t>
  </si>
  <si>
    <t>25312000000404302822郎溪项目一台废旧箱变回收变卖并开票-冲减采购成本921011</t>
  </si>
  <si>
    <t>郎溪项目一台废旧箱变回收变卖并开票-冲减采购成本9</t>
  </si>
  <si>
    <t>9210115494</t>
  </si>
  <si>
    <t>2531200000040430</t>
  </si>
  <si>
    <t>JT_SRM_SERV</t>
  </si>
  <si>
    <t>1000012220</t>
  </si>
  <si>
    <t>内蒙伊旗风光储项目废旧设备&amp;物资回收变卖并开票-冲减采购成本9210143556</t>
  </si>
  <si>
    <t>内蒙伊旗风光储项目废旧设备&amp;物资回收变卖并开票-冲</t>
  </si>
  <si>
    <t>1000012221</t>
  </si>
  <si>
    <t>内蒙伊旗风光储项目废旧设备&amp;物资回收变卖并开票-冲减采购成本9720011796</t>
  </si>
  <si>
    <t>1000012222</t>
  </si>
  <si>
    <t>内蒙伊旗风光储项目废旧设备&amp;物资回收变卖并开票-冲减采购成本9720011772</t>
  </si>
  <si>
    <t>1000012223</t>
  </si>
  <si>
    <t>内蒙伊旗风光储项目废旧设备&amp;物资回收变卖并开票-冲减采购成本9210146819</t>
  </si>
  <si>
    <t>1000012224</t>
  </si>
  <si>
    <t>1000012225</t>
  </si>
  <si>
    <t>内蒙伊旗风光储项目废旧设备&amp;物资回收变卖并开票-冲减采购成本9720012230</t>
  </si>
  <si>
    <t>邕宁那楼中山风电场_12月确认景程方设备收入-冲销</t>
  </si>
  <si>
    <t>DS-0218</t>
  </si>
  <si>
    <t>1000014497</t>
  </si>
  <si>
    <t>EO-0009项目12月销项税调整</t>
  </si>
  <si>
    <t>1000014813</t>
  </si>
  <si>
    <t>手工入账</t>
  </si>
  <si>
    <t>EO-0002项目13月销项税调整</t>
  </si>
  <si>
    <t>1000014815</t>
  </si>
  <si>
    <t>EO-0005项目12月销项税调整</t>
  </si>
  <si>
    <t>1000014818</t>
  </si>
  <si>
    <t>EO-0003项目12月销项税调整</t>
  </si>
  <si>
    <t>2221010100</t>
  </si>
  <si>
    <t>4000002972</t>
  </si>
  <si>
    <t>RE</t>
  </si>
  <si>
    <t>CGDD012489-9210233661</t>
  </si>
  <si>
    <t>25152*71010250</t>
  </si>
  <si>
    <t>4000002973</t>
  </si>
  <si>
    <t>KR</t>
  </si>
  <si>
    <t>APJT20251000163,25112000000215542110</t>
  </si>
  <si>
    <t>25112000000215542110</t>
  </si>
  <si>
    <t>APJT20251000163</t>
  </si>
  <si>
    <t>ER-1402</t>
  </si>
  <si>
    <t>4000002974</t>
  </si>
  <si>
    <t>APJT20251000164,25112000000215590679</t>
  </si>
  <si>
    <t>25112000000215590679</t>
  </si>
  <si>
    <t>APJT20251000164</t>
  </si>
  <si>
    <t>4000002975</t>
  </si>
  <si>
    <t>APJT20251100836,25132000000205647513</t>
  </si>
  <si>
    <t>25132000000205647513</t>
  </si>
  <si>
    <t>APJT20251100836</t>
  </si>
  <si>
    <t>NER-1148</t>
  </si>
  <si>
    <t>4000002976</t>
  </si>
  <si>
    <t>APJT20251100840,25342000000205201794</t>
  </si>
  <si>
    <t>25342000000205201794</t>
  </si>
  <si>
    <t>APJT20251100840</t>
  </si>
  <si>
    <t>NER-1451</t>
  </si>
  <si>
    <t>4000003001</t>
  </si>
  <si>
    <t>20251127000047FY,徐晓涵建管费报销</t>
  </si>
  <si>
    <t>徐晓涵建管费报销</t>
  </si>
  <si>
    <t>20251127000047FY</t>
  </si>
  <si>
    <t>EO-0009</t>
  </si>
  <si>
    <t>4000003003</t>
  </si>
  <si>
    <t>20251122000010FY,刘峻铭 五河彩舟项目费用报销11.22</t>
  </si>
  <si>
    <t>刘峻铭 五河彩舟项目费用报销11.22</t>
  </si>
  <si>
    <t>20251122000010FY</t>
  </si>
  <si>
    <t>4000003005</t>
  </si>
  <si>
    <t>APJT20251200087,25412000000266397464</t>
  </si>
  <si>
    <t>25412000000266397464</t>
  </si>
  <si>
    <t>APJT20251200087</t>
  </si>
  <si>
    <t>4000003006</t>
  </si>
  <si>
    <t>APJT20251200086,25412000000266446011</t>
  </si>
  <si>
    <t>25412000000266446011</t>
  </si>
  <si>
    <t>APJT20251200086</t>
  </si>
  <si>
    <t>4000003007</t>
  </si>
  <si>
    <t>APJT20251200085,25412000000266339790</t>
  </si>
  <si>
    <t>25412000000266339790</t>
  </si>
  <si>
    <t>APJT20251200085</t>
  </si>
  <si>
    <t>4000003050</t>
  </si>
  <si>
    <t>APJT20251200104,25922*73636152/6312/5460</t>
  </si>
  <si>
    <t>25922*73636152/6312/5460</t>
  </si>
  <si>
    <t>APJT20251200104</t>
  </si>
  <si>
    <t>4000003008</t>
  </si>
  <si>
    <t>CGDD013231-9210243932</t>
  </si>
  <si>
    <t>25112*269182124</t>
  </si>
  <si>
    <t>4000003010</t>
  </si>
  <si>
    <t>CGDD013116-9210242559</t>
  </si>
  <si>
    <t>25112*269164076</t>
  </si>
  <si>
    <t>4000003075</t>
  </si>
  <si>
    <t>25312000000388503975，10月觐联司机费</t>
  </si>
  <si>
    <t>25312000000388503975</t>
  </si>
  <si>
    <t>APJT20251200164</t>
  </si>
  <si>
    <t>232008</t>
  </si>
  <si>
    <t>4000003725</t>
  </si>
  <si>
    <t>FC-000070钦南久沙风电场变电运维服务_12月收后服务收入-运维服务发票_2532200000</t>
  </si>
  <si>
    <t>FC-000070钦南久沙风电场变电运维服务_12</t>
  </si>
  <si>
    <t>2532200000057774</t>
  </si>
  <si>
    <t>FC-000070</t>
  </si>
  <si>
    <t>4000003727</t>
  </si>
  <si>
    <t>F-000824小箐山变电运维服务_12月收后服务收入-运维服务发票_253120000003996</t>
  </si>
  <si>
    <t>F-000824小箐山变电运维服务_12月收后服务</t>
  </si>
  <si>
    <t>2531200000039968</t>
  </si>
  <si>
    <t>1000011659</t>
  </si>
  <si>
    <t>调整凭证4-2752，税额调整（专票已重开，现红冲调整）</t>
  </si>
  <si>
    <t>调整凭证4-2752，税额调整（专票已重开，现红冲</t>
  </si>
  <si>
    <t>APJT20251100043</t>
  </si>
  <si>
    <t>HUSHUYANG</t>
  </si>
  <si>
    <t>1000011664</t>
  </si>
  <si>
    <t>25342000000214433684,原发票作废重开，调4000002752</t>
  </si>
  <si>
    <t>2534200000021443368420251</t>
  </si>
  <si>
    <t>CPACN23202025101500012</t>
  </si>
  <si>
    <t>25342000000189553557,原发票作废重开，调4000002752</t>
  </si>
  <si>
    <t>4000003012</t>
  </si>
  <si>
    <t>CGDD012619-9210235013</t>
  </si>
  <si>
    <t>25422*226128141</t>
  </si>
  <si>
    <t>4000003013</t>
  </si>
  <si>
    <t>CGDD012617-9210235012</t>
  </si>
  <si>
    <t>25422*226099624</t>
  </si>
  <si>
    <t>4000003014</t>
  </si>
  <si>
    <t>CGDD006677-9210121731</t>
  </si>
  <si>
    <t>25312*395917115</t>
  </si>
  <si>
    <t>4000003015</t>
  </si>
  <si>
    <t>CGDD006680-9210121732</t>
  </si>
  <si>
    <t>25312*395914624</t>
  </si>
  <si>
    <t>4000003016</t>
  </si>
  <si>
    <t>CGDD007053-9210132905</t>
  </si>
  <si>
    <t>25312*395910299</t>
  </si>
  <si>
    <t>4000003017</t>
  </si>
  <si>
    <t>CGDD006721-9210122336</t>
  </si>
  <si>
    <t>25312*395907964</t>
  </si>
  <si>
    <t>4000003018</t>
  </si>
  <si>
    <t>CGDD006973-9210131098</t>
  </si>
  <si>
    <t>25372*338267698</t>
  </si>
  <si>
    <t>4000003074</t>
  </si>
  <si>
    <t>CGDD012519-9720013037</t>
  </si>
  <si>
    <t>25912*30558241</t>
  </si>
  <si>
    <t>4000003076</t>
  </si>
  <si>
    <t>CGDD005999-9210108475</t>
  </si>
  <si>
    <t>25512*295533177</t>
  </si>
  <si>
    <t>4000003077</t>
  </si>
  <si>
    <t>CGDD005998-9210108476</t>
  </si>
  <si>
    <t>25512*295539453</t>
  </si>
  <si>
    <t>4000003079</t>
  </si>
  <si>
    <t>CGDD012490-9210233695</t>
  </si>
  <si>
    <t>25412*270091626</t>
  </si>
  <si>
    <t>4000003080</t>
  </si>
  <si>
    <t>CGDD013005-9720013170</t>
  </si>
  <si>
    <t>25412*269999897</t>
  </si>
  <si>
    <t>4000003726</t>
  </si>
  <si>
    <t>F-000824小箐山2025年度质安环管理_12月收后服务收入-运维服务发票_2532200000</t>
  </si>
  <si>
    <t>F-000824小箐山2025年度质安环管理_12</t>
  </si>
  <si>
    <t>2532200000057981</t>
  </si>
  <si>
    <t>1000011781</t>
  </si>
  <si>
    <t>25512*297163070红冲发票进项税转出，PO订单9720012221，调24年4-1310</t>
  </si>
  <si>
    <t>25512*2971630702025120800</t>
  </si>
  <si>
    <t>9720012221</t>
  </si>
  <si>
    <t>SGZZQT</t>
  </si>
  <si>
    <t>1000011783</t>
  </si>
  <si>
    <t>25512*297159599红冲发票进项税转出，PO订单9720012222，调24年4-1305</t>
  </si>
  <si>
    <t>25512*2971595992025120800</t>
  </si>
  <si>
    <t>9720012222</t>
  </si>
  <si>
    <t>1000011784</t>
  </si>
  <si>
    <t>25512*297160592红冲发票进项税转出，PO订单9720012223，调24年4-1309</t>
  </si>
  <si>
    <t>25512*2971605922025120800</t>
  </si>
  <si>
    <t>9720012223</t>
  </si>
  <si>
    <t>1000011785</t>
  </si>
  <si>
    <t>25512*297159582红冲发票进项税转出，PO订单9720011936，调24年4-1130</t>
  </si>
  <si>
    <t>25512*2971595822025120800</t>
  </si>
  <si>
    <t>1000011786</t>
  </si>
  <si>
    <t>25512*297159571红冲发票进项税转出，PO订单9210167389，调25年4-187</t>
  </si>
  <si>
    <t>25512*2971595712025120800</t>
  </si>
  <si>
    <t>4000003081</t>
  </si>
  <si>
    <t>CGDD013421-9720013311</t>
  </si>
  <si>
    <t>25512*296268337</t>
  </si>
  <si>
    <t>4000003085</t>
  </si>
  <si>
    <t>CGDD013378-9720013296</t>
  </si>
  <si>
    <t>25152*72973129</t>
  </si>
  <si>
    <t>4000003086</t>
  </si>
  <si>
    <t>25422000000221354258，2025-11-17-呼和浩特武川100万千瓦/400万千</t>
  </si>
  <si>
    <t>25422000000221354258</t>
  </si>
  <si>
    <t>APJT20251101604</t>
  </si>
  <si>
    <t>4000003088</t>
  </si>
  <si>
    <t>25152000000068395847，鄂尔多斯零碳50万项目场内环水保监理监测验收采购合同</t>
  </si>
  <si>
    <t>25152000000068395847</t>
  </si>
  <si>
    <t>APJT20251101216</t>
  </si>
  <si>
    <t>4000003089</t>
  </si>
  <si>
    <t>25132000000212953402，2025-07-28-丰宁三期200MW元山子风电场项目-</t>
  </si>
  <si>
    <t>25132000000212953402</t>
  </si>
  <si>
    <t>APJT20251101784</t>
  </si>
  <si>
    <t>NER-1416</t>
  </si>
  <si>
    <t>4000003090</t>
  </si>
  <si>
    <t>25512000000287620608，2025-10-31-远景郎溪县风电场项目-郎溪景瑞风电场</t>
  </si>
  <si>
    <t>25512000000287620608</t>
  </si>
  <si>
    <t>APJT20251101809</t>
  </si>
  <si>
    <t>NER-1464</t>
  </si>
  <si>
    <t>4000003091</t>
  </si>
  <si>
    <t>CGDD013422-9720013310</t>
  </si>
  <si>
    <t>25512*299304760</t>
  </si>
  <si>
    <t>4000003092</t>
  </si>
  <si>
    <t>CGDD013423-9720013312</t>
  </si>
  <si>
    <t>25512*299300569</t>
  </si>
  <si>
    <t>4000003093</t>
  </si>
  <si>
    <t>CGDD012631-9210235061</t>
  </si>
  <si>
    <t>25152*71052046</t>
  </si>
  <si>
    <t>4000003094</t>
  </si>
  <si>
    <t>25512*297163070</t>
  </si>
  <si>
    <t>LILINA</t>
  </si>
  <si>
    <t>4000003095</t>
  </si>
  <si>
    <t>25372000000340579017，2025-10-10-阿拉善盟阿拉腾敖包新型储能专项行动项</t>
  </si>
  <si>
    <t>25372000000340579017</t>
  </si>
  <si>
    <t>APJT20251200238</t>
  </si>
  <si>
    <t>4000003097</t>
  </si>
  <si>
    <t>25512*297159599</t>
  </si>
  <si>
    <t>4000003099</t>
  </si>
  <si>
    <t>25512*297160592</t>
  </si>
  <si>
    <t>4000003101</t>
  </si>
  <si>
    <t>25132000000217632543，2025-11-30-谷山梁500千伏变电站能源侧独立储能</t>
  </si>
  <si>
    <t>25132000000217632543</t>
  </si>
  <si>
    <t>APJT20251200283</t>
  </si>
  <si>
    <t>4000003103</t>
  </si>
  <si>
    <t>25512*297159582</t>
  </si>
  <si>
    <t>4000003105</t>
  </si>
  <si>
    <t>25512*297159571</t>
  </si>
  <si>
    <t>4000003107</t>
  </si>
  <si>
    <t>25922000000077731589，2025-11-29-诸城大业200MW风电项目-大业电缆</t>
  </si>
  <si>
    <t>25922*77731589/2187/2527</t>
  </si>
  <si>
    <t>APJT20251200321</t>
  </si>
  <si>
    <t>25922000000077722187，2025-11-29-诸城大业200MW风电项目-大业电缆</t>
  </si>
  <si>
    <t>25922000000077692527，2025-11-29-诸城大业200MW风电项目-大业电缆</t>
  </si>
  <si>
    <t>4000003109</t>
  </si>
  <si>
    <t>25132000000215721740，2025-11-11-锡林郭勒盟苏尼特右旗锡西二站1000</t>
  </si>
  <si>
    <t>25132000000215721740</t>
  </si>
  <si>
    <t>APJT20251200267</t>
  </si>
  <si>
    <t>4000003110</t>
  </si>
  <si>
    <t>25132000000215691385，2025-11-11-呼和浩特武川100万千瓦/400万千</t>
  </si>
  <si>
    <t>25132000000215691385</t>
  </si>
  <si>
    <t>APJT20251200312</t>
  </si>
  <si>
    <t>4000003111</t>
  </si>
  <si>
    <t>ABJT20250800644</t>
  </si>
  <si>
    <t>WUYAN</t>
  </si>
  <si>
    <t>4000003112</t>
  </si>
  <si>
    <t>25117000001458938999,ABJT20250800644,龙源电力内蒙古龙源新能源发</t>
  </si>
  <si>
    <t>25117000001458938999</t>
  </si>
  <si>
    <t>4000003113</t>
  </si>
  <si>
    <t>4000003114</t>
  </si>
  <si>
    <t>25372000000340485345，2025-11-23-鄂尔多斯零碳产业园500MW风光储一</t>
  </si>
  <si>
    <t>25372000000340485345</t>
  </si>
  <si>
    <t>APJT20251200261</t>
  </si>
  <si>
    <t>4000003115</t>
  </si>
  <si>
    <t>25372000000340495034，2025-11-23-鄂尔多斯零碳产业园500MW风光储一</t>
  </si>
  <si>
    <t>25372000000340495034</t>
  </si>
  <si>
    <t>APJT20251200262</t>
  </si>
  <si>
    <t>4000003117</t>
  </si>
  <si>
    <t>25612000000126207540，2025-06-09-定边白兴庄150MW风电场项目-定边</t>
  </si>
  <si>
    <t>25612000000126207540</t>
  </si>
  <si>
    <t>APJT20251200239</t>
  </si>
  <si>
    <t>NER-J038</t>
  </si>
  <si>
    <t>4000003135</t>
  </si>
  <si>
    <t>25952000000257280408杨大鹏汽车保养/维修费（现场）日常费用报销</t>
  </si>
  <si>
    <t>杨大鹏日常费用报销</t>
  </si>
  <si>
    <t>20251203000021FY</t>
  </si>
  <si>
    <t>1000011821</t>
  </si>
  <si>
    <t>25512*295031132红冲发票进项税转出，PO订单9210108481，调24年4-3395</t>
  </si>
  <si>
    <t>25512*2950311322025120900</t>
  </si>
  <si>
    <t>9210108481</t>
  </si>
  <si>
    <t>4000003140</t>
  </si>
  <si>
    <t>25612000000126129710，2025-06-09-定边王家梁150MW风电场项目-定边</t>
  </si>
  <si>
    <t>25612000000126129710</t>
  </si>
  <si>
    <t>APJT20251200237</t>
  </si>
  <si>
    <t>NER-1400</t>
  </si>
  <si>
    <t>4000003145</t>
  </si>
  <si>
    <t>25322000000578806053，五河彩舟项目25年11月变电运维费用</t>
  </si>
  <si>
    <t>25322000000578806053</t>
  </si>
  <si>
    <t>APJT20251200276</t>
  </si>
  <si>
    <t>4000003146</t>
  </si>
  <si>
    <t>25652000000082060076，2025-07-17-巴里坤县40万千瓦风电+40万千瓦时</t>
  </si>
  <si>
    <t>25652000000082060076</t>
  </si>
  <si>
    <t>APJT20251200236</t>
  </si>
  <si>
    <t>NER-1469</t>
  </si>
  <si>
    <t>4000003147</t>
  </si>
  <si>
    <t>CGDD013380-9720013298</t>
  </si>
  <si>
    <t>25512*301048235</t>
  </si>
  <si>
    <t>4000003150</t>
  </si>
  <si>
    <t>25512*295031132</t>
  </si>
  <si>
    <t>4000003148</t>
  </si>
  <si>
    <t>CGDD013382-9720013299</t>
  </si>
  <si>
    <t>25512*301040346</t>
  </si>
  <si>
    <t>4000003149</t>
  </si>
  <si>
    <t>CGDD013381-9720013297</t>
  </si>
  <si>
    <t>25512*301034882</t>
  </si>
  <si>
    <t>4000003155</t>
  </si>
  <si>
    <t>CGDD012538-9210234009</t>
  </si>
  <si>
    <t>25312*401417256</t>
  </si>
  <si>
    <t>4000003157</t>
  </si>
  <si>
    <t>CGDD013299-9720013278</t>
  </si>
  <si>
    <t>25152*73441947</t>
  </si>
  <si>
    <t>4000003158</t>
  </si>
  <si>
    <t>CGDD012901-9720013142</t>
  </si>
  <si>
    <t>25132*220602897</t>
  </si>
  <si>
    <t>4000003159</t>
  </si>
  <si>
    <t>CGDD011800-9210217863</t>
  </si>
  <si>
    <t>25117*1536975695</t>
  </si>
  <si>
    <t>4000003160</t>
  </si>
  <si>
    <t>CGDD012185-9210226053</t>
  </si>
  <si>
    <t>25117*1536975997</t>
  </si>
  <si>
    <t>4000003161</t>
  </si>
  <si>
    <t>CGDD011848-9210219080</t>
  </si>
  <si>
    <t>25117*1536976030</t>
  </si>
  <si>
    <t>4000003162</t>
  </si>
  <si>
    <t>CGDD012656-9720013082</t>
  </si>
  <si>
    <t>25322*586912049</t>
  </si>
  <si>
    <t>4000003163</t>
  </si>
  <si>
    <t>CGDD012522-9720013038</t>
  </si>
  <si>
    <t>25322*586539997</t>
  </si>
  <si>
    <t>4000003164</t>
  </si>
  <si>
    <t>25152000000073381834，2025-11-28-巴彦淖尔河套新型储能专项行动项目-巴</t>
  </si>
  <si>
    <t>25152000000073381834</t>
  </si>
  <si>
    <t>APJT20251200404</t>
  </si>
  <si>
    <t>4000003165</t>
  </si>
  <si>
    <t>25532000000124949384，民勤二期8、10月众协员工费用支付申请</t>
  </si>
  <si>
    <t>25532000000124949384/1660</t>
  </si>
  <si>
    <t>APJT20251200214</t>
  </si>
  <si>
    <t>NER-1457</t>
  </si>
  <si>
    <t>25532000000166077057,   民勤二期8、10月众协员工费用支付申请</t>
  </si>
  <si>
    <t>4000003166</t>
  </si>
  <si>
    <t>CGDD012898-9720013143</t>
  </si>
  <si>
    <t>25132*221703158</t>
  </si>
  <si>
    <t>4000003167</t>
  </si>
  <si>
    <t>25152000000061708040，2024年11月15日元宝山P0项目水保施工合同</t>
  </si>
  <si>
    <t>25152000000061708040</t>
  </si>
  <si>
    <t>APJT20251200247</t>
  </si>
  <si>
    <t>4000003168</t>
  </si>
  <si>
    <t>CGDD012899-9720013141</t>
  </si>
  <si>
    <t>25132*221811328</t>
  </si>
  <si>
    <t>4000003169</t>
  </si>
  <si>
    <t>CGDD012900-9720013139</t>
  </si>
  <si>
    <t>25132*221791954</t>
  </si>
  <si>
    <t>4000003171</t>
  </si>
  <si>
    <t>25312000000406004678，2025-12-02-广西钦南一期二期消缺项目-信号防雷器</t>
  </si>
  <si>
    <t>25312000000406004678</t>
  </si>
  <si>
    <t>APJT20251200429</t>
  </si>
  <si>
    <t>XQ-J026</t>
  </si>
  <si>
    <t>4000003172</t>
  </si>
  <si>
    <t>25512000000287607722，2025-10-31-远景郎溪县风电场项目-郎溪景瑞风电场</t>
  </si>
  <si>
    <t>25512000000287607722</t>
  </si>
  <si>
    <t>APJT20251101810</t>
  </si>
  <si>
    <t>4000003173</t>
  </si>
  <si>
    <t>CGDD006816-9720011938</t>
  </si>
  <si>
    <t>25512*302458113</t>
  </si>
  <si>
    <t>4000003174</t>
  </si>
  <si>
    <t>CGDD006814-9720011937</t>
  </si>
  <si>
    <t>25512*302458591</t>
  </si>
  <si>
    <t>4000003175</t>
  </si>
  <si>
    <t>CGDD006815-9720011939</t>
  </si>
  <si>
    <t>25512*302455364</t>
  </si>
  <si>
    <t>4000003176</t>
  </si>
  <si>
    <t>CGDD012553-9720013047</t>
  </si>
  <si>
    <t>25322*586843559</t>
  </si>
  <si>
    <t>4000003177</t>
  </si>
  <si>
    <t>25652000000080089753，2025-07-17-巴里坤县40万千瓦风电+40万千瓦时</t>
  </si>
  <si>
    <t>25652000000080089753</t>
  </si>
  <si>
    <t>APJT20251200061</t>
  </si>
  <si>
    <t>4000003178</t>
  </si>
  <si>
    <t>25342000000211367337，2025-10-22-濉溪消缺项目-35kV迁改线路勘察设</t>
  </si>
  <si>
    <t>25342000000211367337</t>
  </si>
  <si>
    <t>APJT20251200337</t>
  </si>
  <si>
    <t>XQ-1115</t>
  </si>
  <si>
    <t>4000003179</t>
  </si>
  <si>
    <t>CGDD011548-9210211963</t>
  </si>
  <si>
    <t>25342*218033581</t>
  </si>
  <si>
    <t>4000003180</t>
  </si>
  <si>
    <t>CGDD011543-9210211959</t>
  </si>
  <si>
    <t>25342*218024254</t>
  </si>
  <si>
    <t>4000003181</t>
  </si>
  <si>
    <t>CGDD011542-9210211962</t>
  </si>
  <si>
    <t>25342*218034164</t>
  </si>
  <si>
    <t>4000003182</t>
  </si>
  <si>
    <t>CGDD011546-9210211960</t>
  </si>
  <si>
    <t>25342*218034351</t>
  </si>
  <si>
    <t>4000003183</t>
  </si>
  <si>
    <t>25152000000073109800，2025-07-04-乌拉特后旗上海庙特高压外送风电基地三</t>
  </si>
  <si>
    <t>25152000000073109800</t>
  </si>
  <si>
    <t>APJT20251200356</t>
  </si>
  <si>
    <t>ER-J017</t>
  </si>
  <si>
    <t>4000003184</t>
  </si>
  <si>
    <t>25232000000084982190，2025-10-29-锡林郭勒盟苏尼特右旗锡西二站1000</t>
  </si>
  <si>
    <t>25232000000084982190</t>
  </si>
  <si>
    <t>APJT20251200388</t>
  </si>
  <si>
    <t>4000003186</t>
  </si>
  <si>
    <t>25312000000408271727，20251211设计部11月份劳务外包费用支付</t>
  </si>
  <si>
    <t>25312000000408271727</t>
  </si>
  <si>
    <t>APJT20251200487</t>
  </si>
  <si>
    <t>4000003187</t>
  </si>
  <si>
    <t>25152000000072501886，2025-06-11-源荷互动绿色大数据中心示范项目（一）</t>
  </si>
  <si>
    <t>25152000000072501886</t>
  </si>
  <si>
    <t>APJT20251200399</t>
  </si>
  <si>
    <t>ER-J025</t>
  </si>
  <si>
    <t>4000003188</t>
  </si>
  <si>
    <t>25152000000070000867，2024年11月12日零碳项目220/10kV送出线路、景</t>
  </si>
  <si>
    <t>25152000000070000867</t>
  </si>
  <si>
    <t>APJT20251200323</t>
  </si>
  <si>
    <t>4000003189</t>
  </si>
  <si>
    <t>CGDD007359-9210141084</t>
  </si>
  <si>
    <t>25112*279347479</t>
  </si>
  <si>
    <t>4000003190</t>
  </si>
  <si>
    <t>CGDD012536-9720013046</t>
  </si>
  <si>
    <t>25322*592335181</t>
  </si>
  <si>
    <t>4000003192</t>
  </si>
  <si>
    <t>CGDD013232-9210244051</t>
  </si>
  <si>
    <t>25347*202815340</t>
  </si>
  <si>
    <t>4000003193</t>
  </si>
  <si>
    <t>CGDD013392-9210247193</t>
  </si>
  <si>
    <t>25347*202815344</t>
  </si>
  <si>
    <t>4000003194</t>
  </si>
  <si>
    <t>CGDD012684-9210235992</t>
  </si>
  <si>
    <t>25347*202815296</t>
  </si>
  <si>
    <t>4000003195</t>
  </si>
  <si>
    <t>CGDD012862-9210238805</t>
  </si>
  <si>
    <t>25347*202815339</t>
  </si>
  <si>
    <t>4000003196</t>
  </si>
  <si>
    <t>CGDD013476-9210248408</t>
  </si>
  <si>
    <t>25117*1536976773</t>
  </si>
  <si>
    <t>4000003197</t>
  </si>
  <si>
    <t>CGDD012585-9720013066</t>
  </si>
  <si>
    <t>25347*202815349</t>
  </si>
  <si>
    <t>4000003198</t>
  </si>
  <si>
    <t>CGDD011545-9210211958</t>
  </si>
  <si>
    <t>25342*219141033</t>
  </si>
  <si>
    <t>4000003199</t>
  </si>
  <si>
    <t>CGDD013457-9210248073</t>
  </si>
  <si>
    <t>25117*1536976781</t>
  </si>
  <si>
    <t>4000003200</t>
  </si>
  <si>
    <t>CGDD012670-9210235830</t>
  </si>
  <si>
    <t>25347*202815297</t>
  </si>
  <si>
    <t>4000003201</t>
  </si>
  <si>
    <t>CGDD012070-9210223166</t>
  </si>
  <si>
    <t>25642*28865723</t>
  </si>
  <si>
    <t>4000003202</t>
  </si>
  <si>
    <t>25922000000079178664，2025-11-23-阿拉善盟阿拉腾敖包新型储能专项行动项</t>
  </si>
  <si>
    <t>25922000000079178664</t>
  </si>
  <si>
    <t>APJT20251200391</t>
  </si>
  <si>
    <t>4000003203</t>
  </si>
  <si>
    <t>25132000000215505571，2025-11-07-阿拉善盟阿拉腾敖包新型储能专项行动项</t>
  </si>
  <si>
    <t>25132000000215505571</t>
  </si>
  <si>
    <t>APJT20251200395</t>
  </si>
  <si>
    <t>4000003204</t>
  </si>
  <si>
    <t>25922000000079928013，2025-11-29-诸城大业200MW风电项目-大业电缆</t>
  </si>
  <si>
    <t>25922*79919461/8013</t>
  </si>
  <si>
    <t>APJT20251200470</t>
  </si>
  <si>
    <t>25922000000079919461，2025-11-29-诸城大业200MW风电项目-大业电缆</t>
  </si>
  <si>
    <t>4000003206</t>
  </si>
  <si>
    <t>CGDD012910-9210239447</t>
  </si>
  <si>
    <t>25372*349390319</t>
  </si>
  <si>
    <t>4000003208</t>
  </si>
  <si>
    <t>25922000000079215418，2025-11-23-谷山梁500千伏变电站能源侧独立储能</t>
  </si>
  <si>
    <t>25922000000079215418</t>
  </si>
  <si>
    <t>APJT20251200394</t>
  </si>
  <si>
    <t>4000003209</t>
  </si>
  <si>
    <t>25132000000215596535，2025-11-07-谷山梁500千伏变电站能源侧独立储能</t>
  </si>
  <si>
    <t>25132000000215596535</t>
  </si>
  <si>
    <t>APJT20251200396</t>
  </si>
  <si>
    <t>4000003210</t>
  </si>
  <si>
    <t>25232000000085165205，2025-10-30-锡林郭勒盟苏尼特右旗锡西二站1000</t>
  </si>
  <si>
    <t>25232000000085165205</t>
  </si>
  <si>
    <t>APJT20251200412</t>
  </si>
  <si>
    <t>4000003211</t>
  </si>
  <si>
    <t>25312000000411124566计景泰12月咨询服务费-锡盟京能</t>
  </si>
  <si>
    <t>2531200000041112456620251</t>
  </si>
  <si>
    <t>2450</t>
  </si>
  <si>
    <t>SGJTZX</t>
  </si>
  <si>
    <t>4000003212</t>
  </si>
  <si>
    <t>CGDD013185-9720013229</t>
  </si>
  <si>
    <t>25337*585807707</t>
  </si>
  <si>
    <t>4000003215</t>
  </si>
  <si>
    <t>25347000000224664183李铮快递费用报销</t>
  </si>
  <si>
    <t>李铮费用报销</t>
  </si>
  <si>
    <t>20251207000022FY</t>
  </si>
  <si>
    <t>4000003213</t>
  </si>
  <si>
    <t>CGDD007503-9210146719</t>
  </si>
  <si>
    <t>25642*28944512</t>
  </si>
  <si>
    <t>4000003214</t>
  </si>
  <si>
    <t>CGDD012924-9720013150</t>
  </si>
  <si>
    <t>25132*223851415</t>
  </si>
  <si>
    <t>4000003216</t>
  </si>
  <si>
    <t>CGDD013240-9720013251</t>
  </si>
  <si>
    <t>25157*43928565</t>
  </si>
  <si>
    <t>4000003217</t>
  </si>
  <si>
    <t>CGDD007249-9210138492</t>
  </si>
  <si>
    <t>25152*74537851</t>
  </si>
  <si>
    <t>4000003218</t>
  </si>
  <si>
    <t>CGDD011921-9720012877</t>
  </si>
  <si>
    <t>25372*349078708</t>
  </si>
  <si>
    <t>4000003219</t>
  </si>
  <si>
    <t>CGDD011883-9720012873</t>
  </si>
  <si>
    <t>25372*349132336</t>
  </si>
  <si>
    <t>4000003220</t>
  </si>
  <si>
    <t>CGDD013032-9720013179</t>
  </si>
  <si>
    <t>25312*411078353</t>
  </si>
  <si>
    <t>4000003221</t>
  </si>
  <si>
    <t>CGDD013089-9210242608</t>
  </si>
  <si>
    <t>25132*223909118</t>
  </si>
  <si>
    <t>4000003222</t>
  </si>
  <si>
    <t>CGDD012625-9720013073</t>
  </si>
  <si>
    <t>25332*572288205</t>
  </si>
  <si>
    <t>4000003223</t>
  </si>
  <si>
    <t>CGDD011436-9210209031</t>
  </si>
  <si>
    <t>25347*202815048</t>
  </si>
  <si>
    <t>25347*202815048,</t>
  </si>
  <si>
    <t>4000003224</t>
  </si>
  <si>
    <t>CGDD013460-9720013325</t>
  </si>
  <si>
    <t>25412*276699149</t>
  </si>
  <si>
    <t>4000003225</t>
  </si>
  <si>
    <t>25152*74732747</t>
  </si>
  <si>
    <t>4000003226</t>
  </si>
  <si>
    <t>CGDD007256-9210138722</t>
  </si>
  <si>
    <t>25452*141637125</t>
  </si>
  <si>
    <t>4000003227</t>
  </si>
  <si>
    <t>CGDD013377-9210246904</t>
  </si>
  <si>
    <t>25452*141657039</t>
  </si>
  <si>
    <t>4000003228</t>
  </si>
  <si>
    <t>25372*347192558,山东大业股份有限公司,取暖合同回票</t>
  </si>
  <si>
    <t>ATJT20251101756,取暖合同回票</t>
  </si>
  <si>
    <t>OFPCN23202025112000001</t>
  </si>
  <si>
    <t>25372*347192558</t>
  </si>
  <si>
    <t>4000003229</t>
  </si>
  <si>
    <t>25337000000584747971，11月美团餐费</t>
  </si>
  <si>
    <t>25337000000584747971/7957</t>
  </si>
  <si>
    <t>APJT20251200540</t>
  </si>
  <si>
    <t>4000003230</t>
  </si>
  <si>
    <t>25452*67982242,钦州市测绘地理信息中心,权籍信息调查表回票</t>
  </si>
  <si>
    <t>ATJT20250600187,权籍信息调查表回票</t>
  </si>
  <si>
    <t>XNCN23202025061100186</t>
  </si>
  <si>
    <t>25452*67982242</t>
  </si>
  <si>
    <t>4000003232</t>
  </si>
  <si>
    <t>CGDD013133-9720013203</t>
  </si>
  <si>
    <t>25157*43928566</t>
  </si>
  <si>
    <t>4000003233</t>
  </si>
  <si>
    <t>CGDD013135-9720013207</t>
  </si>
  <si>
    <t>25157*43928567</t>
  </si>
  <si>
    <t>4000003234</t>
  </si>
  <si>
    <t>CGDD012198-9720012953</t>
  </si>
  <si>
    <t>25612*147662658</t>
  </si>
  <si>
    <t>4000003235</t>
  </si>
  <si>
    <t>CGDD012199-9720012954</t>
  </si>
  <si>
    <t>25612*147662275</t>
  </si>
  <si>
    <t>4000003236</t>
  </si>
  <si>
    <t>25377*569211976,中国石化销售股份有限公司山东潍坊石油分公司,油卡充值回票</t>
  </si>
  <si>
    <t>ATJT20251100543/0800632,油</t>
  </si>
  <si>
    <t>XNCN23202025111600542</t>
  </si>
  <si>
    <t>25377*569211976</t>
  </si>
  <si>
    <t>XNCN23202025082100631</t>
  </si>
  <si>
    <t>4000003237</t>
  </si>
  <si>
    <t>CGDD012888-9720013135</t>
  </si>
  <si>
    <t>25337*585807845</t>
  </si>
  <si>
    <t>4000003238</t>
  </si>
  <si>
    <t>CGDD013184-9720013232</t>
  </si>
  <si>
    <t>25337*585807847</t>
  </si>
  <si>
    <t>4000003239</t>
  </si>
  <si>
    <t>CGDD013182-9720013233</t>
  </si>
  <si>
    <t>25337*585807846</t>
  </si>
  <si>
    <t>4000003240</t>
  </si>
  <si>
    <t>CGDD012690-9720013098</t>
  </si>
  <si>
    <t>25337*585807848</t>
  </si>
  <si>
    <t>4000003241</t>
  </si>
  <si>
    <t>CGDD013160-9720013218</t>
  </si>
  <si>
    <t>25337*585807849</t>
  </si>
  <si>
    <t>4000003243</t>
  </si>
  <si>
    <t>CGDD012605-9210234875</t>
  </si>
  <si>
    <t>25317*2926244589</t>
  </si>
  <si>
    <t>4000003246</t>
  </si>
  <si>
    <t>25317000003057249277，11月一嗨租车费</t>
  </si>
  <si>
    <t>25317000003057249277</t>
  </si>
  <si>
    <t>APJT20251200603</t>
  </si>
  <si>
    <t>4000003247</t>
  </si>
  <si>
    <t>25317000002843964144，11月一嗨租车费</t>
  </si>
  <si>
    <t>25317000002843964144</t>
  </si>
  <si>
    <t>APJT20251200598</t>
  </si>
  <si>
    <t>4000003249</t>
  </si>
  <si>
    <t>25452*142042102</t>
  </si>
  <si>
    <t>4000003250</t>
  </si>
  <si>
    <t>4000003253</t>
  </si>
  <si>
    <t>25132000000219512481，2025-12-04-诸城大业200MW风电项目-大业项目</t>
  </si>
  <si>
    <t>25132000000219512481</t>
  </si>
  <si>
    <t>APJT20251200473</t>
  </si>
  <si>
    <t>4000003254</t>
  </si>
  <si>
    <t>25922000000079215592，2025-11-23-巴彦淖尔河套新型储能专项行动项目-巴</t>
  </si>
  <si>
    <t>25922000000079215592</t>
  </si>
  <si>
    <t>APJT20251200393</t>
  </si>
  <si>
    <t>4000003257</t>
  </si>
  <si>
    <t>25132000000215636504，2025-11-07-巴彦淖尔河套新型储能专项行动项目-巴</t>
  </si>
  <si>
    <t>25132000000215636504</t>
  </si>
  <si>
    <t>APJT20251200397</t>
  </si>
  <si>
    <t>4000003258</t>
  </si>
  <si>
    <t>25372000000324646760卞凯装修维修建管费报销</t>
  </si>
  <si>
    <t>卞凯建管费报销</t>
  </si>
  <si>
    <t>20251019000024FY</t>
  </si>
  <si>
    <t>4000003260</t>
  </si>
  <si>
    <t>25152000000071325151，2025-11-11-锡林郭勒盟苏尼特右旗锡西二站1000</t>
  </si>
  <si>
    <t>25152000000071325151</t>
  </si>
  <si>
    <t>APJT20251200387</t>
  </si>
  <si>
    <t>4000003261</t>
  </si>
  <si>
    <t>CGDD012126-9210224825</t>
  </si>
  <si>
    <t>25322*601659574</t>
  </si>
  <si>
    <t>4000003262</t>
  </si>
  <si>
    <t>25922000000079205784，2025-11-21-呼和浩特武川100万千瓦/400万千</t>
  </si>
  <si>
    <t>25922000000079205784</t>
  </si>
  <si>
    <t>APJT20251200528</t>
  </si>
  <si>
    <t>4000003263</t>
  </si>
  <si>
    <t>25922000000079188072，2025-11-21-锡林郭勒盟苏尼特右旗锡西二站1000</t>
  </si>
  <si>
    <t>25922000000079188072</t>
  </si>
  <si>
    <t>APJT20251200524</t>
  </si>
  <si>
    <t>4000003264</t>
  </si>
  <si>
    <t>25342000000216897752，2025-09-23-安徽滁州定远乘风风电场消缺项目-WF</t>
  </si>
  <si>
    <t>25342000000216897752</t>
  </si>
  <si>
    <t>APJT20251200424</t>
  </si>
  <si>
    <t>XQ-1451</t>
  </si>
  <si>
    <t>4000003268</t>
  </si>
  <si>
    <t>CGDD012459-9720013020</t>
  </si>
  <si>
    <t>25442*798368624</t>
  </si>
  <si>
    <t>4000003273</t>
  </si>
  <si>
    <t>CGDD008064-9210164780</t>
  </si>
  <si>
    <t>25422*237007181</t>
  </si>
  <si>
    <t>4000003274</t>
  </si>
  <si>
    <t>CGDD013348-9210246085</t>
  </si>
  <si>
    <t>25412*279617134</t>
  </si>
  <si>
    <t>4000003275</t>
  </si>
  <si>
    <t>CGDD013349-9210246086</t>
  </si>
  <si>
    <t>25412*279549182</t>
  </si>
  <si>
    <t>4000003279</t>
  </si>
  <si>
    <t>CGDD012638-9720013076</t>
  </si>
  <si>
    <t>25372*353948465</t>
  </si>
  <si>
    <t>4000003280</t>
  </si>
  <si>
    <t>CGDD007624-9720012270</t>
  </si>
  <si>
    <t>25422*236502747</t>
  </si>
  <si>
    <t>4000003281</t>
  </si>
  <si>
    <t>CGDD007622-9720012268</t>
  </si>
  <si>
    <t>25422*236484489</t>
  </si>
  <si>
    <t>4000003282</t>
  </si>
  <si>
    <t>CGDD013572-9210249682</t>
  </si>
  <si>
    <t>25422*236477168</t>
  </si>
  <si>
    <t>4000003283</t>
  </si>
  <si>
    <t>25452000000140336244，2023年12月20日玖伯一二期项目配套220kV送出线路</t>
  </si>
  <si>
    <t>25452000000140336244</t>
  </si>
  <si>
    <t>APJT20251200565</t>
  </si>
  <si>
    <t>4000003284</t>
  </si>
  <si>
    <t>CGDD013353-9210246389</t>
  </si>
  <si>
    <t>25112*284444133</t>
  </si>
  <si>
    <t>4000003285</t>
  </si>
  <si>
    <t>CGDD012467-9720013025</t>
  </si>
  <si>
    <t>25112*284453479</t>
  </si>
  <si>
    <t>4000003286</t>
  </si>
  <si>
    <t>25412000000274932923，2025-11-21-南乐绿匠消缺-地价评估服务</t>
  </si>
  <si>
    <t>25412000000274932923</t>
  </si>
  <si>
    <t>APJT20251200514</t>
  </si>
  <si>
    <t>XQ-J015</t>
  </si>
  <si>
    <t>4000003287</t>
  </si>
  <si>
    <t>CGDD012566-9210234445</t>
  </si>
  <si>
    <t>25132*226974981</t>
  </si>
  <si>
    <t>4000003288</t>
  </si>
  <si>
    <t>25312000000415900005，武川储能项目生态员工2025年11月工资</t>
  </si>
  <si>
    <t>25312000000415900005</t>
  </si>
  <si>
    <t>APJT20251200720</t>
  </si>
  <si>
    <t>4000003289</t>
  </si>
  <si>
    <t>25312000000415899720，谷山梁储能项目生态员工2025年11月工资</t>
  </si>
  <si>
    <t>25312000000415899720</t>
  </si>
  <si>
    <t>APJT20251200698</t>
  </si>
  <si>
    <t>4000003290</t>
  </si>
  <si>
    <t>25312000000415900020，定边项目生态员工2025年11月工资</t>
  </si>
  <si>
    <t>25312000000415900020</t>
  </si>
  <si>
    <t>APJT20251200680</t>
  </si>
  <si>
    <t>XQ-1400</t>
  </si>
  <si>
    <t>4000003291</t>
  </si>
  <si>
    <t>25312000000415898782，锡盟大储项目生态员工2025年11月工资</t>
  </si>
  <si>
    <t>25312000000415898782</t>
  </si>
  <si>
    <t>APJT20251200867</t>
  </si>
  <si>
    <t>4000003292</t>
  </si>
  <si>
    <t>25312000000415898981，巴盟大储项目生态员工2025年11月工资</t>
  </si>
  <si>
    <t>25312000000415898981</t>
  </si>
  <si>
    <t>APJT20251200658</t>
  </si>
  <si>
    <t>4000003293</t>
  </si>
  <si>
    <t>25312000000415899455，阿拉善大储项目生态员工2025年11月工资</t>
  </si>
  <si>
    <t>25312000000415899455</t>
  </si>
  <si>
    <t>APJT20251200652</t>
  </si>
  <si>
    <t>4000003294</t>
  </si>
  <si>
    <t>25312000000415898799，丰宁三期项目生态员工2025年11月工资</t>
  </si>
  <si>
    <t>25312000000415898799</t>
  </si>
  <si>
    <t>APJT20251200692</t>
  </si>
  <si>
    <t>4000003295</t>
  </si>
  <si>
    <t>25342000000220991357，2025-06-05-安徽定远消缺项目-定远万家风电场临时</t>
  </si>
  <si>
    <t>25342000000220991357</t>
  </si>
  <si>
    <t>APJT20251200468</t>
  </si>
  <si>
    <t>4000003296</t>
  </si>
  <si>
    <t>25342000000220979562，2025-06-04-安徽定远消缺项目-定远平价风电场临时</t>
  </si>
  <si>
    <t>25342000000220979562</t>
  </si>
  <si>
    <t>APJT20251200467</t>
  </si>
  <si>
    <t>4000003297</t>
  </si>
  <si>
    <t>25342000000221010576，2025-06-05-安徽滁州定远欣月风电场项目-临时土地</t>
  </si>
  <si>
    <t>25342000000221010576</t>
  </si>
  <si>
    <t>APJT20251200478</t>
  </si>
  <si>
    <t>NER-1452</t>
  </si>
  <si>
    <t>4000003298</t>
  </si>
  <si>
    <t>25312000000415898597，定远三四期项目生态员工2025年11月工资</t>
  </si>
  <si>
    <t>25312000000415898597</t>
  </si>
  <si>
    <t>APJT20251200877</t>
  </si>
  <si>
    <t>4000003299</t>
  </si>
  <si>
    <t>25312000000415899348，河北鸡泽EPC项目生态员工2025年11月工资</t>
  </si>
  <si>
    <t>25312000000415899348</t>
  </si>
  <si>
    <t>APJT20251200713</t>
  </si>
  <si>
    <t>EO-0003</t>
  </si>
  <si>
    <t>4000003300</t>
  </si>
  <si>
    <t>25312000000415898677，诸城大业项目生态员工2025年11月工资</t>
  </si>
  <si>
    <t>25312000000415898677</t>
  </si>
  <si>
    <t>APJT20251200902</t>
  </si>
  <si>
    <t>4000003301</t>
  </si>
  <si>
    <t>25372000000314490563，大业EPC10月份人工付费（山东博程）</t>
  </si>
  <si>
    <t>25372000000314490563</t>
  </si>
  <si>
    <t>APJT20251101575</t>
  </si>
  <si>
    <t>4000003302</t>
  </si>
  <si>
    <t>25322000000552867658，大业EPC10月份人工付费（科锐尔）</t>
  </si>
  <si>
    <t>25322000000552867658</t>
  </si>
  <si>
    <t>APJT20251101572</t>
  </si>
  <si>
    <t>4000003303</t>
  </si>
  <si>
    <t>25112000000246327682，大业EPC10月份人工付费（北京维西通）</t>
  </si>
  <si>
    <t>25112000000246327682</t>
  </si>
  <si>
    <t>APJT20251101568</t>
  </si>
  <si>
    <t>1000012061</t>
  </si>
  <si>
    <t>25422*230622679红冲发票进项税转出，PO订单9720012271，调24年4-3417</t>
  </si>
  <si>
    <t>25422*2306226792025121800</t>
  </si>
  <si>
    <t>1000012062</t>
  </si>
  <si>
    <t>25422*230602984红冲发票进项税转出，PO订单9720012272，调25年4-93</t>
  </si>
  <si>
    <t>25422*2306029842025121800</t>
  </si>
  <si>
    <t>1000012063</t>
  </si>
  <si>
    <t>25422*230622589红冲发票进项税转出，PO订单9720012273，调25年4-95</t>
  </si>
  <si>
    <t>25422*2306225892025121800</t>
  </si>
  <si>
    <t>1000012064</t>
  </si>
  <si>
    <t>25422*230622691红冲发票进项税转出，PO订单9720012269，调24年4-3420</t>
  </si>
  <si>
    <t>25422*2306226912025121800</t>
  </si>
  <si>
    <t>9720012269</t>
  </si>
  <si>
    <t>1000012065</t>
  </si>
  <si>
    <t>25422*230603085红冲发票进项税转出，PO订单9720012267，调24年4-3421</t>
  </si>
  <si>
    <t>25422*2306030852025121800</t>
  </si>
  <si>
    <t>9720012267</t>
  </si>
  <si>
    <t>1000012066</t>
  </si>
  <si>
    <t>25422*230603035红冲发票进项税转出，PO订单9720012267，调25年4-89</t>
  </si>
  <si>
    <t>25422*2306030352025121800</t>
  </si>
  <si>
    <t>1000012067</t>
  </si>
  <si>
    <t>25422*230603060红冲发票进项税转出，PO订单9720012266，调25年4-90</t>
  </si>
  <si>
    <t>25422*2306030602025121800</t>
  </si>
  <si>
    <t>9720012266</t>
  </si>
  <si>
    <t>4000003304</t>
  </si>
  <si>
    <t>CGDD012844-9720013128</t>
  </si>
  <si>
    <t>25322*604131405等</t>
  </si>
  <si>
    <t>4000003305</t>
  </si>
  <si>
    <t>CGDD012939-9210239664</t>
  </si>
  <si>
    <t>25312*417926143</t>
  </si>
  <si>
    <t>4000003306</t>
  </si>
  <si>
    <t>CGDD012934-9210239665</t>
  </si>
  <si>
    <t>25312*417926049</t>
  </si>
  <si>
    <t>4000003307</t>
  </si>
  <si>
    <t>CGDD013246-9720013257</t>
  </si>
  <si>
    <t>25157*43928569</t>
  </si>
  <si>
    <t>4000003308</t>
  </si>
  <si>
    <t>CGDD013242-9720013277</t>
  </si>
  <si>
    <t>25157*43928568</t>
  </si>
  <si>
    <t>4000003309</t>
  </si>
  <si>
    <t>CGDD013238-9720013250</t>
  </si>
  <si>
    <t>25157*43928570</t>
  </si>
  <si>
    <t>4000003310</t>
  </si>
  <si>
    <t>CGDD013328-9720013285</t>
  </si>
  <si>
    <t>25157*43928573</t>
  </si>
  <si>
    <t>4000003311</t>
  </si>
  <si>
    <t>CGDD013330-9720013283</t>
  </si>
  <si>
    <t>25157*43928574</t>
  </si>
  <si>
    <t>4000003312</t>
  </si>
  <si>
    <t>CGDD013331-9720013286</t>
  </si>
  <si>
    <t>25157*43928572</t>
  </si>
  <si>
    <t>4000003313</t>
  </si>
  <si>
    <t>CGDD013627-9210250931</t>
  </si>
  <si>
    <t>25347*202815875</t>
  </si>
  <si>
    <t>4000003314</t>
  </si>
  <si>
    <t>CGDD013132-9720013204</t>
  </si>
  <si>
    <t>25157*43928571</t>
  </si>
  <si>
    <t>4000003315</t>
  </si>
  <si>
    <t>CGDD012480-9210233636</t>
  </si>
  <si>
    <t>25612*150086263</t>
  </si>
  <si>
    <t>4000003316</t>
  </si>
  <si>
    <t>25132000000225236595，2025-12-05-谷山梁500千伏变电站能源侧独立储能</t>
  </si>
  <si>
    <t>25132000000225236595</t>
  </si>
  <si>
    <t>APJT20251200644</t>
  </si>
  <si>
    <t>4000003317</t>
  </si>
  <si>
    <t>25422*230622691</t>
  </si>
  <si>
    <t>4000003319</t>
  </si>
  <si>
    <t>25422*230603085</t>
  </si>
  <si>
    <t>4000003321</t>
  </si>
  <si>
    <t>25422*230603035</t>
  </si>
  <si>
    <t>4000003323</t>
  </si>
  <si>
    <t>25422*230603060</t>
  </si>
  <si>
    <t>4000003325</t>
  </si>
  <si>
    <t>25422*230622679</t>
  </si>
  <si>
    <t>4000003327</t>
  </si>
  <si>
    <t>25422*230602984</t>
  </si>
  <si>
    <t>4000003329</t>
  </si>
  <si>
    <t>25422*230622589</t>
  </si>
  <si>
    <t>4000003332</t>
  </si>
  <si>
    <t>CGDD013248-9720013260</t>
  </si>
  <si>
    <t>25157*43928584</t>
  </si>
  <si>
    <t>4000003333</t>
  </si>
  <si>
    <t>25132000000225343899，2025-12-08-谷山梁500千伏变电站能源侧独立储能</t>
  </si>
  <si>
    <t>25132000000225343899</t>
  </si>
  <si>
    <t>APJT20251200645</t>
  </si>
  <si>
    <t>4000003334</t>
  </si>
  <si>
    <t>CGDD013282-9210245095</t>
  </si>
  <si>
    <t>25112*278442098</t>
  </si>
  <si>
    <t>4000003335</t>
  </si>
  <si>
    <t>CGDD013283-9210245093</t>
  </si>
  <si>
    <t>25112*278416575</t>
  </si>
  <si>
    <t>4000003343</t>
  </si>
  <si>
    <t>25342000000223115155，2025-12-11-诸城大业200MW风电项目-诸城大业</t>
  </si>
  <si>
    <t>25342000000223115155</t>
  </si>
  <si>
    <t>APJT20251200960</t>
  </si>
  <si>
    <t>4000003345</t>
  </si>
  <si>
    <t>25312000000419927726计景泰11月运维部携程差旅费</t>
  </si>
  <si>
    <t>2531200000041992772620251</t>
  </si>
  <si>
    <t>4000003346</t>
  </si>
  <si>
    <t>25312000000419927386计景泰11月运维部携程差旅费</t>
  </si>
  <si>
    <t>2531200000041992738620251</t>
  </si>
  <si>
    <t>4000003347</t>
  </si>
  <si>
    <t>25312000000419927295计景泰11月运维部携程差旅费</t>
  </si>
  <si>
    <t>2531200000041992729520251</t>
  </si>
  <si>
    <t>4000003348</t>
  </si>
  <si>
    <t>25312000000419928216计景泰11月运维部携程差旅费</t>
  </si>
  <si>
    <t>2531200000041992821620251</t>
  </si>
  <si>
    <t>4000003349</t>
  </si>
  <si>
    <t>25312000000419927906计景泰11月运维部携程差旅费</t>
  </si>
  <si>
    <t>2531200000041992790620251</t>
  </si>
  <si>
    <t>4000003336</t>
  </si>
  <si>
    <t>CGDD007780-9210156658</t>
  </si>
  <si>
    <t>25312*407085486</t>
  </si>
  <si>
    <t>4000003337</t>
  </si>
  <si>
    <t>CGDD013241-9720013253</t>
  </si>
  <si>
    <t>25157*43928583</t>
  </si>
  <si>
    <t>4000003338</t>
  </si>
  <si>
    <t>CGDD013239-9720013254</t>
  </si>
  <si>
    <t>25157*43928582</t>
  </si>
  <si>
    <t>4000003339</t>
  </si>
  <si>
    <t>CGDD011669-9720012830</t>
  </si>
  <si>
    <t>25312*371981225</t>
  </si>
  <si>
    <t>4000003340</t>
  </si>
  <si>
    <t>CGDD012168-9720012943</t>
  </si>
  <si>
    <t>25312*373175781</t>
  </si>
  <si>
    <t>4000003341</t>
  </si>
  <si>
    <t>CGDD012142-9720012938</t>
  </si>
  <si>
    <t>25312*373176604</t>
  </si>
  <si>
    <t>4000003342</t>
  </si>
  <si>
    <t>CGDD011861-9720012863</t>
  </si>
  <si>
    <t>25312*373175707</t>
  </si>
  <si>
    <t>4000003344</t>
  </si>
  <si>
    <t>CGDD012987-9210240729</t>
  </si>
  <si>
    <t>25112*287302665</t>
  </si>
  <si>
    <t>4000003350</t>
  </si>
  <si>
    <t>25232000000087473112，2025-12-13-锡林郭勒盟苏尼特右旗锡西二站100</t>
  </si>
  <si>
    <t>25232000000087473112</t>
  </si>
  <si>
    <t>APJT20251200691</t>
  </si>
  <si>
    <t>4000003351</t>
  </si>
  <si>
    <t>CGDD012517-9210233916</t>
  </si>
  <si>
    <t>25152*75837155</t>
  </si>
  <si>
    <t>4000003352</t>
  </si>
  <si>
    <t>25132*228631188</t>
  </si>
  <si>
    <t>4000003353</t>
  </si>
  <si>
    <t>25132*228554968</t>
  </si>
  <si>
    <t>4000003355</t>
  </si>
  <si>
    <t>25132*228582167</t>
  </si>
  <si>
    <t>4000003357</t>
  </si>
  <si>
    <t>CGDD006875-9210127582</t>
  </si>
  <si>
    <t>25452*131696456</t>
  </si>
  <si>
    <t>4000003358</t>
  </si>
  <si>
    <t>25412*282256561</t>
  </si>
  <si>
    <t>4000003359</t>
  </si>
  <si>
    <t>25412*282227082</t>
  </si>
  <si>
    <t>4000003360</t>
  </si>
  <si>
    <t>25312000000420921920计景泰10月运维部携程差旅费</t>
  </si>
  <si>
    <t>2531200000042092192020251</t>
  </si>
  <si>
    <t>4000003361</t>
  </si>
  <si>
    <t>25422000000237690999，2025-12-14-呼和浩特武川100万千瓦/400万千</t>
  </si>
  <si>
    <t>25422000000237690999</t>
  </si>
  <si>
    <t>APJT20251200950</t>
  </si>
  <si>
    <t>4000003362</t>
  </si>
  <si>
    <t>25362000000098841816，20231117-高安祥符项目环水保监理监测及验收服务合同</t>
  </si>
  <si>
    <t>25362000000098841816</t>
  </si>
  <si>
    <t>APJT20251100316</t>
  </si>
  <si>
    <t>NER-2006</t>
  </si>
  <si>
    <t>4000003363</t>
  </si>
  <si>
    <t>25452000000099611103，2025-06-13-定边白兴庄150MW风电场项目-送出</t>
  </si>
  <si>
    <t>25452*99611103/0687/8952/</t>
  </si>
  <si>
    <t>APJT20251200898</t>
  </si>
  <si>
    <t>25452000000099620687，2025-06-13-定边白兴庄150MW风电场项目-送出</t>
  </si>
  <si>
    <t>25452000000113288952，2025-06-13-定边白兴庄150MW风电场项目-送出</t>
  </si>
  <si>
    <t>25452000000137831552，2025-06-13-定边白兴庄150MW风电场项目-送出</t>
  </si>
  <si>
    <t>4000003364</t>
  </si>
  <si>
    <t>25452000000137851872，2025-07-23-定边王家梁150MW风电场项目-安全</t>
  </si>
  <si>
    <t>25452000000137851872</t>
  </si>
  <si>
    <t>APJT20251200897</t>
  </si>
  <si>
    <t>4000003365</t>
  </si>
  <si>
    <t>25612000000100233636，2024年5月8日+定边王家梁风电项目平交道口手续办理及渣</t>
  </si>
  <si>
    <t>25612000000100233636</t>
  </si>
  <si>
    <t>APJT20251200888</t>
  </si>
  <si>
    <t>4000003367</t>
  </si>
  <si>
    <t>CGDD013203-9720013240</t>
  </si>
  <si>
    <t>25332*585373377</t>
  </si>
  <si>
    <t>4000003368</t>
  </si>
  <si>
    <t>CGDD013158-9720013219</t>
  </si>
  <si>
    <t>25332*585383052</t>
  </si>
  <si>
    <t>4000003369</t>
  </si>
  <si>
    <t>CGDD013094-9720013194</t>
  </si>
  <si>
    <t>25332*585269955</t>
  </si>
  <si>
    <t>4000003370</t>
  </si>
  <si>
    <t>CGDD013059-9720013182</t>
  </si>
  <si>
    <t>25332*585557729</t>
  </si>
  <si>
    <t>4000003371</t>
  </si>
  <si>
    <t>25312000000385539426，2025-12-08-安徽滁州定远欣月风电场项目-远景定远</t>
  </si>
  <si>
    <t>25312000000385539426</t>
  </si>
  <si>
    <t>APJT20251201034</t>
  </si>
  <si>
    <t>4000003372</t>
  </si>
  <si>
    <t>25132000000227683331，2025-04-09-河北馆陶消缺项目-35kv地埋电缆故</t>
  </si>
  <si>
    <t>25132000000227683331</t>
  </si>
  <si>
    <t>APJT20251200999</t>
  </si>
  <si>
    <t>XQ-1025</t>
  </si>
  <si>
    <t>4000003373</t>
  </si>
  <si>
    <t>25132*229000661</t>
  </si>
  <si>
    <t>4000003374</t>
  </si>
  <si>
    <t>赤峰元宝山区34兆瓦光伏项目_12月收到建筑服务发票25332000000590376570</t>
  </si>
  <si>
    <t>25332000000590376570</t>
  </si>
  <si>
    <t>SGZZGFJA</t>
  </si>
  <si>
    <t>IT_PEGA_800</t>
  </si>
  <si>
    <t>4000003375</t>
  </si>
  <si>
    <t>五河彩舟项目_12月收到设备发票25332000000590329273</t>
  </si>
  <si>
    <t>25332000000590329273</t>
  </si>
  <si>
    <t>SGZZFJSB</t>
  </si>
  <si>
    <t>4000003376</t>
  </si>
  <si>
    <t>五河彩舟项目_12月收到建筑服务发票25332000000590309902</t>
  </si>
  <si>
    <t>25332000000590309902</t>
  </si>
  <si>
    <t>SGZZFJJA</t>
  </si>
  <si>
    <t>4000003377</t>
  </si>
  <si>
    <t>五河彩舟项目_12月收到建筑服务发票25332000000590435544</t>
  </si>
  <si>
    <t>25332000000590435544</t>
  </si>
  <si>
    <t>4000003378</t>
  </si>
  <si>
    <t>五河彩舟项目_12月收到建筑服务发票25332000000590405802</t>
  </si>
  <si>
    <t>25332000000590405802</t>
  </si>
  <si>
    <t>4000003379</t>
  </si>
  <si>
    <t>五河彩舟项目_12月收到建筑服务发票25332000000590348478</t>
  </si>
  <si>
    <t>25332000000590348478</t>
  </si>
  <si>
    <t>4000003380</t>
  </si>
  <si>
    <t>五河彩舟项目_12月收到建筑服务发票25332000000590376567</t>
  </si>
  <si>
    <t>25332000000590376567</t>
  </si>
  <si>
    <t>4000003381</t>
  </si>
  <si>
    <t>五河彩舟项目_12月收到建筑服务发票25332000000590490050</t>
  </si>
  <si>
    <t>25332000000590490050</t>
  </si>
  <si>
    <t>4000003382</t>
  </si>
  <si>
    <t>CGDD013129-9210242755</t>
  </si>
  <si>
    <t>25377*393144125</t>
  </si>
  <si>
    <t>4000003383</t>
  </si>
  <si>
    <t>CGDD013502-9210248751</t>
  </si>
  <si>
    <t>25112*287257547</t>
  </si>
  <si>
    <t>4000003384</t>
  </si>
  <si>
    <t>CGDD013504-9210248750</t>
  </si>
  <si>
    <t>25112*287302599</t>
  </si>
  <si>
    <t>4000003385</t>
  </si>
  <si>
    <t>CGDD013503-9210248752</t>
  </si>
  <si>
    <t>25112*287310122</t>
  </si>
  <si>
    <t>4000003386</t>
  </si>
  <si>
    <t>CGDD012485-9210233640</t>
  </si>
  <si>
    <t>25912*32073482</t>
  </si>
  <si>
    <t>4000003387</t>
  </si>
  <si>
    <t>25152*76396541</t>
  </si>
  <si>
    <t>4000003388</t>
  </si>
  <si>
    <t>CGDD012919-9720013147</t>
  </si>
  <si>
    <t>25337*585808244</t>
  </si>
  <si>
    <t>4000003389</t>
  </si>
  <si>
    <t>CGDD012537-9210234010</t>
  </si>
  <si>
    <t>25132*229811464</t>
  </si>
  <si>
    <t>4000003390</t>
  </si>
  <si>
    <t>CGDD012515-9720013034</t>
  </si>
  <si>
    <t>25332*572471638</t>
  </si>
  <si>
    <t>4000003391</t>
  </si>
  <si>
    <t>25312000000385533584，2025-12-08-安徽滁州定远乘风风电场项目-远景定远</t>
  </si>
  <si>
    <t>25312000000385533584</t>
  </si>
  <si>
    <t>APJT20251201033</t>
  </si>
  <si>
    <t>4000003392</t>
  </si>
  <si>
    <t>25132000000211146017，2024年10月8日 丰宁二期项目 消防竣工验收及备案委托</t>
  </si>
  <si>
    <t>25132000000211146017</t>
  </si>
  <si>
    <t>APJT20251200074</t>
  </si>
  <si>
    <t>4000003393</t>
  </si>
  <si>
    <t>25132000000211126133，2024年10月8日 丰宁三期项目 消防竣工验收及备案委托</t>
  </si>
  <si>
    <t>25132000000211126133</t>
  </si>
  <si>
    <t>APJT20251200075</t>
  </si>
  <si>
    <t>4000003394</t>
  </si>
  <si>
    <t>25152000000075260377，2025-11-01-巴盟项目资产处置尾工尾项-消缺工程</t>
  </si>
  <si>
    <t>25152000000075260377</t>
  </si>
  <si>
    <t>APJT20251201002</t>
  </si>
  <si>
    <t>DP-0034</t>
  </si>
  <si>
    <t>4000003395</t>
  </si>
  <si>
    <t>25342000000223047710，2025-12-02-诸城大业200MW风电项目-诸城大业</t>
  </si>
  <si>
    <t>25342000000223047710</t>
  </si>
  <si>
    <t>APJT20251201195</t>
  </si>
  <si>
    <t>4000003396</t>
  </si>
  <si>
    <t>CGDD006001-9210108477</t>
  </si>
  <si>
    <t>25512*313297706</t>
  </si>
  <si>
    <t>4000003397</t>
  </si>
  <si>
    <t>CGDD006002-9210108478</t>
  </si>
  <si>
    <t>25512*313300640</t>
  </si>
  <si>
    <t>4000003398</t>
  </si>
  <si>
    <t>CGDD006004-9210108479</t>
  </si>
  <si>
    <t>25512*313302491</t>
  </si>
  <si>
    <t>4000003399</t>
  </si>
  <si>
    <t>CGDD006003-9210108480</t>
  </si>
  <si>
    <t>25512*313306187</t>
  </si>
  <si>
    <t>4000003407</t>
  </si>
  <si>
    <t>CGDD011829-9210218560</t>
  </si>
  <si>
    <t>25322*611398445</t>
  </si>
  <si>
    <t>4000003408</t>
  </si>
  <si>
    <t>25952000000259945096鲁维汽车保养/维修费（现场）诸城大业EPC项目生产准备费</t>
  </si>
  <si>
    <t>鲁维诸城大业EPC项目生产准备费用报销</t>
  </si>
  <si>
    <t>20251210000013FY</t>
  </si>
  <si>
    <t>4000003410</t>
  </si>
  <si>
    <t>CGDD013214-9720013244</t>
  </si>
  <si>
    <t>25337*585808333</t>
  </si>
  <si>
    <t>4000003411</t>
  </si>
  <si>
    <t>CGDD012737-9720013105</t>
  </si>
  <si>
    <t>25337*585808332</t>
  </si>
  <si>
    <t>4000003412</t>
  </si>
  <si>
    <t>CGDD013193-9720013235</t>
  </si>
  <si>
    <t>25337*585808331</t>
  </si>
  <si>
    <t>4000003417</t>
  </si>
  <si>
    <t>25952000000263457308靖雨亭汽车保养/维修费（现场）日常报销</t>
  </si>
  <si>
    <t>靖雨亭日常报销</t>
  </si>
  <si>
    <t>20251215000051FY</t>
  </si>
  <si>
    <t>4000003418</t>
  </si>
  <si>
    <t>25412000000277208985贾世东住宿费贾世东费用报销单</t>
  </si>
  <si>
    <t>贾世东贾世东费用报销单</t>
  </si>
  <si>
    <t>20251214000021FY</t>
  </si>
  <si>
    <t>XQ-1110</t>
  </si>
  <si>
    <t>4000003420</t>
  </si>
  <si>
    <t>CGDD012583-9210234531</t>
  </si>
  <si>
    <t>25152*76853718</t>
  </si>
  <si>
    <t>1000012279</t>
  </si>
  <si>
    <t>25212*111094630红冲发票进项税转出，PO订单9210242860，调25年4-2949</t>
  </si>
  <si>
    <t>25212*1110946302025122300</t>
  </si>
  <si>
    <t>9210242860</t>
  </si>
  <si>
    <t>4000003423</t>
  </si>
  <si>
    <t>25212*111094630</t>
  </si>
  <si>
    <t>4000003424</t>
  </si>
  <si>
    <t>CGDD012516-9210233865</t>
  </si>
  <si>
    <t>25152*76921819</t>
  </si>
  <si>
    <t>4000003425</t>
  </si>
  <si>
    <t>25372*357288026,山东芝灵建筑有限公司,场内道路清障施工回票</t>
  </si>
  <si>
    <t>ATJT20250600651,场内道路清障施工回</t>
  </si>
  <si>
    <t>OFPCN23202025062000015</t>
  </si>
  <si>
    <t>25372*357288026</t>
  </si>
  <si>
    <t>4000003426</t>
  </si>
  <si>
    <t>25612000000149172376陈新住宿费定边王家梁项目消缺差旅费用报销</t>
  </si>
  <si>
    <t>陈新定边王家梁项目消缺差旅费用报销</t>
  </si>
  <si>
    <t>20251215000076FY</t>
  </si>
  <si>
    <t>4000003428</t>
  </si>
  <si>
    <t>25312000000408379479，武川大储项目11月份生态公司人工工资付费（上海峙雄）</t>
  </si>
  <si>
    <t>25312000000408379479</t>
  </si>
  <si>
    <t>APJT20251201016</t>
  </si>
  <si>
    <t>4000003429</t>
  </si>
  <si>
    <t>25372000000349824751，武川大储项目11月份生态公司人工工资付费（山东博程）</t>
  </si>
  <si>
    <t>25372000000349824751</t>
  </si>
  <si>
    <t>APJT20251201020</t>
  </si>
  <si>
    <t>4000003430</t>
  </si>
  <si>
    <t>25112000000279084434，锡盟大储项目11月份生态公司人工工资付费（北京维西通）</t>
  </si>
  <si>
    <t>25112000000279084434</t>
  </si>
  <si>
    <t>APJT20251201024</t>
  </si>
  <si>
    <t>4000003431</t>
  </si>
  <si>
    <t>25312000000411166547，锡盟大储项目11月份生态公司人工工资付费（觐联）</t>
  </si>
  <si>
    <t>25312000000411166547</t>
  </si>
  <si>
    <t>APJT20251201026</t>
  </si>
  <si>
    <t>4000003432</t>
  </si>
  <si>
    <t>25312000000409320701，锡盟大储项目11月份生态公司人工工资付费（上海峙雄）</t>
  </si>
  <si>
    <t>25312000000409320701</t>
  </si>
  <si>
    <t>APJT20251201022</t>
  </si>
  <si>
    <t>4000003433</t>
  </si>
  <si>
    <t>25532000000182171921，巴彦淖尔储能项目11月员工工资付款申请</t>
  </si>
  <si>
    <t>25532000000182171921</t>
  </si>
  <si>
    <t>APJT20251201256</t>
  </si>
  <si>
    <t>4000003434</t>
  </si>
  <si>
    <t>25312000000408380255，巴彦淖尔储能项目11月员工工资付款申请</t>
  </si>
  <si>
    <t>25312000000408380255</t>
  </si>
  <si>
    <t>APJT20251201254</t>
  </si>
  <si>
    <t>4000003435</t>
  </si>
  <si>
    <t>25412000000283477167，2025-12-09-巴彦淖尔河套新型储能专项行动项目-巴</t>
  </si>
  <si>
    <t>25412000000283477167</t>
  </si>
  <si>
    <t>APJT20251201157</t>
  </si>
  <si>
    <t>4000003436</t>
  </si>
  <si>
    <t>25152000000075612444，2025-12-02-巴彦淖尔河套新型储能专项行动项目-巴</t>
  </si>
  <si>
    <t>25152000000075612444</t>
  </si>
  <si>
    <t>APJT20251201219</t>
  </si>
  <si>
    <t>4000003437</t>
  </si>
  <si>
    <t>25152000000076576259，2025-11-28-巴彦淖尔河套新型储能专项行动项目-巴</t>
  </si>
  <si>
    <t>25152000000076576259</t>
  </si>
  <si>
    <t>APJT20251201196</t>
  </si>
  <si>
    <t>4000003452</t>
  </si>
  <si>
    <t>25132000000210893978张笑婉房屋租金（小于6个月）鸡泽项目 房屋租赁费</t>
  </si>
  <si>
    <t>张笑婉鸡泽项目 房屋租赁费</t>
  </si>
  <si>
    <t>20251217000027FY</t>
  </si>
  <si>
    <t>4000003455</t>
  </si>
  <si>
    <t>25152000000075087319陈新住宿费乌兰察布项目消缺差旅费用报销</t>
  </si>
  <si>
    <t>陈新乌兰察布项目消缺差旅费用报销</t>
  </si>
  <si>
    <t>20251215000080FY</t>
  </si>
  <si>
    <t>XQ-J025</t>
  </si>
  <si>
    <t>4000003458</t>
  </si>
  <si>
    <t>25117000001549340669刘峻铭现场办公生活用品 五河彩舟项目费用报销12.15</t>
  </si>
  <si>
    <t>刘峻铭 五河彩舟项目费用报销12.15</t>
  </si>
  <si>
    <t>20251207000020FY</t>
  </si>
  <si>
    <t>4000003459</t>
  </si>
  <si>
    <t>25952000000247943675赵贵峰汽车保养/维修费（现场）裕昭沙子坝储能电站生产准备</t>
  </si>
  <si>
    <t>赵贵峰裕昭沙子坝储能电站生产准备费用报销</t>
  </si>
  <si>
    <t>20251202000021FY</t>
  </si>
  <si>
    <t>1000012369</t>
  </si>
  <si>
    <t>25112*292402455红冲发票进项税转出，PO订单9210099269，调25年4-1341</t>
  </si>
  <si>
    <t>25112*2924024552025122400</t>
  </si>
  <si>
    <t>9210099269</t>
  </si>
  <si>
    <t>4000003463</t>
  </si>
  <si>
    <t>CGDD011796-9210217769</t>
  </si>
  <si>
    <t>25347*202816145</t>
  </si>
  <si>
    <t>4000003464</t>
  </si>
  <si>
    <t>25372*361140039,诸城市宝泉工贸有限公司,手续办理、征租地及其协调工作回票</t>
  </si>
  <si>
    <t>ATJT20251100798,手续办理、征租地及</t>
  </si>
  <si>
    <t>OFPCN23202025061800015</t>
  </si>
  <si>
    <t>25372*361140039</t>
  </si>
  <si>
    <t>4000003465</t>
  </si>
  <si>
    <t>CGDD011914-9210220678</t>
  </si>
  <si>
    <t>25347*202816144</t>
  </si>
  <si>
    <t>4000003466</t>
  </si>
  <si>
    <t>25112*292402455</t>
  </si>
  <si>
    <t>4000003468</t>
  </si>
  <si>
    <t>25317000003195994598，11月携程差旅费</t>
  </si>
  <si>
    <t>25317*3195994600/2611/460</t>
  </si>
  <si>
    <t>APJT20251200536</t>
  </si>
  <si>
    <t>25317000003195994616，11月携程差旅费</t>
  </si>
  <si>
    <t>25317000003195992614，11月携程差旅费</t>
  </si>
  <si>
    <t>25317000003195994613，11月携程差旅费</t>
  </si>
  <si>
    <t>4000003469</t>
  </si>
  <si>
    <t>CGDD013660-9720013370</t>
  </si>
  <si>
    <t>25112*292463927</t>
  </si>
  <si>
    <t>4000003470</t>
  </si>
  <si>
    <t>CGDD013215-9720013243</t>
  </si>
  <si>
    <t>25337*585808330</t>
  </si>
  <si>
    <t>4000003471</t>
  </si>
  <si>
    <t>CGDD013187-9720013230</t>
  </si>
  <si>
    <t>25337*585808334</t>
  </si>
  <si>
    <t>4000003472</t>
  </si>
  <si>
    <t>CGDD013603-9720013357</t>
  </si>
  <si>
    <t>25112*292491469</t>
  </si>
  <si>
    <t>4000003473</t>
  </si>
  <si>
    <t>CGDD013648-9210251123</t>
  </si>
  <si>
    <t>25112*292491282</t>
  </si>
  <si>
    <t>4000003474</t>
  </si>
  <si>
    <t>CGDD013649-9210251118</t>
  </si>
  <si>
    <t>25112*292454357</t>
  </si>
  <si>
    <t>4000003475</t>
  </si>
  <si>
    <t>CGDD013651-9210251122</t>
  </si>
  <si>
    <t>25112*292428619</t>
  </si>
  <si>
    <t>4000003476</t>
  </si>
  <si>
    <t>CGDD013652-9210251121</t>
  </si>
  <si>
    <t>25112*292454387</t>
  </si>
  <si>
    <t>4000003477</t>
  </si>
  <si>
    <t>CGDD013650-9210251119</t>
  </si>
  <si>
    <t>25112*292437379</t>
  </si>
  <si>
    <t>4000003478</t>
  </si>
  <si>
    <t>CGDD012687-9720013086</t>
  </si>
  <si>
    <t>25337*585808545</t>
  </si>
  <si>
    <t>4000003479</t>
  </si>
  <si>
    <t>CGDD012887-9720013136</t>
  </si>
  <si>
    <t>25337*585808544</t>
  </si>
  <si>
    <t>4000003480</t>
  </si>
  <si>
    <t>CGDD012994-9720013165</t>
  </si>
  <si>
    <t>25337*585808543</t>
  </si>
  <si>
    <t>4000003481</t>
  </si>
  <si>
    <t>CGDD012992-9720013167</t>
  </si>
  <si>
    <t>25337*585808542</t>
  </si>
  <si>
    <t>4000003482</t>
  </si>
  <si>
    <t>CGDD013147-9720013212</t>
  </si>
  <si>
    <t>25337*585808541</t>
  </si>
  <si>
    <t>4000003483</t>
  </si>
  <si>
    <t>CGDD013144-9720013213</t>
  </si>
  <si>
    <t>25337*585808540</t>
  </si>
  <si>
    <t>4000003484</t>
  </si>
  <si>
    <t>CGDD013145-9720013214</t>
  </si>
  <si>
    <t>25337*585808539</t>
  </si>
  <si>
    <t>4000003485</t>
  </si>
  <si>
    <t>CGDD013332-9720013302</t>
  </si>
  <si>
    <t>25157*43928586</t>
  </si>
  <si>
    <t>4000003486</t>
  </si>
  <si>
    <t>CGDD013136-9720013205</t>
  </si>
  <si>
    <t>25157*43928587</t>
  </si>
  <si>
    <t>4000003487</t>
  </si>
  <si>
    <t>CGDD013178-9210243187</t>
  </si>
  <si>
    <t>25112*292464058</t>
  </si>
  <si>
    <t>4000003488</t>
  </si>
  <si>
    <t>CGDD012524-9210233955</t>
  </si>
  <si>
    <t>25152*77224688</t>
  </si>
  <si>
    <t>4000003489</t>
  </si>
  <si>
    <t>25132000000155392029，2025-07-28-丰宁二期300MW“风电+储能+制氢</t>
  </si>
  <si>
    <t>25132000000155392029</t>
  </si>
  <si>
    <t>APJT20250900160</t>
  </si>
  <si>
    <t>4000003490</t>
  </si>
  <si>
    <t>25312000000429712421记景泰9-11月咨询服务费-呼市武川</t>
  </si>
  <si>
    <t>2531200000042971242120251</t>
  </si>
  <si>
    <t>4000003491</t>
  </si>
  <si>
    <t>25312000000429712335记景泰9-11月咨询服务费-锡盟苏右</t>
  </si>
  <si>
    <t>2531200000042971233520251</t>
  </si>
  <si>
    <t>4000003492</t>
  </si>
  <si>
    <t>25312000000429712426记景泰9-11月咨询服务费-锡盟苏右</t>
  </si>
  <si>
    <t>2531200000042971242620251</t>
  </si>
  <si>
    <t>4000003493</t>
  </si>
  <si>
    <t>25312000000429712243记景泰9-11月咨询服务费-呼市武川</t>
  </si>
  <si>
    <t>2531200000042971224320251</t>
  </si>
  <si>
    <t>4000003494</t>
  </si>
  <si>
    <t>25312000000429711474记景泰9-11月咨询服务费-阿拉善敖包</t>
  </si>
  <si>
    <t>2531200000042971147420251</t>
  </si>
  <si>
    <t>4000003495</t>
  </si>
  <si>
    <t>25312000000429711468记景泰9-11月咨询服务费-巴盟河套</t>
  </si>
  <si>
    <t>2531200000042971146820251</t>
  </si>
  <si>
    <t>4000003496</t>
  </si>
  <si>
    <t>25312000000429712606记景泰9-11月咨询服务费-阿拉善敖包</t>
  </si>
  <si>
    <t>2531200000042971260620251</t>
  </si>
  <si>
    <t>4000003497</t>
  </si>
  <si>
    <t>25312000000429712336记景泰9-11月咨询服务费-巴盟河套</t>
  </si>
  <si>
    <t>2531200000042971233620251</t>
  </si>
  <si>
    <t>4000003498</t>
  </si>
  <si>
    <t>25312000000429711293记景泰9-11月咨询服务费-呼市武川</t>
  </si>
  <si>
    <t>2531200000042971129320251</t>
  </si>
  <si>
    <t>4000003499</t>
  </si>
  <si>
    <t>25312000000429712428记景泰9-11月咨询服务费-锡盟苏右</t>
  </si>
  <si>
    <t>2531200000042971242820251</t>
  </si>
  <si>
    <t>4000003500</t>
  </si>
  <si>
    <t>25312000000429711400记景泰9-11月咨询服务费-谷山梁</t>
  </si>
  <si>
    <t>2531200000042971140020251</t>
  </si>
  <si>
    <t>4000003501</t>
  </si>
  <si>
    <t>25312000000429711475记景泰9-11月咨询服务费-阿拉善敖包</t>
  </si>
  <si>
    <t>2531200000042971147520251</t>
  </si>
  <si>
    <t>4000003502</t>
  </si>
  <si>
    <t>25312000000429712803记景泰9-11月咨询服务费-巴盟河套</t>
  </si>
  <si>
    <t>2531200000042971280320251</t>
  </si>
  <si>
    <t>4000003503</t>
  </si>
  <si>
    <t>25412000000282631234，2024年1月19日南乐绿匠土地报批及两项目三证办理</t>
  </si>
  <si>
    <t>25412000000282631234</t>
  </si>
  <si>
    <t>APJT20251201218</t>
  </si>
  <si>
    <t>4000003505</t>
  </si>
  <si>
    <t>25622000000045168649，2024年09月27日民勤景肃共享储能项目消防设施竣工验收</t>
  </si>
  <si>
    <t>25622000000045168649</t>
  </si>
  <si>
    <t>APJT20251100589</t>
  </si>
  <si>
    <t>4000003506</t>
  </si>
  <si>
    <t>25312000000430270225记景泰前期技术服务费-谷山梁</t>
  </si>
  <si>
    <t>2531200000043027022520251</t>
  </si>
  <si>
    <t>SGJTQQZX</t>
  </si>
  <si>
    <t>4000003507</t>
  </si>
  <si>
    <t>25312000000430269563记景泰前期技术服务费-阿拉善敖包</t>
  </si>
  <si>
    <t>2531200000043026956320251</t>
  </si>
  <si>
    <t>4000003508</t>
  </si>
  <si>
    <t>25312000000430269843记景泰前期技术服务费-巴盟河套</t>
  </si>
  <si>
    <t>2531200000043026984320251</t>
  </si>
  <si>
    <t>4000003509</t>
  </si>
  <si>
    <t>25312000000430269480记景泰前期技术服务费-呼市武川</t>
  </si>
  <si>
    <t>2531200000043026948020251</t>
  </si>
  <si>
    <t>4000003510</t>
  </si>
  <si>
    <t>25312000000430270038记景泰前期技术服务费-锡盟苏右</t>
  </si>
  <si>
    <t>2531200000043027003820251</t>
  </si>
  <si>
    <t>4000003511</t>
  </si>
  <si>
    <t>25622000000062246167，2024年12月12日民勤景肃共享储能项目场站涉网试验技术</t>
  </si>
  <si>
    <t>25622*62246167/6523</t>
  </si>
  <si>
    <t>APJT20251201152</t>
  </si>
  <si>
    <t>25622000000062206523，2024年12月12日民勤景肃共享储能项目场站涉网试验技术</t>
  </si>
  <si>
    <t>4000003512</t>
  </si>
  <si>
    <t>25157*106560874,中国石油天然气股份有限公司内蒙古阿拉善销售分公司,加油回票</t>
  </si>
  <si>
    <t>ATJT20251000496,加油回票</t>
  </si>
  <si>
    <t>25157*106560874</t>
  </si>
  <si>
    <t>4000003514</t>
  </si>
  <si>
    <t>25312000000430736024记景泰12月咨询服务费-谷山梁</t>
  </si>
  <si>
    <t>2531200000043073602420251</t>
  </si>
  <si>
    <t>4000003515</t>
  </si>
  <si>
    <t>25312000000430735934记景泰12月咨询服务费-锡盟苏右</t>
  </si>
  <si>
    <t>2531200000043073593420251</t>
  </si>
  <si>
    <t>4000003516</t>
  </si>
  <si>
    <t>25312000000430735837记景泰12月咨询服务费-巴盟河套</t>
  </si>
  <si>
    <t>2531200000043073583720251</t>
  </si>
  <si>
    <t>4000003517</t>
  </si>
  <si>
    <t>25312000000430735944记景泰12月咨询服务费-阿拉善敖包</t>
  </si>
  <si>
    <t>2531200000043073594420251</t>
  </si>
  <si>
    <t>4000003518</t>
  </si>
  <si>
    <t>25312000000430735360记景泰12月咨询服务费-呼市武川</t>
  </si>
  <si>
    <t>2531200000043073536020251</t>
  </si>
  <si>
    <t>4000003519</t>
  </si>
  <si>
    <t>25312000000430736104记景泰12月咨询服务费-诸城大业</t>
  </si>
  <si>
    <t>2531200000043073610420251</t>
  </si>
  <si>
    <t>4000003522</t>
  </si>
  <si>
    <t>CGDD005925-9210107677</t>
  </si>
  <si>
    <t>25412*288041746</t>
  </si>
  <si>
    <t>4000003524</t>
  </si>
  <si>
    <t>25952*271350165,深圳市沃尔核材股份有限公司,电缆付款回票</t>
  </si>
  <si>
    <t>ATJT20251200516,电缆付款回票</t>
  </si>
  <si>
    <t>XNCN23202025121100515</t>
  </si>
  <si>
    <t>25952*271350165</t>
  </si>
  <si>
    <t>XQ-0003</t>
  </si>
  <si>
    <t>4000003529</t>
  </si>
  <si>
    <t>CGDD013590-9720013351</t>
  </si>
  <si>
    <t>25612*154975052</t>
  </si>
  <si>
    <t>4000003530</t>
  </si>
  <si>
    <t>CGDD012720-9210236240</t>
  </si>
  <si>
    <t>25322*608458857</t>
  </si>
  <si>
    <t>4000003533</t>
  </si>
  <si>
    <t>25652000000085376369，阿拉善风储项目11月员工工资付款申请</t>
  </si>
  <si>
    <t>25652000000085376369</t>
  </si>
  <si>
    <t>APJT20251201250</t>
  </si>
  <si>
    <t>4000003534</t>
  </si>
  <si>
    <t>CGDD013582-9720013349</t>
  </si>
  <si>
    <t>25642*30350800</t>
  </si>
  <si>
    <t>4000003535</t>
  </si>
  <si>
    <t>25312000000409320036，阿拉善风储项目11月员工工资付款申请</t>
  </si>
  <si>
    <t>25312000000409320036</t>
  </si>
  <si>
    <t>APJT20251201248</t>
  </si>
  <si>
    <t>4000003536</t>
  </si>
  <si>
    <t>25372000000349759314，阿拉善风储项目11月员工工资付款申请</t>
  </si>
  <si>
    <t>25372000000349759314</t>
  </si>
  <si>
    <t>APJT20251201246</t>
  </si>
  <si>
    <t>4000003537</t>
  </si>
  <si>
    <t>25112000000279074470，阿拉善风储项目11月员工工资付款申请</t>
  </si>
  <si>
    <t>25112000000279074470</t>
  </si>
  <si>
    <t>APJT20251201244</t>
  </si>
  <si>
    <t>4000003538</t>
  </si>
  <si>
    <t>25312000000409319386，谷山梁大储项目11月员工工资付款申请</t>
  </si>
  <si>
    <t>25312000000409319386</t>
  </si>
  <si>
    <t>APJT20251201252</t>
  </si>
  <si>
    <t>4000003539</t>
  </si>
  <si>
    <t>25372000000349806309，大业EPC11月份人工付费（山东博程）</t>
  </si>
  <si>
    <t>25372000000349806309</t>
  </si>
  <si>
    <t>APJT20251201202</t>
  </si>
  <si>
    <t>4000003540</t>
  </si>
  <si>
    <t>25112000000279048369，大业EPC项目11月份人工费（北京维西通）</t>
  </si>
  <si>
    <t>25112000000279048369</t>
  </si>
  <si>
    <t>APJT20251201215</t>
  </si>
  <si>
    <t>4000003541</t>
  </si>
  <si>
    <t>25122000000092456956，巴盟大储项目11月份员工工资付款申请</t>
  </si>
  <si>
    <t>25122000000092456956</t>
  </si>
  <si>
    <t>APJT20251201393</t>
  </si>
  <si>
    <t>4000003544</t>
  </si>
  <si>
    <t>25512000000318817816，2025-12-09-远景郎溪县风电场项目-郎溪项目部+4</t>
  </si>
  <si>
    <t>25512000000318817816</t>
  </si>
  <si>
    <t>APJT20251201422</t>
  </si>
  <si>
    <t>4000003546</t>
  </si>
  <si>
    <t>CGDD013159-9720013222</t>
  </si>
  <si>
    <t>25332*606150991</t>
  </si>
  <si>
    <t>4000003547</t>
  </si>
  <si>
    <t>记景泰12月DP项目咨询服务费结算-睿景（景泰项目资产处置尾工尾项）</t>
  </si>
  <si>
    <t>2531200000043539786620251</t>
  </si>
  <si>
    <t>4000003551</t>
  </si>
  <si>
    <t>25412000000281389361，2024年2月8日南乐绿匠小业主付款采购申请</t>
  </si>
  <si>
    <t>25412000000281389361</t>
  </si>
  <si>
    <t>APJT20251201437</t>
  </si>
  <si>
    <t>4000003548</t>
  </si>
  <si>
    <t>CGDD012940-9210239668</t>
  </si>
  <si>
    <t>25322*631650671</t>
  </si>
  <si>
    <t>4000003549</t>
  </si>
  <si>
    <t>CGDD012539-9210234008</t>
  </si>
  <si>
    <t>25322*631592383</t>
  </si>
  <si>
    <t>4000003550</t>
  </si>
  <si>
    <t>CGDD012294-9210229166</t>
  </si>
  <si>
    <t>25112*296638221</t>
  </si>
  <si>
    <t>4000003552</t>
  </si>
  <si>
    <t>25132000000205758197，2025-04-18-利豪鸡泽县50MW风电场工程-土地复</t>
  </si>
  <si>
    <t>25132*205758197/8103/1966</t>
  </si>
  <si>
    <t>APJT20251201236</t>
  </si>
  <si>
    <t>25132000000205758103，2025-04-18-利豪鸡泽县50MW风电场工程-土地复</t>
  </si>
  <si>
    <t>25132000000205841966，2025-04-18-利豪鸡泽县50MW风电场工程-土地复</t>
  </si>
  <si>
    <t>4000003553</t>
  </si>
  <si>
    <t>25322000000597594808，大业EPC11月份人工付费（科锐尔）</t>
  </si>
  <si>
    <t>25322000000597594808</t>
  </si>
  <si>
    <t>APJT20251201211</t>
  </si>
  <si>
    <t>4000003557</t>
  </si>
  <si>
    <t>25412000000284318419，2025-10-21-项城消缺项目-气候可行性论证服务</t>
  </si>
  <si>
    <t>25412000000284318419</t>
  </si>
  <si>
    <t>APJT20251201368</t>
  </si>
  <si>
    <t>4000003564</t>
  </si>
  <si>
    <t>五河彩舟项目_12月收到设计服务发票25332000000619967897</t>
  </si>
  <si>
    <t>25332000000619967897</t>
  </si>
  <si>
    <t>SGZZFJSJ</t>
  </si>
  <si>
    <t>4000003565</t>
  </si>
  <si>
    <t>五河彩舟项目_12月收到设计服务发票25332000000620027338</t>
  </si>
  <si>
    <t>25332000000620027338</t>
  </si>
  <si>
    <t>4000003566</t>
  </si>
  <si>
    <t>五河彩舟项目_12月收到建筑服务发票25332000000620047117</t>
  </si>
  <si>
    <t>25332000000620047117</t>
  </si>
  <si>
    <t>4000003567</t>
  </si>
  <si>
    <t>五河彩舟项目_12月收到建筑服务发票25332000000619948185</t>
  </si>
  <si>
    <t>25332000000619948185</t>
  </si>
  <si>
    <t>4000003568</t>
  </si>
  <si>
    <t>五河彩舟项目_12月收到建筑服务发票25332000000620007492</t>
  </si>
  <si>
    <t>25332000000620007492</t>
  </si>
  <si>
    <t>4000003569</t>
  </si>
  <si>
    <t>五河彩舟项目_12月收到建筑服务发票25332000000619987521</t>
  </si>
  <si>
    <t>25332000000619987521</t>
  </si>
  <si>
    <t>4000003570</t>
  </si>
  <si>
    <t>五河彩舟项目_12月收到建筑服务发票25332000000619948184</t>
  </si>
  <si>
    <t>25332000000619948184</t>
  </si>
  <si>
    <t>4000003571</t>
  </si>
  <si>
    <t>五河彩舟项目_12月收到设计服务发票25332000000620047114</t>
  </si>
  <si>
    <t>25332000000620047114</t>
  </si>
  <si>
    <t>4000003572</t>
  </si>
  <si>
    <t>五河彩舟项目_12月收到设备发票25332000000620120163</t>
  </si>
  <si>
    <t>25332000000620120163</t>
  </si>
  <si>
    <t>4000003573</t>
  </si>
  <si>
    <t>五河彩舟项目_12月收到设备发票25332000000620007490</t>
  </si>
  <si>
    <t>25332000000620007490</t>
  </si>
  <si>
    <t>4000003574</t>
  </si>
  <si>
    <t>五河彩舟项目_12月收到建筑服务发票25332000000620096592</t>
  </si>
  <si>
    <t>25332000000620096592</t>
  </si>
  <si>
    <t>4000003575</t>
  </si>
  <si>
    <t>五河彩舟项目_12月收到设计服务发票25332000000620057099</t>
  </si>
  <si>
    <t>25332000000620057099</t>
  </si>
  <si>
    <t>4000003576</t>
  </si>
  <si>
    <t>五河彩舟项目_12月收到设计服务发票25332000000620076720</t>
  </si>
  <si>
    <t>25332000000620076720</t>
  </si>
  <si>
    <t>4000003577</t>
  </si>
  <si>
    <t>五河彩舟项目_12月收到设备发票25332000000620037216</t>
  </si>
  <si>
    <t>25332000000620037216</t>
  </si>
  <si>
    <t>4000003578</t>
  </si>
  <si>
    <t>五河彩舟项目_12月收到设计服务发票25332000000620017419</t>
  </si>
  <si>
    <t>25332000000620017419</t>
  </si>
  <si>
    <t>4000003579</t>
  </si>
  <si>
    <t>五河彩舟项目_12月收到建筑服务发票25332000000620007486</t>
  </si>
  <si>
    <t>25332000000620007486</t>
  </si>
  <si>
    <t>4000003580</t>
  </si>
  <si>
    <t>五河彩舟项目_12月收到建筑服务发票25332000000620027333</t>
  </si>
  <si>
    <t>25332000000620027333</t>
  </si>
  <si>
    <t>4000003581</t>
  </si>
  <si>
    <t>五河彩舟项目_12月收到建筑服务发票25332000000619997433</t>
  </si>
  <si>
    <t>25332000000619997433</t>
  </si>
  <si>
    <t>4000003582</t>
  </si>
  <si>
    <t>五河彩舟项目_12月收到建筑服务发票25332000000620007487</t>
  </si>
  <si>
    <t>25332000000620007487</t>
  </si>
  <si>
    <t>4000003583</t>
  </si>
  <si>
    <t>五河彩舟项目_12月收到建筑服务发票25332000000620096589</t>
  </si>
  <si>
    <t>25332000000620096589</t>
  </si>
  <si>
    <t>4000003584</t>
  </si>
  <si>
    <t>五河彩舟项目_12月收到建筑服务发票25332000000619977716</t>
  </si>
  <si>
    <t>25332000000619977716</t>
  </si>
  <si>
    <t>4000003585</t>
  </si>
  <si>
    <t>五河彩舟项目_12月收到建筑服务发票25332000000620086464</t>
  </si>
  <si>
    <t>25332000000620086464</t>
  </si>
  <si>
    <t>4000003586</t>
  </si>
  <si>
    <t>五河彩舟项目_12月收到建筑服务发票25332000000620110780</t>
  </si>
  <si>
    <t>25332000000620110780</t>
  </si>
  <si>
    <t>4000003587</t>
  </si>
  <si>
    <t>五河彩舟项目_12月收到设备发票25332000000620096587</t>
  </si>
  <si>
    <t>25332000000620096587</t>
  </si>
  <si>
    <t>4000003588</t>
  </si>
  <si>
    <t>五河彩舟项目_12月收到建筑服务发票25332000000619987509</t>
  </si>
  <si>
    <t>25332000000619987509</t>
  </si>
  <si>
    <t>4000003589</t>
  </si>
  <si>
    <t>五河彩舟项目_12月收到设计服务发票25332000000620101157</t>
  </si>
  <si>
    <t>25332000000620101157</t>
  </si>
  <si>
    <t>4000003590</t>
  </si>
  <si>
    <t>五河彩舟项目_12月收到设计服务发票25332000000620076715</t>
  </si>
  <si>
    <t>25332000000620076715</t>
  </si>
  <si>
    <t>4000003591</t>
  </si>
  <si>
    <t>五河彩舟项目_12月收到设计服务发票25332000000619967888</t>
  </si>
  <si>
    <t>25332000000619967888</t>
  </si>
  <si>
    <t>4000003592</t>
  </si>
  <si>
    <t>五河彩舟项目_12月收到设计服务发票25332000000619987508</t>
  </si>
  <si>
    <t>25332000000619987508</t>
  </si>
  <si>
    <t>4000003593</t>
  </si>
  <si>
    <t>五河彩舟项目_12月收到设计服务发票25332000000619987507</t>
  </si>
  <si>
    <t>25332000000619987507</t>
  </si>
  <si>
    <t>4000003594</t>
  </si>
  <si>
    <t>五河彩舟项目_12月收到设计服务发票25332000000619987506</t>
  </si>
  <si>
    <t>25332000000619987506</t>
  </si>
  <si>
    <t>4000003595</t>
  </si>
  <si>
    <t>五河彩舟项目_12月收到设计服务发票25332000000620027325</t>
  </si>
  <si>
    <t>25332000000620027325</t>
  </si>
  <si>
    <t>4000003596</t>
  </si>
  <si>
    <t>五河彩舟项目_12月收到设计服务发票25332000000620101154</t>
  </si>
  <si>
    <t>25332000000620101154</t>
  </si>
  <si>
    <t>4000003597</t>
  </si>
  <si>
    <t>五河彩舟项目_12月收到设计服务发票25332000000619977711</t>
  </si>
  <si>
    <t>25332000000619977711</t>
  </si>
  <si>
    <t>4000003598</t>
  </si>
  <si>
    <t>五河彩舟项目_12月收到设计服务发票25332000000619948176</t>
  </si>
  <si>
    <t>25332000000619948176</t>
  </si>
  <si>
    <t>4000003599</t>
  </si>
  <si>
    <t>五河彩舟项目_12月收到设计服务发票25332000000619977712</t>
  </si>
  <si>
    <t>25332000000619977712</t>
  </si>
  <si>
    <t>4000003600</t>
  </si>
  <si>
    <t>五河彩舟项目_12月收到设备发票25332000000620096585</t>
  </si>
  <si>
    <t>25332000000620096585</t>
  </si>
  <si>
    <t>4000003601</t>
  </si>
  <si>
    <t>五河彩舟项目_12月收到设备发票25332000000619958193</t>
  </si>
  <si>
    <t>25332000000619958193</t>
  </si>
  <si>
    <t>4000003602</t>
  </si>
  <si>
    <t>五河彩舟项目_12月收到设备发票25332000000620066863</t>
  </si>
  <si>
    <t>25332000000620066863</t>
  </si>
  <si>
    <t>4000003603</t>
  </si>
  <si>
    <t>五河彩舟项目_12月收到设计服务发票25332000000620037207</t>
  </si>
  <si>
    <t>25332000000620037207</t>
  </si>
  <si>
    <t>4000003604</t>
  </si>
  <si>
    <t>五河彩舟项目_12月收到设计服务发票25332000000619958194</t>
  </si>
  <si>
    <t>25332000000619958194</t>
  </si>
  <si>
    <t>4000003605</t>
  </si>
  <si>
    <t>五河彩舟项目_12月收到设计服务发票25332000000620086458</t>
  </si>
  <si>
    <t>25332000000620086458</t>
  </si>
  <si>
    <t>4000003606</t>
  </si>
  <si>
    <t>五河彩舟项目_12月收到设计服务发票25332000000619939740</t>
  </si>
  <si>
    <t>25332000000619939740</t>
  </si>
  <si>
    <t>4000003607</t>
  </si>
  <si>
    <t>五河彩舟项目_12月收到设备发票25332000000620101151</t>
  </si>
  <si>
    <t>25332000000620101151</t>
  </si>
  <si>
    <t>4000003608</t>
  </si>
  <si>
    <t>五河彩舟项目_12月收到设备发票25332000000619997424</t>
  </si>
  <si>
    <t>25332000000619997424</t>
  </si>
  <si>
    <t>4000003609</t>
  </si>
  <si>
    <t>五河彩舟项目_12月收到设备发票25332000000620047103</t>
  </si>
  <si>
    <t>25332000000620047103</t>
  </si>
  <si>
    <t>4000003610</t>
  </si>
  <si>
    <t>五河彩舟项目_12月收到设备发票25332000000619967879</t>
  </si>
  <si>
    <t>25332000000619967879</t>
  </si>
  <si>
    <t>4000003611</t>
  </si>
  <si>
    <t>五河彩舟项目_12月收到设计服务发票25332000000620027320</t>
  </si>
  <si>
    <t>25332000000620027320</t>
  </si>
  <si>
    <t>4000003612</t>
  </si>
  <si>
    <t>五河彩舟项目_12月收到建筑服务发票25332000000620120152</t>
  </si>
  <si>
    <t>25332000000620120152</t>
  </si>
  <si>
    <t>4000003613</t>
  </si>
  <si>
    <t>五河彩舟项目_12月收到设备发票25332000000620017408</t>
  </si>
  <si>
    <t>25332000000620017408</t>
  </si>
  <si>
    <t>4000003614</t>
  </si>
  <si>
    <t>五河彩舟项目_12月收到设备发票25332000000619967877</t>
  </si>
  <si>
    <t>25332000000619967877</t>
  </si>
  <si>
    <t>4000003615</t>
  </si>
  <si>
    <t>五河彩舟项目_12月收到设备发票25332000000620057079</t>
  </si>
  <si>
    <t>25332000000620057079</t>
  </si>
  <si>
    <t>4000003616</t>
  </si>
  <si>
    <t>五河彩舟项目_12月收到设备发票25332000000619977702</t>
  </si>
  <si>
    <t>25332000000619977702</t>
  </si>
  <si>
    <t>4000003617</t>
  </si>
  <si>
    <t>五河彩舟项目_12月收到设备发票25332000000620110772</t>
  </si>
  <si>
    <t>25332000000620110772</t>
  </si>
  <si>
    <t>4000003618</t>
  </si>
  <si>
    <t>五河彩舟项目_12月收到设备发票25332000000619939734</t>
  </si>
  <si>
    <t>25332000000619939734</t>
  </si>
  <si>
    <t>4000003619</t>
  </si>
  <si>
    <t>五河彩舟项目_12月收到设备发票25332000000620066852</t>
  </si>
  <si>
    <t>25332000000620066852</t>
  </si>
  <si>
    <t>4000003620</t>
  </si>
  <si>
    <t>五河彩舟项目_12月收到设备发票25332000000620120144</t>
  </si>
  <si>
    <t>25332000000620120144</t>
  </si>
  <si>
    <t>4000003621</t>
  </si>
  <si>
    <t>五河彩舟项目_12月收到设备发票25332000000619939728</t>
  </si>
  <si>
    <t>25332000000619939728</t>
  </si>
  <si>
    <t>4000003622</t>
  </si>
  <si>
    <t>五河彩舟项目_12月收到设备发票25332000000620096572</t>
  </si>
  <si>
    <t>25332000000620096572</t>
  </si>
  <si>
    <t>4000003623</t>
  </si>
  <si>
    <t>五河彩舟项目_12月收到设备发票25332000000620057074</t>
  </si>
  <si>
    <t>25332000000620057074</t>
  </si>
  <si>
    <t>4000003624</t>
  </si>
  <si>
    <t>五河彩舟项目_12月收到设备发票25332000000620017405</t>
  </si>
  <si>
    <t>25332000000620017405</t>
  </si>
  <si>
    <t>4000003625</t>
  </si>
  <si>
    <t>五河彩舟项目_12月收到设备发票25332000000619997417</t>
  </si>
  <si>
    <t>25332000000619997417</t>
  </si>
  <si>
    <t>4000003626</t>
  </si>
  <si>
    <t>五河彩舟项目_12月收到设备发票25332000000619958185</t>
  </si>
  <si>
    <t>25332000000619958185</t>
  </si>
  <si>
    <t>4000003627</t>
  </si>
  <si>
    <t>五河彩舟项目_12月收到设备发票25332000000620110771</t>
  </si>
  <si>
    <t>25332000000620110771</t>
  </si>
  <si>
    <t>4000003628</t>
  </si>
  <si>
    <t>五河彩舟项目_12月收到设备发票25332000000620096571</t>
  </si>
  <si>
    <t>25332000000620096571</t>
  </si>
  <si>
    <t>4000003629</t>
  </si>
  <si>
    <t>五河彩舟项目_12月收到设备发票25332000000620017407</t>
  </si>
  <si>
    <t>25332000000620017407</t>
  </si>
  <si>
    <t>1000014311</t>
  </si>
  <si>
    <t>大业诸城EPC项目风机塔筒进项票入账-14套</t>
  </si>
  <si>
    <t>1000014835</t>
  </si>
  <si>
    <t>4-2凭证1月流程结束12月提起抵扣</t>
  </si>
  <si>
    <t>4000003331</t>
  </si>
  <si>
    <t>巴盟大储前期费来票</t>
  </si>
  <si>
    <t>巴盟大储前期费来票20251218000012GZ</t>
  </si>
  <si>
    <t>SGYJQQZX</t>
  </si>
  <si>
    <t>4000003554</t>
  </si>
  <si>
    <t>CGDD012658-9720013080</t>
  </si>
  <si>
    <t>25612*153831203</t>
  </si>
  <si>
    <t>4000003555</t>
  </si>
  <si>
    <t>CGDD012528-9210233995</t>
  </si>
  <si>
    <t>25322*634326585</t>
  </si>
  <si>
    <t>4000003556</t>
  </si>
  <si>
    <t>CGDD013004-9210240728</t>
  </si>
  <si>
    <t>25322*634306920</t>
  </si>
  <si>
    <t>4000003561</t>
  </si>
  <si>
    <t>CGDD012657-9720013083</t>
  </si>
  <si>
    <t>25612*154809647</t>
  </si>
  <si>
    <t>4000003562</t>
  </si>
  <si>
    <t>CGDD013435-9210247599</t>
  </si>
  <si>
    <t>25117*1540244346</t>
  </si>
  <si>
    <t>4000003630</t>
  </si>
  <si>
    <t>CGDD013286-9210245094</t>
  </si>
  <si>
    <t>25517*243591428</t>
  </si>
  <si>
    <t>4000003631</t>
  </si>
  <si>
    <t>2531200000043978182520251</t>
  </si>
  <si>
    <t>4000003632</t>
  </si>
  <si>
    <t>25342000000212505140，2025-10-25-安徽滁州定远欣月风电场消缺项目-集电</t>
  </si>
  <si>
    <t>25342000000212505140</t>
  </si>
  <si>
    <t>APJT20251200517</t>
  </si>
  <si>
    <t>XQ-1452</t>
  </si>
  <si>
    <t>4000003633</t>
  </si>
  <si>
    <t>25342000000212469150，2025-10-25-安徽滁州定远乘风风电场消缺项目-集电</t>
  </si>
  <si>
    <t>25342000000212469150</t>
  </si>
  <si>
    <t>APJT20251200518</t>
  </si>
  <si>
    <t>4000003635</t>
  </si>
  <si>
    <t>巴盟大储项目储能设备全额收货并来票</t>
  </si>
  <si>
    <t>巴盟大储项目储能设备全额收货并来票20251231</t>
  </si>
  <si>
    <t>SGZZCNSB</t>
  </si>
  <si>
    <t>4000003636</t>
  </si>
  <si>
    <t>25152000000071426934，2025-10-13-谷山梁500千伏变电站能源侧独立储能</t>
  </si>
  <si>
    <t>25152000000071426934</t>
  </si>
  <si>
    <t>APJT20251201447</t>
  </si>
  <si>
    <t>4000003637</t>
  </si>
  <si>
    <t>25312000000440561033计景泰 12月咨询服务费-睿景</t>
  </si>
  <si>
    <t>2531200000044056103320251</t>
  </si>
  <si>
    <t>4000003638</t>
  </si>
  <si>
    <t>25312000000440560641计景泰12月咨询服务费-DPcharge携程费</t>
  </si>
  <si>
    <t>2531200000044056064120251</t>
  </si>
  <si>
    <t>4000003639</t>
  </si>
  <si>
    <t>锡盟大储100台储能收货并来票  ENS-LC20120-5500</t>
  </si>
  <si>
    <t>锡盟大储100台储能收货并来票  ENS-LC20</t>
  </si>
  <si>
    <t>3A26</t>
  </si>
  <si>
    <t>4000003662</t>
  </si>
  <si>
    <t>25432*181737982，谷山梁5套储能设备发票入账</t>
  </si>
  <si>
    <t>谷山梁5套储能设备采购发票入账2026010600</t>
  </si>
  <si>
    <t>长沙优力电驱动系统有限公司</t>
  </si>
  <si>
    <t>SGRJZX</t>
  </si>
  <si>
    <t>4000003664</t>
  </si>
  <si>
    <t>25332*618902117，谷山梁5套储能设备发票入账</t>
  </si>
  <si>
    <t>湖州鸿途智慧能源技术有限公司</t>
  </si>
  <si>
    <t>4000003665</t>
  </si>
  <si>
    <t>25152*79191195等共10张发票，谷山梁48套储能设备发票入账</t>
  </si>
  <si>
    <t>谷山梁48套储能设备采购发票入账202601060</t>
  </si>
  <si>
    <t>巴彦淖尔远景能源有限公司</t>
  </si>
  <si>
    <t>2A33</t>
  </si>
  <si>
    <t>4000003667</t>
  </si>
  <si>
    <t>谷山梁49套储能设备采购发票入账202601060</t>
  </si>
  <si>
    <t>远景北方（翁牛特旗）能源有限公司</t>
  </si>
  <si>
    <t>3A29</t>
  </si>
  <si>
    <t>4000003723</t>
  </si>
  <si>
    <t>远景咨询服务费_锡盟苏右100万千瓦/400万千瓦时储能25322000000640323570</t>
  </si>
  <si>
    <t>远景咨询服务费_锡盟苏右100万千瓦/400万千瓦</t>
  </si>
  <si>
    <t>2221050000</t>
  </si>
  <si>
    <t>1000013684</t>
  </si>
  <si>
    <t>缴纳企税-12月-红庆河（远景能源）异地预缴</t>
  </si>
  <si>
    <t>SGTAX2</t>
  </si>
  <si>
    <t>1000013687</t>
  </si>
  <si>
    <t>缴纳企税-12月-红庆河（内蒙古集团）异地预缴</t>
  </si>
  <si>
    <t>1000013689</t>
  </si>
  <si>
    <t>缴纳企税-12月-射阳异地预缴</t>
  </si>
  <si>
    <t>1000013692</t>
  </si>
  <si>
    <t>缴纳企税-12月-武川大储异地预缴</t>
  </si>
  <si>
    <t>1000013694</t>
  </si>
  <si>
    <t>缴纳企税-12月-民勤景威异地预缴</t>
  </si>
  <si>
    <t>1000014904</t>
  </si>
  <si>
    <t>计提25年12月当期所得税费用</t>
  </si>
  <si>
    <t>采购合同（取自合同台账-采购合同）</t>
  </si>
  <si>
    <t>合同类别</t>
  </si>
  <si>
    <t>应税金额</t>
  </si>
  <si>
    <t>应纳税额</t>
  </si>
  <si>
    <t>勘察设计合同</t>
  </si>
  <si>
    <t>运输合同</t>
  </si>
  <si>
    <t>租赁合同-租车</t>
  </si>
  <si>
    <t>租赁合同-租房</t>
  </si>
  <si>
    <t>建设工程合同-施工</t>
  </si>
  <si>
    <t>建设工程合同-设计</t>
  </si>
  <si>
    <t>买卖合同</t>
  </si>
  <si>
    <t>财产保险合同</t>
  </si>
  <si>
    <t>行标签</t>
  </si>
  <si>
    <t>求和项:25年第四季度应纳税依据</t>
  </si>
  <si>
    <t>求和项:25年第四季度应纳税税金</t>
  </si>
  <si>
    <t>承揽合同</t>
  </si>
  <si>
    <t>保证金，后续是否转咨询合同</t>
  </si>
  <si>
    <t>不在缴税范围</t>
  </si>
  <si>
    <t>不在纳税范围</t>
  </si>
  <si>
    <t>不在纳税范围内</t>
  </si>
  <si>
    <t>销售合同（取自账面）</t>
  </si>
  <si>
    <t>非应税合同</t>
  </si>
  <si>
    <t>非应税事项</t>
  </si>
  <si>
    <t>非应税项目</t>
  </si>
  <si>
    <t>合同已关闭</t>
  </si>
  <si>
    <t>建设工程合同</t>
  </si>
  <si>
    <t>金额为0</t>
  </si>
  <si>
    <t>无合同</t>
  </si>
  <si>
    <t>无合同不应该缴税</t>
  </si>
  <si>
    <t>暂无合同</t>
  </si>
  <si>
    <t>咨询服务合同不缴纳印花税</t>
  </si>
  <si>
    <t>咨询合同不缴税</t>
  </si>
  <si>
    <t>咨询合同不在印花税范围</t>
  </si>
  <si>
    <t>咨询合同不在应税范围</t>
  </si>
  <si>
    <t>租赁合同</t>
  </si>
  <si>
    <t>(空白)</t>
  </si>
  <si>
    <t>总计</t>
  </si>
  <si>
    <t>上海睿景能源科技有限公司2025年12月（税务所属期）税费申报明细</t>
  </si>
  <si>
    <r>
      <rPr>
        <b/>
        <sz val="11"/>
        <color theme="0"/>
        <rFont val="宋体"/>
        <family val="3"/>
        <charset val="134"/>
      </rPr>
      <t>序号</t>
    </r>
  </si>
  <si>
    <r>
      <rPr>
        <b/>
        <sz val="11"/>
        <color theme="0"/>
        <rFont val="宋体"/>
        <family val="3"/>
        <charset val="134"/>
      </rPr>
      <t>申报税种</t>
    </r>
  </si>
  <si>
    <r>
      <rPr>
        <b/>
        <sz val="11"/>
        <color theme="0"/>
        <rFont val="宋体"/>
        <family val="3"/>
        <charset val="134"/>
      </rPr>
      <t>税目</t>
    </r>
  </si>
  <si>
    <r>
      <rPr>
        <b/>
        <sz val="11"/>
        <color theme="0"/>
        <rFont val="宋体"/>
        <family val="3"/>
        <charset val="134"/>
      </rPr>
      <t>计税依据（记账科目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宋体"/>
        <family val="3"/>
        <charset val="134"/>
      </rPr>
      <t>计税表格）</t>
    </r>
  </si>
  <si>
    <r>
      <rPr>
        <b/>
        <sz val="11"/>
        <color theme="0"/>
        <rFont val="宋体"/>
        <family val="3"/>
        <charset val="134"/>
      </rPr>
      <t>计税金额</t>
    </r>
    <r>
      <rPr>
        <b/>
        <sz val="11"/>
        <color theme="0"/>
        <rFont val="Arial"/>
        <family val="2"/>
      </rPr>
      <t xml:space="preserve"> (A)-</t>
    </r>
    <r>
      <rPr>
        <b/>
        <sz val="11"/>
        <color theme="0"/>
        <rFont val="宋体"/>
        <family val="3"/>
        <charset val="134"/>
      </rPr>
      <t>季度</t>
    </r>
  </si>
  <si>
    <r>
      <rPr>
        <b/>
        <sz val="11"/>
        <color theme="0"/>
        <rFont val="宋体"/>
        <family val="3"/>
        <charset val="134"/>
      </rPr>
      <t>征收比例</t>
    </r>
    <r>
      <rPr>
        <b/>
        <sz val="11"/>
        <color theme="0"/>
        <rFont val="Arial"/>
        <family val="2"/>
      </rPr>
      <t xml:space="preserve"> (B)</t>
    </r>
  </si>
  <si>
    <r>
      <rPr>
        <b/>
        <sz val="11"/>
        <color theme="0"/>
        <rFont val="宋体"/>
        <family val="3"/>
        <charset val="134"/>
      </rPr>
      <t>税率</t>
    </r>
    <r>
      <rPr>
        <b/>
        <sz val="11"/>
        <color theme="0"/>
        <rFont val="Arial"/>
        <family val="2"/>
      </rPr>
      <t xml:space="preserve"> (C)</t>
    </r>
  </si>
  <si>
    <r>
      <rPr>
        <b/>
        <sz val="11"/>
        <color theme="0"/>
        <rFont val="宋体"/>
        <family val="3"/>
        <charset val="134"/>
      </rPr>
      <t>实际应纳税额</t>
    </r>
    <r>
      <rPr>
        <b/>
        <sz val="11"/>
        <color theme="0"/>
        <rFont val="Arial"/>
        <family val="2"/>
      </rPr>
      <t xml:space="preserve">  (D)</t>
    </r>
  </si>
  <si>
    <t>计税金额-2025年10月</t>
  </si>
  <si>
    <t>计税金额-2025年11月</t>
  </si>
  <si>
    <t>计税金额-2025年12月</t>
  </si>
  <si>
    <r>
      <rPr>
        <b/>
        <sz val="11"/>
        <color theme="0"/>
        <rFont val="等线"/>
        <family val="3"/>
        <charset val="134"/>
      </rPr>
      <t>差异原因</t>
    </r>
  </si>
  <si>
    <r>
      <rPr>
        <b/>
        <sz val="11"/>
        <color theme="0"/>
        <rFont val="等线"/>
        <family val="3"/>
        <charset val="134"/>
      </rPr>
      <t>指引</t>
    </r>
  </si>
  <si>
    <r>
      <rPr>
        <b/>
        <sz val="11"/>
        <color rgb="FF000000"/>
        <rFont val="宋体"/>
        <family val="3"/>
        <charset val="134"/>
      </rPr>
      <t>印花税</t>
    </r>
  </si>
  <si>
    <t>主营业务收入&amp;财务提供</t>
  </si>
  <si>
    <t>PL</t>
  </si>
  <si>
    <t>融资租赁合同</t>
  </si>
  <si>
    <t>财务提供</t>
  </si>
  <si>
    <t>Ref 1</t>
  </si>
  <si>
    <t>借款合同</t>
  </si>
  <si>
    <t xml:space="preserve">承揽合同 </t>
  </si>
  <si>
    <t>建设工程合同-工程施工合同</t>
  </si>
  <si>
    <t>建设工程合同-工程设计合同</t>
  </si>
  <si>
    <t>建设工程合同-工程勘察合同</t>
  </si>
  <si>
    <t xml:space="preserve">运输合同  </t>
  </si>
  <si>
    <t xml:space="preserve">技术合同 </t>
  </si>
  <si>
    <r>
      <rPr>
        <sz val="11"/>
        <color rgb="FF000000"/>
        <rFont val="微软雅黑"/>
        <family val="2"/>
        <charset val="134"/>
      </rPr>
      <t>租赁合同-</t>
    </r>
    <r>
      <rPr>
        <sz val="11"/>
        <color rgb="FF000000"/>
        <rFont val="宋体"/>
        <family val="3"/>
        <charset val="134"/>
      </rPr>
      <t>租房</t>
    </r>
  </si>
  <si>
    <r>
      <rPr>
        <sz val="11"/>
        <color rgb="FF000000"/>
        <rFont val="宋体"/>
        <family val="3"/>
        <charset val="134"/>
      </rPr>
      <t>租赁合同</t>
    </r>
    <r>
      <rPr>
        <sz val="11"/>
        <color rgb="FF000000"/>
        <rFont val="Arial"/>
        <family val="2"/>
      </rPr>
      <t xml:space="preserve"> -</t>
    </r>
    <r>
      <rPr>
        <sz val="11"/>
        <color rgb="FF000000"/>
        <rFont val="宋体"/>
        <family val="3"/>
        <charset val="134"/>
      </rPr>
      <t>租车</t>
    </r>
  </si>
  <si>
    <t xml:space="preserve">保管合同 </t>
  </si>
  <si>
    <t>仓储合同</t>
  </si>
  <si>
    <t>营业账簿</t>
  </si>
  <si>
    <r>
      <rPr>
        <b/>
        <sz val="11"/>
        <rFont val="宋体"/>
        <family val="3"/>
        <charset val="134"/>
      </rPr>
      <t>印花税合计</t>
    </r>
  </si>
  <si>
    <t>60000200000001</t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</si>
  <si>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序号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</si>
  <si>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申报税种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</si>
  <si>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税目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</si>
  <si>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计税依据（记账科目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计税表格）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</si>
  <si>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宋体"/>
        <family val="3"/>
        <charset val="134"/>
      </rPr>
      <t xml:space="preserve">  </t>
    </r>
    <r>
      <rPr>
        <b/>
        <sz val="11"/>
        <rFont val="宋体"/>
        <family val="3"/>
        <charset val="134"/>
      </rPr>
      <t>计税金额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</si>
  <si>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征收比例</t>
    </r>
    <r>
      <rPr>
        <b/>
        <sz val="11"/>
        <rFont val="Arial"/>
        <family val="2"/>
      </rPr>
      <t xml:space="preserve"> (B)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</si>
  <si>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税率</t>
    </r>
    <r>
      <rPr>
        <b/>
        <sz val="11"/>
        <rFont val="Arial"/>
        <family val="2"/>
      </rPr>
      <t xml:space="preserve"> (C)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</si>
  <si>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实际应纳税额</t>
    </r>
    <r>
      <rPr>
        <b/>
        <sz val="11"/>
        <rFont val="Arial"/>
        <family val="2"/>
      </rPr>
      <t xml:space="preserve">  (D)  </t>
    </r>
  </si>
  <si>
    <t>记账科目</t>
  </si>
  <si>
    <r>
      <rPr>
        <b/>
        <sz val="11"/>
        <color theme="0"/>
        <rFont val="Arial"/>
        <family val="2"/>
      </rPr>
      <t xml:space="preserve">  </t>
    </r>
    <r>
      <rPr>
        <i/>
        <sz val="11"/>
        <rFont val="宋体"/>
        <family val="3"/>
        <charset val="134"/>
      </rPr>
      <t>差异原因</t>
    </r>
    <r>
      <rPr>
        <i/>
        <sz val="11"/>
        <rFont val="Arial"/>
        <family val="2"/>
      </rPr>
      <t xml:space="preserve">  </t>
    </r>
  </si>
  <si>
    <r>
      <rPr>
        <b/>
        <sz val="11"/>
        <color rgb="FF000000"/>
        <rFont val="宋体"/>
        <family val="3"/>
        <charset val="134"/>
      </rPr>
      <t>增值税</t>
    </r>
  </si>
  <si>
    <r>
      <rPr>
        <sz val="11"/>
        <color rgb="FF000000"/>
        <rFont val="Arial Unicode MS"/>
        <family val="2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Arial Unicode MS"/>
        <family val="2"/>
      </rPr>
      <t>固定资产处置收入</t>
    </r>
  </si>
  <si>
    <r>
      <rPr>
        <sz val="11"/>
        <color rgb="FF000000"/>
        <rFont val="微软雅黑"/>
        <family val="2"/>
        <charset val="134"/>
      </rPr>
      <t>固定资产销售</t>
    </r>
    <r>
      <rPr>
        <sz val="11"/>
        <color rgb="FF000000"/>
        <rFont val="宋体"/>
        <family val="3"/>
        <charset val="134"/>
      </rPr>
      <t>收入</t>
    </r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</si>
  <si>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财务费用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利息收入</t>
    </r>
  </si>
  <si>
    <t>利息收入</t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</si>
  <si>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其他收益</t>
    </r>
  </si>
  <si>
    <t>个税手续费返还</t>
  </si>
  <si>
    <t>增值税进项税额</t>
  </si>
  <si>
    <t>见表-增值税进项认证清单</t>
  </si>
  <si>
    <t>不适用</t>
  </si>
  <si>
    <t>Ref 3</t>
  </si>
  <si>
    <t>期初进项留抵金额</t>
  </si>
  <si>
    <t>见表-增值税变动表</t>
  </si>
  <si>
    <t>Ref 4</t>
  </si>
  <si>
    <t>期末进项留抵金额</t>
  </si>
  <si>
    <r>
      <rPr>
        <b/>
        <sz val="11"/>
        <rFont val="宋体"/>
        <family val="3"/>
        <charset val="134"/>
      </rPr>
      <t>增值税合计</t>
    </r>
  </si>
  <si>
    <t>增值税附加税合计</t>
  </si>
  <si>
    <t xml:space="preserve">企业所得税 </t>
  </si>
  <si>
    <t>所处优惠期</t>
  </si>
  <si>
    <t>应纳税所得额</t>
  </si>
  <si>
    <r>
      <rPr>
        <b/>
        <sz val="11"/>
        <rFont val="微软雅黑"/>
        <family val="2"/>
        <charset val="134"/>
      </rPr>
      <t>征收</t>
    </r>
    <r>
      <rPr>
        <b/>
        <sz val="11"/>
        <rFont val="宋体"/>
        <family val="3"/>
        <charset val="134"/>
      </rPr>
      <t>税率</t>
    </r>
  </si>
  <si>
    <r>
      <rPr>
        <b/>
        <sz val="11"/>
        <rFont val="宋体"/>
        <family val="3"/>
        <charset val="134"/>
      </rPr>
      <t>当</t>
    </r>
    <r>
      <rPr>
        <b/>
        <sz val="11"/>
        <rFont val="微软雅黑"/>
        <family val="2"/>
        <charset val="134"/>
      </rPr>
      <t>年</t>
    </r>
    <r>
      <rPr>
        <b/>
        <sz val="11"/>
        <rFont val="宋体"/>
        <family val="3"/>
        <charset val="134"/>
      </rPr>
      <t>应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</si>
  <si>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Q4</t>
    </r>
    <r>
      <rPr>
        <b/>
        <sz val="11"/>
        <rFont val="宋体"/>
        <family val="3"/>
        <charset val="134"/>
      </rPr>
      <t>应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</si>
  <si>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Q1</t>
    </r>
    <r>
      <rPr>
        <b/>
        <sz val="11"/>
        <rFont val="微软雅黑"/>
        <family val="2"/>
        <charset val="134"/>
      </rPr>
      <t>已缴税额</t>
    </r>
  </si>
  <si>
    <r>
      <rPr>
        <b/>
        <sz val="11"/>
        <rFont val="Arial"/>
        <family val="2"/>
      </rPr>
      <t>Q2</t>
    </r>
    <r>
      <rPr>
        <b/>
        <sz val="11"/>
        <rFont val="宋体"/>
        <family val="3"/>
        <charset val="134"/>
      </rPr>
      <t>已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</si>
  <si>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Q3</t>
    </r>
    <r>
      <rPr>
        <b/>
        <sz val="11"/>
        <rFont val="微软雅黑"/>
        <family val="2"/>
        <charset val="134"/>
      </rPr>
      <t>已缴税额</t>
    </r>
  </si>
  <si>
    <t>非风场项目，无优惠期</t>
  </si>
  <si>
    <t>企业所得税合计</t>
  </si>
  <si>
    <t>城镇土地使用税</t>
  </si>
  <si>
    <t>县城、建制镇、工矿区</t>
  </si>
  <si>
    <t>建设用地面积</t>
  </si>
  <si>
    <r>
      <rPr>
        <b/>
        <sz val="11"/>
        <rFont val="宋体"/>
        <family val="3"/>
        <charset val="134"/>
      </rPr>
      <t>房产税</t>
    </r>
  </si>
  <si>
    <r>
      <rPr>
        <b/>
        <sz val="11"/>
        <rFont val="宋体"/>
        <family val="3"/>
        <charset val="134"/>
      </rPr>
      <t>从价计征</t>
    </r>
  </si>
  <si>
    <t>房产原值</t>
  </si>
  <si>
    <t>61409210000000</t>
  </si>
  <si>
    <t>个人所得税</t>
  </si>
  <si>
    <t>实发工资</t>
  </si>
  <si>
    <t>劳务报酬所得</t>
  </si>
  <si>
    <t>财产租赁所得</t>
  </si>
  <si>
    <t>财产租赁所得（倒算）</t>
  </si>
  <si>
    <t>12月应申报合计</t>
  </si>
  <si>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</si>
  <si>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</si>
  <si>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</si>
  <si>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</si>
  <si>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</si>
  <si>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</si>
  <si>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</si>
  <si>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</si>
  <si>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</si>
  <si>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</si>
  <si>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</si>
  <si>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</si>
  <si>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</si>
  <si>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</si>
  <si>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</si>
  <si>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</si>
  <si>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</si>
  <si>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</si>
  <si>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</si>
  <si>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</si>
  <si>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</si>
  <si>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</si>
  <si>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</si>
  <si>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</si>
  <si>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</si>
  <si>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25312000000440783357</t>
  </si>
  <si>
    <t>91310105MA1FW25C2F</t>
  </si>
  <si>
    <t>上海睿景能源科技有限公司</t>
  </si>
  <si>
    <t>91320281673004487B</t>
  </si>
  <si>
    <t>远景能源有限公司</t>
  </si>
  <si>
    <t>2025-12-31 17:53:08</t>
  </si>
  <si>
    <t>3040602990000000000</t>
  </si>
  <si>
    <t>*鉴证咨询服务*咨询服务*</t>
  </si>
  <si>
    <t>无</t>
  </si>
  <si>
    <t>项</t>
  </si>
  <si>
    <t>74704.1037735849</t>
  </si>
  <si>
    <t>6%</t>
  </si>
  <si>
    <t>电子发票服务平台</t>
  </si>
  <si>
    <t>数电发票（增值税专用发票）</t>
  </si>
  <si>
    <t>正常</t>
  </si>
  <si>
    <t>是</t>
  </si>
  <si>
    <t>胡杰</t>
  </si>
  <si>
    <t>2</t>
  </si>
  <si>
    <t>25312000000439661122</t>
  </si>
  <si>
    <t>91150403MA7MK1BK5F</t>
  </si>
  <si>
    <t>远景零碳技术（赤峰）有限公司</t>
  </si>
  <si>
    <t>2025-12-31 10:57:11</t>
  </si>
  <si>
    <t>*鉴证咨询服务*咨询服务</t>
  </si>
  <si>
    <t>65705.72</t>
  </si>
  <si>
    <t>项目名称：赤峰市风光制氢一体化项目-赤峰翁牛特旗P1-850</t>
  </si>
  <si>
    <t>3</t>
  </si>
  <si>
    <t>25312000000439659989</t>
  </si>
  <si>
    <t>91150223MACJF88R1P</t>
  </si>
  <si>
    <t>内蒙古远景绿色新材料有限公司</t>
  </si>
  <si>
    <t>2025-12-31 10:57:08</t>
  </si>
  <si>
    <t>47786.02</t>
  </si>
  <si>
    <t>项目名称：零碳合金</t>
  </si>
  <si>
    <t>4</t>
  </si>
  <si>
    <t>25312000000439660527</t>
  </si>
  <si>
    <t>2025-12-31 10:57:05</t>
  </si>
  <si>
    <t>31788.38</t>
  </si>
  <si>
    <t>项目名称：赤峰市风光制氢一体化项目-赤峰翁牛特旗P1-375-风电</t>
  </si>
  <si>
    <t>5</t>
  </si>
  <si>
    <t>25312000000439514492</t>
  </si>
  <si>
    <t>2025-12-31 10:13:46</t>
  </si>
  <si>
    <t>3040301010000000000</t>
  </si>
  <si>
    <t>*设计服务*工程设计服务</t>
  </si>
  <si>
    <t>1736477.51</t>
  </si>
  <si>
    <t>6</t>
  </si>
  <si>
    <t>25312000000438914014</t>
  </si>
  <si>
    <t>91150825MACRAQ9T3F</t>
  </si>
  <si>
    <t>乌拉特后旗景怡新能源有限公司</t>
  </si>
  <si>
    <t>2025-12-30 18:02:24</t>
  </si>
  <si>
    <t>3050100000000000000</t>
  </si>
  <si>
    <t>建筑服务发票</t>
  </si>
  <si>
    <t>*建筑服务*建设工程</t>
  </si>
  <si>
    <t>871559.63</t>
  </si>
  <si>
    <t>9%</t>
  </si>
  <si>
    <t>土地增值税项目编号: 跨地（市）标志:是 项目名称：巴彦淖尔1000MW/4000MWh储能；项目地址：内蒙古自治区巴彦淖尔市乌拉特后旗呼和镇</t>
  </si>
  <si>
    <t>7</t>
  </si>
  <si>
    <t>25312000000438226197</t>
  </si>
  <si>
    <t>91130921MAE0GQN31Q</t>
  </si>
  <si>
    <t>沧县青芦新能源有限公司</t>
  </si>
  <si>
    <t>2025-12-30 14:42:52</t>
  </si>
  <si>
    <t>486092.31</t>
  </si>
  <si>
    <t>项目名称：沧县四期沧县长芦风电场</t>
  </si>
  <si>
    <t>8</t>
  </si>
  <si>
    <t>25312000000438227229</t>
  </si>
  <si>
    <t>91450109MAE6XRBF43</t>
  </si>
  <si>
    <t>南宁帆景风力发电有限公司</t>
  </si>
  <si>
    <t>2025-12-30 14:42:49</t>
  </si>
  <si>
    <t>350989.22</t>
  </si>
  <si>
    <t>项目名称：广西邕宁百济风电场</t>
  </si>
  <si>
    <t>9</t>
  </si>
  <si>
    <t>25312000000438226676</t>
  </si>
  <si>
    <t>91450109MAE6XRA13U</t>
  </si>
  <si>
    <t>南宁那远风力发电有限公司</t>
  </si>
  <si>
    <t>2025-12-30 14:42:46</t>
  </si>
  <si>
    <t>项目名称：广西邕宁那楼中山风电场</t>
  </si>
  <si>
    <t>10</t>
  </si>
  <si>
    <t>25312000000438226659</t>
  </si>
  <si>
    <t>91450109MAE6AK4W4A</t>
  </si>
  <si>
    <t>南宁景中风力发电有限公司</t>
  </si>
  <si>
    <t>2025-12-30 14:42:44</t>
  </si>
  <si>
    <t>项目名称：广西邕宁中和风电场</t>
  </si>
  <si>
    <t>11</t>
  </si>
  <si>
    <t>25312000000438227005</t>
  </si>
  <si>
    <t>91130921MACRQT7A08</t>
  </si>
  <si>
    <t>沧县景御新能源有限公司</t>
  </si>
  <si>
    <t>2025-12-30 14:42:41</t>
  </si>
  <si>
    <t>938094.72</t>
  </si>
  <si>
    <t>项目名称：河北沧县开元</t>
  </si>
  <si>
    <t>12</t>
  </si>
  <si>
    <t>25312000000438226537</t>
  </si>
  <si>
    <t>91130921MAE0GQMP54</t>
  </si>
  <si>
    <t>沧县永辰新能源有限公司</t>
  </si>
  <si>
    <t>2025-12-30 14:42:38</t>
  </si>
  <si>
    <t>348053.19</t>
  </si>
  <si>
    <t>项目名称：沧县三期沧县永乐风电场</t>
  </si>
  <si>
    <t>13</t>
  </si>
  <si>
    <t>25312000000438225975</t>
  </si>
  <si>
    <t>91371600MAE1QU568L</t>
  </si>
  <si>
    <t>滨州远拓新能源有限公司</t>
  </si>
  <si>
    <t>2025-12-30 14:42:34</t>
  </si>
  <si>
    <t>387598.25</t>
  </si>
  <si>
    <t>项目名称：滨州二期-风电</t>
  </si>
  <si>
    <t>14</t>
  </si>
  <si>
    <t>25312000000437006520</t>
  </si>
  <si>
    <t>2025-12-29 21:24:50</t>
  </si>
  <si>
    <t>88874311.93</t>
  </si>
  <si>
    <t>15</t>
  </si>
  <si>
    <t>25312000000437005956</t>
  </si>
  <si>
    <t>2025-12-29 21:24:47</t>
  </si>
  <si>
    <t>96216327.12</t>
  </si>
  <si>
    <t>16</t>
  </si>
  <si>
    <t>25312000000436817700</t>
  </si>
  <si>
    <t>91420100555019872H</t>
  </si>
  <si>
    <t>2025-12-29 18:16:25</t>
  </si>
  <si>
    <t>1090405010000000000</t>
  </si>
  <si>
    <t>*电力电容器*储能能量管理系统设备</t>
  </si>
  <si>
    <t>EMS、SCADA、工作站</t>
  </si>
  <si>
    <t>套</t>
  </si>
  <si>
    <t>0.42</t>
  </si>
  <si>
    <t>5309734.523809524</t>
  </si>
  <si>
    <t>13%</t>
  </si>
  <si>
    <t>17</t>
  </si>
  <si>
    <t>25312000000436817963</t>
  </si>
  <si>
    <t>2025-12-29 18:16:22</t>
  </si>
  <si>
    <t>*电力电容器*电气设备</t>
  </si>
  <si>
    <t>61371681.4047619</t>
  </si>
  <si>
    <t>18</t>
  </si>
  <si>
    <t>25312000000436817875</t>
  </si>
  <si>
    <t>2025-12-29 18:16:20</t>
  </si>
  <si>
    <t>*电力电容器*储能系统设备</t>
  </si>
  <si>
    <t>ENS-LC20120-5500</t>
  </si>
  <si>
    <t>0.718605</t>
  </si>
  <si>
    <t>9151457.935861843</t>
  </si>
  <si>
    <t>19</t>
  </si>
  <si>
    <t>25312000000436818805</t>
  </si>
  <si>
    <t>2025-12-29 18:16:17</t>
  </si>
  <si>
    <t>35</t>
  </si>
  <si>
    <t>9151460.35</t>
  </si>
  <si>
    <t>20</t>
  </si>
  <si>
    <t>25312000000436817582</t>
  </si>
  <si>
    <t>91120116559483517R</t>
  </si>
  <si>
    <t>2025-12-29 18:16:15</t>
  </si>
  <si>
    <t>0.58</t>
  </si>
  <si>
    <t>61371681.4137931</t>
  </si>
  <si>
    <t>21</t>
  </si>
  <si>
    <t>25312000000436817494</t>
  </si>
  <si>
    <t>2025-12-29 18:16:12</t>
  </si>
  <si>
    <t>5309734.517241379</t>
  </si>
  <si>
    <t>22</t>
  </si>
  <si>
    <t>25312000000436817094</t>
  </si>
  <si>
    <t>2025-12-29 18:16:10</t>
  </si>
  <si>
    <t>0.281395</t>
  </si>
  <si>
    <t>9151466.4795039</t>
  </si>
  <si>
    <t>23</t>
  </si>
  <si>
    <t>25312000000436817740</t>
  </si>
  <si>
    <t>2025-12-29 18:16:07</t>
  </si>
  <si>
    <t>24</t>
  </si>
  <si>
    <t>25312000000436817666</t>
  </si>
  <si>
    <t>2025-12-29 18:16:04</t>
  </si>
  <si>
    <t>30</t>
  </si>
  <si>
    <t>9249788.755</t>
  </si>
  <si>
    <t>25</t>
  </si>
  <si>
    <t>25312000000436657167</t>
  </si>
  <si>
    <t>91331127MACATG923C</t>
  </si>
  <si>
    <t>浙江景程能源科技有限公司</t>
  </si>
  <si>
    <t>2025-12-29 17:09:32</t>
  </si>
  <si>
    <t>26449.88</t>
  </si>
  <si>
    <t>26</t>
  </si>
  <si>
    <t>25312000000436656764</t>
  </si>
  <si>
    <t>2025-12-29 17:09:27</t>
  </si>
  <si>
    <t>61093.6</t>
  </si>
  <si>
    <t>27</t>
  </si>
  <si>
    <t>25312000000436271302</t>
  </si>
  <si>
    <t>2025-12-29 15:28:30</t>
  </si>
  <si>
    <t>-1</t>
  </si>
  <si>
    <t>否</t>
  </si>
  <si>
    <t>被红冲蓝字数电发票号码：25312000000431526943 红字发票信息确认单编号：31010525121005505084</t>
  </si>
  <si>
    <t>28</t>
  </si>
  <si>
    <t>25312000000436231387</t>
  </si>
  <si>
    <t>2025-12-29 15:20:08</t>
  </si>
  <si>
    <t>被红冲蓝字数电发票号码：25312000000431525630 红字发票信息确认单编号：31010525121005104292</t>
  </si>
  <si>
    <t>29</t>
  </si>
  <si>
    <t>25312000000434796859</t>
  </si>
  <si>
    <t>91150621MABR23LD07</t>
  </si>
  <si>
    <t>达拉特旗裕昭新能源有限公司</t>
  </si>
  <si>
    <t>2025-12-29 08:58:44</t>
  </si>
  <si>
    <t>30546.79</t>
  </si>
  <si>
    <t>被红冲蓝字数电发票号码：25312000000392232883 红字发票信息确认单编号：31010525121005901657</t>
  </si>
  <si>
    <t>25312000000434171405</t>
  </si>
  <si>
    <t>91152501MADWULEU58</t>
  </si>
  <si>
    <t>二连浩特市蒙新智汇景连新能源有限公司</t>
  </si>
  <si>
    <t>2025-12-28 09:33:53</t>
  </si>
  <si>
    <t>537811.44</t>
  </si>
  <si>
    <t>项目名称：锡盟防沙治沙二连浩特市20万kW</t>
  </si>
  <si>
    <t>31</t>
  </si>
  <si>
    <t>25312000000433940907</t>
  </si>
  <si>
    <t>2025-12-27 18:03:02</t>
  </si>
  <si>
    <t>472115</t>
  </si>
  <si>
    <t>土地增值税项目编号: 跨地（市）标志:是 项目名称：远景能源定远万家风电场升压站消缺工程；项目地址：安徽省滁州市定远县定城镇靠山路与连江路交叉口</t>
  </si>
  <si>
    <t>32</t>
  </si>
  <si>
    <t>25312000000432824246</t>
  </si>
  <si>
    <t>91320900MA1NWW896W</t>
  </si>
  <si>
    <t>射阳远景能源科技有限公司</t>
  </si>
  <si>
    <t>2025-12-26 16:38:40</t>
  </si>
  <si>
    <t>6522193.73</t>
  </si>
  <si>
    <t>土地增值税项目编号: 跨地（市）标志:是 项目名称：远景能源射阳样机拆除改造 EPC 总承包项目；项目地址：江苏省盐城市射阳县射阳港经济开发区</t>
  </si>
  <si>
    <t>33</t>
  </si>
  <si>
    <t>25312000000432824050</t>
  </si>
  <si>
    <t>2025-12-26 16:38:37</t>
  </si>
  <si>
    <t>508252.09</t>
  </si>
  <si>
    <t>项目名称：远景能源射阳样机拆除改造 EPC 总承包项目</t>
  </si>
  <si>
    <t>34</t>
  </si>
  <si>
    <t>25312000000432823194</t>
  </si>
  <si>
    <t>2025-12-26 16:38:34</t>
  </si>
  <si>
    <t>843564.88</t>
  </si>
  <si>
    <t>25312000000432824115</t>
  </si>
  <si>
    <t>2025-12-26 16:38:30</t>
  </si>
  <si>
    <t>10823032.56</t>
  </si>
  <si>
    <t>36</t>
  </si>
  <si>
    <t>25312000000432823755</t>
  </si>
  <si>
    <t>91150105MA0QWJGC75</t>
  </si>
  <si>
    <t>内蒙古新远景集团有限公司</t>
  </si>
  <si>
    <t>2025-12-26 16:38:27</t>
  </si>
  <si>
    <t>1732454.06</t>
  </si>
  <si>
    <t>37</t>
  </si>
  <si>
    <t>25312000000432822599</t>
  </si>
  <si>
    <t>2025-12-26 16:38:23</t>
  </si>
  <si>
    <t>461094.07</t>
  </si>
  <si>
    <t>38</t>
  </si>
  <si>
    <t>25312000000431526943</t>
  </si>
  <si>
    <t>2025-12-26 09:33:18</t>
  </si>
  <si>
    <t>已红冲-全额</t>
  </si>
  <si>
    <t>39</t>
  </si>
  <si>
    <t>25312000000431526265</t>
  </si>
  <si>
    <t>2025-12-26 09:33:15</t>
  </si>
  <si>
    <t>29801.75</t>
  </si>
  <si>
    <t>项目名称：四子王旗储能站</t>
  </si>
  <si>
    <t>40</t>
  </si>
  <si>
    <t>25312000000431527020</t>
  </si>
  <si>
    <t>2025-12-26 09:33:13</t>
  </si>
  <si>
    <t>28385.24</t>
  </si>
  <si>
    <t>项目名称：唐山乐亭项目（市场化）</t>
  </si>
  <si>
    <t>41</t>
  </si>
  <si>
    <t>25312000000431527110</t>
  </si>
  <si>
    <t>2025-12-26 09:33:11</t>
  </si>
  <si>
    <t>项目名称：唐山乐亭项目（保障性）</t>
  </si>
  <si>
    <t>42</t>
  </si>
  <si>
    <t>25312000000431526162</t>
  </si>
  <si>
    <t>91152921MADY90FQ94</t>
  </si>
  <si>
    <t>阿拉善左旗景敖能源有限公司</t>
  </si>
  <si>
    <t>2025-12-26 09:33:08</t>
  </si>
  <si>
    <t>项目名称：阿拉善1000MW/4000MWh储能</t>
  </si>
  <si>
    <t>43</t>
  </si>
  <si>
    <t>25312000000431526620</t>
  </si>
  <si>
    <t>91152524MADRY47Y4N</t>
  </si>
  <si>
    <t>苏尼特右旗远吉新能源有限公司</t>
  </si>
  <si>
    <t>2025-12-26 09:33:06</t>
  </si>
  <si>
    <t>项目名称：锡盟苏右100万千瓦/400万千瓦时储能</t>
  </si>
  <si>
    <t>44</t>
  </si>
  <si>
    <t>25312000000431526713</t>
  </si>
  <si>
    <t>2025-12-26 09:33:03</t>
  </si>
  <si>
    <t>项目名称：巴彦淖尔1000MW/4000MWh储能</t>
  </si>
  <si>
    <t>45</t>
  </si>
  <si>
    <t>25312000000431525676</t>
  </si>
  <si>
    <t>91150125MABY5CGU5K</t>
  </si>
  <si>
    <t>武川旭纯储能科技有限公司</t>
  </si>
  <si>
    <t>2025-12-26 09:33:01</t>
  </si>
  <si>
    <t>项目名称：呼市武川100万千瓦/400万千瓦时储能</t>
  </si>
  <si>
    <t>46</t>
  </si>
  <si>
    <t>25312000000431525662</t>
  </si>
  <si>
    <t>2025-12-26 09:32:58</t>
  </si>
  <si>
    <t>48874.88</t>
  </si>
  <si>
    <t>47</t>
  </si>
  <si>
    <t>25312000000431524599</t>
  </si>
  <si>
    <t>2025-12-26 09:32:56</t>
  </si>
  <si>
    <t>48</t>
  </si>
  <si>
    <t>25312000000431526006</t>
  </si>
  <si>
    <t>2025-12-26 09:32:53</t>
  </si>
  <si>
    <t>49</t>
  </si>
  <si>
    <t>25312000000431525817</t>
  </si>
  <si>
    <t>2025-12-26 09:32:51</t>
  </si>
  <si>
    <t>50</t>
  </si>
  <si>
    <t>25312000000431525630</t>
  </si>
  <si>
    <t>2025-12-26 09:32:48</t>
  </si>
  <si>
    <t>51</t>
  </si>
  <si>
    <t>25312000000431524399</t>
  </si>
  <si>
    <t>91152529MADWRLQP4W</t>
  </si>
  <si>
    <t>正镶白旗蒙新智汇景鸿新能源有限公司</t>
  </si>
  <si>
    <t>2025-12-26 09:32:45</t>
  </si>
  <si>
    <t>项目名称：锡盟防沙治沙正镶白旗10万kW光伏</t>
  </si>
  <si>
    <t>52</t>
  </si>
  <si>
    <t>25312000000431524845</t>
  </si>
  <si>
    <t>2025-12-26 09:32:43</t>
  </si>
  <si>
    <t>项目名称：锡盟防沙治沙正镶白旗10万kW风电</t>
  </si>
  <si>
    <t>53</t>
  </si>
  <si>
    <t>25312000000431525427</t>
  </si>
  <si>
    <t>91220822MADMP2JH2N</t>
  </si>
  <si>
    <t>通榆景通新能源有限公司</t>
  </si>
  <si>
    <t>2025-12-26 09:32:40</t>
  </si>
  <si>
    <t>34643.72</t>
  </si>
  <si>
    <t>项目名称：白城洮北</t>
  </si>
  <si>
    <t>54</t>
  </si>
  <si>
    <t>25312000000431524740</t>
  </si>
  <si>
    <t>2025-12-26 09:32:38</t>
  </si>
  <si>
    <t>项目名称：阿拉善左旗</t>
  </si>
  <si>
    <t>55</t>
  </si>
  <si>
    <t>25312000000431524365</t>
  </si>
  <si>
    <t>2025-12-26 09:32:36</t>
  </si>
  <si>
    <t>56</t>
  </si>
  <si>
    <t>25312000000431524533</t>
  </si>
  <si>
    <t>2025-12-26 09:32:33</t>
  </si>
  <si>
    <t>项目名称：民勤三期</t>
  </si>
  <si>
    <t>57</t>
  </si>
  <si>
    <t>25312000000431524804</t>
  </si>
  <si>
    <t>91340322MA8P9Y1B29</t>
  </si>
  <si>
    <t>五河新茂风力发电有限公司</t>
  </si>
  <si>
    <t>2025-12-26 09:32:31</t>
  </si>
  <si>
    <t>项目名称：蚌埠五河</t>
  </si>
  <si>
    <t>58</t>
  </si>
  <si>
    <t>25312000000431523494</t>
  </si>
  <si>
    <t>2025-12-26 09:32:28</t>
  </si>
  <si>
    <t>48875.09</t>
  </si>
  <si>
    <t>项目名称：陕西佳县</t>
  </si>
  <si>
    <t>59</t>
  </si>
  <si>
    <t>25312000000431524422</t>
  </si>
  <si>
    <t>2025-12-26 09:32:26</t>
  </si>
  <si>
    <t>60</t>
  </si>
  <si>
    <t>25312000000431523679</t>
  </si>
  <si>
    <t>91450881MACYBLYU99</t>
  </si>
  <si>
    <t>桂平浔景风力发电有限公司</t>
  </si>
  <si>
    <t>2025-12-26 09:32:23</t>
  </si>
  <si>
    <t>项目名称：贵港桂平一期</t>
  </si>
  <si>
    <t>61</t>
  </si>
  <si>
    <t>25312000000431524260</t>
  </si>
  <si>
    <t>2025-12-26 09:32:21</t>
  </si>
  <si>
    <t>67202.96</t>
  </si>
  <si>
    <t>62</t>
  </si>
  <si>
    <t>25312000000431523189</t>
  </si>
  <si>
    <t>2025-12-26 09:32:18</t>
  </si>
  <si>
    <t>38108.09</t>
  </si>
  <si>
    <t>63</t>
  </si>
  <si>
    <t>25312000000420559716</t>
  </si>
  <si>
    <t>2025-12-19 10:49:48</t>
  </si>
  <si>
    <t>55432.92</t>
  </si>
  <si>
    <t>项目名称：钦州三期</t>
  </si>
  <si>
    <t>64</t>
  </si>
  <si>
    <t>25312000000420558773</t>
  </si>
  <si>
    <t>2025-12-19 10:49:45</t>
  </si>
  <si>
    <t>161529.51</t>
  </si>
  <si>
    <t>65</t>
  </si>
  <si>
    <t>25312000000420558093</t>
  </si>
  <si>
    <t>2025-12-19 10:49:42</t>
  </si>
  <si>
    <t>154818.66</t>
  </si>
  <si>
    <t>66</t>
  </si>
  <si>
    <t>25312000000420558382</t>
  </si>
  <si>
    <t>2025-12-19 10:49:38</t>
  </si>
  <si>
    <t>425621.75</t>
  </si>
  <si>
    <t>67</t>
  </si>
  <si>
    <t>25312000000420559216</t>
  </si>
  <si>
    <t>2025-12-19 10:49:35</t>
  </si>
  <si>
    <t>418867.92</t>
  </si>
  <si>
    <t>68</t>
  </si>
  <si>
    <t>25312000000420558740</t>
  </si>
  <si>
    <t>2025-12-19 10:49:32</t>
  </si>
  <si>
    <t>95587</t>
  </si>
  <si>
    <t>项目名称：灵山玖伯一期</t>
  </si>
  <si>
    <t>69</t>
  </si>
  <si>
    <t>25312000000420554954</t>
  </si>
  <si>
    <t>2025-12-19 10:48:23</t>
  </si>
  <si>
    <t>116668.76</t>
  </si>
  <si>
    <t>项目名称：灵山文利</t>
  </si>
  <si>
    <t>70</t>
  </si>
  <si>
    <t>25312000000420554858</t>
  </si>
  <si>
    <t>2025-12-19 10:48:20</t>
  </si>
  <si>
    <t>61695.18</t>
  </si>
  <si>
    <t>71</t>
  </si>
  <si>
    <t>25312000000420554844</t>
  </si>
  <si>
    <t>2025-12-19 10:48:17</t>
  </si>
  <si>
    <t>31994.75</t>
  </si>
  <si>
    <t>项目名称：灵山玖伯二期</t>
  </si>
  <si>
    <t>72</t>
  </si>
  <si>
    <t>25312000000420555307</t>
  </si>
  <si>
    <t>2025-12-19 10:48:14</t>
  </si>
  <si>
    <t>106708.58</t>
  </si>
  <si>
    <t>73</t>
  </si>
  <si>
    <t>25312000000420554744</t>
  </si>
  <si>
    <t>2025-12-19 10:48:12</t>
  </si>
  <si>
    <t>68805.03</t>
  </si>
  <si>
    <t>74</t>
  </si>
  <si>
    <t>25312000000420554734</t>
  </si>
  <si>
    <t>2025-12-19 10:48:09</t>
  </si>
  <si>
    <t>180036.16</t>
  </si>
  <si>
    <t>75</t>
  </si>
  <si>
    <t>25312000000420554621</t>
  </si>
  <si>
    <t>2025-12-19 10:48:06</t>
  </si>
  <si>
    <t>103773.58</t>
  </si>
  <si>
    <t>76</t>
  </si>
  <si>
    <t>25312000000420553497</t>
  </si>
  <si>
    <t>2025-12-19 10:48:04</t>
  </si>
  <si>
    <t>44687.19</t>
  </si>
  <si>
    <t>77</t>
  </si>
  <si>
    <t>25312000000420553854</t>
  </si>
  <si>
    <t>2025-12-19 10:48:00</t>
  </si>
  <si>
    <t>46121.59</t>
  </si>
  <si>
    <t>78</t>
  </si>
  <si>
    <t>25312000000420554504</t>
  </si>
  <si>
    <t>2025-12-19 10:47:58</t>
  </si>
  <si>
    <t>59748.43</t>
  </si>
  <si>
    <t>79</t>
  </si>
  <si>
    <t>25312000000420553282</t>
  </si>
  <si>
    <t>2025-12-19 10:47:55</t>
  </si>
  <si>
    <t>172955.97</t>
  </si>
  <si>
    <t>80</t>
  </si>
  <si>
    <t>25312000000420553624</t>
  </si>
  <si>
    <t>2025-12-19 10:47:52</t>
  </si>
  <si>
    <t>136268.34</t>
  </si>
  <si>
    <t>项目名称：河南濮阳昆吾-风电</t>
  </si>
  <si>
    <t>81</t>
  </si>
  <si>
    <t>25312000000420553908</t>
  </si>
  <si>
    <t>2025-12-19 10:47:49</t>
  </si>
  <si>
    <t>72127.88</t>
  </si>
  <si>
    <t>82</t>
  </si>
  <si>
    <t>25312000000420552871</t>
  </si>
  <si>
    <t>2025-12-19 10:47:47</t>
  </si>
  <si>
    <t>324318.66</t>
  </si>
  <si>
    <t>83</t>
  </si>
  <si>
    <t>25312000000420478849</t>
  </si>
  <si>
    <t>2025-12-19 10:24:47</t>
  </si>
  <si>
    <t>298056.78</t>
  </si>
  <si>
    <t>项目名称：锡盟京能储能项目</t>
  </si>
  <si>
    <t>84</t>
  </si>
  <si>
    <t>25312000000410149209</t>
  </si>
  <si>
    <t>91130984MA07RRWAX9</t>
  </si>
  <si>
    <t>河间市绿洁再生资源回收有限公司</t>
  </si>
  <si>
    <t>2025-12-12 10:04:28</t>
  </si>
  <si>
    <t>1090402040000000000</t>
  </si>
  <si>
    <t>*发电机组*废旧铝电缆</t>
  </si>
  <si>
    <t>批</t>
  </si>
  <si>
    <t>137146.46017699115</t>
  </si>
  <si>
    <t>85</t>
  </si>
  <si>
    <t>25312000000410149035</t>
  </si>
  <si>
    <t>*发电机组*废旧钢材</t>
  </si>
  <si>
    <t>224623.9646017699</t>
  </si>
  <si>
    <t>86</t>
  </si>
  <si>
    <t>25312000000408401421</t>
  </si>
  <si>
    <t>91450702MACYU96C4U</t>
  </si>
  <si>
    <t>钦州远沙风力发电有限公司</t>
  </si>
  <si>
    <t>2025-12-11 10:06:09</t>
  </si>
  <si>
    <t>3040101000000000000</t>
  </si>
  <si>
    <t>*研发和技术服务*运维服务</t>
  </si>
  <si>
    <t>NA</t>
  </si>
  <si>
    <t>185322.745283019</t>
  </si>
  <si>
    <t>87</t>
  </si>
  <si>
    <t>25312000000408389806</t>
  </si>
  <si>
    <t>91620100MA721BGQ1T</t>
  </si>
  <si>
    <t>2025-12-11 10:02:24</t>
  </si>
  <si>
    <t>*发电机组*逆变升压一体机</t>
  </si>
  <si>
    <t>台</t>
  </si>
  <si>
    <t>86725.66371681416</t>
  </si>
  <si>
    <t>项目名称：内蒙伊旗风光储</t>
  </si>
  <si>
    <t>88</t>
  </si>
  <si>
    <t>25312000000408389235</t>
  </si>
  <si>
    <t>*发电机组*18路-25A-320A汇流箱</t>
  </si>
  <si>
    <t>161</t>
  </si>
  <si>
    <t>1106.1946902654868</t>
  </si>
  <si>
    <t>89</t>
  </si>
  <si>
    <t>25312000000408388747</t>
  </si>
  <si>
    <t>*发电机组*35kV/5500kVA箱变</t>
  </si>
  <si>
    <t>120132.74336283185</t>
  </si>
  <si>
    <t>90</t>
  </si>
  <si>
    <t>25312000000408388746</t>
  </si>
  <si>
    <t>*发电机组*环网交换机</t>
  </si>
  <si>
    <t>1504.4247787610618</t>
  </si>
  <si>
    <t>91</t>
  </si>
  <si>
    <t>25312000000408388599</t>
  </si>
  <si>
    <t>*发电机组*纵向加密装置</t>
  </si>
  <si>
    <t>6946.902654867256</t>
  </si>
  <si>
    <t>92</t>
  </si>
  <si>
    <t>25312000000408001186</t>
  </si>
  <si>
    <t>2025-12-10 18:55:38</t>
  </si>
  <si>
    <t>1085643.52</t>
  </si>
  <si>
    <t>土地增值税项目编号: 跨地（市）标志:是 项目名称：远景鄂尔多斯零碳产业园样机项目 EPC 总承包项目；项目地址：鄂尔多斯伊金霍洛旗红庆河镇</t>
  </si>
  <si>
    <t>93</t>
  </si>
  <si>
    <t>25312000000408001926</t>
  </si>
  <si>
    <t>2025-12-10 18:55:36</t>
  </si>
  <si>
    <t>2688539.22</t>
  </si>
  <si>
    <t>项目名称：远景鄂尔多斯零碳产业园样机项目 EPC 总承包项目</t>
  </si>
  <si>
    <t>94</t>
  </si>
  <si>
    <t>25312000000408001357</t>
  </si>
  <si>
    <t>2025-12-10 18:55:33</t>
  </si>
  <si>
    <t>4783256.88</t>
  </si>
  <si>
    <t>95</t>
  </si>
  <si>
    <t>25312000000408002216</t>
  </si>
  <si>
    <t>2025-12-10 18:55:31</t>
  </si>
  <si>
    <t>*发电机组*塔筒及附属设备</t>
  </si>
  <si>
    <t>TD02样机塔筒</t>
  </si>
  <si>
    <t>3421711.52</t>
  </si>
  <si>
    <t>96</t>
  </si>
  <si>
    <t>25312000000408001816</t>
  </si>
  <si>
    <t>2025-12-10 18:55:29</t>
  </si>
  <si>
    <t>5377078.42</t>
  </si>
  <si>
    <t>97</t>
  </si>
  <si>
    <t>25312000000408001543</t>
  </si>
  <si>
    <t>2025-12-10 18:55:26</t>
  </si>
  <si>
    <t>2171287.04</t>
  </si>
  <si>
    <t>98</t>
  </si>
  <si>
    <t>25312000000408001622</t>
  </si>
  <si>
    <t>2025-12-10 18:55:20</t>
  </si>
  <si>
    <t>3542568.8</t>
  </si>
  <si>
    <t>99</t>
  </si>
  <si>
    <t>25312000000408001531</t>
  </si>
  <si>
    <t>2025-12-10 18:55:17</t>
  </si>
  <si>
    <t>TC/TD样机塔筒</t>
  </si>
  <si>
    <t>4762340.615</t>
  </si>
  <si>
    <t>100</t>
  </si>
  <si>
    <t>25312000000408000429</t>
  </si>
  <si>
    <t>2025-12-10 18:54:04</t>
  </si>
  <si>
    <t>47158.02</t>
  </si>
  <si>
    <t>101</t>
  </si>
  <si>
    <t>25312000000408000714</t>
  </si>
  <si>
    <t>2025-12-10 18:54:02</t>
  </si>
  <si>
    <t>2613532.11</t>
  </si>
  <si>
    <t>102</t>
  </si>
  <si>
    <t>25312000000407999682</t>
  </si>
  <si>
    <t>2025-12-10 18:53:59</t>
  </si>
  <si>
    <t>478401.17</t>
  </si>
  <si>
    <t>103</t>
  </si>
  <si>
    <t>25312000000404302822</t>
  </si>
  <si>
    <t>911306320565406478</t>
  </si>
  <si>
    <t>2025-12-08 16:57:13</t>
  </si>
  <si>
    <t>1090402010000000000</t>
  </si>
  <si>
    <t>*发电机组*箱变</t>
  </si>
  <si>
    <t>YB-37/0.95-5500</t>
  </si>
  <si>
    <t>81415.9292035398</t>
  </si>
  <si>
    <t>104</t>
  </si>
  <si>
    <t>25312000000399695736</t>
  </si>
  <si>
    <t>91532325571899646J</t>
  </si>
  <si>
    <t>三峡新能源云南姚安发电有限公司</t>
  </si>
  <si>
    <t>2025-12-04 17:37:49</t>
  </si>
  <si>
    <t>3049900000000000000</t>
  </si>
  <si>
    <t>*现代服务*质安环管理费</t>
  </si>
  <si>
    <t>/</t>
  </si>
  <si>
    <t>18239</t>
  </si>
  <si>
    <t>小箐山风电场
年度质安环管理费</t>
  </si>
  <si>
    <t>105</t>
  </si>
  <si>
    <t>25312000000399689165</t>
  </si>
  <si>
    <t>2025-12-04 17:34:09</t>
  </si>
  <si>
    <t>2025.3.21-2025.6.20</t>
  </si>
  <si>
    <t>203389.858490566</t>
  </si>
  <si>
    <t>小箐山风电场
服务期：2025.3.21-2025.6.20</t>
  </si>
  <si>
    <t>按税率（征收率）统计表</t>
  </si>
  <si>
    <t>纳税人识别号：</t>
  </si>
  <si>
    <t>纳税人名称：</t>
  </si>
  <si>
    <t>查询月份：</t>
  </si>
  <si>
    <t>2025年12月-2025年12月</t>
  </si>
  <si>
    <t>发票种类</t>
  </si>
  <si>
    <t>税率/征收率</t>
  </si>
  <si>
    <t>开具蓝字发票金额</t>
  </si>
  <si>
    <t>开具蓝字发票税额</t>
  </si>
  <si>
    <t>作废蓝字发票金额</t>
  </si>
  <si>
    <t>作废蓝字发票税额</t>
  </si>
  <si>
    <t>开具红字发票金额</t>
  </si>
  <si>
    <t>开具红字发票税额</t>
  </si>
  <si>
    <t>作废红字发票金额</t>
  </si>
  <si>
    <t>作废红字发票税额</t>
  </si>
  <si>
    <t>实际开具发票金额</t>
  </si>
  <si>
    <t>实际开具发票税额</t>
  </si>
  <si>
    <t>统计日期</t>
  </si>
  <si>
    <t>电子发票（增值税专用发票）</t>
  </si>
  <si>
    <t>0.06</t>
  </si>
  <si>
    <t>20383591.90</t>
  </si>
  <si>
    <t>1223015.54</t>
  </si>
  <si>
    <t>0.00</t>
  </si>
  <si>
    <t>-118090.27</t>
  </si>
  <si>
    <t>-7085.42</t>
  </si>
  <si>
    <t>2025-12-31 23:03:39</t>
  </si>
  <si>
    <t>0.13</t>
  </si>
  <si>
    <t>854194844.02</t>
  </si>
  <si>
    <t>111045329.72</t>
  </si>
  <si>
    <t>2025-12-29 22:55:00</t>
  </si>
  <si>
    <t>0.09</t>
  </si>
  <si>
    <t>220186683.55</t>
  </si>
  <si>
    <t>19816801.55</t>
  </si>
  <si>
    <t>2025-12-30 22:59:06</t>
  </si>
  <si>
    <t>1094765119.47</t>
  </si>
  <si>
    <t>132085146.81</t>
  </si>
  <si>
    <t>发票清单</t>
  </si>
  <si>
    <t>纳税人识别号</t>
  </si>
  <si>
    <t>税款所属期</t>
  </si>
  <si>
    <t>202512</t>
  </si>
  <si>
    <t>纳税人名称</t>
  </si>
  <si>
    <t>勾选状态</t>
  </si>
  <si>
    <t>转内销证明编号</t>
  </si>
  <si>
    <t>销售方纳税人识别号</t>
  </si>
  <si>
    <t>销售方纳税人名称</t>
  </si>
  <si>
    <t>有效抵扣税额</t>
  </si>
  <si>
    <t>票种</t>
  </si>
  <si>
    <t>票种标签</t>
  </si>
  <si>
    <t>勾选时间</t>
  </si>
  <si>
    <t>风险状态</t>
  </si>
  <si>
    <t>已勾选</t>
  </si>
  <si>
    <t>25612000000149172376</t>
  </si>
  <si>
    <t>2025-12-15 22:11:02</t>
  </si>
  <si>
    <t>92610825MA708C5C6U</t>
  </si>
  <si>
    <t>定边县田丰园大酒店</t>
  </si>
  <si>
    <t>增值税专用发票</t>
  </si>
  <si>
    <t>2026-01-12 14:39:13</t>
  </si>
  <si>
    <t>无风险</t>
  </si>
  <si>
    <t>2025-12-01 12:22:48</t>
  </si>
  <si>
    <t>91652201MA77GQE54W</t>
  </si>
  <si>
    <t>新疆硕诚建筑安装工程有限公司</t>
  </si>
  <si>
    <t>2025-11-24 17:31:02</t>
  </si>
  <si>
    <t>2025-12-12 09:40:35</t>
  </si>
  <si>
    <t>91650100MA775KHA8R</t>
  </si>
  <si>
    <t>新疆新风新能环保科技有限公司</t>
  </si>
  <si>
    <t>25642000000028865723</t>
  </si>
  <si>
    <t>2025-12-12 09:35:08</t>
  </si>
  <si>
    <t>91640100MA76M5LM2K</t>
  </si>
  <si>
    <t>宁夏宝鼎泰富建筑工程有限公司</t>
  </si>
  <si>
    <t>25642000000030350800</t>
  </si>
  <si>
    <t>2025-12-26 18:24:59</t>
  </si>
  <si>
    <t>91640100MA76JC3948</t>
  </si>
  <si>
    <t>宁夏振邦丰泰新能源科技有限公司</t>
  </si>
  <si>
    <t>25642000000028944512</t>
  </si>
  <si>
    <t>2025-12-12 17:08:09</t>
  </si>
  <si>
    <t>25622000000062246167</t>
  </si>
  <si>
    <t>2025-12-09 16:20:37</t>
  </si>
  <si>
    <t>91620103MA74J7DD52</t>
  </si>
  <si>
    <t>兰州衡宙电力检测有限公司</t>
  </si>
  <si>
    <t>25622000000062206523</t>
  </si>
  <si>
    <t>2025-12-09 16:19:03</t>
  </si>
  <si>
    <t>2025-09-19 11:03:07</t>
  </si>
  <si>
    <t>91620102MABQQ7XE6D</t>
  </si>
  <si>
    <t>甘肃玖赫建筑科技有限公司</t>
  </si>
  <si>
    <t>25612000000147662658</t>
  </si>
  <si>
    <t>2025-12-12 11:18:47</t>
  </si>
  <si>
    <t>91610821583514205Y</t>
  </si>
  <si>
    <t>陕西汇生园林绿化有限责任公司</t>
  </si>
  <si>
    <t>25612000000147662275</t>
  </si>
  <si>
    <t>2025-12-12 11:13:18</t>
  </si>
  <si>
    <t>2025-08-29 16:00:48</t>
  </si>
  <si>
    <t>91610600MAB38GG41H</t>
  </si>
  <si>
    <t>陕西天辰丰和建设工程有限公司</t>
  </si>
  <si>
    <t>25612000000150086263</t>
  </si>
  <si>
    <t>2025-12-17 11:03:57</t>
  </si>
  <si>
    <t>91610132623913535Y</t>
  </si>
  <si>
    <t>西安宝光智能电气有限公司</t>
  </si>
  <si>
    <t>25612000000154809647</t>
  </si>
  <si>
    <t>2025-12-25 14:33:16</t>
  </si>
  <si>
    <t>91610131552334914X</t>
  </si>
  <si>
    <t>特变电工西安电气科技有限公司</t>
  </si>
  <si>
    <t>25612000000153831203</t>
  </si>
  <si>
    <t>2025-12-23 18:14:56</t>
  </si>
  <si>
    <t>25612000000154975052</t>
  </si>
  <si>
    <t>2025-12-25 15:22:25</t>
  </si>
  <si>
    <t>91610113311069996Q</t>
  </si>
  <si>
    <t>陕西江腾建筑工程有限公司</t>
  </si>
  <si>
    <t>2025-12-10 19:55:51</t>
  </si>
  <si>
    <t>91530112MA6MY8UE0B</t>
  </si>
  <si>
    <t>云南众协运维风电电力科技有限公司</t>
  </si>
  <si>
    <t>25532000000166077057</t>
  </si>
  <si>
    <t>2025-11-12 16:38:58</t>
  </si>
  <si>
    <t>25532000000124949384</t>
  </si>
  <si>
    <t>2025-09-06 16:10:47</t>
  </si>
  <si>
    <t>25512000000313306187</t>
  </si>
  <si>
    <t>2025-12-22 09:58:35</t>
  </si>
  <si>
    <t>91511621209753097X</t>
  </si>
  <si>
    <t>四川省岳池送变电工程公司</t>
  </si>
  <si>
    <t>25512000000313302491</t>
  </si>
  <si>
    <t>2025-12-22 09:57:15</t>
  </si>
  <si>
    <t>25512000000313300640</t>
  </si>
  <si>
    <t>2025-12-22 09:56:25</t>
  </si>
  <si>
    <t>25512000000313297706</t>
  </si>
  <si>
    <t>2025-12-22 09:55:11</t>
  </si>
  <si>
    <t>25512000000302458591</t>
  </si>
  <si>
    <t>2025-12-10 17:13:13</t>
  </si>
  <si>
    <t>25512000000302458113</t>
  </si>
  <si>
    <t>2025-12-10 17:12:24</t>
  </si>
  <si>
    <t>25512000000302455364</t>
  </si>
  <si>
    <t>2025-12-10 17:11:19</t>
  </si>
  <si>
    <t>25512000000301048235</t>
  </si>
  <si>
    <t>2025-12-09 15:41:35</t>
  </si>
  <si>
    <t>25512000000301040346</t>
  </si>
  <si>
    <t>2025-12-09 15:38:21</t>
  </si>
  <si>
    <t>25512000000301034882</t>
  </si>
  <si>
    <t>2025-12-09 15:36:19</t>
  </si>
  <si>
    <t>25512000000299304760</t>
  </si>
  <si>
    <t>2025-12-08 11:19:45</t>
  </si>
  <si>
    <t>25512000000299300569</t>
  </si>
  <si>
    <t>2025-12-08 11:18:00</t>
  </si>
  <si>
    <t>25512000000296268337</t>
  </si>
  <si>
    <t>2025-12-05 09:57:44</t>
  </si>
  <si>
    <t>25512000000295539453</t>
  </si>
  <si>
    <t>2025-12-04 15:36:10</t>
  </si>
  <si>
    <t>25512000000295533177</t>
  </si>
  <si>
    <t>2025-12-04 15:33:42</t>
  </si>
  <si>
    <t>2025-11-27 16:03:08</t>
  </si>
  <si>
    <t>915116212097524654</t>
  </si>
  <si>
    <t>四川省岳池县石垭建安总公司</t>
  </si>
  <si>
    <t>2025-11-27 15:58:42</t>
  </si>
  <si>
    <t>2025-12-26 10:59:21</t>
  </si>
  <si>
    <t>2026-01-12 14:39:12</t>
  </si>
  <si>
    <t>25517000000243591428</t>
  </si>
  <si>
    <t>2025-12-30 11:54:11</t>
  </si>
  <si>
    <t>915101002019764990</t>
  </si>
  <si>
    <t>信息产业电子第十一设计研究院科技工程股份有限公司</t>
  </si>
  <si>
    <t>25452000000141657039</t>
  </si>
  <si>
    <t>2025-12-15 09:36:51</t>
  </si>
  <si>
    <t>91450325MAE05EQA5H</t>
  </si>
  <si>
    <t>泓天建设有限公司广西分公司</t>
  </si>
  <si>
    <t>2025-12-11 10:51:56</t>
  </si>
  <si>
    <t>91450102557215658L</t>
  </si>
  <si>
    <t>广西蓝星环保咨询有限公司</t>
  </si>
  <si>
    <t>25452000000142042102</t>
  </si>
  <si>
    <t>2025-12-15 17:15:16</t>
  </si>
  <si>
    <t>91450100MA5LBXAX97</t>
  </si>
  <si>
    <t>广西金信安建设工程有限公司</t>
  </si>
  <si>
    <t>25452000000141637125</t>
  </si>
  <si>
    <t>2025-12-15 09:34:44</t>
  </si>
  <si>
    <t>2025-12-05 10:02:49</t>
  </si>
  <si>
    <t>914501005819776600</t>
  </si>
  <si>
    <t>广西恒博工程咨询有限公司</t>
  </si>
  <si>
    <t>25452000000137831552</t>
  </si>
  <si>
    <t>2025-12-05 09:58:52</t>
  </si>
  <si>
    <t>25452000000113288952</t>
  </si>
  <si>
    <t>2025-10-14 17:17:39</t>
  </si>
  <si>
    <t>25452000000099620687</t>
  </si>
  <si>
    <t>2025-09-09 15:10:28</t>
  </si>
  <si>
    <t>25452000000099611103</t>
  </si>
  <si>
    <t>2025-09-09 15:12:44</t>
  </si>
  <si>
    <t>25452000000131696456</t>
  </si>
  <si>
    <t>2025-11-24 15:38:53</t>
  </si>
  <si>
    <t>91450100052708123U</t>
  </si>
  <si>
    <t>广西景鹏科技有限公司</t>
  </si>
  <si>
    <t>25442000000798368624</t>
  </si>
  <si>
    <t>2025-12-16 14:31:35</t>
  </si>
  <si>
    <t>91440605338044916J</t>
  </si>
  <si>
    <t>广东启功实业集团有限公司</t>
  </si>
  <si>
    <t>25952000000271350165</t>
  </si>
  <si>
    <t>2025-12-16 14:28:31</t>
  </si>
  <si>
    <t>91440300708421097F</t>
  </si>
  <si>
    <t>深圳市沃尔核材股份有限公司</t>
  </si>
  <si>
    <t>25952000000263457308</t>
  </si>
  <si>
    <t>2025-12-08 12:10:53</t>
  </si>
  <si>
    <t>914403000743946129</t>
  </si>
  <si>
    <t>深圳来源电子有限公司</t>
  </si>
  <si>
    <t>25952000000259945096</t>
  </si>
  <si>
    <t>2025-12-03 17:29:00</t>
  </si>
  <si>
    <t>25952000000257280408</t>
  </si>
  <si>
    <t>2025-12-01 11:32:06</t>
  </si>
  <si>
    <t>25952000000247943675</t>
  </si>
  <si>
    <t>2025-11-21 15:31:02</t>
  </si>
  <si>
    <t>25422000000237007181</t>
  </si>
  <si>
    <t>2025-12-16 18:31:35</t>
  </si>
  <si>
    <t>91420600MA48BP9M70</t>
  </si>
  <si>
    <t>湖北楚风建设工程有限公司</t>
  </si>
  <si>
    <t>25422000000236502747</t>
  </si>
  <si>
    <t>2025-12-16 12:36:12</t>
  </si>
  <si>
    <t>25422000000236484489</t>
  </si>
  <si>
    <t>2025-12-16 12:33:14</t>
  </si>
  <si>
    <t>25422000000236477168</t>
  </si>
  <si>
    <t>2025-12-16 12:34:39</t>
  </si>
  <si>
    <t>2025-12-17 14:47:16</t>
  </si>
  <si>
    <t>91420112MA49G6MR79</t>
  </si>
  <si>
    <t>湖北世翔建设科技有限公司</t>
  </si>
  <si>
    <t>25422000000226128141</t>
  </si>
  <si>
    <t>2025-12-03 10:29:20</t>
  </si>
  <si>
    <t>25422000000226099624</t>
  </si>
  <si>
    <t>2025-12-03 10:33:05</t>
  </si>
  <si>
    <t>2025-11-27 15:38:02</t>
  </si>
  <si>
    <t>25412000000288041746</t>
  </si>
  <si>
    <t>2025-12-25 14:54:31</t>
  </si>
  <si>
    <t>91410927MACBANUA9T</t>
  </si>
  <si>
    <t>四川省智钧隆电力工程有限公司台前分公司</t>
  </si>
  <si>
    <t>25412000000277208985</t>
  </si>
  <si>
    <t>2025-12-13 17:35:01</t>
  </si>
  <si>
    <t>91410902MACQAU0GX4</t>
  </si>
  <si>
    <t>河南海星酒店管理有限公司</t>
  </si>
  <si>
    <t>2025-12-11 09:13:17</t>
  </si>
  <si>
    <t>91410802317371731B</t>
  </si>
  <si>
    <t>河南科达房地产评估测绘有限公司</t>
  </si>
  <si>
    <t>25412000000282256561</t>
  </si>
  <si>
    <t>2025-12-19 10:49:26</t>
  </si>
  <si>
    <t>914107280559978567</t>
  </si>
  <si>
    <t>弘毅建设集团有限公司</t>
  </si>
  <si>
    <t>25412000000282227082</t>
  </si>
  <si>
    <t>2025-12-19 10:48:26</t>
  </si>
  <si>
    <t>25412000000276699149</t>
  </si>
  <si>
    <t>2025-12-12 17:18:29</t>
  </si>
  <si>
    <t>25412000000270091626</t>
  </si>
  <si>
    <t>2025-12-05 10:56:24</t>
  </si>
  <si>
    <t>25412000000269999897</t>
  </si>
  <si>
    <t>2025-12-05 10:55:41</t>
  </si>
  <si>
    <t>2025-12-20 18:34:36</t>
  </si>
  <si>
    <t>91410225MAD949216X</t>
  </si>
  <si>
    <t>河南弥攘建筑工程有限公司</t>
  </si>
  <si>
    <t>2025-12-01 15:44:48</t>
  </si>
  <si>
    <t>2025-12-01 15:51:45</t>
  </si>
  <si>
    <t>2025-12-01 15:57:03</t>
  </si>
  <si>
    <t>2025-12-18 13:56:21</t>
  </si>
  <si>
    <t>91410225MA9GTMBQ9C</t>
  </si>
  <si>
    <t>河南平洲建设工程有限公司</t>
  </si>
  <si>
    <t>25412000000279617134</t>
  </si>
  <si>
    <t>2025-12-16 16:26:15</t>
  </si>
  <si>
    <t>91410105767831125H</t>
  </si>
  <si>
    <t>河南同力电力设计有限公司</t>
  </si>
  <si>
    <t>25412000000279549182</t>
  </si>
  <si>
    <t>2025-12-16 16:13:34</t>
  </si>
  <si>
    <t>2025-12-19 14:41:59</t>
  </si>
  <si>
    <t>91410100MA40HE4190</t>
  </si>
  <si>
    <t>河南方大土地规划设计有限公司</t>
  </si>
  <si>
    <t>2025-12-04 14:34:42</t>
  </si>
  <si>
    <t>91370900MACGAQPAXB</t>
  </si>
  <si>
    <t>泰安市岱岳劳务有限公司</t>
  </si>
  <si>
    <t>2025-12-04 14:32:31</t>
  </si>
  <si>
    <t>25372000000324646760</t>
  </si>
  <si>
    <t>2025-11-21 16:03:25</t>
  </si>
  <si>
    <t>91370782MACFF2AX38</t>
  </si>
  <si>
    <t>诸城市瑞隆装饰工程有限公司</t>
  </si>
  <si>
    <t>25377000000393144125</t>
  </si>
  <si>
    <t>2025-12-19 15:22:04</t>
  </si>
  <si>
    <t>91370782MA3M7RHH1D</t>
  </si>
  <si>
    <t>山东五洲电气有限公司诸城科信分公司</t>
  </si>
  <si>
    <t>25372000000361140039</t>
  </si>
  <si>
    <t>2025-12-22 15:51:49</t>
  </si>
  <si>
    <t>913707821697280564</t>
  </si>
  <si>
    <t>诸城市宝泉工贸有限公司</t>
  </si>
  <si>
    <t>25372000000357288026</t>
  </si>
  <si>
    <t>2025-12-19 11:21:34</t>
  </si>
  <si>
    <t>91370782169711879J</t>
  </si>
  <si>
    <t>山东芝灵建筑有限公司</t>
  </si>
  <si>
    <t>25377000000546636289</t>
  </si>
  <si>
    <t>2025-11-27 17:16:04</t>
  </si>
  <si>
    <t>913707007582886508</t>
  </si>
  <si>
    <t>潍坊顺丰速运有限公司</t>
  </si>
  <si>
    <t>25372000000347192558</t>
  </si>
  <si>
    <t>2025-12-10 15:39:53</t>
  </si>
  <si>
    <t>91370700758260017E</t>
  </si>
  <si>
    <t>山东大业股份有限公司</t>
  </si>
  <si>
    <t>25377000000569211976</t>
  </si>
  <si>
    <t>2025-12-12 14:22:36</t>
  </si>
  <si>
    <t>9137070072427711XK</t>
  </si>
  <si>
    <t>中国石化销售股份有限公司山东潍坊石油分公司</t>
  </si>
  <si>
    <t>25377000000142754119</t>
  </si>
  <si>
    <t>2025-12-24 17:17:38</t>
  </si>
  <si>
    <t>91370700267170332A</t>
  </si>
  <si>
    <t>山东五洲电气有限公司</t>
  </si>
  <si>
    <t>2025-12-12 15:40:06</t>
  </si>
  <si>
    <t>91370500MA3QH11X89</t>
  </si>
  <si>
    <t>山东博程新能源科技有限公司</t>
  </si>
  <si>
    <t>2025-12-12 15:39:13</t>
  </si>
  <si>
    <t>2025-12-12 15:38:24</t>
  </si>
  <si>
    <t>2025-11-12 13:28:52</t>
  </si>
  <si>
    <t>25922000000079928013</t>
  </si>
  <si>
    <t>2025-12-10 10:35:06</t>
  </si>
  <si>
    <t>91370211MA3F5YUW9T</t>
  </si>
  <si>
    <t>青岛勇胜丰电气有限公司</t>
  </si>
  <si>
    <t>25922000000079919461</t>
  </si>
  <si>
    <t>2025-12-10 10:26:08</t>
  </si>
  <si>
    <t>25922000000077731589</t>
  </si>
  <si>
    <t>2025-12-02 13:54:03</t>
  </si>
  <si>
    <t>25922000000077722187</t>
  </si>
  <si>
    <t>2025-12-02 14:01:00</t>
  </si>
  <si>
    <t>25922000000077692527</t>
  </si>
  <si>
    <t>2025-12-02 13:45:57</t>
  </si>
  <si>
    <t>25922000000073675460</t>
  </si>
  <si>
    <t>2025-11-18 15:48:34</t>
  </si>
  <si>
    <t>25922000000073636312</t>
  </si>
  <si>
    <t>2025-11-18 15:44:31</t>
  </si>
  <si>
    <t>25922000000073636152</t>
  </si>
  <si>
    <t>2025-11-18 15:42:00</t>
  </si>
  <si>
    <t>2025-12-08 11:11:43</t>
  </si>
  <si>
    <t>91370211MA3F38FBXL</t>
  </si>
  <si>
    <t>青岛阿斯卡利五金制品有限公司</t>
  </si>
  <si>
    <t>2025-12-08 11:09:45</t>
  </si>
  <si>
    <t>2025-12-08 11:13:02</t>
  </si>
  <si>
    <t>2025-12-08 11:08:46</t>
  </si>
  <si>
    <t>106</t>
  </si>
  <si>
    <t>2025-12-08 11:10:55</t>
  </si>
  <si>
    <t>107</t>
  </si>
  <si>
    <t>25372000000349390319</t>
  </si>
  <si>
    <t>2025-12-12 11:15:41</t>
  </si>
  <si>
    <t>91370181MA3TM01Y3D</t>
  </si>
  <si>
    <t>山东聚亿通电力工程有限公司</t>
  </si>
  <si>
    <t>108</t>
  </si>
  <si>
    <t>25372000000354001265</t>
  </si>
  <si>
    <t>2025-12-16 17:28:07</t>
  </si>
  <si>
    <t>91370103MA3DLEL35G</t>
  </si>
  <si>
    <t>济南中特电力工程有限公司</t>
  </si>
  <si>
    <t>109</t>
  </si>
  <si>
    <t>25372000000353948465</t>
  </si>
  <si>
    <t>2025-12-16 17:29:51</t>
  </si>
  <si>
    <t>110</t>
  </si>
  <si>
    <t>2025-12-04 15:29:48</t>
  </si>
  <si>
    <t>111</t>
  </si>
  <si>
    <t>25372000000321519708</t>
  </si>
  <si>
    <t>2025-11-19 11:39:07</t>
  </si>
  <si>
    <t>91370100MA3R2PE3X2</t>
  </si>
  <si>
    <t>济南裕业酒店管理有限公司</t>
  </si>
  <si>
    <t>112</t>
  </si>
  <si>
    <t>25372000000349132336</t>
  </si>
  <si>
    <t>2025-12-12 09:53:50</t>
  </si>
  <si>
    <t>913701006132157172</t>
  </si>
  <si>
    <t>济南西电特种变压器有限公司</t>
  </si>
  <si>
    <t>113</t>
  </si>
  <si>
    <t>25372000000349078708</t>
  </si>
  <si>
    <t>2025-12-12 09:51:48</t>
  </si>
  <si>
    <t>114</t>
  </si>
  <si>
    <t>25372000000338267698</t>
  </si>
  <si>
    <t>2025-12-02 16:43:55</t>
  </si>
  <si>
    <t>91370000706203483C</t>
  </si>
  <si>
    <t>山东电力工程咨询院有限公司</t>
  </si>
  <si>
    <t>115</t>
  </si>
  <si>
    <t>2025-09-26 09:24:50</t>
  </si>
  <si>
    <t>91360900MA38Q4467J</t>
  </si>
  <si>
    <t>宜春市中恒环评有限公司</t>
  </si>
  <si>
    <t>116</t>
  </si>
  <si>
    <t>2025-12-03 11:46:48</t>
  </si>
  <si>
    <t>91341125MA2WBPQ62Q</t>
  </si>
  <si>
    <t>安徽轩佰工程管理有限公司</t>
  </si>
  <si>
    <t>117</t>
  </si>
  <si>
    <t>2025-12-03 11:45:58</t>
  </si>
  <si>
    <t>118</t>
  </si>
  <si>
    <t>25347000000202816145</t>
  </si>
  <si>
    <t>2025-12-23 16:54:31</t>
  </si>
  <si>
    <t>91340700MA8PUEPEXD</t>
  </si>
  <si>
    <t>薪班班（安徽）网络科技有限公司</t>
  </si>
  <si>
    <t>119</t>
  </si>
  <si>
    <t>25347000000202816144</t>
  </si>
  <si>
    <t>2025-12-23 16:54:30</t>
  </si>
  <si>
    <t>120</t>
  </si>
  <si>
    <t>25347000000202815875</t>
  </si>
  <si>
    <t>2025-12-17 15:48:52</t>
  </si>
  <si>
    <t>121</t>
  </si>
  <si>
    <t>25347000000202815349</t>
  </si>
  <si>
    <t>2025-12-11 17:45:10</t>
  </si>
  <si>
    <t>122</t>
  </si>
  <si>
    <t>25347000000202815344</t>
  </si>
  <si>
    <t>2025-12-11 17:45:09</t>
  </si>
  <si>
    <t>123</t>
  </si>
  <si>
    <t>25347000000202815340</t>
  </si>
  <si>
    <t>2025-12-11 17:35:31</t>
  </si>
  <si>
    <t>124</t>
  </si>
  <si>
    <t>25347000000202815339</t>
  </si>
  <si>
    <t>125</t>
  </si>
  <si>
    <t>25347000000202815297</t>
  </si>
  <si>
    <t>2025-12-11 15:26:51</t>
  </si>
  <si>
    <t>126</t>
  </si>
  <si>
    <t>25347000000202815296</t>
  </si>
  <si>
    <t>2025-12-11 15:26:50</t>
  </si>
  <si>
    <t>127</t>
  </si>
  <si>
    <t>25347000000202815048</t>
  </si>
  <si>
    <t>2025-12-09 09:46:00</t>
  </si>
  <si>
    <t>128</t>
  </si>
  <si>
    <t>2025-12-02 08:43:02</t>
  </si>
  <si>
    <t>91340600556318233G</t>
  </si>
  <si>
    <t>淮北万里电力规划设计院有限公司</t>
  </si>
  <si>
    <t>129</t>
  </si>
  <si>
    <t>25342000000189217921</t>
  </si>
  <si>
    <t>2025-11-01 09:43:24</t>
  </si>
  <si>
    <t>91340322MAECP8239J</t>
  </si>
  <si>
    <t>五河鑫怡路汽车服务有限公司</t>
  </si>
  <si>
    <t>130</t>
  </si>
  <si>
    <t>25342000000214433684</t>
  </si>
  <si>
    <t>2025-12-05 15:37:41</t>
  </si>
  <si>
    <t>91340202MA8QE86F46</t>
  </si>
  <si>
    <t>安徽旋智建筑工程有限公司</t>
  </si>
  <si>
    <t>131</t>
  </si>
  <si>
    <t>2025-11-24 16:32:37</t>
  </si>
  <si>
    <t>132</t>
  </si>
  <si>
    <t>2025-12-17 15:08:27</t>
  </si>
  <si>
    <t>91340111MA8Q6TJ40J</t>
  </si>
  <si>
    <t>合肥蓝典建筑工程有限公司</t>
  </si>
  <si>
    <t>133</t>
  </si>
  <si>
    <t>2025-12-17 14:41:23</t>
  </si>
  <si>
    <t>134</t>
  </si>
  <si>
    <t>2025-12-09 15:12:35</t>
  </si>
  <si>
    <t>913401117865037412</t>
  </si>
  <si>
    <t>合肥瑞鼎电力技术有限公司</t>
  </si>
  <si>
    <t>135</t>
  </si>
  <si>
    <t>25342000000219141033</t>
  </si>
  <si>
    <t>2025-12-12 09:17:01</t>
  </si>
  <si>
    <t>91340100MA2NJENT7K</t>
  </si>
  <si>
    <t>安徽致宇电力工程有限公司</t>
  </si>
  <si>
    <t>136</t>
  </si>
  <si>
    <t>25342000000218034351</t>
  </si>
  <si>
    <t>2025-12-10 17:24:36</t>
  </si>
  <si>
    <t>137</t>
  </si>
  <si>
    <t>25342000000218034164</t>
  </si>
  <si>
    <t>2025-12-10 17:23:31</t>
  </si>
  <si>
    <t>138</t>
  </si>
  <si>
    <t>25342000000218033581</t>
  </si>
  <si>
    <t>2025-12-10 17:20:41</t>
  </si>
  <si>
    <t>139</t>
  </si>
  <si>
    <t>25342000000218024254</t>
  </si>
  <si>
    <t>2025-12-10 17:22:17</t>
  </si>
  <si>
    <t>140</t>
  </si>
  <si>
    <t>25347000000224664183</t>
  </si>
  <si>
    <t>2025-12-07 22:43:10</t>
  </si>
  <si>
    <t>913401007690193337</t>
  </si>
  <si>
    <t>安徽顺丰速运有限公司</t>
  </si>
  <si>
    <t>141</t>
  </si>
  <si>
    <t>2025-12-15 12:17:50</t>
  </si>
  <si>
    <t>91340100058473206D</t>
  </si>
  <si>
    <t>安徽唯源土地开发有限公司</t>
  </si>
  <si>
    <t>142</t>
  </si>
  <si>
    <t>2025-12-15 12:16:39</t>
  </si>
  <si>
    <t>143</t>
  </si>
  <si>
    <t>2025-12-15 12:14:46</t>
  </si>
  <si>
    <t>144</t>
  </si>
  <si>
    <t>2025-12-30 18:08:23</t>
  </si>
  <si>
    <t>145</t>
  </si>
  <si>
    <t>2025-12-30 18:08:17</t>
  </si>
  <si>
    <t>146</t>
  </si>
  <si>
    <t>2025-12-30 18:08:13</t>
  </si>
  <si>
    <t>147</t>
  </si>
  <si>
    <t>2025-12-30 18:08:21</t>
  </si>
  <si>
    <t>148</t>
  </si>
  <si>
    <t>2025-12-30 18:08:15</t>
  </si>
  <si>
    <t>149</t>
  </si>
  <si>
    <t>150</t>
  </si>
  <si>
    <t>2025-12-30 18:08:20</t>
  </si>
  <si>
    <t>151</t>
  </si>
  <si>
    <t>2025-12-30 18:08:19</t>
  </si>
  <si>
    <t>152</t>
  </si>
  <si>
    <t>153</t>
  </si>
  <si>
    <t>2025-12-30 18:08:22</t>
  </si>
  <si>
    <t>154</t>
  </si>
  <si>
    <t>155</t>
  </si>
  <si>
    <t>156</t>
  </si>
  <si>
    <t>2025-12-30 18:08:18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</si>
  <si>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</si>
  <si>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</si>
  <si>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</si>
  <si>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</si>
  <si>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</si>
  <si>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</si>
  <si>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</si>
  <si>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</si>
  <si>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</si>
  <si>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</si>
  <si>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</si>
  <si>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2025-12-30 18:08:24</t>
  </si>
  <si>
    <t>169</t>
  </si>
  <si>
    <t>170</t>
  </si>
  <si>
    <t>171</t>
  </si>
  <si>
    <t>172</t>
  </si>
  <si>
    <t>173</t>
  </si>
  <si>
    <t>2025-12-30 18:08:25</t>
  </si>
  <si>
    <t>174</t>
  </si>
  <si>
    <t>175</t>
  </si>
  <si>
    <t>176</t>
  </si>
  <si>
    <t>177</t>
  </si>
  <si>
    <t>178</t>
  </si>
  <si>
    <t>179</t>
  </si>
  <si>
    <t>180</t>
  </si>
  <si>
    <t>2025-12-30 18:08:12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</si>
  <si>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</si>
  <si>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</si>
  <si>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</si>
  <si>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</si>
  <si>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</si>
  <si>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</si>
  <si>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</si>
  <si>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</si>
  <si>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</si>
  <si>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</si>
  <si>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</si>
  <si>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</si>
  <si>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</si>
  <si>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</si>
  <si>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</si>
  <si>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</si>
  <si>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</si>
  <si>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</si>
  <si>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</si>
  <si>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</si>
  <si>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</si>
  <si>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</si>
  <si>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</si>
  <si>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</si>
  <si>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</si>
  <si>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</si>
  <si>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</si>
  <si>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</si>
  <si>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</si>
  <si>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</si>
  <si>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2025-12-19 15:29:24</t>
  </si>
  <si>
    <t>211</t>
  </si>
  <si>
    <t>212</t>
  </si>
  <si>
    <t>213</t>
  </si>
  <si>
    <t>214</t>
  </si>
  <si>
    <t>215</t>
  </si>
  <si>
    <t>216</t>
  </si>
  <si>
    <t>217</t>
  </si>
  <si>
    <t>218</t>
  </si>
  <si>
    <t>25337000000584747971</t>
  </si>
  <si>
    <t>2025-12-09 19:45:10</t>
  </si>
  <si>
    <t>91330621MAD6E5YR3H</t>
  </si>
  <si>
    <t>绍兴美团科技有限公司</t>
  </si>
  <si>
    <t>219</t>
  </si>
  <si>
    <t>25332000000618902117</t>
  </si>
  <si>
    <t>2025-12-30 14:36:50</t>
  </si>
  <si>
    <t>91330502MAEKQ2L60M</t>
  </si>
  <si>
    <t>220</t>
  </si>
  <si>
    <t>25337000000585808545</t>
  </si>
  <si>
    <t>2025-12-24 15:21:06</t>
  </si>
  <si>
    <t>913300007043088475</t>
  </si>
  <si>
    <t>浙江万马股份有限公司</t>
  </si>
  <si>
    <t>221</t>
  </si>
  <si>
    <t>25337000000585808544</t>
  </si>
  <si>
    <t>2025-12-24 15:21:01</t>
  </si>
  <si>
    <t>222</t>
  </si>
  <si>
    <t>25337000000585808543</t>
  </si>
  <si>
    <t>2025-12-24 15:20:56</t>
  </si>
  <si>
    <t>223</t>
  </si>
  <si>
    <t>25337000000585808542</t>
  </si>
  <si>
    <t>2025-12-24 15:20:51</t>
  </si>
  <si>
    <t>224</t>
  </si>
  <si>
    <t>25337000000585808541</t>
  </si>
  <si>
    <t>2025-12-24 15:20:45</t>
  </si>
  <si>
    <t>225</t>
  </si>
  <si>
    <t>25337000000585808540</t>
  </si>
  <si>
    <t>2025-12-24 15:20:39</t>
  </si>
  <si>
    <t>226</t>
  </si>
  <si>
    <t>25337000000585808539</t>
  </si>
  <si>
    <t>2025-12-24 15:20:33</t>
  </si>
  <si>
    <t>227</t>
  </si>
  <si>
    <t>25337000000585808334</t>
  </si>
  <si>
    <t>2025-12-22 14:34:32</t>
  </si>
  <si>
    <t>228</t>
  </si>
  <si>
    <t>25337000000585808333</t>
  </si>
  <si>
    <t>2025-12-22 14:34:26</t>
  </si>
  <si>
    <t>229</t>
  </si>
  <si>
    <t>25337000000585808332</t>
  </si>
  <si>
    <t>2025-12-22 14:34:21</t>
  </si>
  <si>
    <t>230</t>
  </si>
  <si>
    <t>25337000000585808331</t>
  </si>
  <si>
    <t>2025-12-22 14:34:16</t>
  </si>
  <si>
    <t>231</t>
  </si>
  <si>
    <t>25337000000585808330</t>
  </si>
  <si>
    <t>2025-12-22 14:34:11</t>
  </si>
  <si>
    <t>232</t>
  </si>
  <si>
    <t>25337000000585808244</t>
  </si>
  <si>
    <t>2025-12-19 15:45:01</t>
  </si>
  <si>
    <t>233</t>
  </si>
  <si>
    <t>25337000000585807849</t>
  </si>
  <si>
    <t>2025-12-15 15:47:43</t>
  </si>
  <si>
    <t>234</t>
  </si>
  <si>
    <t>25337000000585807848</t>
  </si>
  <si>
    <t>2025-12-15 15:47:37</t>
  </si>
  <si>
    <t>235</t>
  </si>
  <si>
    <t>25337000000585807847</t>
  </si>
  <si>
    <t>2025-12-15 15:47:31</t>
  </si>
  <si>
    <t>236</t>
  </si>
  <si>
    <t>25337000000585807846</t>
  </si>
  <si>
    <t>2025-12-15 15:47:25</t>
  </si>
  <si>
    <t>237</t>
  </si>
  <si>
    <t>25337000000585807845</t>
  </si>
  <si>
    <t>2025-12-15 15:47:19</t>
  </si>
  <si>
    <t>238</t>
  </si>
  <si>
    <t>25337000000585807707</t>
  </si>
  <si>
    <t>2025-12-12 16:40:48</t>
  </si>
  <si>
    <t>239</t>
  </si>
  <si>
    <t>25332000000606150991</t>
  </si>
  <si>
    <t>2025-12-26 11:00:31</t>
  </si>
  <si>
    <t>91330000609120811K</t>
  </si>
  <si>
    <t>杭州电缆股份有限公司</t>
  </si>
  <si>
    <t>240</t>
  </si>
  <si>
    <t>25332000000585557729</t>
  </si>
  <si>
    <t>2025-12-17 15:54:49</t>
  </si>
  <si>
    <t>241</t>
  </si>
  <si>
    <t>25332000000585383052</t>
  </si>
  <si>
    <t>2025-12-17 15:10:24</t>
  </si>
  <si>
    <t>242</t>
  </si>
  <si>
    <t>25332000000585373377</t>
  </si>
  <si>
    <t>2025-12-17 15:10:15</t>
  </si>
  <si>
    <t>243</t>
  </si>
  <si>
    <t>25332000000585269955</t>
  </si>
  <si>
    <t>2025-12-17 15:10:32</t>
  </si>
  <si>
    <t>244</t>
  </si>
  <si>
    <t>25332000000572471638</t>
  </si>
  <si>
    <t>2025-12-11 10:36:27</t>
  </si>
  <si>
    <t>245</t>
  </si>
  <si>
    <t>25332000000572288205</t>
  </si>
  <si>
    <t>2025-12-11 10:36:20</t>
  </si>
  <si>
    <t>246</t>
  </si>
  <si>
    <t>25322000000608458857</t>
  </si>
  <si>
    <t>2025-12-19 10:15:57</t>
  </si>
  <si>
    <t>91321322758458955M</t>
  </si>
  <si>
    <t>江苏四绣春景观工程有限公司</t>
  </si>
  <si>
    <t>247</t>
  </si>
  <si>
    <t>25322000000611560540</t>
  </si>
  <si>
    <t>2025-12-20 15:28:48</t>
  </si>
  <si>
    <t>9132072233115811X2</t>
  </si>
  <si>
    <t>连云港天广成吊装服务有限公司</t>
  </si>
  <si>
    <t>248</t>
  </si>
  <si>
    <t>25322000000611550273</t>
  </si>
  <si>
    <t>2025-12-20 15:23:02</t>
  </si>
  <si>
    <t>249</t>
  </si>
  <si>
    <t>25322000000611477507</t>
  </si>
  <si>
    <t>2025-12-20 15:22:35</t>
  </si>
  <si>
    <t>250</t>
  </si>
  <si>
    <t>25322000000611477480</t>
  </si>
  <si>
    <t>2025-12-20 15:22:13</t>
  </si>
  <si>
    <t>251</t>
  </si>
  <si>
    <t>25322000000611477371</t>
  </si>
  <si>
    <t>2025-12-20 15:20:45</t>
  </si>
  <si>
    <t>252</t>
  </si>
  <si>
    <t>25322000000611477316</t>
  </si>
  <si>
    <t>2025-12-20 15:20:02</t>
  </si>
  <si>
    <t>253</t>
  </si>
  <si>
    <t>25322000000611468098</t>
  </si>
  <si>
    <t>2025-12-20 15:28:21</t>
  </si>
  <si>
    <t>254</t>
  </si>
  <si>
    <t>25322000000611467572</t>
  </si>
  <si>
    <t>2025-12-20 15:21:29</t>
  </si>
  <si>
    <t>255</t>
  </si>
  <si>
    <t>25322000000611398445</t>
  </si>
  <si>
    <t>2025-12-20 15:19:03</t>
  </si>
  <si>
    <t>256</t>
  </si>
  <si>
    <t>25322000000611388671</t>
  </si>
  <si>
    <t>2025-12-20 15:21:07</t>
  </si>
  <si>
    <t>257</t>
  </si>
  <si>
    <t>25322000000611378910</t>
  </si>
  <si>
    <t>2025-12-20 15:21:50</t>
  </si>
  <si>
    <t>258</t>
  </si>
  <si>
    <t>25322000000611378772</t>
  </si>
  <si>
    <t>2025-12-20 15:20:24</t>
  </si>
  <si>
    <t>259</t>
  </si>
  <si>
    <t>25322000000604150884</t>
  </si>
  <si>
    <t>2025-12-17 14:14:08</t>
  </si>
  <si>
    <t>260</t>
  </si>
  <si>
    <t>25322000000604131405</t>
  </si>
  <si>
    <t>2025-12-17 14:15:26</t>
  </si>
  <si>
    <t>261</t>
  </si>
  <si>
    <t>25322000000604092601</t>
  </si>
  <si>
    <t>2025-12-17 14:17:34</t>
  </si>
  <si>
    <t>262</t>
  </si>
  <si>
    <t>25322000000604027511</t>
  </si>
  <si>
    <t>2025-12-17 14:16:13</t>
  </si>
  <si>
    <t>263</t>
  </si>
  <si>
    <t>25322000000592335181</t>
  </si>
  <si>
    <t>2025-12-11 15:52:43</t>
  </si>
  <si>
    <t>91320682138617863H</t>
  </si>
  <si>
    <t>江苏省如高高压电器有限公司</t>
  </si>
  <si>
    <t>264</t>
  </si>
  <si>
    <t>25322000000586912049</t>
  </si>
  <si>
    <t>2025-12-09 11:25:32</t>
  </si>
  <si>
    <t>265</t>
  </si>
  <si>
    <t>25322000000586843559</t>
  </si>
  <si>
    <t>2025-12-09 11:29:34</t>
  </si>
  <si>
    <t>266</t>
  </si>
  <si>
    <t>25322000000586539997</t>
  </si>
  <si>
    <t>2025-12-09 11:04:00</t>
  </si>
  <si>
    <t>267</t>
  </si>
  <si>
    <t>2025-12-15 09:42:53</t>
  </si>
  <si>
    <t>91320594565309638R</t>
  </si>
  <si>
    <t>科锐尔人力资源服务（苏州）有限公司</t>
  </si>
  <si>
    <t>268</t>
  </si>
  <si>
    <t>2025-11-24 10:57:28</t>
  </si>
  <si>
    <t>269</t>
  </si>
  <si>
    <t>25432000000181737982</t>
  </si>
  <si>
    <t>2025-12-31 14:00:54</t>
  </si>
  <si>
    <t>91320382MA1MBKHD8W</t>
  </si>
  <si>
    <t>270</t>
  </si>
  <si>
    <t>25322000000640323570</t>
  </si>
  <si>
    <t>2025-12-31 19:29:24</t>
  </si>
  <si>
    <t>271</t>
  </si>
  <si>
    <t>25322000000628041256</t>
  </si>
  <si>
    <t>2025-12-26 17:43:40</t>
  </si>
  <si>
    <t>272</t>
  </si>
  <si>
    <t>25322000000628005336</t>
  </si>
  <si>
    <t>2025-12-26 17:43:20</t>
  </si>
  <si>
    <t>273</t>
  </si>
  <si>
    <t>25322000000627995966</t>
  </si>
  <si>
    <t>2025-12-26 17:43:42</t>
  </si>
  <si>
    <t>274</t>
  </si>
  <si>
    <t>25322000000627995959</t>
  </si>
  <si>
    <t>2025-12-26 17:43:38</t>
  </si>
  <si>
    <t>275</t>
  </si>
  <si>
    <t>25322000000627995922</t>
  </si>
  <si>
    <t>2025-12-26 17:43:15</t>
  </si>
  <si>
    <t>276</t>
  </si>
  <si>
    <t>25322000000627995910</t>
  </si>
  <si>
    <t>2025-12-26 17:43:05</t>
  </si>
  <si>
    <t>277</t>
  </si>
  <si>
    <t>25322000000627986134</t>
  </si>
  <si>
    <t>2025-12-26 17:43:33</t>
  </si>
  <si>
    <t>278</t>
  </si>
  <si>
    <t>25322000000627976167</t>
  </si>
  <si>
    <t>2025-12-26 17:43:26</t>
  </si>
  <si>
    <t>279</t>
  </si>
  <si>
    <t>25322000000627976134</t>
  </si>
  <si>
    <t>2025-12-26 17:43:12</t>
  </si>
  <si>
    <t>280</t>
  </si>
  <si>
    <t>25322000000627926734</t>
  </si>
  <si>
    <t>2025-12-26 17:43:44</t>
  </si>
  <si>
    <t>281</t>
  </si>
  <si>
    <t>25322000000627916986</t>
  </si>
  <si>
    <t>2025-12-26 17:43:31</t>
  </si>
  <si>
    <t>282</t>
  </si>
  <si>
    <t>25322000000627916945</t>
  </si>
  <si>
    <t>2025-12-26 17:43:08</t>
  </si>
  <si>
    <t>283</t>
  </si>
  <si>
    <t>25322000000627907317</t>
  </si>
  <si>
    <t>2025-12-26 17:43:29</t>
  </si>
  <si>
    <t>284</t>
  </si>
  <si>
    <t>25322000000627897382</t>
  </si>
  <si>
    <t>2025-12-26 17:43:24</t>
  </si>
  <si>
    <t>285</t>
  </si>
  <si>
    <t>25322000000627897375</t>
  </si>
  <si>
    <t>2025-12-26 17:43:22</t>
  </si>
  <si>
    <t>286</t>
  </si>
  <si>
    <t>25322000000627887572</t>
  </si>
  <si>
    <t>2025-12-26 17:43:35</t>
  </si>
  <si>
    <t>287</t>
  </si>
  <si>
    <t>25322000000627868367</t>
  </si>
  <si>
    <t>2025-12-26 17:43:17</t>
  </si>
  <si>
    <t>288</t>
  </si>
  <si>
    <t>25322000000627859617</t>
  </si>
  <si>
    <t>2025-12-26 17:43:10</t>
  </si>
  <si>
    <t>289</t>
  </si>
  <si>
    <t>25322000000599138090</t>
  </si>
  <si>
    <t>2025-12-15 15:36:06</t>
  </si>
  <si>
    <t>290</t>
  </si>
  <si>
    <t>25322000000579884688</t>
  </si>
  <si>
    <t>2025-12-05 09:26:17</t>
  </si>
  <si>
    <t>291</t>
  </si>
  <si>
    <t>25322000000579815468</t>
  </si>
  <si>
    <t>2025-12-05 09:26:20</t>
  </si>
  <si>
    <t>292</t>
  </si>
  <si>
    <t>2025-12-04 15:15:12</t>
  </si>
  <si>
    <t>293</t>
  </si>
  <si>
    <t>25322000000577740064</t>
  </si>
  <si>
    <t>2025-12-04 09:27:29</t>
  </si>
  <si>
    <t>294</t>
  </si>
  <si>
    <t>25322000000634326585</t>
  </si>
  <si>
    <t>2025-12-30 08:46:46</t>
  </si>
  <si>
    <t>91320115716203030H</t>
  </si>
  <si>
    <t>南京国电南自电网自动化有限公司</t>
  </si>
  <si>
    <t>295</t>
  </si>
  <si>
    <t>25322000000634306920</t>
  </si>
  <si>
    <t>2025-12-30 08:49:21</t>
  </si>
  <si>
    <t>296</t>
  </si>
  <si>
    <t>25322000000631650671</t>
  </si>
  <si>
    <t>2025-12-29 10:31:21</t>
  </si>
  <si>
    <t>297</t>
  </si>
  <si>
    <t>25322000000631592383</t>
  </si>
  <si>
    <t>2025-12-29 10:29:27</t>
  </si>
  <si>
    <t>298</t>
  </si>
  <si>
    <t>25322000000601659574</t>
  </si>
  <si>
    <t>2025-12-16 15:11:43</t>
  </si>
  <si>
    <t>299</t>
  </si>
  <si>
    <t>2025-12-12 16:14:29</t>
  </si>
  <si>
    <t>91310230MA1JY9AL16</t>
  </si>
  <si>
    <t>觐联（上海）工业技术有限公司</t>
  </si>
  <si>
    <t>300</t>
  </si>
  <si>
    <t>2025-11-27 12:09:53</t>
  </si>
  <si>
    <t>301</t>
  </si>
  <si>
    <t>2025-12-16 15:15:06</t>
  </si>
  <si>
    <t>91310230MA1JTEYM9N</t>
  </si>
  <si>
    <t>上海峙雄新能源科技有限公司</t>
  </si>
  <si>
    <t>302</t>
  </si>
  <si>
    <t>2025-12-16 15:15:05</t>
  </si>
  <si>
    <t>303</t>
  </si>
  <si>
    <t>304</t>
  </si>
  <si>
    <t>2025-12-16 15:15:08</t>
  </si>
  <si>
    <t>305</t>
  </si>
  <si>
    <t>306</t>
  </si>
  <si>
    <t>307</t>
  </si>
  <si>
    <t>308</t>
  </si>
  <si>
    <t>2025-12-16 15:15:03</t>
  </si>
  <si>
    <t>309</t>
  </si>
  <si>
    <t>2025-12-16 15:15:01</t>
  </si>
  <si>
    <t>310</t>
  </si>
  <si>
    <t>2025-12-16 15:15:02</t>
  </si>
  <si>
    <t>311</t>
  </si>
  <si>
    <t>2025-12-11 15:31:56</t>
  </si>
  <si>
    <t>312</t>
  </si>
  <si>
    <t>313</t>
  </si>
  <si>
    <t>314</t>
  </si>
  <si>
    <t>2025-12-11 09:59:32</t>
  </si>
  <si>
    <t>315</t>
  </si>
  <si>
    <t>316</t>
  </si>
  <si>
    <t>2025-12-11 09:18:35</t>
  </si>
  <si>
    <t>317</t>
  </si>
  <si>
    <t>25312000000373176604</t>
  </si>
  <si>
    <t>2025-11-17 14:10:13</t>
  </si>
  <si>
    <t>913101166078754287</t>
  </si>
  <si>
    <t>上海起帆电缆股份有限公司</t>
  </si>
  <si>
    <t>318</t>
  </si>
  <si>
    <t>25312000000373175781</t>
  </si>
  <si>
    <t>2025-11-17 14:10:16</t>
  </si>
  <si>
    <t>319</t>
  </si>
  <si>
    <t>25312000000373175707</t>
  </si>
  <si>
    <t>2025-11-17 14:10:01</t>
  </si>
  <si>
    <t>320</t>
  </si>
  <si>
    <t>25312000000371981225</t>
  </si>
  <si>
    <t>2025-11-16 14:31:34</t>
  </si>
  <si>
    <t>321</t>
  </si>
  <si>
    <t>25312000000407085486</t>
  </si>
  <si>
    <t>2025-12-10 13:13:44</t>
  </si>
  <si>
    <t>9131011576835763X6</t>
  </si>
  <si>
    <t>上海思源光电有限公司</t>
  </si>
  <si>
    <t>322</t>
  </si>
  <si>
    <t>25312000000401417256</t>
  </si>
  <si>
    <t>2025-12-05 18:29:55</t>
  </si>
  <si>
    <t>323</t>
  </si>
  <si>
    <t>2025-12-12 15:16:21</t>
  </si>
  <si>
    <t>91310114MA1GT1DJ20</t>
  </si>
  <si>
    <t>一嗨租车服务管理（上海）有限公司</t>
  </si>
  <si>
    <t>324</t>
  </si>
  <si>
    <t>25317000003195994616</t>
  </si>
  <si>
    <t>2025-12-08 14:09:35</t>
  </si>
  <si>
    <t>91310110342292736X</t>
  </si>
  <si>
    <t>上海携程宏睿国际旅行社有限公司</t>
  </si>
  <si>
    <t>325</t>
  </si>
  <si>
    <t>25317000003195994613</t>
  </si>
  <si>
    <t>326</t>
  </si>
  <si>
    <t>25317000003195994598</t>
  </si>
  <si>
    <t>2025-12-08 14:09:33</t>
  </si>
  <si>
    <t>327</t>
  </si>
  <si>
    <t>25317000003195992614</t>
  </si>
  <si>
    <t>2025-12-08 13:17:03</t>
  </si>
  <si>
    <t>328</t>
  </si>
  <si>
    <t>25312000000395917115</t>
  </si>
  <si>
    <t>2025-12-02 15:07:53</t>
  </si>
  <si>
    <t>913101101323136156</t>
  </si>
  <si>
    <t>上海电力设计院有限公司</t>
  </si>
  <si>
    <t>329</t>
  </si>
  <si>
    <t>25312000000395914624</t>
  </si>
  <si>
    <t>2025-12-02 15:07:13</t>
  </si>
  <si>
    <t>330</t>
  </si>
  <si>
    <t>25312000000395910299</t>
  </si>
  <si>
    <t>2025-12-02 15:06:20</t>
  </si>
  <si>
    <t>331</t>
  </si>
  <si>
    <t>25312000000395907964</t>
  </si>
  <si>
    <t>2025-12-02 15:05:26</t>
  </si>
  <si>
    <t>332</t>
  </si>
  <si>
    <t>25312000000411078353</t>
  </si>
  <si>
    <t>2025-12-12 15:46:46</t>
  </si>
  <si>
    <t>91310109752907051B</t>
  </si>
  <si>
    <t>上海豫发起重设备安装有限公司</t>
  </si>
  <si>
    <t>333</t>
  </si>
  <si>
    <t>25312000000439781825</t>
  </si>
  <si>
    <t>2025-12-31 11:34:32</t>
  </si>
  <si>
    <t>91310105MA1FWAC869</t>
  </si>
  <si>
    <t>景泰新能源（上海）有限公司</t>
  </si>
  <si>
    <t>334</t>
  </si>
  <si>
    <t>25312000000435397866</t>
  </si>
  <si>
    <t>2025-12-29 11:26:46</t>
  </si>
  <si>
    <t>335</t>
  </si>
  <si>
    <t>25312000000430736104</t>
  </si>
  <si>
    <t>2025-12-25 15:52:59</t>
  </si>
  <si>
    <t>336</t>
  </si>
  <si>
    <t>25312000000430735934</t>
  </si>
  <si>
    <t>2025-12-25 15:53:00</t>
  </si>
  <si>
    <t>337</t>
  </si>
  <si>
    <t>25312000000430735837</t>
  </si>
  <si>
    <t>338</t>
  </si>
  <si>
    <t>25312000000430735360</t>
  </si>
  <si>
    <t>339</t>
  </si>
  <si>
    <t>25312000000430270225</t>
  </si>
  <si>
    <t>2025-12-25 13:49:29</t>
  </si>
  <si>
    <t>340</t>
  </si>
  <si>
    <t>25312000000430270038</t>
  </si>
  <si>
    <t>2025-12-25 13:49:30</t>
  </si>
  <si>
    <t>341</t>
  </si>
  <si>
    <t>25312000000430269843</t>
  </si>
  <si>
    <t>2025-12-25 13:49:31</t>
  </si>
  <si>
    <t>342</t>
  </si>
  <si>
    <t>25312000000430269563</t>
  </si>
  <si>
    <t>343</t>
  </si>
  <si>
    <t>25312000000430269480</t>
  </si>
  <si>
    <t>344</t>
  </si>
  <si>
    <t>25312000000429712803</t>
  </si>
  <si>
    <t>2025-12-25 10:22:41</t>
  </si>
  <si>
    <t>345</t>
  </si>
  <si>
    <t>25312000000429712606</t>
  </si>
  <si>
    <t>346</t>
  </si>
  <si>
    <t>25312000000429712428</t>
  </si>
  <si>
    <t>2025-12-25 10:22:39</t>
  </si>
  <si>
    <t>347</t>
  </si>
  <si>
    <t>25312000000429712426</t>
  </si>
  <si>
    <t>348</t>
  </si>
  <si>
    <t>25312000000429712421</t>
  </si>
  <si>
    <t>2025-12-25 10:22:38</t>
  </si>
  <si>
    <t>349</t>
  </si>
  <si>
    <t>25312000000429712336</t>
  </si>
  <si>
    <t>350</t>
  </si>
  <si>
    <t>25312000000429712335</t>
  </si>
  <si>
    <t>351</t>
  </si>
  <si>
    <t>25312000000429712243</t>
  </si>
  <si>
    <t>2025-12-25 10:22:40</t>
  </si>
  <si>
    <t>352</t>
  </si>
  <si>
    <t>25312000000429711475</t>
  </si>
  <si>
    <t>353</t>
  </si>
  <si>
    <t>25312000000429711474</t>
  </si>
  <si>
    <t>354</t>
  </si>
  <si>
    <t>25312000000429711468</t>
  </si>
  <si>
    <t>355</t>
  </si>
  <si>
    <t>25312000000429711400</t>
  </si>
  <si>
    <t>356</t>
  </si>
  <si>
    <t>25312000000429711293</t>
  </si>
  <si>
    <t>357</t>
  </si>
  <si>
    <t>25312000000420921920</t>
  </si>
  <si>
    <t>2025-12-19 13:25:11</t>
  </si>
  <si>
    <t>358</t>
  </si>
  <si>
    <t>25312000000419928216</t>
  </si>
  <si>
    <t>2025-12-18 17:58:40</t>
  </si>
  <si>
    <t>359</t>
  </si>
  <si>
    <t>25312000000419927906</t>
  </si>
  <si>
    <t>2025-12-18 17:58:37</t>
  </si>
  <si>
    <t>360</t>
  </si>
  <si>
    <t>25312000000419927726</t>
  </si>
  <si>
    <t>2025-12-18 17:58:39</t>
  </si>
  <si>
    <t>361</t>
  </si>
  <si>
    <t>25312000000419927386</t>
  </si>
  <si>
    <t>362</t>
  </si>
  <si>
    <t>25312000000419927295</t>
  </si>
  <si>
    <t>363</t>
  </si>
  <si>
    <t>25312000000411124566</t>
  </si>
  <si>
    <t>2025-12-12 16:01:09</t>
  </si>
  <si>
    <t>364</t>
  </si>
  <si>
    <t>25312000000440561033</t>
  </si>
  <si>
    <t>2025-12-31 16:17:56</t>
  </si>
  <si>
    <t>365</t>
  </si>
  <si>
    <t>25312000000440560641</t>
  </si>
  <si>
    <t>366</t>
  </si>
  <si>
    <t>25312000000430736024</t>
  </si>
  <si>
    <t>2025-12-25 15:53:02</t>
  </si>
  <si>
    <t>367</t>
  </si>
  <si>
    <t>25312000000430735944</t>
  </si>
  <si>
    <t>368</t>
  </si>
  <si>
    <t>25312000000417926143</t>
  </si>
  <si>
    <t>2025-12-17 16:18:10</t>
  </si>
  <si>
    <t>9131010409009285XX</t>
  </si>
  <si>
    <t>简固机电设备（上海）有限公司</t>
  </si>
  <si>
    <t>369</t>
  </si>
  <si>
    <t>25312000000417926049</t>
  </si>
  <si>
    <t>370</t>
  </si>
  <si>
    <t>2025-12-09 16:31:40</t>
  </si>
  <si>
    <t>913100007579120289</t>
  </si>
  <si>
    <t>正泰电气股份有限公司</t>
  </si>
  <si>
    <t>371</t>
  </si>
  <si>
    <t>25317000002926244589</t>
  </si>
  <si>
    <t>2025-12-15 14:24:05</t>
  </si>
  <si>
    <t>91310000751873021H</t>
  </si>
  <si>
    <t>协鑫集成科技股份有限公司</t>
  </si>
  <si>
    <t>372</t>
  </si>
  <si>
    <t>913100006726817699</t>
  </si>
  <si>
    <t>上海一嗨汽车租赁有限公司</t>
  </si>
  <si>
    <t>373</t>
  </si>
  <si>
    <t>2025-12-16 10:46:16</t>
  </si>
  <si>
    <t>91231000MA1AWARM1L</t>
  </si>
  <si>
    <t>黑龙江融凯建筑工程有限公司</t>
  </si>
  <si>
    <t>374</t>
  </si>
  <si>
    <t>2025-12-09 14:56:26</t>
  </si>
  <si>
    <t>375</t>
  </si>
  <si>
    <t>2025-12-09 09:24:54</t>
  </si>
  <si>
    <t>376</t>
  </si>
  <si>
    <t>25912000000032073482</t>
  </si>
  <si>
    <t>2025-12-17 16:34:32</t>
  </si>
  <si>
    <t>91210282661136335P</t>
  </si>
  <si>
    <t>大连新安越电力设备有限公司</t>
  </si>
  <si>
    <t>377</t>
  </si>
  <si>
    <t>25912000000030558241</t>
  </si>
  <si>
    <t>2025-12-03 11:11:18</t>
  </si>
  <si>
    <t>378</t>
  </si>
  <si>
    <t>25157000000106560874</t>
  </si>
  <si>
    <t>2025-12-24 17:06:04</t>
  </si>
  <si>
    <t>9115290072016795XF</t>
  </si>
  <si>
    <t>中国石油天然气股份有限公司内蒙古阿拉善销售分公司</t>
  </si>
  <si>
    <t>379</t>
  </si>
  <si>
    <t>25157000000096304124</t>
  </si>
  <si>
    <t>2025-12-24 17:10:29</t>
  </si>
  <si>
    <t>380</t>
  </si>
  <si>
    <t>25152000000071052046</t>
  </si>
  <si>
    <t>2025-11-29 17:33:38</t>
  </si>
  <si>
    <t>91150991561218333N</t>
  </si>
  <si>
    <t>内蒙古五峰管业有限责任公司</t>
  </si>
  <si>
    <t>381</t>
  </si>
  <si>
    <t>2025-10-22 15:52:04</t>
  </si>
  <si>
    <t>9115090273327974XL</t>
  </si>
  <si>
    <t>内蒙古汇通水利水电工程建设有限公司</t>
  </si>
  <si>
    <t>382</t>
  </si>
  <si>
    <t>25152000000079192010</t>
  </si>
  <si>
    <t>2025-12-31 12:08:13</t>
  </si>
  <si>
    <t>91150891MA0Q410M5E</t>
  </si>
  <si>
    <t>383</t>
  </si>
  <si>
    <t>25152000000079191911</t>
  </si>
  <si>
    <t>2025-12-31 12:08:10</t>
  </si>
  <si>
    <t>384</t>
  </si>
  <si>
    <t>25152000000079191908</t>
  </si>
  <si>
    <t>2025-12-31 12:08:04</t>
  </si>
  <si>
    <t>385</t>
  </si>
  <si>
    <t>25152000000079191817</t>
  </si>
  <si>
    <t>2025-12-31 12:08:07</t>
  </si>
  <si>
    <t>386</t>
  </si>
  <si>
    <t>25152000000079191767</t>
  </si>
  <si>
    <t>2025-12-31 12:07:47</t>
  </si>
  <si>
    <t>387</t>
  </si>
  <si>
    <t>25152000000079191676</t>
  </si>
  <si>
    <t>2025-12-31 12:08:00</t>
  </si>
  <si>
    <t>388</t>
  </si>
  <si>
    <t>25152000000079191674</t>
  </si>
  <si>
    <t>2025-12-31 12:07:56</t>
  </si>
  <si>
    <t>389</t>
  </si>
  <si>
    <t>25152000000079191600</t>
  </si>
  <si>
    <t>2025-12-31 12:07:53</t>
  </si>
  <si>
    <t>390</t>
  </si>
  <si>
    <t>25152000000079191297</t>
  </si>
  <si>
    <t>2025-12-31 12:07:44</t>
  </si>
  <si>
    <t>391</t>
  </si>
  <si>
    <t>25152000000079191195</t>
  </si>
  <si>
    <t>2025-12-31 12:07:50</t>
  </si>
  <si>
    <t>392</t>
  </si>
  <si>
    <t>2025-12-16 15:32:41</t>
  </si>
  <si>
    <t>91150826MABTBLDR4X</t>
  </si>
  <si>
    <t>巴彦淖尔市卓辰新能源工程有限公司</t>
  </si>
  <si>
    <t>393</t>
  </si>
  <si>
    <t>2025-12-08 14:53:35</t>
  </si>
  <si>
    <t>91150825MAC1L93LXT</t>
  </si>
  <si>
    <t>巴彦淖尔市鑫珏建筑装饰工程服务有限公司</t>
  </si>
  <si>
    <t>394</t>
  </si>
  <si>
    <t>25152000000079282524</t>
  </si>
  <si>
    <t>2025-12-31 15:53:29</t>
  </si>
  <si>
    <t>91150426MA7NJ03C1C</t>
  </si>
  <si>
    <t>395</t>
  </si>
  <si>
    <t>25152000000079280549</t>
  </si>
  <si>
    <t>2025-12-31 15:50:14</t>
  </si>
  <si>
    <t>396</t>
  </si>
  <si>
    <t>25152000000079280534</t>
  </si>
  <si>
    <t>2025-12-31 15:50:04</t>
  </si>
  <si>
    <t>397</t>
  </si>
  <si>
    <t>25152000000079280475</t>
  </si>
  <si>
    <t>2025-12-31 15:50:19</t>
  </si>
  <si>
    <t>398</t>
  </si>
  <si>
    <t>25152000000079280453</t>
  </si>
  <si>
    <t>2025-12-31 15:50:09</t>
  </si>
  <si>
    <t>399</t>
  </si>
  <si>
    <t>25152000000079280438</t>
  </si>
  <si>
    <t>2025-12-31 15:49:57</t>
  </si>
  <si>
    <t>400</t>
  </si>
  <si>
    <t>25152000000079280414</t>
  </si>
  <si>
    <t>2025-12-31 15:49:48</t>
  </si>
  <si>
    <t>401</t>
  </si>
  <si>
    <t>25152000000079280383</t>
  </si>
  <si>
    <t>2025-12-31 15:50:24</t>
  </si>
  <si>
    <t>402</t>
  </si>
  <si>
    <t>25152000000079280253</t>
  </si>
  <si>
    <t>2025-12-31 15:49:54</t>
  </si>
  <si>
    <t>403</t>
  </si>
  <si>
    <t>25152000000079279957</t>
  </si>
  <si>
    <t>2025-12-31 15:49:26</t>
  </si>
  <si>
    <t>404</t>
  </si>
  <si>
    <t>25152000000075087319</t>
  </si>
  <si>
    <t>2025-12-16 09:25:37</t>
  </si>
  <si>
    <t>91150403MAEF3YT34J</t>
  </si>
  <si>
    <t>赤峰东元宝电宾馆有限责任公司</t>
  </si>
  <si>
    <t>405</t>
  </si>
  <si>
    <t>25152000000074537851</t>
  </si>
  <si>
    <t>2025-12-13 11:43:13</t>
  </si>
  <si>
    <t>9115040373613452XQ</t>
  </si>
  <si>
    <t>内蒙古东冉电力工程有限责任公司</t>
  </si>
  <si>
    <t>406</t>
  </si>
  <si>
    <t>25152000000072973129</t>
  </si>
  <si>
    <t>2025-12-08 09:39:46</t>
  </si>
  <si>
    <t>407</t>
  </si>
  <si>
    <t>25152000000074732747</t>
  </si>
  <si>
    <t>2025-12-15 08:59:51</t>
  </si>
  <si>
    <t>911502917870642772</t>
  </si>
  <si>
    <t>内蒙古银河电力安装工程有限公司</t>
  </si>
  <si>
    <t>408</t>
  </si>
  <si>
    <t>25152000000071010250</t>
  </si>
  <si>
    <t>2025-11-29 15:07:05</t>
  </si>
  <si>
    <t>409</t>
  </si>
  <si>
    <t>2025-12-01 15:39:16</t>
  </si>
  <si>
    <t>91150291733281217P</t>
  </si>
  <si>
    <t>内蒙古陆海建设有限公司</t>
  </si>
  <si>
    <t>410</t>
  </si>
  <si>
    <t>2025-12-17 16:34:17</t>
  </si>
  <si>
    <t>91150207MAD1BXGF68</t>
  </si>
  <si>
    <t>包头市强锐钢结构工程有限公司</t>
  </si>
  <si>
    <t>411</t>
  </si>
  <si>
    <t>25152000000079256833</t>
  </si>
  <si>
    <t>2025-12-31 15:12:29</t>
  </si>
  <si>
    <t>91150204MAEMHDPL1Y</t>
  </si>
  <si>
    <t>包头市青山区蒙新储能科技有限公司</t>
  </si>
  <si>
    <t>412</t>
  </si>
  <si>
    <t>25152000000079256763</t>
  </si>
  <si>
    <t>2025-12-31 15:12:35</t>
  </si>
  <si>
    <t>413</t>
  </si>
  <si>
    <t>25152000000079256726</t>
  </si>
  <si>
    <t>2025-12-31 15:12:16</t>
  </si>
  <si>
    <t>414</t>
  </si>
  <si>
    <t>25152000000079256423</t>
  </si>
  <si>
    <t>2025-12-31 15:11:54</t>
  </si>
  <si>
    <t>415</t>
  </si>
  <si>
    <t>25152000000079256387</t>
  </si>
  <si>
    <t>2025-12-31 15:12:22</t>
  </si>
  <si>
    <t>416</t>
  </si>
  <si>
    <t>25152000000079256280</t>
  </si>
  <si>
    <t>2025-12-31 15:12:02</t>
  </si>
  <si>
    <t>417</t>
  </si>
  <si>
    <t>25152000000079256248</t>
  </si>
  <si>
    <t>2025-12-31 15:11:47</t>
  </si>
  <si>
    <t>418</t>
  </si>
  <si>
    <t>25152000000079255778</t>
  </si>
  <si>
    <t>2025-12-31 15:11:41</t>
  </si>
  <si>
    <t>419</t>
  </si>
  <si>
    <t>25152000000079255691</t>
  </si>
  <si>
    <t>2025-12-31 15:11:35</t>
  </si>
  <si>
    <t>420</t>
  </si>
  <si>
    <t>25152000000079255661</t>
  </si>
  <si>
    <t>2025-12-31 15:11:12</t>
  </si>
  <si>
    <t>421</t>
  </si>
  <si>
    <t>25152000000079255589</t>
  </si>
  <si>
    <t>2025-12-31 15:11:18</t>
  </si>
  <si>
    <t>422</t>
  </si>
  <si>
    <t>25152000000079255561</t>
  </si>
  <si>
    <t>2025-12-31 15:10:59</t>
  </si>
  <si>
    <t>423</t>
  </si>
  <si>
    <t>25152000000079255554</t>
  </si>
  <si>
    <t>2025-12-31 15:10:54</t>
  </si>
  <si>
    <t>424</t>
  </si>
  <si>
    <t>25152000000079255543</t>
  </si>
  <si>
    <t>2025-12-31 15:10:48</t>
  </si>
  <si>
    <t>425</t>
  </si>
  <si>
    <t>25152000000079255519</t>
  </si>
  <si>
    <t>2025-12-31 15:10:33</t>
  </si>
  <si>
    <t>426</t>
  </si>
  <si>
    <t>25152000000079255494</t>
  </si>
  <si>
    <t>2025-12-31 15:11:05</t>
  </si>
  <si>
    <t>427</t>
  </si>
  <si>
    <t>25152000000079255291</t>
  </si>
  <si>
    <t>2025-12-31 15:10:29</t>
  </si>
  <si>
    <t>428</t>
  </si>
  <si>
    <t>25152000000079255227</t>
  </si>
  <si>
    <t>2025-12-31 15:10:11</t>
  </si>
  <si>
    <t>429</t>
  </si>
  <si>
    <t>25152000000079255196</t>
  </si>
  <si>
    <t>2025-12-31 15:10:43</t>
  </si>
  <si>
    <t>430</t>
  </si>
  <si>
    <t>25152000000079255184</t>
  </si>
  <si>
    <t>2025-12-31 15:10:37</t>
  </si>
  <si>
    <t>431</t>
  </si>
  <si>
    <t>2025-12-22 09:49:31</t>
  </si>
  <si>
    <t>91150203318470977T</t>
  </si>
  <si>
    <t>内蒙古旭武重恒钢结构彩板工程有限公司</t>
  </si>
  <si>
    <t>432</t>
  </si>
  <si>
    <t>2025-12-09 11:48:10</t>
  </si>
  <si>
    <t>433</t>
  </si>
  <si>
    <t>25152000000076853718</t>
  </si>
  <si>
    <t>2025-12-22 19:06:46</t>
  </si>
  <si>
    <t>91150121MA0Q39JTXM</t>
  </si>
  <si>
    <t>建华建材（内蒙古）有限公司</t>
  </si>
  <si>
    <t>434</t>
  </si>
  <si>
    <t>25152000000076396541</t>
  </si>
  <si>
    <t>2025-12-20 17:56:37</t>
  </si>
  <si>
    <t>435</t>
  </si>
  <si>
    <t>25152000000073441947</t>
  </si>
  <si>
    <t>2025-12-09 15:08:35</t>
  </si>
  <si>
    <t>436</t>
  </si>
  <si>
    <t>25152000000079046455</t>
  </si>
  <si>
    <t>2025-12-30 19:47:01</t>
  </si>
  <si>
    <t>437</t>
  </si>
  <si>
    <t>25152000000079046451</t>
  </si>
  <si>
    <t>2025-12-30 19:46:55</t>
  </si>
  <si>
    <t>438</t>
  </si>
  <si>
    <t>25152000000079046355</t>
  </si>
  <si>
    <t>2025-12-30 19:46:50</t>
  </si>
  <si>
    <t>439</t>
  </si>
  <si>
    <t>25152000000079046321</t>
  </si>
  <si>
    <t>2025-12-30 19:46:12</t>
  </si>
  <si>
    <t>440</t>
  </si>
  <si>
    <t>25152000000079046229</t>
  </si>
  <si>
    <t>2025-12-30 19:46:26</t>
  </si>
  <si>
    <t>441</t>
  </si>
  <si>
    <t>25152000000079046215</t>
  </si>
  <si>
    <t>2025-12-30 19:45:52</t>
  </si>
  <si>
    <t>442</t>
  </si>
  <si>
    <t>25152000000079046125</t>
  </si>
  <si>
    <t>2025-12-30 19:46:32</t>
  </si>
  <si>
    <t>443</t>
  </si>
  <si>
    <t>25152000000079046060</t>
  </si>
  <si>
    <t>2025-12-30 19:47:14</t>
  </si>
  <si>
    <t>444</t>
  </si>
  <si>
    <t>25152000000079046047</t>
  </si>
  <si>
    <t>2025-12-30 19:46:44</t>
  </si>
  <si>
    <t>445</t>
  </si>
  <si>
    <t>25152000000079045969</t>
  </si>
  <si>
    <t>2025-12-30 19:47:07</t>
  </si>
  <si>
    <t>446</t>
  </si>
  <si>
    <t>25152000000079045951</t>
  </si>
  <si>
    <t>2025-12-30 19:46:40</t>
  </si>
  <si>
    <t>447</t>
  </si>
  <si>
    <t>25152000000079045936</t>
  </si>
  <si>
    <t>2025-12-30 19:46:21</t>
  </si>
  <si>
    <t>448</t>
  </si>
  <si>
    <t>25152000000079045614</t>
  </si>
  <si>
    <t>2025-12-30 19:40:39</t>
  </si>
  <si>
    <t>449</t>
  </si>
  <si>
    <t>25152000000079045610</t>
  </si>
  <si>
    <t>2025-12-30 19:40:34</t>
  </si>
  <si>
    <t>450</t>
  </si>
  <si>
    <t>25152000000079045604</t>
  </si>
  <si>
    <t>2025-12-30 19:40:16</t>
  </si>
  <si>
    <t>451</t>
  </si>
  <si>
    <t>25152000000079045520</t>
  </si>
  <si>
    <t>2025-12-30 19:40:43</t>
  </si>
  <si>
    <t>452</t>
  </si>
  <si>
    <t>25152000000079045510</t>
  </si>
  <si>
    <t>2025-12-30 19:40:25</t>
  </si>
  <si>
    <t>453</t>
  </si>
  <si>
    <t>25152000000079045411</t>
  </si>
  <si>
    <t>2025-12-30 19:40:21</t>
  </si>
  <si>
    <t>454</t>
  </si>
  <si>
    <t>25152000000079045313</t>
  </si>
  <si>
    <t>2025-12-30 19:40:10</t>
  </si>
  <si>
    <t>455</t>
  </si>
  <si>
    <t>25152000000079045311</t>
  </si>
  <si>
    <t>2025-12-30 19:40:06</t>
  </si>
  <si>
    <t>456</t>
  </si>
  <si>
    <t>25152000000079045273</t>
  </si>
  <si>
    <t>2025-12-30 19:39:54</t>
  </si>
  <si>
    <t>457</t>
  </si>
  <si>
    <t>25152000000079045265</t>
  </si>
  <si>
    <t>2025-12-30 19:39:31</t>
  </si>
  <si>
    <t>458</t>
  </si>
  <si>
    <t>25152000000079045243</t>
  </si>
  <si>
    <t>2025-12-30 19:38:43</t>
  </si>
  <si>
    <t>459</t>
  </si>
  <si>
    <t>25152000000079045188</t>
  </si>
  <si>
    <t>2025-12-30 19:40:29</t>
  </si>
  <si>
    <t>460</t>
  </si>
  <si>
    <t>25152000000079045170</t>
  </si>
  <si>
    <t>2025-12-30 19:39:50</t>
  </si>
  <si>
    <t>461</t>
  </si>
  <si>
    <t>25152000000079045168</t>
  </si>
  <si>
    <t>2025-12-30 19:39:44</t>
  </si>
  <si>
    <t>462</t>
  </si>
  <si>
    <t>25152000000079045162</t>
  </si>
  <si>
    <t>2025-12-30 19:39:27</t>
  </si>
  <si>
    <t>463</t>
  </si>
  <si>
    <t>25152000000079045144</t>
  </si>
  <si>
    <t>2025-12-30 19:38:36</t>
  </si>
  <si>
    <t>464</t>
  </si>
  <si>
    <t>25152000000079045099</t>
  </si>
  <si>
    <t>2025-12-30 19:40:03</t>
  </si>
  <si>
    <t>465</t>
  </si>
  <si>
    <t>25152000000079045095</t>
  </si>
  <si>
    <t>2025-12-30 19:39:57</t>
  </si>
  <si>
    <t>466</t>
  </si>
  <si>
    <t>25152000000079045084</t>
  </si>
  <si>
    <t>2025-12-30 19:39:36</t>
  </si>
  <si>
    <t>467</t>
  </si>
  <si>
    <t>25152000000079044988</t>
  </si>
  <si>
    <t>2025-12-30 19:39:22</t>
  </si>
  <si>
    <t>468</t>
  </si>
  <si>
    <t>25152000000079044791</t>
  </si>
  <si>
    <t>2025-12-30 19:39:39</t>
  </si>
  <si>
    <t>469</t>
  </si>
  <si>
    <t>25152000000079044781</t>
  </si>
  <si>
    <t>2025-12-30 19:39:17</t>
  </si>
  <si>
    <t>470</t>
  </si>
  <si>
    <t>2025-12-01 11:04:07</t>
  </si>
  <si>
    <t>91150105MA0PTHQF2W</t>
  </si>
  <si>
    <t>内蒙古联辰工程技术发展有限公司</t>
  </si>
  <si>
    <t>471</t>
  </si>
  <si>
    <t>2025-11-26 09:59:43</t>
  </si>
  <si>
    <t>91150105MA0NBKAR7Y</t>
  </si>
  <si>
    <t>内蒙古琼瑛地质勘查技术服务有限责任公司</t>
  </si>
  <si>
    <t>472</t>
  </si>
  <si>
    <t>25157000000043928587</t>
  </si>
  <si>
    <t>2025-12-24 17:06:26</t>
  </si>
  <si>
    <t>91150105318548949T</t>
  </si>
  <si>
    <t>内蒙古能源规划设计研究院有限公司</t>
  </si>
  <si>
    <t>473</t>
  </si>
  <si>
    <t>25157000000043928586</t>
  </si>
  <si>
    <t>2025-12-24 17:00:18</t>
  </si>
  <si>
    <t>474</t>
  </si>
  <si>
    <t>25157000000043928584</t>
  </si>
  <si>
    <t>2025-12-18 11:24:28</t>
  </si>
  <si>
    <t>475</t>
  </si>
  <si>
    <t>25157000000043928583</t>
  </si>
  <si>
    <t>2025-12-18 11:22:09</t>
  </si>
  <si>
    <t>476</t>
  </si>
  <si>
    <t>25157000000043928582</t>
  </si>
  <si>
    <t>2025-12-18 11:19:13</t>
  </si>
  <si>
    <t>477</t>
  </si>
  <si>
    <t>25157000000043928574</t>
  </si>
  <si>
    <t>2025-12-17 18:39:54</t>
  </si>
  <si>
    <t>478</t>
  </si>
  <si>
    <t>25157000000043928573</t>
  </si>
  <si>
    <t>2025-12-17 18:35:53</t>
  </si>
  <si>
    <t>479</t>
  </si>
  <si>
    <t>25157000000043928572</t>
  </si>
  <si>
    <t>2025-12-17 18:33:03</t>
  </si>
  <si>
    <t>480</t>
  </si>
  <si>
    <t>25157000000043928571</t>
  </si>
  <si>
    <t>2025-12-17 18:30:18</t>
  </si>
  <si>
    <t>481</t>
  </si>
  <si>
    <t>25157000000043928570</t>
  </si>
  <si>
    <t>2025-12-17 18:27:03</t>
  </si>
  <si>
    <t>482</t>
  </si>
  <si>
    <t>25157000000043928569</t>
  </si>
  <si>
    <t>2025-12-17 18:23:21</t>
  </si>
  <si>
    <t>483</t>
  </si>
  <si>
    <t>25157000000043928568</t>
  </si>
  <si>
    <t>2025-12-17 18:20:31</t>
  </si>
  <si>
    <t>484</t>
  </si>
  <si>
    <t>25157000000043928567</t>
  </si>
  <si>
    <t>2025-12-15 11:22:17</t>
  </si>
  <si>
    <t>485</t>
  </si>
  <si>
    <t>25157000000043928566</t>
  </si>
  <si>
    <t>2025-12-15 11:19:54</t>
  </si>
  <si>
    <t>486</t>
  </si>
  <si>
    <t>25157000000043928565</t>
  </si>
  <si>
    <t>2025-12-12 15:52:55</t>
  </si>
  <si>
    <t>487</t>
  </si>
  <si>
    <t>2025-12-05 11:06:12</t>
  </si>
  <si>
    <t>91150102680020071F</t>
  </si>
  <si>
    <t>内蒙古伟疆中研科技发展有限公司</t>
  </si>
  <si>
    <t>488</t>
  </si>
  <si>
    <t>2025-11-19 13:36:39</t>
  </si>
  <si>
    <t>91150100MA0Q50QU9U</t>
  </si>
  <si>
    <t>内蒙古科睿信息技术服务有限公司</t>
  </si>
  <si>
    <t>489</t>
  </si>
  <si>
    <t>25152000000077224688</t>
  </si>
  <si>
    <t>2025-12-24 09:14:48</t>
  </si>
  <si>
    <t>91150100701443891J</t>
  </si>
  <si>
    <t>内蒙古华强数智科技股份有限公司</t>
  </si>
  <si>
    <t>490</t>
  </si>
  <si>
    <t>25152000000076921819</t>
  </si>
  <si>
    <t>2025-12-23 09:43:49</t>
  </si>
  <si>
    <t>491</t>
  </si>
  <si>
    <t>25152000000075837155</t>
  </si>
  <si>
    <t>2025-12-18 14:23:58</t>
  </si>
  <si>
    <t>492</t>
  </si>
  <si>
    <t>2025-12-15 14:57:11</t>
  </si>
  <si>
    <t>91131081MA0G9B457G</t>
  </si>
  <si>
    <t>河北赛纳建筑工程有限公司</t>
  </si>
  <si>
    <t>493</t>
  </si>
  <si>
    <t>2025-12-15 15:00:25</t>
  </si>
  <si>
    <t>494</t>
  </si>
  <si>
    <t>2025-12-08 08:48:26</t>
  </si>
  <si>
    <t>91130982MA0A2LN19L</t>
  </si>
  <si>
    <t>河北德亚电力器材有限公司</t>
  </si>
  <si>
    <t>495</t>
  </si>
  <si>
    <t>2025-12-02 10:08:22</t>
  </si>
  <si>
    <t>496</t>
  </si>
  <si>
    <t>2025-12-02 10:01:57</t>
  </si>
  <si>
    <t>497</t>
  </si>
  <si>
    <t>2025-12-02 09:18:25</t>
  </si>
  <si>
    <t>498</t>
  </si>
  <si>
    <t>2025-12-02 09:14:25</t>
  </si>
  <si>
    <t>499</t>
  </si>
  <si>
    <t>2025-12-02 08:55:47</t>
  </si>
  <si>
    <t>500</t>
  </si>
  <si>
    <t>25132000000229811464</t>
  </si>
  <si>
    <t>2025-12-20 15:44:52</t>
  </si>
  <si>
    <t>91130900740175199L</t>
  </si>
  <si>
    <t>华油飞达集团有限公司</t>
  </si>
  <si>
    <t>501</t>
  </si>
  <si>
    <t>25132000000223909118</t>
  </si>
  <si>
    <t>2025-12-13 12:07:04</t>
  </si>
  <si>
    <t>502</t>
  </si>
  <si>
    <t>2025-09-07 17:02:00</t>
  </si>
  <si>
    <t>91130827595427440M</t>
  </si>
  <si>
    <t>宽城盛通市政建设工程有限责任公司</t>
  </si>
  <si>
    <t>503</t>
  </si>
  <si>
    <t>2025-11-26 16:15:38</t>
  </si>
  <si>
    <t>91130822MACR3EW60B</t>
  </si>
  <si>
    <t>河北冀佑建设工程技术服务有限公司</t>
  </si>
  <si>
    <t>504</t>
  </si>
  <si>
    <t>2025-11-26 16:15:57</t>
  </si>
  <si>
    <t>505</t>
  </si>
  <si>
    <t>2025-11-28 12:00:58</t>
  </si>
  <si>
    <t>91130805MA08L0E751</t>
  </si>
  <si>
    <t>河北双塔建设工程有限公司</t>
  </si>
  <si>
    <t>506</t>
  </si>
  <si>
    <t>25132000000205841966</t>
  </si>
  <si>
    <t>2025-11-20 09:55:29</t>
  </si>
  <si>
    <t>91130602MA7KFMNY46</t>
  </si>
  <si>
    <t>河北绘智规划设计管理有限公司</t>
  </si>
  <si>
    <t>507</t>
  </si>
  <si>
    <t>25132000000205758197</t>
  </si>
  <si>
    <t>2025-11-20 10:47:55</t>
  </si>
  <si>
    <t>508</t>
  </si>
  <si>
    <t>25132000000205758103</t>
  </si>
  <si>
    <t>2025-11-20 10:46:54</t>
  </si>
  <si>
    <t>509</t>
  </si>
  <si>
    <t>25132000000210893978</t>
  </si>
  <si>
    <t>2025-11-26 12:33:11</t>
  </si>
  <si>
    <t>91130431MA0E08WPXR</t>
  </si>
  <si>
    <t>鸡泽县诚泽房产经纪有限公司</t>
  </si>
  <si>
    <t>510</t>
  </si>
  <si>
    <t>2025-12-18 09:06:44</t>
  </si>
  <si>
    <t>91130405MACE5G6A22</t>
  </si>
  <si>
    <t>河北靖发电力工程有限公司</t>
  </si>
  <si>
    <t>511</t>
  </si>
  <si>
    <t>25132000000229000661</t>
  </si>
  <si>
    <t>2025-12-19 13:35:21</t>
  </si>
  <si>
    <t>91130404MA0GEB403D</t>
  </si>
  <si>
    <t>河北文典建筑工程有限公司</t>
  </si>
  <si>
    <t>512</t>
  </si>
  <si>
    <t>25132000000228680443</t>
  </si>
  <si>
    <t>2025-12-19 09:26:19</t>
  </si>
  <si>
    <t>513</t>
  </si>
  <si>
    <t>25132000000228631188</t>
  </si>
  <si>
    <t>2025-12-19 09:16:21</t>
  </si>
  <si>
    <t>514</t>
  </si>
  <si>
    <t>25132000000228582167</t>
  </si>
  <si>
    <t>2025-12-19 09:19:52</t>
  </si>
  <si>
    <t>515</t>
  </si>
  <si>
    <t>25132000000228554968</t>
  </si>
  <si>
    <t>2025-12-19 09:17:31</t>
  </si>
  <si>
    <t>516</t>
  </si>
  <si>
    <t>25132000000221811328</t>
  </si>
  <si>
    <t>2025-12-10 13:47:50</t>
  </si>
  <si>
    <t>517</t>
  </si>
  <si>
    <t>25132000000221791954</t>
  </si>
  <si>
    <t>2025-12-10 13:48:52</t>
  </si>
  <si>
    <t>518</t>
  </si>
  <si>
    <t>25132000000221703158</t>
  </si>
  <si>
    <t>2025-12-10 13:46:25</t>
  </si>
  <si>
    <t>519</t>
  </si>
  <si>
    <t>25132000000220602897</t>
  </si>
  <si>
    <t>2025-12-09 09:46:41</t>
  </si>
  <si>
    <t>520</t>
  </si>
  <si>
    <t>2025-12-04 13:32:57</t>
  </si>
  <si>
    <t>521</t>
  </si>
  <si>
    <t>25132000000226974981</t>
  </si>
  <si>
    <t>2025-12-17 11:32:52</t>
  </si>
  <si>
    <t>91130400087251063R</t>
  </si>
  <si>
    <t>河北晶通建筑科技股份有限公司</t>
  </si>
  <si>
    <t>522</t>
  </si>
  <si>
    <t>2025-11-20 08:51:06</t>
  </si>
  <si>
    <t>91130105MA08R5574H</t>
  </si>
  <si>
    <t>石家庄云图建筑装饰工程有限公司</t>
  </si>
  <si>
    <t>523</t>
  </si>
  <si>
    <t>25132000000223851415</t>
  </si>
  <si>
    <t>2025-12-12 16:58:44</t>
  </si>
  <si>
    <t>9113010009256702XL</t>
  </si>
  <si>
    <t>河北久维电子科技有限公司</t>
  </si>
  <si>
    <t>524</t>
  </si>
  <si>
    <t>2025-12-10 15:55:30</t>
  </si>
  <si>
    <t>91120118MA06TBYG8R</t>
  </si>
  <si>
    <t>和电新能源科技（天津）有限公司</t>
  </si>
  <si>
    <t>525</t>
  </si>
  <si>
    <t>2025-12-11 12:11:31</t>
  </si>
  <si>
    <t>91110112MA01RCME2R</t>
  </si>
  <si>
    <t>北京维西通技术服务有限公司</t>
  </si>
  <si>
    <t>526</t>
  </si>
  <si>
    <t>2025-12-11 12:08:42</t>
  </si>
  <si>
    <t>527</t>
  </si>
  <si>
    <t>2025-12-11 12:10:28</t>
  </si>
  <si>
    <t>528</t>
  </si>
  <si>
    <t>2025-11-11 12:44:56</t>
  </si>
  <si>
    <t>529</t>
  </si>
  <si>
    <t>25112000000278442098</t>
  </si>
  <si>
    <t>2025-12-10 18:04:38</t>
  </si>
  <si>
    <t>91110108777674231L</t>
  </si>
  <si>
    <t>青矩工程顾问有限公司</t>
  </si>
  <si>
    <t>530</t>
  </si>
  <si>
    <t>25112000000278416575</t>
  </si>
  <si>
    <t>531</t>
  </si>
  <si>
    <t>25117000001549340669</t>
  </si>
  <si>
    <t>2025-12-12 15:13:20</t>
  </si>
  <si>
    <t>91110108558521630L</t>
  </si>
  <si>
    <t>小米通讯技术有限公司</t>
  </si>
  <si>
    <t>532</t>
  </si>
  <si>
    <t>25117000001383280499</t>
  </si>
  <si>
    <t>2025-11-02 19:22:19</t>
  </si>
  <si>
    <t>533</t>
  </si>
  <si>
    <t>2025-10-11 10:50:47</t>
  </si>
  <si>
    <t>9111010756748320XC</t>
  </si>
  <si>
    <t>北京汉为检测技术有限公司</t>
  </si>
  <si>
    <t>534</t>
  </si>
  <si>
    <t>2025-10-11 10:47:18</t>
  </si>
  <si>
    <t>535</t>
  </si>
  <si>
    <t>25117000001536976781</t>
  </si>
  <si>
    <t>2025-12-11 17:41:07</t>
  </si>
  <si>
    <t>91110105667530069X</t>
  </si>
  <si>
    <t>北京神州汽车租赁有限公司</t>
  </si>
  <si>
    <t>536</t>
  </si>
  <si>
    <t>25117000001536976773</t>
  </si>
  <si>
    <t>537</t>
  </si>
  <si>
    <t>25117000001536976030</t>
  </si>
  <si>
    <t>2025-12-09 17:34:38</t>
  </si>
  <si>
    <t>538</t>
  </si>
  <si>
    <t>25117000001536975997</t>
  </si>
  <si>
    <t>539</t>
  </si>
  <si>
    <t>25117000001536975695</t>
  </si>
  <si>
    <t>2025-12-09 17:34:30</t>
  </si>
  <si>
    <t>540</t>
  </si>
  <si>
    <t>25112000000296638221</t>
  </si>
  <si>
    <t>2025-12-26 22:40:46</t>
  </si>
  <si>
    <t>541</t>
  </si>
  <si>
    <t>25112000000292491469</t>
  </si>
  <si>
    <t>2025-12-23 17:34:52</t>
  </si>
  <si>
    <t>542</t>
  </si>
  <si>
    <t>25112000000292491282</t>
  </si>
  <si>
    <t>2025-12-23 17:34:01</t>
  </si>
  <si>
    <t>543</t>
  </si>
  <si>
    <t>25112000000292464058</t>
  </si>
  <si>
    <t>2025-12-23 17:35:33</t>
  </si>
  <si>
    <t>544</t>
  </si>
  <si>
    <t>25112000000292463927</t>
  </si>
  <si>
    <t>2025-12-23 17:34:57</t>
  </si>
  <si>
    <t>545</t>
  </si>
  <si>
    <t>25112000000292454387</t>
  </si>
  <si>
    <t>2025-12-23 17:34:48</t>
  </si>
  <si>
    <t>546</t>
  </si>
  <si>
    <t>25112000000292454357</t>
  </si>
  <si>
    <t>2025-12-23 17:34:42</t>
  </si>
  <si>
    <t>547</t>
  </si>
  <si>
    <t>25112000000292437379</t>
  </si>
  <si>
    <t>2025-12-23 17:35:09</t>
  </si>
  <si>
    <t>548</t>
  </si>
  <si>
    <t>25112000000292428619</t>
  </si>
  <si>
    <t>2025-12-23 17:34:36</t>
  </si>
  <si>
    <t>549</t>
  </si>
  <si>
    <t>25112000000287310122</t>
  </si>
  <si>
    <t>2025-12-18 17:46:33</t>
  </si>
  <si>
    <t>550</t>
  </si>
  <si>
    <t>25112000000287302665</t>
  </si>
  <si>
    <t>2025-12-18 17:46:57</t>
  </si>
  <si>
    <t>551</t>
  </si>
  <si>
    <t>25112000000287302599</t>
  </si>
  <si>
    <t>2025-12-18 17:46:35</t>
  </si>
  <si>
    <t>552</t>
  </si>
  <si>
    <t>25112000000287257547</t>
  </si>
  <si>
    <t>2025-12-18 17:46:36</t>
  </si>
  <si>
    <t>553</t>
  </si>
  <si>
    <t>25112000000284453479</t>
  </si>
  <si>
    <t>2025-12-16 15:36:25</t>
  </si>
  <si>
    <t>554</t>
  </si>
  <si>
    <t>25112000000284444133</t>
  </si>
  <si>
    <t>2025-12-16 15:36:21</t>
  </si>
  <si>
    <t>555</t>
  </si>
  <si>
    <t>25112000000269182124</t>
  </si>
  <si>
    <t>2025-12-02 17:05:00</t>
  </si>
  <si>
    <t>556</t>
  </si>
  <si>
    <t>25112000000269164076</t>
  </si>
  <si>
    <t>2025-12-02 17:08:27</t>
  </si>
  <si>
    <t>557</t>
  </si>
  <si>
    <t>2025-12-01 16:26:30</t>
  </si>
  <si>
    <t>91110101100028350W</t>
  </si>
  <si>
    <t>国家能源集团国际工程咨询有限公司</t>
  </si>
  <si>
    <t>558</t>
  </si>
  <si>
    <t>25112000000279347479</t>
  </si>
  <si>
    <t>2025-12-11 14:49:59</t>
  </si>
  <si>
    <t>91110000625904675J</t>
  </si>
  <si>
    <t>北京四方继保自动化股份有限公司</t>
  </si>
  <si>
    <t>559</t>
  </si>
  <si>
    <t>25117000001540244346</t>
  </si>
  <si>
    <t>2025-12-26 16:28:04</t>
  </si>
  <si>
    <t>91110000101107173B</t>
  </si>
  <si>
    <t>中国建筑一局(集团)有限公司</t>
  </si>
  <si>
    <t>560</t>
  </si>
  <si>
    <t>2025-11-25 16:41:18</t>
  </si>
  <si>
    <t>31310000425120577X</t>
  </si>
  <si>
    <t>北京大成（上海）律师事务所</t>
  </si>
  <si>
    <t>561</t>
  </si>
  <si>
    <t>2025-11-25 16:39:51</t>
  </si>
  <si>
    <t>562</t>
  </si>
  <si>
    <t>2025-10-31 08:23:21</t>
  </si>
  <si>
    <t>12610800MB2949682P</t>
  </si>
  <si>
    <t>榆林市气象服务中心</t>
  </si>
  <si>
    <t>563</t>
  </si>
  <si>
    <t>2025-10-31 08:19:45</t>
  </si>
  <si>
    <t>564</t>
  </si>
  <si>
    <t>25452000000067982242</t>
  </si>
  <si>
    <t>2025-06-20 15:28:55</t>
  </si>
  <si>
    <t>12450700499708728J</t>
  </si>
  <si>
    <t>钦州市测绘地理信息中心</t>
  </si>
  <si>
    <t>565</t>
  </si>
  <si>
    <t>2025-12-22 12:32:23</t>
  </si>
  <si>
    <t>12411700MB1T635950</t>
  </si>
  <si>
    <t>周口市气象科技服务中心</t>
  </si>
  <si>
    <t>未开票金额</t>
  </si>
  <si>
    <t>当月开票金额</t>
  </si>
  <si>
    <t>以前月度开票金额</t>
  </si>
  <si>
    <t>当月利润表主营业务收入（商品销售13%）</t>
  </si>
  <si>
    <t>当月利润表主营业务收入（商品销售13%-普票）</t>
  </si>
  <si>
    <t>当月利润表主营业务收入（建安收入9%）</t>
  </si>
  <si>
    <t>当月利润表主营业务收入（建安收入9%-普票）</t>
  </si>
  <si>
    <t>当月利润表主营业务收入（设计服务6%）</t>
  </si>
  <si>
    <t>当月利润表主营业务收入（设计服务6%-普票）</t>
  </si>
  <si>
    <t>省份</t>
  </si>
  <si>
    <t>县市</t>
  </si>
  <si>
    <t>项目公司</t>
  </si>
  <si>
    <t>异地预缴申报所属期</t>
  </si>
  <si>
    <t>总包金额</t>
  </si>
  <si>
    <t>异地预缴收入</t>
  </si>
  <si>
    <t>扣除金额</t>
  </si>
  <si>
    <t>异地预缴增值税扣除额</t>
  </si>
  <si>
    <t>地方水利建设基金</t>
  </si>
  <si>
    <t>附加税费</t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</si>
  <si>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固定资产处置收入</t>
    </r>
  </si>
  <si>
    <t>新疆</t>
  </si>
  <si>
    <t>和田市吐哈</t>
  </si>
  <si>
    <t>中国石油天然气股份有限公司吐哈油田分公司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</si>
  <si>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</t>
    </r>
  </si>
  <si>
    <r>
      <rPr>
        <sz val="11"/>
        <rFont val="宋体"/>
        <family val="3"/>
        <charset val="134"/>
      </rPr>
      <t>企税于所属期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月已抵减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</si>
  <si>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财务费用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利息收入</t>
    </r>
  </si>
  <si>
    <t>安徽</t>
  </si>
  <si>
    <t>宣城市郎溪县凌笪镇</t>
  </si>
  <si>
    <t>郎溪景瑞</t>
  </si>
  <si>
    <t>其他收益计税金额</t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</si>
  <si>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其他收益</t>
    </r>
  </si>
  <si>
    <t>邯郸市馆陶县</t>
  </si>
  <si>
    <t>河北馆陶</t>
  </si>
  <si>
    <t>内蒙古</t>
  </si>
  <si>
    <t>鄂尔多斯市伊金霍洛旗</t>
  </si>
  <si>
    <t>鄂尔多斯零碳产业园</t>
  </si>
  <si>
    <r>
      <rPr>
        <sz val="9"/>
        <color theme="1"/>
        <rFont val="宋体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宋体"/>
        <family val="3"/>
        <charset val="134"/>
      </rPr>
      <t>销项税（商品销售13%）</t>
    </r>
  </si>
  <si>
    <r>
      <rPr>
        <sz val="9"/>
        <color theme="1"/>
        <rFont val="宋体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宋体"/>
        <family val="3"/>
        <charset val="134"/>
      </rPr>
      <t>销项税（商品销售13%-普票）</t>
    </r>
  </si>
  <si>
    <t>远景郎溪县风电场项目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</si>
  <si>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7</t>
    </r>
    <r>
      <rPr>
        <sz val="11"/>
        <rFont val="宋体"/>
        <family val="3"/>
        <charset val="134"/>
      </rPr>
      <t>月申报抵减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</si>
  <si>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销项税（建安部分9%）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</si>
  <si>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销项税（建安部分9%-普票）</t>
    </r>
  </si>
  <si>
    <t>内蒙古自治区乌兰察布市察哈尔右翼后旗白音察干镇后旗</t>
  </si>
  <si>
    <t>察哈尔右翼后旗景源新能源有限公司</t>
  </si>
  <si>
    <t>察哈尔景源（源荷互动绿色大数据中心）</t>
  </si>
  <si>
    <t>企税于所属期9月已抵减</t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</si>
  <si>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销项税（设计服务6%）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</si>
  <si>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销项税（设计服务6%-普票）</t>
    </r>
  </si>
  <si>
    <t>定远县经济开发区</t>
  </si>
  <si>
    <t>定远纳驰风力发电有限公司</t>
  </si>
  <si>
    <t>安徽定远欣月(四期)工程项目</t>
  </si>
  <si>
    <t>预开票（未确认收入）-应交增值税</t>
  </si>
  <si>
    <t>定远县定远经济开发区</t>
  </si>
  <si>
    <t>定远纳风风力发电有限公司</t>
  </si>
  <si>
    <t>安徽定远乘风(三期)工程项目</t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</si>
  <si>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</t>
    </r>
  </si>
  <si>
    <t>新疆哈密市巴里坤哈萨克自治县</t>
  </si>
  <si>
    <t>哈密博景新能源有限责任公司</t>
  </si>
  <si>
    <t>巴里坤县 40 万千瓦风电+40 万千瓦时储能新能源项目</t>
  </si>
  <si>
    <r>
      <rPr>
        <sz val="9"/>
        <color theme="1"/>
        <rFont val="等线"/>
        <family val="3"/>
        <charset val="134"/>
      </rPr>
      <t>进项转出</t>
    </r>
  </si>
  <si>
    <t>源荷互动绿色大数据中心示范项目EPC总承包采购合同</t>
  </si>
  <si>
    <t>vat于11期抵减</t>
  </si>
  <si>
    <t>cit于12期已抵减</t>
  </si>
  <si>
    <r>
      <rPr>
        <sz val="9"/>
        <color theme="1"/>
        <rFont val="等线"/>
        <family val="3"/>
        <charset val="134"/>
      </rPr>
      <t>期初留抵进项税</t>
    </r>
  </si>
  <si>
    <t>定边县贺圈镇王家梁</t>
  </si>
  <si>
    <t>定边远定新能源有限公司</t>
  </si>
  <si>
    <t>定边王家梁风电项目工程项目 EPC 总承包采购合同</t>
  </si>
  <si>
    <t>期末留抵进项税</t>
  </si>
  <si>
    <t>河北省承德市丰宁满族自治县鱼儿山镇</t>
  </si>
  <si>
    <t>丰宁满族自治县康宁新能源有限公司</t>
  </si>
  <si>
    <t>丰宁一期</t>
  </si>
  <si>
    <r>
      <rPr>
        <sz val="9"/>
        <color theme="1"/>
        <rFont val="等线"/>
        <family val="3"/>
        <charset val="134"/>
      </rPr>
      <t>应交增值税</t>
    </r>
  </si>
  <si>
    <t>丰宁满族自治县大滩镇</t>
  </si>
  <si>
    <r>
      <rPr>
        <sz val="9"/>
        <color theme="1"/>
        <rFont val="等线"/>
        <family val="3"/>
        <charset val="134"/>
      </rPr>
      <t>异地预缴抵减</t>
    </r>
  </si>
  <si>
    <t>丰宁满族自治县草原乡</t>
  </si>
  <si>
    <r>
      <rPr>
        <sz val="9"/>
        <color theme="1"/>
        <rFont val="等线"/>
        <family val="3"/>
        <charset val="134"/>
      </rPr>
      <t>本期应交增值税</t>
    </r>
  </si>
  <si>
    <t>宁夏</t>
  </si>
  <si>
    <t>宁夏灵武市白土岗乡大唐灵武风电场</t>
  </si>
  <si>
    <t>大唐灵武新能源有限公司</t>
  </si>
  <si>
    <t>大唐灵武新能源有限公司远景 1.5MW 双馈风机叶片增效关键技术成果项目合同</t>
  </si>
  <si>
    <t>内蒙古自治区巴彦淖尔市乌拉特后旗获格琦苏木</t>
  </si>
  <si>
    <t>乌拉特后旗鸿晟风能有限公司</t>
  </si>
  <si>
    <t>巴彦淖尔风电场项目 EPC 总承包采购合同</t>
  </si>
  <si>
    <t>安徽定远欣月(四期)工程项目 EPC 总承包采购合同</t>
  </si>
  <si>
    <t>vat于12期抵减</t>
  </si>
  <si>
    <t>cit于3期已抵减</t>
  </si>
  <si>
    <t>安徽定远乘风(三期)工程项目EPC总承包采购合同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</si>
  <si>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月已经申报抵减</t>
    </r>
  </si>
  <si>
    <t>定远县界牌集镇</t>
  </si>
  <si>
    <t>定边白兴庄风电场项目 EPC 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</si>
  <si>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月申报抵减</t>
    </r>
  </si>
  <si>
    <t>cit于6月已抵减</t>
  </si>
  <si>
    <t>河北省邯郸市鸡泽县</t>
  </si>
  <si>
    <t>利豪鸡泽县50MW保障类风电场项目EPC工程总承包合同</t>
  </si>
  <si>
    <t>乌海市乌达区五虎山街道</t>
  </si>
  <si>
    <t>乌海市金湖独立储能电站项目EPC总承
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</si>
  <si>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</t>
    </r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</si>
  <si>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月申报抵减</t>
    </r>
  </si>
  <si>
    <t>盐城市射阳县射阳港经济开发区护堆河西侧</t>
  </si>
  <si>
    <t>cit于9月已抵减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</si>
  <si>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8</t>
    </r>
    <r>
      <rPr>
        <sz val="11"/>
        <rFont val="宋体"/>
        <family val="3"/>
        <charset val="134"/>
      </rPr>
      <t>月申报抵减</t>
    </r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</si>
  <si>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9</t>
    </r>
    <r>
      <rPr>
        <sz val="11"/>
        <rFont val="宋体"/>
        <family val="3"/>
        <charset val="134"/>
      </rPr>
      <t>月申报抵减</t>
    </r>
  </si>
  <si>
    <t>江苏省盐城市射阳县射阳港经济开发区</t>
  </si>
  <si>
    <t>远景能源射阳样机拆除改造 EPC 总承包</t>
  </si>
  <si>
    <t>内蒙古自治区呼和浩特市武川县哈乐镇卜圪素村</t>
  </si>
  <si>
    <t>呼和浩特武川 100 万千瓦/400 万千瓦时独立储能电站项目 EPC 总承包采购合</t>
  </si>
  <si>
    <t>甘肃省武威市民勤县红沙岗镇</t>
  </si>
  <si>
    <t>景威民勤10万千瓦风电项目EPC总承包采购 同</t>
  </si>
  <si>
    <t>鄂尔多斯伊金霍洛旗红庆河镇</t>
  </si>
  <si>
    <t>远景鄂尔多斯零碳产业园样机项目EPC总承包采购合同</t>
  </si>
  <si>
    <t>本期抵减预缴</t>
  </si>
  <si>
    <t>累计预缴</t>
  </si>
  <si>
    <t>和账面差异</t>
  </si>
  <si>
    <t>事项</t>
  </si>
  <si>
    <t>年份</t>
  </si>
  <si>
    <t>月份</t>
  </si>
  <si>
    <t>含税金额</t>
  </si>
  <si>
    <t>已申报预开票收入</t>
  </si>
  <si>
    <t>已申报预开票税金</t>
  </si>
  <si>
    <t>累计已实现收入</t>
  </si>
  <si>
    <t>累计已实现税金</t>
  </si>
  <si>
    <t>剩余预开票收入</t>
  </si>
  <si>
    <t>剩余预开票税金</t>
  </si>
  <si>
    <t>收入差异</t>
  </si>
  <si>
    <t>税金差异</t>
  </si>
  <si>
    <t>大业项目</t>
  </si>
  <si>
    <t>融资设备预开票</t>
  </si>
  <si>
    <t>设备</t>
  </si>
  <si>
    <t>综能-DHL项目</t>
  </si>
  <si>
    <t>综能项目预开票（账面已计提销项税，未计提收入）</t>
  </si>
  <si>
    <t>建安</t>
  </si>
  <si>
    <t>设计</t>
  </si>
  <si>
    <t>五河项目</t>
  </si>
  <si>
    <t>小计</t>
  </si>
  <si>
    <t>税务申报预开票收入</t>
  </si>
  <si>
    <t>账面已实现收入</t>
  </si>
  <si>
    <t>账面已确认收入明细</t>
  </si>
  <si>
    <t>已确认合计</t>
  </si>
  <si>
    <t>申报账面数</t>
  </si>
  <si>
    <t>开票数</t>
  </si>
  <si>
    <t>未开票数</t>
  </si>
  <si>
    <t>营业收入</t>
  </si>
  <si>
    <t>销售收入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</si>
  <si>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</si>
  <si>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</si>
  <si>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</si>
  <si>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</si>
  <si>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</si>
  <si>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</si>
  <si>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</si>
  <si>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</si>
  <si>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</si>
  <si>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</si>
  <si>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</si>
  <si>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</si>
  <si>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合计数</t>
  </si>
  <si>
    <t>申报税费汇总表</t>
  </si>
  <si>
    <t>残疾人保证金</t>
  </si>
  <si>
    <t>单位：元</t>
  </si>
  <si>
    <t>所得税</t>
  </si>
  <si>
    <t>增值税附加税</t>
  </si>
  <si>
    <t>工会经费</t>
  </si>
  <si>
    <t>耕地占用税</t>
  </si>
  <si>
    <t>土地使用税</t>
  </si>
  <si>
    <t>垃圾费</t>
  </si>
  <si>
    <t>水利基金、残疾人保证金</t>
  </si>
  <si>
    <t>税务检查补税</t>
  </si>
  <si>
    <t>契税</t>
  </si>
  <si>
    <t>税款合计</t>
  </si>
  <si>
    <t>实缴税费汇总表</t>
  </si>
  <si>
    <t>实际缴纳所属期</t>
  </si>
  <si>
    <t>水利基金</t>
  </si>
  <si>
    <t>实缴税金</t>
  </si>
  <si>
    <t>申请税金</t>
  </si>
  <si>
    <t>原因</t>
  </si>
  <si>
    <t>7,850, 055.95</t>
  </si>
  <si>
    <t>销项税额-主营业务收入（商品销售）</t>
    <phoneticPr fontId="85" type="noConversion"/>
  </si>
  <si>
    <t>销项税额-主营业务收入（建安收入）</t>
    <phoneticPr fontId="85" type="noConversion"/>
  </si>
  <si>
    <t>销项税额-主营业务收入（设计服务）</t>
    <phoneticPr fontId="85" type="noConversion"/>
  </si>
  <si>
    <t>61408220000001</t>
    <phoneticPr fontId="85" type="noConversion"/>
  </si>
  <si>
    <t>61400200000001</t>
    <phoneticPr fontId="8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</si>
</sst>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76" formatCode="_(* #,##0.00_);_(* \(#,##0.00\);_(* &quot;-&quot;??_);_(@_)"/>
    <numFmt numFmtId="177" formatCode="_-* #,##0_-;\-* #,##0_-;_-* &quot;-&quot;_-;_-@_-"/>
    <numFmt numFmtId="178" formatCode="yyyy&quot;年&quot;m&quot;月&quot;;@"/>
    <numFmt numFmtId="179" formatCode="0.00_);[Red]\(0.00\)"/>
    <numFmt numFmtId="180" formatCode="0.000000000000"/>
    <numFmt numFmtId="181" formatCode="#,##0.00_);\(#,##0.00\)"/>
    <numFmt numFmtId="182" formatCode="_ \¥* #,##0.00_ ;_ \¥* \-#,##0.00_ ;_ \¥* &quot;-&quot;??_ ;_ @_ "/>
    <numFmt numFmtId="183" formatCode="#,##0.00_ "/>
    <numFmt numFmtId="184" formatCode="0.00_ "/>
    <numFmt numFmtId="185" formatCode="[$-F800]dddd\,\ mmmm\ dd\,\ yyyy"/>
    <numFmt numFmtId="186" formatCode="0.000%"/>
    <numFmt numFmtId="187" formatCode="0.0%"/>
    <numFmt numFmtId="188" formatCode="_(\¥* #,##0.00_);_(\¥* \(#,##0.00\);_(\¥* &quot;-&quot;??_);_(@_)"/>
    <numFmt numFmtId="189" formatCode="\ \ @"/>
    <numFmt numFmtId="190" formatCode="0_ "/>
    <numFmt numFmtId="191" formatCode="\ \ 0.00_ ;\ \ \-0.00_ "/>
    <numFmt numFmtId="192" formatCode="#,##0.000000000_ "/>
    <numFmt numFmtId="193" formatCode="#,##0.00_ ;[Red]\-#,##0.00\ "/>
    <numFmt numFmtId="194" formatCode="_ * #,##0_ ;_ * \-#,##0_ ;_ * &quot;-&quot;??_ ;_ @_ "/>
    <numFmt numFmtId="195" formatCode="_ * #,##0.0_ ;_ * \-#,##0.0_ ;_ * &quot;-&quot;??_ ;_ @_ "/>
    <numFmt numFmtId="196" formatCode="_ * #,##0.000000_ ;_ * \-#,##0.000000_ ;_ * &quot;-&quot;??_ ;_ @_ "/>
  </numFmts>
  <fonts count="86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b/>
      <sz val="10"/>
      <color rgb="FF1F497D"/>
      <name val="Times New Roman"/>
      <family val="1"/>
    </font>
    <font>
      <b/>
      <sz val="10"/>
      <color rgb="FF1F497D"/>
      <name val="宋体"/>
      <family val="3"/>
      <charset val="134"/>
    </font>
    <font>
      <sz val="10"/>
      <color rgb="FF1F497D"/>
      <name val="Times New Roman"/>
      <family val="1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rgb="FF1F497D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sz val="11"/>
      <name val="Calibri"/>
      <family val="2"/>
    </font>
    <font>
      <b/>
      <sz val="11"/>
      <color rgb="FFFF0000"/>
      <name val="等线"/>
      <family val="3"/>
      <charset val="134"/>
      <scheme val="minor"/>
    </font>
    <font>
      <sz val="9"/>
      <color rgb="FF000000"/>
      <name val="Arial"/>
      <family val="2"/>
    </font>
    <font>
      <sz val="9"/>
      <name val="Microsoft YaHei"/>
      <charset val="134"/>
    </font>
    <font>
      <sz val="9"/>
      <color theme="1"/>
      <name val="等线"/>
      <family val="3"/>
      <charset val="134"/>
    </font>
    <font>
      <sz val="11"/>
      <name val="宋体"/>
      <family val="3"/>
      <charset val="134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FZKTJW--GB1-0"/>
      <family val="1"/>
    </font>
    <font>
      <sz val="11"/>
      <color indexed="8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1"/>
      <name val="Calibri"/>
      <family val="2"/>
    </font>
    <font>
      <sz val="11"/>
      <color theme="1"/>
      <name val="Arial"/>
      <family val="2"/>
    </font>
    <font>
      <b/>
      <i/>
      <sz val="24"/>
      <color theme="1"/>
      <name val="微软雅黑"/>
      <family val="2"/>
      <charset val="134"/>
    </font>
    <font>
      <b/>
      <sz val="24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i/>
      <sz val="11"/>
      <color rgb="FFFF000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sz val="11"/>
      <color theme="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1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b/>
      <sz val="11"/>
      <color theme="1"/>
      <name val="Arial"/>
      <family val="2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i/>
      <sz val="11"/>
      <color rgb="FF00000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3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sz val="11"/>
      <color rgb="FF000000"/>
      <name val="Calibri"/>
      <family val="2"/>
    </font>
    <font>
      <b/>
      <sz val="9.9499999999999993"/>
      <color rgb="FF000000"/>
      <name val="微软雅黑"/>
      <family val="2"/>
      <charset val="134"/>
    </font>
    <font>
      <sz val="9.9499999999999993"/>
      <color rgb="FF000000"/>
      <name val="微软雅黑"/>
      <family val="2"/>
      <charset val="134"/>
    </font>
    <font>
      <sz val="9.949999999999999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9"/>
      <color rgb="FFFF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color rgb="FF000000"/>
      <name val="等线 Light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华文宋体"/>
      <family val="3"/>
      <charset val="134"/>
    </font>
    <font>
      <sz val="11"/>
      <name val="돋움체"/>
      <charset val="129"/>
    </font>
    <font>
      <sz val="10"/>
      <color theme="1"/>
      <name val="Arial"/>
      <family val="2"/>
    </font>
    <font>
      <b/>
      <sz val="7"/>
      <name val="SimSun"/>
      <charset val="134"/>
    </font>
    <font>
      <i/>
      <sz val="11"/>
      <name val="宋体"/>
      <family val="3"/>
      <charset val="134"/>
    </font>
    <font>
      <b/>
      <sz val="11"/>
      <name val="微软雅黑"/>
      <family val="2"/>
      <charset val="134"/>
    </font>
    <font>
      <sz val="9"/>
      <color rgb="FF000000"/>
      <name val="宋体"/>
      <family val="3"/>
      <charset val="134"/>
    </font>
    <font>
      <b/>
      <sz val="8"/>
      <name val="SimSun"/>
      <charset val="134"/>
    </font>
    <font>
      <b/>
      <sz val="13"/>
      <name val="SimSun"/>
      <charset val="134"/>
    </font>
    <font>
      <sz val="11"/>
      <color rgb="FF000000"/>
      <name val="Arial Unicode MS"/>
      <family val="2"/>
    </font>
    <font>
      <b/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FAB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863277077547532"/>
        <bgColor indexed="64"/>
      </patternFill>
    </fill>
    <fill>
      <patternFill patternType="solid">
        <fgColor theme="7" tint="0.39893795587023528"/>
        <bgColor indexed="64"/>
      </patternFill>
    </fill>
    <fill>
      <patternFill patternType="solid">
        <fgColor theme="7" tint="0.39857173375652333"/>
        <bgColor indexed="64"/>
      </patternFill>
    </fill>
    <fill>
      <patternFill patternType="solid">
        <fgColor theme="7" tint="0.39854121524704733"/>
        <bgColor indexed="64"/>
      </patternFill>
    </fill>
    <fill>
      <patternFill patternType="solid">
        <fgColor theme="7" tint="0.39866328928495132"/>
        <bgColor indexed="64"/>
      </patternFill>
    </fill>
    <fill>
      <patternFill patternType="solid">
        <fgColor theme="9" tint="0.39860225226599932"/>
        <bgColor indexed="64"/>
      </patternFill>
    </fill>
    <fill>
      <patternFill patternType="solid">
        <fgColor theme="8" tint="0.3986022522659993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5406964323862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5178075502792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29654835657827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9D9DA1"/>
      </left>
      <right style="medium">
        <color rgb="FF9D9DA1"/>
      </right>
      <top style="medium">
        <color rgb="FF000000"/>
      </top>
      <bottom style="medium">
        <color rgb="FF9D9DA1"/>
      </bottom>
      <diagonal/>
    </border>
    <border>
      <left style="medium">
        <color rgb="FF9D9DA1"/>
      </left>
      <right style="medium">
        <color rgb="FF9D9DA1"/>
      </right>
      <top style="medium">
        <color rgb="FF9D9DA1"/>
      </top>
      <bottom style="medium">
        <color rgb="FF9D9DA1"/>
      </bottom>
      <diagonal/>
    </border>
    <border>
      <left/>
      <right style="medium">
        <color rgb="FF9D9DA1"/>
      </right>
      <top style="medium">
        <color rgb="FF9D9DA1"/>
      </top>
      <bottom style="medium">
        <color rgb="FF9D9DA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7">
    <xf numFmtId="0" fontId="0" fillId="0" borderId="0"/>
    <xf numFmtId="176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23" fillId="0" borderId="0"/>
    <xf numFmtId="0" fontId="73" fillId="0" borderId="0"/>
    <xf numFmtId="0" fontId="84" fillId="0" borderId="0"/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0" fontId="84" fillId="0" borderId="0"/>
    <xf numFmtId="0" fontId="27" fillId="0" borderId="0">
      <alignment vertical="center"/>
    </xf>
    <xf numFmtId="0" fontId="84" fillId="0" borderId="0"/>
    <xf numFmtId="0" fontId="27" fillId="0" borderId="0">
      <alignment vertical="center"/>
    </xf>
    <xf numFmtId="0" fontId="84" fillId="0" borderId="0"/>
    <xf numFmtId="0" fontId="74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/>
    <xf numFmtId="0" fontId="84" fillId="0" borderId="0"/>
    <xf numFmtId="0" fontId="55" fillId="0" borderId="0"/>
    <xf numFmtId="0" fontId="8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/>
    <xf numFmtId="0" fontId="84" fillId="0" borderId="0"/>
    <xf numFmtId="0" fontId="27" fillId="0" borderId="0">
      <alignment vertical="center"/>
    </xf>
    <xf numFmtId="0" fontId="84" fillId="0" borderId="0"/>
    <xf numFmtId="0" fontId="84" fillId="0" borderId="0"/>
    <xf numFmtId="0" fontId="5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43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84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</cellStyleXfs>
  <cellXfs count="783">
    <xf numFmtId="0" fontId="0" fillId="0" borderId="0" xfId="0"/>
    <xf numFmtId="0" fontId="1" fillId="0" borderId="0" xfId="31" applyFont="1" applyAlignment="1"/>
    <xf numFmtId="0" fontId="84" fillId="0" borderId="0" xfId="39"/>
    <xf numFmtId="0" fontId="2" fillId="0" borderId="0" xfId="31" applyFont="1" applyAlignment="1">
      <alignment horizontal="center" vertical="center" wrapText="1"/>
    </xf>
    <xf numFmtId="0" fontId="1" fillId="0" borderId="0" xfId="31" applyFont="1" applyAlignment="1">
      <alignment horizontal="left"/>
    </xf>
    <xf numFmtId="0" fontId="1" fillId="0" borderId="0" xfId="31" applyFont="1" applyAlignment="1">
      <alignment horizontal="right" vertical="center" wrapText="1"/>
    </xf>
    <xf numFmtId="0" fontId="3" fillId="0" borderId="3" xfId="31" applyFont="1" applyBorder="1" applyAlignment="1">
      <alignment horizontal="center" vertical="center" wrapText="1"/>
    </xf>
    <xf numFmtId="0" fontId="3" fillId="0" borderId="3" xfId="31" applyFont="1" applyBorder="1" applyAlignment="1">
      <alignment horizontal="center" vertical="center"/>
    </xf>
    <xf numFmtId="176" fontId="3" fillId="0" borderId="3" xfId="58" applyFont="1" applyFill="1" applyBorder="1" applyAlignment="1">
      <alignment horizontal="center" vertical="center"/>
    </xf>
    <xf numFmtId="176" fontId="4" fillId="0" borderId="3" xfId="58" applyFont="1" applyFill="1" applyBorder="1" applyAlignment="1">
      <alignment horizontal="right" vertical="center"/>
    </xf>
    <xf numFmtId="176" fontId="5" fillId="0" borderId="3" xfId="58" applyFont="1" applyFill="1" applyBorder="1" applyAlignment="1">
      <alignment horizontal="left" vertical="center"/>
    </xf>
    <xf numFmtId="178" fontId="3" fillId="0" borderId="3" xfId="30" applyNumberFormat="1" applyFont="1" applyBorder="1" applyAlignment="1">
      <alignment horizontal="center" vertical="center" wrapText="1"/>
    </xf>
    <xf numFmtId="176" fontId="6" fillId="0" borderId="3" xfId="58" applyFont="1" applyFill="1" applyBorder="1" applyAlignment="1">
      <alignment horizontal="right" vertical="center"/>
    </xf>
    <xf numFmtId="176" fontId="6" fillId="0" borderId="3" xfId="58" applyFont="1" applyFill="1" applyBorder="1" applyAlignment="1">
      <alignment horizontal="right" vertical="center" wrapText="1"/>
    </xf>
    <xf numFmtId="176" fontId="7" fillId="0" borderId="3" xfId="58" applyFont="1" applyFill="1" applyBorder="1" applyAlignment="1">
      <alignment horizontal="right" vertical="center"/>
    </xf>
    <xf numFmtId="176" fontId="6" fillId="0" borderId="3" xfId="58" applyFont="1" applyBorder="1" applyAlignment="1">
      <alignment horizontal="right" vertical="center"/>
    </xf>
    <xf numFmtId="176" fontId="8" fillId="0" borderId="3" xfId="58" applyFont="1" applyFill="1" applyBorder="1" applyAlignment="1">
      <alignment horizontal="right" vertical="center"/>
    </xf>
    <xf numFmtId="176" fontId="9" fillId="0" borderId="3" xfId="57" applyFont="1" applyFill="1" applyBorder="1" applyAlignment="1">
      <alignment horizontal="right" vertical="center"/>
    </xf>
    <xf numFmtId="176" fontId="6" fillId="0" borderId="4" xfId="58" applyFont="1" applyFill="1" applyBorder="1" applyAlignment="1">
      <alignment horizontal="right" vertical="center"/>
    </xf>
    <xf numFmtId="178" fontId="3" fillId="0" borderId="3" xfId="31" applyNumberFormat="1" applyFont="1" applyBorder="1" applyAlignment="1">
      <alignment horizontal="center" vertical="center" wrapText="1"/>
    </xf>
    <xf numFmtId="179" fontId="3" fillId="0" borderId="3" xfId="31" applyNumberFormat="1" applyFont="1" applyBorder="1" applyAlignment="1">
      <alignment horizontal="center" vertical="center" wrapText="1"/>
    </xf>
    <xf numFmtId="0" fontId="84" fillId="0" borderId="0" xfId="42" applyAlignment="1">
      <alignment vertical="center"/>
    </xf>
    <xf numFmtId="0" fontId="10" fillId="0" borderId="3" xfId="42" applyFont="1" applyBorder="1" applyAlignment="1">
      <alignment horizontal="center" vertical="center"/>
    </xf>
    <xf numFmtId="0" fontId="10" fillId="0" borderId="9" xfId="42" applyFont="1" applyBorder="1" applyAlignment="1">
      <alignment horizontal="center" vertical="center"/>
    </xf>
    <xf numFmtId="49" fontId="11" fillId="0" borderId="8" xfId="42" applyNumberFormat="1" applyFont="1" applyBorder="1" applyAlignment="1">
      <alignment horizontal="center" vertical="center"/>
    </xf>
    <xf numFmtId="43" fontId="84" fillId="0" borderId="3" xfId="42" applyNumberFormat="1" applyBorder="1" applyAlignment="1">
      <alignment horizontal="center" vertical="center"/>
    </xf>
    <xf numFmtId="43" fontId="84" fillId="0" borderId="9" xfId="42" applyNumberFormat="1" applyBorder="1" applyAlignment="1">
      <alignment horizontal="center" vertical="center"/>
    </xf>
    <xf numFmtId="49" fontId="10" fillId="0" borderId="8" xfId="42" applyNumberFormat="1" applyFont="1" applyBorder="1" applyAlignment="1">
      <alignment horizontal="center" vertical="center"/>
    </xf>
    <xf numFmtId="43" fontId="12" fillId="0" borderId="3" xfId="42" applyNumberFormat="1" applyFont="1" applyBorder="1" applyAlignment="1">
      <alignment horizontal="center" vertical="center"/>
    </xf>
    <xf numFmtId="176" fontId="0" fillId="0" borderId="0" xfId="1" applyFont="1" applyAlignment="1">
      <alignment vertical="center"/>
    </xf>
    <xf numFmtId="0" fontId="10" fillId="0" borderId="10" xfId="42" applyFont="1" applyBorder="1" applyAlignment="1">
      <alignment horizontal="center" vertical="center"/>
    </xf>
    <xf numFmtId="43" fontId="84" fillId="0" borderId="11" xfId="42" applyNumberFormat="1" applyBorder="1" applyAlignment="1">
      <alignment horizontal="center" vertical="center"/>
    </xf>
    <xf numFmtId="43" fontId="84" fillId="0" borderId="12" xfId="42" applyNumberFormat="1" applyBorder="1" applyAlignment="1">
      <alignment horizontal="center" vertical="center"/>
    </xf>
    <xf numFmtId="176" fontId="10" fillId="0" borderId="3" xfId="48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76" fontId="0" fillId="0" borderId="3" xfId="1" applyFont="1" applyBorder="1" applyAlignment="1">
      <alignment vertical="center"/>
    </xf>
    <xf numFmtId="176" fontId="0" fillId="0" borderId="3" xfId="48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180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4" fillId="0" borderId="0" xfId="22"/>
    <xf numFmtId="0" fontId="0" fillId="4" borderId="16" xfId="0" applyFill="1" applyBorder="1" applyAlignment="1">
      <alignment horizontal="center" vertical="center"/>
    </xf>
    <xf numFmtId="176" fontId="0" fillId="4" borderId="16" xfId="1" applyFont="1" applyFill="1" applyBorder="1" applyAlignment="1">
      <alignment vertical="center"/>
    </xf>
    <xf numFmtId="176" fontId="0" fillId="4" borderId="17" xfId="1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4" borderId="0" xfId="1" applyFont="1" applyFill="1" applyBorder="1" applyAlignment="1">
      <alignment vertical="center"/>
    </xf>
    <xf numFmtId="176" fontId="0" fillId="4" borderId="18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176" fontId="10" fillId="4" borderId="2" xfId="1" applyFont="1" applyFill="1" applyBorder="1" applyAlignment="1">
      <alignment vertical="center"/>
    </xf>
    <xf numFmtId="176" fontId="10" fillId="4" borderId="19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 applyAlignment="1"/>
    <xf numFmtId="0" fontId="0" fillId="5" borderId="16" xfId="0" applyFill="1" applyBorder="1" applyAlignment="1">
      <alignment horizontal="center" vertical="center"/>
    </xf>
    <xf numFmtId="0" fontId="84" fillId="0" borderId="0" xfId="42"/>
    <xf numFmtId="176" fontId="0" fillId="0" borderId="0" xfId="51" applyFont="1" applyAlignment="1"/>
    <xf numFmtId="0" fontId="13" fillId="0" borderId="3" xfId="42" applyFont="1" applyBorder="1"/>
    <xf numFmtId="176" fontId="14" fillId="0" borderId="3" xfId="51" applyFont="1" applyBorder="1" applyAlignment="1">
      <alignment horizontal="center"/>
    </xf>
    <xf numFmtId="176" fontId="14" fillId="0" borderId="3" xfId="51" applyFont="1" applyFill="1" applyBorder="1" applyAlignment="1">
      <alignment horizontal="center"/>
    </xf>
    <xf numFmtId="0" fontId="15" fillId="0" borderId="3" xfId="42" applyFont="1" applyBorder="1" applyAlignment="1">
      <alignment horizontal="right"/>
    </xf>
    <xf numFmtId="176" fontId="15" fillId="0" borderId="15" xfId="51" applyFont="1" applyBorder="1" applyAlignment="1">
      <alignment horizontal="center"/>
    </xf>
    <xf numFmtId="176" fontId="14" fillId="0" borderId="15" xfId="51" applyFont="1" applyBorder="1" applyAlignment="1">
      <alignment horizontal="center"/>
    </xf>
    <xf numFmtId="176" fontId="13" fillId="0" borderId="3" xfId="51" applyFont="1" applyFill="1" applyBorder="1" applyAlignment="1">
      <alignment horizontal="right"/>
    </xf>
    <xf numFmtId="176" fontId="84" fillId="0" borderId="0" xfId="42" applyNumberFormat="1"/>
    <xf numFmtId="181" fontId="13" fillId="0" borderId="15" xfId="51" applyNumberFormat="1" applyFont="1" applyBorder="1" applyAlignment="1">
      <alignment horizontal="right"/>
    </xf>
    <xf numFmtId="176" fontId="13" fillId="0" borderId="15" xfId="51" applyFont="1" applyFill="1" applyBorder="1" applyAlignment="1">
      <alignment horizontal="right"/>
    </xf>
    <xf numFmtId="176" fontId="0" fillId="0" borderId="15" xfId="51" applyFont="1" applyBorder="1" applyAlignment="1"/>
    <xf numFmtId="43" fontId="84" fillId="0" borderId="0" xfId="42" applyNumberFormat="1"/>
    <xf numFmtId="176" fontId="13" fillId="0" borderId="15" xfId="51" applyFont="1" applyBorder="1" applyAlignment="1">
      <alignment horizontal="right"/>
    </xf>
    <xf numFmtId="0" fontId="16" fillId="6" borderId="3" xfId="0" applyFont="1" applyFill="1" applyBorder="1" applyAlignment="1">
      <alignment horizontal="center" vertical="top"/>
    </xf>
    <xf numFmtId="3" fontId="16" fillId="6" borderId="3" xfId="0" applyNumberFormat="1" applyFont="1" applyFill="1" applyBorder="1" applyAlignment="1">
      <alignment horizontal="center" vertical="center"/>
    </xf>
    <xf numFmtId="0" fontId="13" fillId="0" borderId="3" xfId="42" applyFont="1" applyBorder="1" applyAlignment="1">
      <alignment horizontal="right"/>
    </xf>
    <xf numFmtId="176" fontId="13" fillId="0" borderId="3" xfId="51" applyFont="1" applyBorder="1" applyAlignment="1">
      <alignment horizontal="right"/>
    </xf>
    <xf numFmtId="176" fontId="0" fillId="0" borderId="3" xfId="51" applyFont="1" applyFill="1" applyBorder="1" applyAlignment="1"/>
    <xf numFmtId="176" fontId="0" fillId="0" borderId="3" xfId="51" applyFont="1" applyBorder="1" applyAlignment="1"/>
    <xf numFmtId="0" fontId="17" fillId="7" borderId="3" xfId="0" applyFont="1" applyFill="1" applyBorder="1" applyAlignment="1">
      <alignment horizontal="center" vertical="top"/>
    </xf>
    <xf numFmtId="0" fontId="17" fillId="7" borderId="3" xfId="0" applyFont="1" applyFill="1" applyBorder="1" applyAlignment="1">
      <alignment horizontal="left" vertical="top"/>
    </xf>
    <xf numFmtId="176" fontId="17" fillId="7" borderId="3" xfId="1" applyFont="1" applyFill="1" applyBorder="1" applyAlignment="1">
      <alignment horizontal="left" vertical="top"/>
    </xf>
    <xf numFmtId="0" fontId="18" fillId="0" borderId="0" xfId="0" applyFont="1"/>
    <xf numFmtId="0" fontId="19" fillId="0" borderId="0" xfId="42" applyFont="1"/>
    <xf numFmtId="0" fontId="20" fillId="0" borderId="3" xfId="42" applyFont="1" applyBorder="1" applyAlignment="1">
      <alignment horizontal="right"/>
    </xf>
    <xf numFmtId="4" fontId="84" fillId="0" borderId="0" xfId="42" applyNumberFormat="1"/>
    <xf numFmtId="182" fontId="84" fillId="0" borderId="0" xfId="42" applyNumberFormat="1"/>
    <xf numFmtId="0" fontId="18" fillId="7" borderId="3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left" vertical="top"/>
    </xf>
    <xf numFmtId="4" fontId="21" fillId="7" borderId="3" xfId="0" applyNumberFormat="1" applyFont="1" applyFill="1" applyBorder="1" applyAlignment="1">
      <alignment vertical="center"/>
    </xf>
    <xf numFmtId="3" fontId="21" fillId="7" borderId="3" xfId="0" applyNumberFormat="1" applyFont="1" applyFill="1" applyBorder="1" applyAlignment="1">
      <alignment vertical="center"/>
    </xf>
    <xf numFmtId="176" fontId="21" fillId="7" borderId="3" xfId="1" applyFont="1" applyFill="1" applyBorder="1" applyAlignment="1">
      <alignment horizontal="left" vertical="top"/>
    </xf>
    <xf numFmtId="176" fontId="21" fillId="7" borderId="3" xfId="1" applyFont="1" applyFill="1" applyBorder="1" applyAlignment="1">
      <alignment vertical="center"/>
    </xf>
    <xf numFmtId="176" fontId="18" fillId="7" borderId="3" xfId="1" applyFont="1" applyFill="1" applyBorder="1" applyAlignment="1"/>
    <xf numFmtId="0" fontId="22" fillId="0" borderId="3" xfId="42" applyFont="1" applyBorder="1" applyAlignment="1">
      <alignment horizontal="right"/>
    </xf>
    <xf numFmtId="0" fontId="0" fillId="7" borderId="3" xfId="0" applyFill="1" applyBorder="1" applyAlignment="1">
      <alignment horizontal="center"/>
    </xf>
    <xf numFmtId="0" fontId="17" fillId="7" borderId="3" xfId="0" applyFont="1" applyFill="1" applyBorder="1" applyAlignment="1">
      <alignment horizontal="left" vertical="top" wrapText="1"/>
    </xf>
    <xf numFmtId="4" fontId="17" fillId="7" borderId="3" xfId="0" applyNumberFormat="1" applyFont="1" applyFill="1" applyBorder="1" applyAlignment="1">
      <alignment vertical="center"/>
    </xf>
    <xf numFmtId="3" fontId="17" fillId="7" borderId="3" xfId="0" applyNumberFormat="1" applyFont="1" applyFill="1" applyBorder="1" applyAlignment="1">
      <alignment vertical="center"/>
    </xf>
    <xf numFmtId="176" fontId="17" fillId="7" borderId="3" xfId="1" applyFont="1" applyFill="1" applyBorder="1" applyAlignment="1">
      <alignment vertical="center"/>
    </xf>
    <xf numFmtId="0" fontId="23" fillId="0" borderId="0" xfId="0" applyFont="1"/>
    <xf numFmtId="176" fontId="0" fillId="7" borderId="3" xfId="1" applyFont="1" applyFill="1" applyBorder="1" applyAlignment="1"/>
    <xf numFmtId="183" fontId="84" fillId="0" borderId="0" xfId="42" applyNumberFormat="1"/>
    <xf numFmtId="4" fontId="0" fillId="7" borderId="3" xfId="0" applyNumberFormat="1" applyFill="1" applyBorder="1"/>
    <xf numFmtId="0" fontId="0" fillId="0" borderId="3" xfId="0" applyBorder="1" applyAlignment="1">
      <alignment horizontal="center"/>
    </xf>
    <xf numFmtId="0" fontId="17" fillId="0" borderId="3" xfId="0" applyFont="1" applyBorder="1" applyAlignment="1">
      <alignment horizontal="left" vertical="top"/>
    </xf>
    <xf numFmtId="3" fontId="17" fillId="0" borderId="3" xfId="0" applyNumberFormat="1" applyFont="1" applyBorder="1" applyAlignment="1">
      <alignment vertical="center"/>
    </xf>
    <xf numFmtId="4" fontId="17" fillId="0" borderId="3" xfId="0" applyNumberFormat="1" applyFont="1" applyBorder="1" applyAlignment="1">
      <alignment vertical="center"/>
    </xf>
    <xf numFmtId="176" fontId="0" fillId="0" borderId="3" xfId="1" applyFont="1" applyFill="1" applyBorder="1" applyAlignment="1"/>
    <xf numFmtId="4" fontId="0" fillId="0" borderId="3" xfId="0" applyNumberFormat="1" applyBorder="1"/>
    <xf numFmtId="176" fontId="21" fillId="0" borderId="0" xfId="1" applyFont="1" applyFill="1" applyBorder="1" applyAlignment="1">
      <alignment horizontal="left" vertical="top"/>
    </xf>
    <xf numFmtId="176" fontId="13" fillId="8" borderId="3" xfId="51" applyFont="1" applyFill="1" applyBorder="1" applyAlignment="1">
      <alignment horizontal="right"/>
    </xf>
    <xf numFmtId="176" fontId="1" fillId="0" borderId="3" xfId="51" applyFont="1" applyBorder="1" applyAlignment="1"/>
    <xf numFmtId="176" fontId="1" fillId="8" borderId="3" xfId="51" applyFont="1" applyFill="1" applyBorder="1" applyAlignment="1"/>
    <xf numFmtId="176" fontId="17" fillId="7" borderId="3" xfId="1" applyFont="1" applyFill="1" applyBorder="1" applyAlignment="1">
      <alignment horizontal="right" vertical="top"/>
    </xf>
    <xf numFmtId="4" fontId="84" fillId="0" borderId="3" xfId="42" applyNumberFormat="1" applyBorder="1" applyAlignment="1">
      <alignment horizontal="right"/>
    </xf>
    <xf numFmtId="0" fontId="84" fillId="0" borderId="3" xfId="42" applyBorder="1" applyAlignment="1">
      <alignment horizontal="right"/>
    </xf>
    <xf numFmtId="4" fontId="84" fillId="8" borderId="3" xfId="42" applyNumberFormat="1" applyFill="1" applyBorder="1" applyAlignment="1">
      <alignment horizontal="right"/>
    </xf>
    <xf numFmtId="0" fontId="84" fillId="0" borderId="3" xfId="42" applyBorder="1" applyAlignment="1">
      <alignment horizontal="center"/>
    </xf>
    <xf numFmtId="0" fontId="17" fillId="0" borderId="3" xfId="0" applyFont="1" applyBorder="1" applyAlignment="1">
      <alignment horizontal="center" vertical="top"/>
    </xf>
    <xf numFmtId="0" fontId="24" fillId="0" borderId="3" xfId="0" applyFont="1" applyBorder="1" applyAlignment="1">
      <alignment horizontal="right"/>
    </xf>
    <xf numFmtId="0" fontId="24" fillId="0" borderId="3" xfId="0" applyFont="1" applyBorder="1"/>
    <xf numFmtId="0" fontId="17" fillId="0" borderId="3" xfId="0" applyFont="1" applyBorder="1" applyAlignment="1">
      <alignment horizontal="right" vertical="top"/>
    </xf>
    <xf numFmtId="0" fontId="17" fillId="8" borderId="3" xfId="0" applyFont="1" applyFill="1" applyBorder="1" applyAlignment="1">
      <alignment horizontal="right" vertical="top"/>
    </xf>
    <xf numFmtId="3" fontId="17" fillId="8" borderId="3" xfId="0" applyNumberFormat="1" applyFont="1" applyFill="1" applyBorder="1" applyAlignment="1">
      <alignment vertical="center"/>
    </xf>
    <xf numFmtId="4" fontId="25" fillId="0" borderId="0" xfId="0" applyNumberFormat="1" applyFont="1"/>
    <xf numFmtId="4" fontId="26" fillId="0" borderId="0" xfId="0" applyNumberFormat="1" applyFont="1"/>
    <xf numFmtId="183" fontId="10" fillId="8" borderId="0" xfId="42" applyNumberFormat="1" applyFont="1" applyFill="1"/>
    <xf numFmtId="4" fontId="10" fillId="0" borderId="0" xfId="42" applyNumberFormat="1" applyFont="1"/>
    <xf numFmtId="176" fontId="84" fillId="9" borderId="0" xfId="42" applyNumberFormat="1" applyFill="1"/>
    <xf numFmtId="0" fontId="27" fillId="0" borderId="0" xfId="0" applyFont="1" applyAlignment="1">
      <alignment vertical="center"/>
    </xf>
    <xf numFmtId="0" fontId="28" fillId="10" borderId="3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vertical="center"/>
    </xf>
    <xf numFmtId="0" fontId="18" fillId="0" borderId="0" xfId="0" applyFont="1" applyAlignment="1">
      <alignment horizontal="left"/>
    </xf>
    <xf numFmtId="0" fontId="29" fillId="0" borderId="0" xfId="0" applyFont="1"/>
    <xf numFmtId="0" fontId="0" fillId="8" borderId="0" xfId="0" applyFill="1" applyAlignment="1">
      <alignment vertical="center"/>
    </xf>
    <xf numFmtId="0" fontId="10" fillId="8" borderId="0" xfId="0" applyFont="1" applyFill="1" applyAlignment="1">
      <alignment vertical="center"/>
    </xf>
    <xf numFmtId="0" fontId="0" fillId="0" borderId="0" xfId="0" applyAlignment="1">
      <alignment horizontal="center"/>
    </xf>
    <xf numFmtId="184" fontId="0" fillId="0" borderId="0" xfId="0" applyNumberFormat="1"/>
    <xf numFmtId="0" fontId="30" fillId="0" borderId="0" xfId="0" applyFont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185" fontId="30" fillId="0" borderId="22" xfId="0" applyNumberFormat="1" applyFont="1" applyBorder="1" applyAlignment="1">
      <alignment horizontal="center" vertical="center"/>
    </xf>
    <xf numFmtId="176" fontId="33" fillId="11" borderId="26" xfId="1" applyFont="1" applyFill="1" applyBorder="1" applyAlignment="1">
      <alignment horizontal="center" vertical="center"/>
    </xf>
    <xf numFmtId="176" fontId="33" fillId="11" borderId="15" xfId="1" applyFont="1" applyFill="1" applyBorder="1" applyAlignment="1">
      <alignment horizontal="center" vertical="center"/>
    </xf>
    <xf numFmtId="176" fontId="33" fillId="11" borderId="15" xfId="1" applyFont="1" applyFill="1" applyBorder="1" applyAlignment="1">
      <alignment horizontal="center" vertical="center" wrapText="1"/>
    </xf>
    <xf numFmtId="176" fontId="34" fillId="11" borderId="15" xfId="1" applyFont="1" applyFill="1" applyBorder="1" applyAlignment="1">
      <alignment horizontal="center" vertical="center"/>
    </xf>
    <xf numFmtId="49" fontId="34" fillId="11" borderId="15" xfId="1" applyNumberFormat="1" applyFont="1" applyFill="1" applyBorder="1" applyAlignment="1">
      <alignment horizontal="center" vertical="center"/>
    </xf>
    <xf numFmtId="176" fontId="33" fillId="11" borderId="1" xfId="1" applyFont="1" applyFill="1" applyBorder="1" applyAlignment="1">
      <alignment horizontal="center" vertical="center"/>
    </xf>
    <xf numFmtId="176" fontId="33" fillId="11" borderId="27" xfId="1" applyFont="1" applyFill="1" applyBorder="1" applyAlignment="1">
      <alignment horizontal="center" vertical="center"/>
    </xf>
    <xf numFmtId="176" fontId="35" fillId="0" borderId="3" xfId="1" applyFont="1" applyFill="1" applyBorder="1" applyAlignment="1">
      <alignment horizontal="left" vertical="center"/>
    </xf>
    <xf numFmtId="176" fontId="37" fillId="0" borderId="3" xfId="1" applyFont="1" applyBorder="1" applyAlignment="1">
      <alignment horizontal="center" vertical="center"/>
    </xf>
    <xf numFmtId="176" fontId="35" fillId="0" borderId="3" xfId="1" applyFont="1" applyBorder="1" applyAlignment="1">
      <alignment horizontal="center" vertical="center"/>
    </xf>
    <xf numFmtId="9" fontId="35" fillId="0" borderId="3" xfId="2" applyFont="1" applyFill="1" applyBorder="1" applyAlignment="1">
      <alignment horizontal="center" vertical="center"/>
    </xf>
    <xf numFmtId="186" fontId="35" fillId="0" borderId="3" xfId="2" applyNumberFormat="1" applyFont="1" applyBorder="1" applyAlignment="1">
      <alignment horizontal="center" vertical="center"/>
    </xf>
    <xf numFmtId="40" fontId="35" fillId="0" borderId="3" xfId="1" applyNumberFormat="1" applyFont="1" applyFill="1" applyBorder="1" applyAlignment="1">
      <alignment horizontal="center" vertical="center"/>
    </xf>
    <xf numFmtId="176" fontId="35" fillId="0" borderId="29" xfId="1" applyFont="1" applyBorder="1" applyAlignment="1">
      <alignment horizontal="center" vertical="center"/>
    </xf>
    <xf numFmtId="10" fontId="38" fillId="0" borderId="9" xfId="0" applyNumberFormat="1" applyFont="1" applyBorder="1" applyAlignment="1">
      <alignment horizontal="center" vertical="center"/>
    </xf>
    <xf numFmtId="176" fontId="35" fillId="0" borderId="3" xfId="1" applyFont="1" applyBorder="1" applyAlignment="1">
      <alignment horizontal="left" vertical="center"/>
    </xf>
    <xf numFmtId="186" fontId="35" fillId="0" borderId="3" xfId="2" applyNumberFormat="1" applyFont="1" applyFill="1" applyBorder="1" applyAlignment="1">
      <alignment horizontal="center" vertical="center"/>
    </xf>
    <xf numFmtId="40" fontId="35" fillId="0" borderId="3" xfId="1" applyNumberFormat="1" applyFont="1" applyBorder="1" applyAlignment="1">
      <alignment horizontal="center" vertical="center"/>
    </xf>
    <xf numFmtId="176" fontId="37" fillId="0" borderId="3" xfId="1" applyFont="1" applyBorder="1" applyAlignment="1">
      <alignment horizontal="left" vertical="center"/>
    </xf>
    <xf numFmtId="0" fontId="39" fillId="12" borderId="8" xfId="0" applyFont="1" applyFill="1" applyBorder="1" applyAlignment="1">
      <alignment horizontal="center" vertical="center"/>
    </xf>
    <xf numFmtId="176" fontId="39" fillId="12" borderId="3" xfId="1" applyFont="1" applyFill="1" applyBorder="1" applyAlignment="1">
      <alignment horizontal="center" vertical="center"/>
    </xf>
    <xf numFmtId="2" fontId="39" fillId="12" borderId="3" xfId="0" applyNumberFormat="1" applyFont="1" applyFill="1" applyBorder="1" applyAlignment="1">
      <alignment horizontal="center" vertical="center"/>
    </xf>
    <xf numFmtId="40" fontId="39" fillId="12" borderId="3" xfId="1" applyNumberFormat="1" applyFont="1" applyFill="1" applyBorder="1" applyAlignment="1">
      <alignment horizontal="center" vertical="center"/>
    </xf>
    <xf numFmtId="10" fontId="39" fillId="12" borderId="3" xfId="2" applyNumberFormat="1" applyFont="1" applyFill="1" applyBorder="1" applyAlignment="1">
      <alignment horizontal="center" vertical="center"/>
    </xf>
    <xf numFmtId="49" fontId="39" fillId="12" borderId="3" xfId="1" applyNumberFormat="1" applyFont="1" applyFill="1" applyBorder="1" applyAlignment="1">
      <alignment horizontal="center" vertical="center"/>
    </xf>
    <xf numFmtId="176" fontId="40" fillId="12" borderId="29" xfId="1" applyFont="1" applyFill="1" applyBorder="1" applyAlignment="1">
      <alignment horizontal="center" vertical="center" wrapText="1"/>
    </xf>
    <xf numFmtId="10" fontId="41" fillId="0" borderId="9" xfId="0" applyNumberFormat="1" applyFont="1" applyBorder="1" applyAlignment="1">
      <alignment horizontal="center" vertical="center"/>
    </xf>
    <xf numFmtId="176" fontId="42" fillId="11" borderId="15" xfId="1" applyFont="1" applyFill="1" applyBorder="1" applyAlignment="1">
      <alignment horizontal="center" vertical="center"/>
    </xf>
    <xf numFmtId="176" fontId="43" fillId="13" borderId="3" xfId="1" applyFont="1" applyFill="1" applyBorder="1" applyAlignment="1">
      <alignment horizontal="center" vertical="center"/>
    </xf>
    <xf numFmtId="176" fontId="35" fillId="13" borderId="3" xfId="1" applyFont="1" applyFill="1" applyBorder="1" applyAlignment="1">
      <alignment horizontal="center" vertical="center"/>
    </xf>
    <xf numFmtId="176" fontId="44" fillId="13" borderId="3" xfId="1" applyFont="1" applyFill="1" applyBorder="1" applyAlignment="1">
      <alignment horizontal="center" vertical="center"/>
    </xf>
    <xf numFmtId="9" fontId="35" fillId="13" borderId="3" xfId="2" applyFont="1" applyFill="1" applyBorder="1" applyAlignment="1">
      <alignment horizontal="center" vertical="center"/>
    </xf>
    <xf numFmtId="40" fontId="35" fillId="13" borderId="3" xfId="1" applyNumberFormat="1" applyFont="1" applyFill="1" applyBorder="1" applyAlignment="1">
      <alignment horizontal="center" vertical="center"/>
    </xf>
    <xf numFmtId="49" fontId="35" fillId="13" borderId="3" xfId="0" applyNumberFormat="1" applyFont="1" applyFill="1" applyBorder="1" applyAlignment="1">
      <alignment horizontal="center" vertical="center"/>
    </xf>
    <xf numFmtId="40" fontId="45" fillId="13" borderId="3" xfId="1" applyNumberFormat="1" applyFont="1" applyFill="1" applyBorder="1" applyAlignment="1">
      <alignment horizontal="center" vertical="center"/>
    </xf>
    <xf numFmtId="176" fontId="46" fillId="13" borderId="29" xfId="1" applyFont="1" applyFill="1" applyBorder="1" applyAlignment="1">
      <alignment horizontal="left" vertical="center" wrapText="1"/>
    </xf>
    <xf numFmtId="9" fontId="38" fillId="0" borderId="9" xfId="0" applyNumberFormat="1" applyFont="1" applyBorder="1" applyAlignment="1">
      <alignment horizontal="center" vertical="center"/>
    </xf>
    <xf numFmtId="176" fontId="47" fillId="13" borderId="29" xfId="1" applyFont="1" applyFill="1" applyBorder="1" applyAlignment="1">
      <alignment horizontal="left" vertical="center" wrapText="1"/>
    </xf>
    <xf numFmtId="40" fontId="44" fillId="13" borderId="3" xfId="1" applyNumberFormat="1" applyFont="1" applyFill="1" applyBorder="1" applyAlignment="1">
      <alignment horizontal="center" vertical="center"/>
    </xf>
    <xf numFmtId="49" fontId="35" fillId="13" borderId="3" xfId="1" applyNumberFormat="1" applyFont="1" applyFill="1" applyBorder="1" applyAlignment="1">
      <alignment horizontal="center" vertical="center"/>
    </xf>
    <xf numFmtId="176" fontId="36" fillId="13" borderId="29" xfId="1" applyFont="1" applyFill="1" applyBorder="1" applyAlignment="1">
      <alignment horizontal="center" vertical="center" wrapText="1"/>
    </xf>
    <xf numFmtId="9" fontId="30" fillId="0" borderId="9" xfId="0" applyNumberFormat="1" applyFont="1" applyBorder="1" applyAlignment="1">
      <alignment horizontal="center" vertical="center"/>
    </xf>
    <xf numFmtId="176" fontId="35" fillId="0" borderId="3" xfId="1" applyFont="1" applyFill="1" applyBorder="1" applyAlignment="1">
      <alignment horizontal="center" vertical="center"/>
    </xf>
    <xf numFmtId="9" fontId="35" fillId="0" borderId="3" xfId="2" applyFont="1" applyBorder="1" applyAlignment="1">
      <alignment horizontal="center" vertical="center"/>
    </xf>
    <xf numFmtId="40" fontId="37" fillId="0" borderId="3" xfId="1" applyNumberFormat="1" applyFont="1" applyFill="1" applyBorder="1" applyAlignment="1">
      <alignment horizontal="center" vertical="center"/>
    </xf>
    <xf numFmtId="40" fontId="44" fillId="0" borderId="3" xfId="1" applyNumberFormat="1" applyFont="1" applyFill="1" applyBorder="1" applyAlignment="1">
      <alignment horizontal="center" vertical="center"/>
    </xf>
    <xf numFmtId="49" fontId="35" fillId="0" borderId="3" xfId="1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176" fontId="37" fillId="0" borderId="3" xfId="1" applyFont="1" applyFill="1" applyBorder="1" applyAlignment="1">
      <alignment horizontal="center" vertical="center"/>
    </xf>
    <xf numFmtId="40" fontId="35" fillId="0" borderId="29" xfId="1" applyNumberFormat="1" applyFont="1" applyFill="1" applyBorder="1" applyAlignment="1">
      <alignment horizontal="left" vertical="center" wrapText="1"/>
    </xf>
    <xf numFmtId="49" fontId="0" fillId="0" borderId="3" xfId="0" applyNumberFormat="1" applyBorder="1"/>
    <xf numFmtId="40" fontId="44" fillId="0" borderId="3" xfId="51" applyNumberFormat="1" applyFont="1" applyFill="1" applyBorder="1" applyAlignment="1">
      <alignment horizontal="center" vertical="center"/>
    </xf>
    <xf numFmtId="0" fontId="49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38" fontId="39" fillId="14" borderId="8" xfId="1" applyNumberFormat="1" applyFont="1" applyFill="1" applyBorder="1" applyAlignment="1">
      <alignment horizontal="center" vertical="center"/>
    </xf>
    <xf numFmtId="176" fontId="39" fillId="14" borderId="3" xfId="1" applyFont="1" applyFill="1" applyBorder="1" applyAlignment="1">
      <alignment horizontal="center" vertical="center"/>
    </xf>
    <xf numFmtId="2" fontId="39" fillId="14" borderId="3" xfId="0" applyNumberFormat="1" applyFont="1" applyFill="1" applyBorder="1" applyAlignment="1">
      <alignment horizontal="center" vertical="center"/>
    </xf>
    <xf numFmtId="40" fontId="39" fillId="14" borderId="3" xfId="1" applyNumberFormat="1" applyFont="1" applyFill="1" applyBorder="1" applyAlignment="1">
      <alignment horizontal="center" vertical="center"/>
    </xf>
    <xf numFmtId="9" fontId="39" fillId="14" borderId="3" xfId="2" applyFont="1" applyFill="1" applyBorder="1" applyAlignment="1">
      <alignment horizontal="center" vertical="center"/>
    </xf>
    <xf numFmtId="49" fontId="39" fillId="14" borderId="3" xfId="1" applyNumberFormat="1" applyFont="1" applyFill="1" applyBorder="1" applyAlignment="1">
      <alignment horizontal="center" vertical="center"/>
    </xf>
    <xf numFmtId="176" fontId="40" fillId="14" borderId="29" xfId="1" applyFont="1" applyFill="1" applyBorder="1" applyAlignment="1">
      <alignment horizontal="center" vertical="center" wrapText="1"/>
    </xf>
    <xf numFmtId="9" fontId="50" fillId="0" borderId="9" xfId="0" applyNumberFormat="1" applyFont="1" applyBorder="1" applyAlignment="1">
      <alignment horizontal="center" vertical="center"/>
    </xf>
    <xf numFmtId="38" fontId="39" fillId="14" borderId="17" xfId="1" applyNumberFormat="1" applyFont="1" applyFill="1" applyBorder="1" applyAlignment="1">
      <alignment horizontal="center" vertical="center"/>
    </xf>
    <xf numFmtId="176" fontId="51" fillId="14" borderId="13" xfId="1" applyFont="1" applyFill="1" applyBorder="1" applyAlignment="1">
      <alignment horizontal="center" vertical="center"/>
    </xf>
    <xf numFmtId="176" fontId="51" fillId="2" borderId="3" xfId="1" applyFont="1" applyFill="1" applyBorder="1" applyAlignment="1">
      <alignment horizontal="center" vertical="center"/>
    </xf>
    <xf numFmtId="40" fontId="39" fillId="2" borderId="3" xfId="1" applyNumberFormat="1" applyFont="1" applyFill="1" applyBorder="1" applyAlignment="1">
      <alignment horizontal="center" vertical="center"/>
    </xf>
    <xf numFmtId="9" fontId="39" fillId="2" borderId="3" xfId="0" applyNumberFormat="1" applyFont="1" applyFill="1" applyBorder="1" applyAlignment="1">
      <alignment horizontal="center" vertical="center"/>
    </xf>
    <xf numFmtId="9" fontId="39" fillId="2" borderId="3" xfId="2" applyFont="1" applyFill="1" applyBorder="1" applyAlignment="1">
      <alignment horizontal="center" vertical="center"/>
    </xf>
    <xf numFmtId="176" fontId="40" fillId="2" borderId="3" xfId="1" applyFont="1" applyFill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/>
    </xf>
    <xf numFmtId="176" fontId="51" fillId="2" borderId="15" xfId="1" applyFont="1" applyFill="1" applyBorder="1" applyAlignment="1">
      <alignment horizontal="center" vertical="center"/>
    </xf>
    <xf numFmtId="176" fontId="23" fillId="2" borderId="3" xfId="1" applyFont="1" applyFill="1" applyBorder="1" applyAlignment="1">
      <alignment horizontal="center" vertical="center"/>
    </xf>
    <xf numFmtId="40" fontId="44" fillId="2" borderId="3" xfId="1" applyNumberFormat="1" applyFont="1" applyFill="1" applyBorder="1" applyAlignment="1">
      <alignment vertical="center"/>
    </xf>
    <xf numFmtId="10" fontId="44" fillId="2" borderId="3" xfId="2" applyNumberFormat="1" applyFont="1" applyFill="1" applyBorder="1" applyAlignment="1">
      <alignment horizontal="center" vertical="center"/>
    </xf>
    <xf numFmtId="176" fontId="44" fillId="2" borderId="3" xfId="1" applyFont="1" applyFill="1" applyBorder="1" applyAlignment="1">
      <alignment horizontal="center" vertical="center"/>
    </xf>
    <xf numFmtId="40" fontId="44" fillId="2" borderId="3" xfId="1" applyNumberFormat="1" applyFont="1" applyFill="1" applyBorder="1" applyAlignment="1">
      <alignment horizontal="center" vertical="center"/>
    </xf>
    <xf numFmtId="176" fontId="39" fillId="2" borderId="3" xfId="1" applyFont="1" applyFill="1" applyBorder="1" applyAlignment="1">
      <alignment horizontal="center" vertical="center"/>
    </xf>
    <xf numFmtId="38" fontId="39" fillId="2" borderId="19" xfId="1" applyNumberFormat="1" applyFont="1" applyFill="1" applyBorder="1" applyAlignment="1">
      <alignment horizontal="center" vertical="center"/>
    </xf>
    <xf numFmtId="176" fontId="23" fillId="2" borderId="3" xfId="51" applyFont="1" applyFill="1" applyBorder="1" applyAlignment="1">
      <alignment horizontal="center" vertical="center"/>
    </xf>
    <xf numFmtId="40" fontId="44" fillId="2" borderId="3" xfId="51" applyNumberFormat="1" applyFont="1" applyFill="1" applyBorder="1" applyAlignment="1">
      <alignment vertical="center"/>
    </xf>
    <xf numFmtId="10" fontId="44" fillId="2" borderId="3" xfId="16" applyNumberFormat="1" applyFont="1" applyFill="1" applyBorder="1" applyAlignment="1">
      <alignment horizontal="center" vertical="center"/>
    </xf>
    <xf numFmtId="40" fontId="44" fillId="2" borderId="3" xfId="51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38" fontId="39" fillId="15" borderId="8" xfId="1" applyNumberFormat="1" applyFont="1" applyFill="1" applyBorder="1" applyAlignment="1">
      <alignment horizontal="center" vertical="center"/>
    </xf>
    <xf numFmtId="176" fontId="51" fillId="16" borderId="3" xfId="1" applyFont="1" applyFill="1" applyBorder="1" applyAlignment="1">
      <alignment horizontal="center" vertical="center"/>
    </xf>
    <xf numFmtId="40" fontId="39" fillId="16" borderId="3" xfId="1" applyNumberFormat="1" applyFont="1" applyFill="1" applyBorder="1" applyAlignment="1">
      <alignment horizontal="center" vertical="center"/>
    </xf>
    <xf numFmtId="9" fontId="39" fillId="16" borderId="3" xfId="0" applyNumberFormat="1" applyFont="1" applyFill="1" applyBorder="1" applyAlignment="1">
      <alignment horizontal="center" vertical="center"/>
    </xf>
    <xf numFmtId="176" fontId="39" fillId="17" borderId="3" xfId="16" applyNumberFormat="1" applyFont="1" applyFill="1" applyBorder="1" applyAlignment="1">
      <alignment horizontal="center" vertical="center"/>
    </xf>
    <xf numFmtId="40" fontId="39" fillId="17" borderId="3" xfId="51" applyNumberFormat="1" applyFont="1" applyFill="1" applyBorder="1" applyAlignment="1">
      <alignment horizontal="center" vertical="center"/>
    </xf>
    <xf numFmtId="176" fontId="23" fillId="17" borderId="3" xfId="51" applyFont="1" applyFill="1" applyBorder="1" applyAlignment="1">
      <alignment horizontal="center" vertical="center" wrapText="1"/>
    </xf>
    <xf numFmtId="38" fontId="36" fillId="19" borderId="8" xfId="1" applyNumberFormat="1" applyFont="1" applyFill="1" applyBorder="1" applyAlignment="1">
      <alignment horizontal="center" vertical="center"/>
    </xf>
    <xf numFmtId="176" fontId="52" fillId="19" borderId="3" xfId="1" applyFont="1" applyFill="1" applyBorder="1" applyAlignment="1">
      <alignment horizontal="center" vertical="center"/>
    </xf>
    <xf numFmtId="176" fontId="52" fillId="19" borderId="3" xfId="1" applyFont="1" applyFill="1" applyBorder="1" applyAlignment="1">
      <alignment horizontal="center" vertical="center" wrapText="1"/>
    </xf>
    <xf numFmtId="40" fontId="36" fillId="19" borderId="3" xfId="1" applyNumberFormat="1" applyFont="1" applyFill="1" applyBorder="1" applyAlignment="1">
      <alignment horizontal="center" vertical="center"/>
    </xf>
    <xf numFmtId="176" fontId="36" fillId="19" borderId="3" xfId="1" applyFont="1" applyFill="1" applyBorder="1" applyAlignment="1">
      <alignment horizontal="center" vertical="center"/>
    </xf>
    <xf numFmtId="179" fontId="36" fillId="19" borderId="3" xfId="2" applyNumberFormat="1" applyFont="1" applyFill="1" applyBorder="1" applyAlignment="1">
      <alignment horizontal="center" vertical="center"/>
    </xf>
    <xf numFmtId="49" fontId="36" fillId="19" borderId="3" xfId="1" applyNumberFormat="1" applyFont="1" applyFill="1" applyBorder="1" applyAlignment="1">
      <alignment horizontal="center" vertical="center"/>
    </xf>
    <xf numFmtId="40" fontId="39" fillId="19" borderId="3" xfId="1" applyNumberFormat="1" applyFont="1" applyFill="1" applyBorder="1" applyAlignment="1">
      <alignment horizontal="center" vertical="center"/>
    </xf>
    <xf numFmtId="176" fontId="53" fillId="19" borderId="29" xfId="1" applyFont="1" applyFill="1" applyBorder="1" applyAlignment="1">
      <alignment horizontal="center" vertical="center" wrapText="1"/>
    </xf>
    <xf numFmtId="38" fontId="39" fillId="20" borderId="8" xfId="1" applyNumberFormat="1" applyFont="1" applyFill="1" applyBorder="1" applyAlignment="1">
      <alignment horizontal="center" vertical="center"/>
    </xf>
    <xf numFmtId="176" fontId="39" fillId="20" borderId="3" xfId="1" applyFont="1" applyFill="1" applyBorder="1" applyAlignment="1">
      <alignment horizontal="center" vertical="center"/>
    </xf>
    <xf numFmtId="176" fontId="51" fillId="20" borderId="3" xfId="1" applyFont="1" applyFill="1" applyBorder="1" applyAlignment="1">
      <alignment horizontal="center" vertical="center" wrapText="1"/>
    </xf>
    <xf numFmtId="40" fontId="39" fillId="20" borderId="3" xfId="1" applyNumberFormat="1" applyFont="1" applyFill="1" applyBorder="1" applyAlignment="1">
      <alignment horizontal="center" vertical="center"/>
    </xf>
    <xf numFmtId="176" fontId="39" fillId="20" borderId="3" xfId="1" applyFont="1" applyFill="1" applyBorder="1" applyAlignment="1">
      <alignment horizontal="center" vertical="center" wrapText="1"/>
    </xf>
    <xf numFmtId="187" fontId="39" fillId="20" borderId="3" xfId="2" applyNumberFormat="1" applyFont="1" applyFill="1" applyBorder="1" applyAlignment="1">
      <alignment horizontal="center" vertical="center"/>
    </xf>
    <xf numFmtId="49" fontId="39" fillId="20" borderId="3" xfId="1" applyNumberFormat="1" applyFont="1" applyFill="1" applyBorder="1" applyAlignment="1">
      <alignment horizontal="center" vertical="center"/>
    </xf>
    <xf numFmtId="176" fontId="40" fillId="20" borderId="29" xfId="1" applyFont="1" applyFill="1" applyBorder="1" applyAlignment="1">
      <alignment horizontal="center" vertical="center" wrapText="1"/>
    </xf>
    <xf numFmtId="176" fontId="39" fillId="0" borderId="3" xfId="1" applyFont="1" applyFill="1" applyBorder="1" applyAlignment="1">
      <alignment horizontal="center" vertical="center"/>
    </xf>
    <xf numFmtId="176" fontId="51" fillId="0" borderId="3" xfId="1" applyFont="1" applyFill="1" applyBorder="1" applyAlignment="1">
      <alignment horizontal="center" vertical="center"/>
    </xf>
    <xf numFmtId="40" fontId="39" fillId="0" borderId="13" xfId="1" applyNumberFormat="1" applyFont="1" applyFill="1" applyBorder="1" applyAlignment="1">
      <alignment horizontal="center" vertical="center"/>
    </xf>
    <xf numFmtId="176" fontId="51" fillId="0" borderId="3" xfId="1" applyFont="1" applyFill="1" applyBorder="1" applyAlignment="1">
      <alignment horizontal="center" vertical="center" wrapText="1"/>
    </xf>
    <xf numFmtId="49" fontId="39" fillId="0" borderId="3" xfId="1" applyNumberFormat="1" applyFont="1" applyFill="1" applyBorder="1" applyAlignment="1">
      <alignment horizontal="center" vertical="center"/>
    </xf>
    <xf numFmtId="40" fontId="39" fillId="0" borderId="3" xfId="1" applyNumberFormat="1" applyFont="1" applyFill="1" applyBorder="1" applyAlignment="1">
      <alignment horizontal="center" vertical="center"/>
    </xf>
    <xf numFmtId="176" fontId="40" fillId="0" borderId="3" xfId="1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2" fontId="37" fillId="0" borderId="3" xfId="0" applyNumberFormat="1" applyFont="1" applyBorder="1" applyAlignment="1">
      <alignment horizontal="center" vertical="center" wrapText="1"/>
    </xf>
    <xf numFmtId="40" fontId="35" fillId="0" borderId="13" xfId="1" applyNumberFormat="1" applyFont="1" applyFill="1" applyBorder="1" applyAlignment="1">
      <alignment horizontal="center" vertical="center"/>
    </xf>
    <xf numFmtId="9" fontId="30" fillId="0" borderId="3" xfId="0" applyNumberFormat="1" applyFont="1" applyBorder="1" applyAlignment="1">
      <alignment horizontal="center" vertical="center"/>
    </xf>
    <xf numFmtId="49" fontId="36" fillId="0" borderId="3" xfId="1" applyNumberFormat="1" applyFont="1" applyFill="1" applyBorder="1" applyAlignment="1">
      <alignment horizontal="center" vertical="center"/>
    </xf>
    <xf numFmtId="40" fontId="36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30" fillId="0" borderId="30" xfId="0" applyFont="1" applyBorder="1" applyAlignment="1">
      <alignment horizontal="center" vertical="center"/>
    </xf>
    <xf numFmtId="176" fontId="37" fillId="0" borderId="13" xfId="1" applyFont="1" applyFill="1" applyBorder="1" applyAlignment="1">
      <alignment horizontal="center" vertical="center"/>
    </xf>
    <xf numFmtId="49" fontId="36" fillId="0" borderId="13" xfId="1" applyNumberFormat="1" applyFont="1" applyFill="1" applyBorder="1" applyAlignment="1">
      <alignment horizontal="center" vertical="center"/>
    </xf>
    <xf numFmtId="40" fontId="36" fillId="0" borderId="13" xfId="1" applyNumberFormat="1" applyFont="1" applyFill="1" applyBorder="1" applyAlignment="1">
      <alignment horizontal="center" vertical="center"/>
    </xf>
    <xf numFmtId="176" fontId="53" fillId="0" borderId="31" xfId="1" applyFont="1" applyFill="1" applyBorder="1" applyAlignment="1">
      <alignment horizontal="center" vertical="center"/>
    </xf>
    <xf numFmtId="2" fontId="37" fillId="0" borderId="13" xfId="0" applyNumberFormat="1" applyFont="1" applyBorder="1" applyAlignment="1">
      <alignment horizontal="center" vertical="center" wrapText="1"/>
    </xf>
    <xf numFmtId="9" fontId="30" fillId="0" borderId="13" xfId="0" applyNumberFormat="1" applyFont="1" applyBorder="1" applyAlignment="1">
      <alignment horizontal="center" vertical="center"/>
    </xf>
    <xf numFmtId="9" fontId="35" fillId="0" borderId="13" xfId="2" applyFont="1" applyFill="1" applyBorder="1" applyAlignment="1">
      <alignment horizontal="center" vertical="center"/>
    </xf>
    <xf numFmtId="38" fontId="39" fillId="21" borderId="32" xfId="1" applyNumberFormat="1" applyFont="1" applyFill="1" applyBorder="1" applyAlignment="1">
      <alignment horizontal="center" vertical="center"/>
    </xf>
    <xf numFmtId="176" fontId="36" fillId="21" borderId="18" xfId="1" applyFont="1" applyFill="1" applyBorder="1" applyAlignment="1">
      <alignment horizontal="center" vertical="center"/>
    </xf>
    <xf numFmtId="176" fontId="52" fillId="21" borderId="13" xfId="1" applyFont="1" applyFill="1" applyBorder="1" applyAlignment="1">
      <alignment horizontal="center" vertical="center"/>
    </xf>
    <xf numFmtId="2" fontId="52" fillId="21" borderId="13" xfId="0" applyNumberFormat="1" applyFont="1" applyFill="1" applyBorder="1" applyAlignment="1">
      <alignment horizontal="center" vertical="center" wrapText="1"/>
    </xf>
    <xf numFmtId="40" fontId="36" fillId="21" borderId="13" xfId="1" applyNumberFormat="1" applyFont="1" applyFill="1" applyBorder="1" applyAlignment="1">
      <alignment horizontal="center" vertical="center"/>
    </xf>
    <xf numFmtId="9" fontId="50" fillId="21" borderId="13" xfId="0" applyNumberFormat="1" applyFont="1" applyFill="1" applyBorder="1" applyAlignment="1">
      <alignment horizontal="center" vertical="center"/>
    </xf>
    <xf numFmtId="9" fontId="36" fillId="21" borderId="13" xfId="2" applyFont="1" applyFill="1" applyBorder="1" applyAlignment="1">
      <alignment horizontal="center" vertical="center"/>
    </xf>
    <xf numFmtId="49" fontId="36" fillId="21" borderId="13" xfId="1" applyNumberFormat="1" applyFont="1" applyFill="1" applyBorder="1" applyAlignment="1">
      <alignment horizontal="center" vertical="center"/>
    </xf>
    <xf numFmtId="176" fontId="53" fillId="21" borderId="31" xfId="1" applyFont="1" applyFill="1" applyBorder="1" applyAlignment="1">
      <alignment horizontal="center" vertical="center"/>
    </xf>
    <xf numFmtId="176" fontId="52" fillId="21" borderId="18" xfId="1" applyFont="1" applyFill="1" applyBorder="1" applyAlignment="1">
      <alignment horizontal="center" vertical="center"/>
    </xf>
    <xf numFmtId="176" fontId="54" fillId="11" borderId="11" xfId="1" applyFont="1" applyFill="1" applyBorder="1" applyAlignment="1">
      <alignment horizontal="center" vertical="center"/>
    </xf>
    <xf numFmtId="0" fontId="54" fillId="11" borderId="11" xfId="0" applyFont="1" applyFill="1" applyBorder="1" applyAlignment="1">
      <alignment horizontal="center" vertical="center"/>
    </xf>
    <xf numFmtId="40" fontId="54" fillId="11" borderId="11" xfId="1" applyNumberFormat="1" applyFont="1" applyFill="1" applyBorder="1" applyAlignment="1">
      <alignment horizontal="center" vertical="center"/>
    </xf>
    <xf numFmtId="40" fontId="33" fillId="11" borderId="11" xfId="51" applyNumberFormat="1" applyFont="1" applyFill="1" applyBorder="1" applyAlignment="1">
      <alignment horizontal="center" vertical="center"/>
    </xf>
    <xf numFmtId="49" fontId="33" fillId="11" borderId="11" xfId="1" applyNumberFormat="1" applyFont="1" applyFill="1" applyBorder="1" applyAlignment="1">
      <alignment horizontal="center" vertical="center"/>
    </xf>
    <xf numFmtId="40" fontId="33" fillId="11" borderId="11" xfId="1" applyNumberFormat="1" applyFont="1" applyFill="1" applyBorder="1" applyAlignment="1">
      <alignment horizontal="center" vertical="center"/>
    </xf>
    <xf numFmtId="176" fontId="53" fillId="11" borderId="35" xfId="1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184" fontId="30" fillId="0" borderId="0" xfId="0" applyNumberFormat="1" applyFont="1" applyAlignment="1">
      <alignment horizontal="center"/>
    </xf>
    <xf numFmtId="188" fontId="30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76" fontId="30" fillId="0" borderId="0" xfId="1" applyFont="1" applyAlignment="1">
      <alignment horizontal="center"/>
    </xf>
    <xf numFmtId="176" fontId="0" fillId="0" borderId="0" xfId="1" applyFont="1">
      <alignment vertical="center"/>
    </xf>
    <xf numFmtId="0" fontId="0" fillId="0" borderId="3" xfId="0" applyBorder="1" applyAlignment="1">
      <alignment vertical="center"/>
    </xf>
    <xf numFmtId="176" fontId="0" fillId="0" borderId="3" xfId="1" applyFont="1" applyBorder="1">
      <alignment vertical="center"/>
    </xf>
    <xf numFmtId="10" fontId="0" fillId="0" borderId="3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176" fontId="0" fillId="0" borderId="3" xfId="1" applyFont="1" applyFill="1" applyBorder="1">
      <alignment vertical="center"/>
    </xf>
    <xf numFmtId="0" fontId="0" fillId="0" borderId="0" xfId="1" applyNumberFormat="1" applyFont="1">
      <alignment vertical="center"/>
    </xf>
    <xf numFmtId="4" fontId="0" fillId="0" borderId="3" xfId="0" applyNumberFormat="1" applyBorder="1" applyAlignment="1">
      <alignment vertical="center"/>
    </xf>
    <xf numFmtId="0" fontId="48" fillId="0" borderId="0" xfId="0" applyFont="1" applyAlignment="1">
      <alignment vertical="center"/>
    </xf>
    <xf numFmtId="0" fontId="55" fillId="0" borderId="0" xfId="0" applyFont="1" applyAlignment="1">
      <alignment vertical="top"/>
    </xf>
    <xf numFmtId="0" fontId="55" fillId="10" borderId="3" xfId="0" applyFont="1" applyFill="1" applyBorder="1" applyAlignment="1">
      <alignment vertical="top"/>
    </xf>
    <xf numFmtId="14" fontId="55" fillId="0" borderId="0" xfId="0" applyNumberFormat="1" applyFont="1" applyAlignment="1">
      <alignment horizontal="right" vertical="top"/>
    </xf>
    <xf numFmtId="4" fontId="55" fillId="0" borderId="0" xfId="0" applyNumberFormat="1" applyFont="1" applyAlignment="1">
      <alignment horizontal="right" vertical="top"/>
    </xf>
    <xf numFmtId="0" fontId="55" fillId="8" borderId="0" xfId="0" applyFont="1" applyFill="1" applyAlignment="1">
      <alignment vertical="top"/>
    </xf>
    <xf numFmtId="0" fontId="35" fillId="0" borderId="0" xfId="0" applyFont="1" applyAlignment="1">
      <alignment horizontal="left" vertical="top" wrapText="1"/>
    </xf>
    <xf numFmtId="0" fontId="58" fillId="0" borderId="36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left" vertical="top" wrapText="1"/>
    </xf>
    <xf numFmtId="0" fontId="58" fillId="0" borderId="36" xfId="0" applyFont="1" applyBorder="1" applyAlignment="1">
      <alignment horizontal="left" vertical="center" wrapText="1"/>
    </xf>
    <xf numFmtId="0" fontId="58" fillId="0" borderId="37" xfId="0" applyFont="1" applyBorder="1" applyAlignment="1">
      <alignment horizontal="center" vertical="center" wrapText="1"/>
    </xf>
    <xf numFmtId="0" fontId="58" fillId="0" borderId="38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top" wrapText="1"/>
    </xf>
    <xf numFmtId="0" fontId="58" fillId="0" borderId="38" xfId="0" applyFont="1" applyBorder="1" applyAlignment="1">
      <alignment horizontal="center" vertical="center" wrapText="1"/>
    </xf>
    <xf numFmtId="0" fontId="58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left" vertical="top" wrapText="1"/>
    </xf>
    <xf numFmtId="190" fontId="58" fillId="0" borderId="39" xfId="0" applyNumberFormat="1" applyFont="1" applyBorder="1" applyAlignment="1">
      <alignment horizontal="center" vertical="center" wrapText="1"/>
    </xf>
    <xf numFmtId="4" fontId="58" fillId="0" borderId="39" xfId="0" applyNumberFormat="1" applyFont="1" applyBorder="1" applyAlignment="1">
      <alignment horizontal="right" vertical="center" wrapText="1"/>
    </xf>
    <xf numFmtId="0" fontId="58" fillId="0" borderId="39" xfId="0" applyFont="1" applyBorder="1" applyAlignment="1">
      <alignment horizontal="right" vertical="center" wrapText="1" indent="2"/>
    </xf>
    <xf numFmtId="0" fontId="58" fillId="0" borderId="39" xfId="0" applyFont="1" applyBorder="1" applyAlignment="1">
      <alignment horizontal="center" vertical="center" wrapText="1"/>
    </xf>
    <xf numFmtId="49" fontId="58" fillId="0" borderId="39" xfId="0" applyNumberFormat="1" applyFont="1" applyBorder="1" applyAlignment="1">
      <alignment horizontal="right" vertical="center" wrapText="1"/>
    </xf>
    <xf numFmtId="0" fontId="58" fillId="0" borderId="39" xfId="0" applyFont="1" applyBorder="1" applyAlignment="1">
      <alignment horizontal="right" vertical="center" wrapText="1"/>
    </xf>
    <xf numFmtId="0" fontId="58" fillId="0" borderId="39" xfId="0" applyFont="1" applyBorder="1" applyAlignment="1">
      <alignment horizontal="right" vertical="center" wrapText="1" indent="1"/>
    </xf>
    <xf numFmtId="0" fontId="58" fillId="0" borderId="40" xfId="0" applyFont="1" applyBorder="1" applyAlignment="1">
      <alignment horizontal="right" vertical="top" wrapText="1" indent="1"/>
    </xf>
    <xf numFmtId="4" fontId="58" fillId="22" borderId="39" xfId="0" applyNumberFormat="1" applyFont="1" applyFill="1" applyBorder="1" applyAlignment="1">
      <alignment horizontal="right" vertical="center" wrapText="1"/>
    </xf>
    <xf numFmtId="184" fontId="58" fillId="0" borderId="39" xfId="0" applyNumberFormat="1" applyFont="1" applyBorder="1" applyAlignment="1">
      <alignment horizontal="right" vertical="center" wrapText="1"/>
    </xf>
    <xf numFmtId="191" fontId="58" fillId="0" borderId="0" xfId="0" applyNumberFormat="1" applyFont="1" applyAlignment="1">
      <alignment horizontal="left" vertical="top" wrapText="1" indent="5"/>
    </xf>
    <xf numFmtId="0" fontId="59" fillId="0" borderId="0" xfId="0" applyFont="1" applyAlignment="1">
      <alignment horizontal="left" vertical="center"/>
    </xf>
    <xf numFmtId="0" fontId="60" fillId="23" borderId="0" xfId="0" applyFont="1" applyFill="1" applyAlignment="1" applyProtection="1">
      <alignment horizontal="left" vertical="center"/>
      <protection locked="0"/>
    </xf>
    <xf numFmtId="182" fontId="59" fillId="0" borderId="0" xfId="0" applyNumberFormat="1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61" fillId="24" borderId="3" xfId="0" applyFont="1" applyFill="1" applyBorder="1" applyAlignment="1" applyProtection="1">
      <alignment horizontal="center" vertical="center"/>
      <protection locked="0"/>
    </xf>
    <xf numFmtId="182" fontId="61" fillId="24" borderId="3" xfId="0" applyNumberFormat="1" applyFont="1" applyFill="1" applyBorder="1" applyAlignment="1" applyProtection="1">
      <alignment horizontal="center" vertical="center"/>
      <protection locked="0"/>
    </xf>
    <xf numFmtId="0" fontId="62" fillId="25" borderId="41" xfId="0" applyFont="1" applyFill="1" applyBorder="1" applyAlignment="1" applyProtection="1">
      <alignment horizontal="center" vertical="center"/>
      <protection locked="0"/>
    </xf>
    <xf numFmtId="0" fontId="61" fillId="23" borderId="3" xfId="0" applyFont="1" applyFill="1" applyBorder="1" applyAlignment="1" applyProtection="1">
      <alignment horizontal="left" vertical="center"/>
      <protection locked="0"/>
    </xf>
    <xf numFmtId="0" fontId="61" fillId="23" borderId="3" xfId="0" applyFont="1" applyFill="1" applyBorder="1" applyAlignment="1" applyProtection="1">
      <alignment horizontal="center" vertical="center"/>
      <protection locked="0"/>
    </xf>
    <xf numFmtId="43" fontId="63" fillId="0" borderId="3" xfId="0" applyNumberFormat="1" applyFont="1" applyBorder="1" applyAlignment="1" applyProtection="1">
      <alignment horizontal="right" vertical="center"/>
      <protection locked="0"/>
    </xf>
    <xf numFmtId="181" fontId="62" fillId="26" borderId="25" xfId="0" applyNumberFormat="1" applyFont="1" applyFill="1" applyBorder="1" applyAlignment="1" applyProtection="1">
      <alignment horizontal="right" vertical="center"/>
      <protection locked="0"/>
    </xf>
    <xf numFmtId="9" fontId="84" fillId="0" borderId="0" xfId="42" applyNumberFormat="1"/>
    <xf numFmtId="183" fontId="48" fillId="0" borderId="0" xfId="42" applyNumberFormat="1" applyFont="1"/>
    <xf numFmtId="43" fontId="64" fillId="0" borderId="0" xfId="1" applyNumberFormat="1" applyFont="1" applyFill="1" applyBorder="1">
      <alignment vertical="center"/>
    </xf>
    <xf numFmtId="183" fontId="10" fillId="0" borderId="0" xfId="42" applyNumberFormat="1" applyFont="1"/>
    <xf numFmtId="4" fontId="0" fillId="0" borderId="0" xfId="0" applyNumberFormat="1"/>
    <xf numFmtId="43" fontId="0" fillId="0" borderId="0" xfId="0" applyNumberFormat="1"/>
    <xf numFmtId="192" fontId="0" fillId="0" borderId="0" xfId="0" applyNumberFormat="1"/>
    <xf numFmtId="0" fontId="0" fillId="0" borderId="3" xfId="0" applyBorder="1"/>
    <xf numFmtId="43" fontId="61" fillId="0" borderId="3" xfId="0" applyNumberFormat="1" applyFont="1" applyBorder="1" applyAlignment="1">
      <alignment horizontal="right" vertical="center"/>
    </xf>
    <xf numFmtId="43" fontId="61" fillId="0" borderId="3" xfId="0" applyNumberFormat="1" applyFont="1" applyBorder="1" applyAlignment="1" applyProtection="1">
      <alignment horizontal="right" vertical="center"/>
      <protection locked="0"/>
    </xf>
    <xf numFmtId="0" fontId="65" fillId="23" borderId="0" xfId="0" applyFont="1" applyFill="1" applyAlignment="1" applyProtection="1">
      <alignment horizontal="left" vertical="center"/>
      <protection locked="0"/>
    </xf>
    <xf numFmtId="0" fontId="63" fillId="24" borderId="3" xfId="0" applyFont="1" applyFill="1" applyBorder="1" applyAlignment="1" applyProtection="1">
      <alignment horizontal="center" vertical="center"/>
      <protection locked="0"/>
    </xf>
    <xf numFmtId="182" fontId="63" fillId="24" borderId="3" xfId="0" applyNumberFormat="1" applyFont="1" applyFill="1" applyBorder="1" applyAlignment="1" applyProtection="1">
      <alignment horizontal="center" vertical="center"/>
      <protection locked="0"/>
    </xf>
    <xf numFmtId="0" fontId="63" fillId="23" borderId="3" xfId="0" applyFont="1" applyFill="1" applyBorder="1" applyAlignment="1" applyProtection="1">
      <alignment horizontal="left" vertical="center"/>
      <protection locked="0"/>
    </xf>
    <xf numFmtId="0" fontId="63" fillId="23" borderId="3" xfId="0" applyFont="1" applyFill="1" applyBorder="1" applyAlignment="1" applyProtection="1">
      <alignment horizontal="center" vertical="center"/>
      <protection locked="0"/>
    </xf>
    <xf numFmtId="43" fontId="63" fillId="0" borderId="3" xfId="0" applyNumberFormat="1" applyFont="1" applyBorder="1" applyAlignment="1">
      <alignment horizontal="right" vertical="center"/>
    </xf>
    <xf numFmtId="183" fontId="0" fillId="0" borderId="0" xfId="0" applyNumberFormat="1"/>
    <xf numFmtId="0" fontId="0" fillId="8" borderId="0" xfId="0" applyFill="1"/>
    <xf numFmtId="0" fontId="0" fillId="27" borderId="0" xfId="0" applyFill="1"/>
    <xf numFmtId="0" fontId="59" fillId="0" borderId="0" xfId="0" applyFont="1" applyAlignment="1">
      <alignment horizontal="center" vertical="center"/>
    </xf>
    <xf numFmtId="0" fontId="61" fillId="0" borderId="3" xfId="0" applyFont="1" applyBorder="1" applyAlignment="1" applyProtection="1">
      <alignment horizontal="left" vertical="center"/>
      <protection locked="0"/>
    </xf>
    <xf numFmtId="0" fontId="61" fillId="0" borderId="3" xfId="0" applyFont="1" applyBorder="1" applyAlignment="1" applyProtection="1">
      <alignment horizontal="center" vertical="center"/>
      <protection locked="0"/>
    </xf>
    <xf numFmtId="0" fontId="61" fillId="0" borderId="3" xfId="0" applyFont="1" applyBorder="1" applyAlignment="1">
      <alignment horizontal="right" vertical="center"/>
    </xf>
    <xf numFmtId="193" fontId="61" fillId="0" borderId="3" xfId="0" applyNumberFormat="1" applyFont="1" applyBorder="1" applyAlignment="1" applyProtection="1">
      <alignment horizontal="right" vertical="center"/>
      <protection locked="0"/>
    </xf>
    <xf numFmtId="43" fontId="59" fillId="0" borderId="0" xfId="0" applyNumberFormat="1" applyFont="1" applyAlignment="1">
      <alignment horizontal="right" vertical="center"/>
    </xf>
    <xf numFmtId="0" fontId="63" fillId="0" borderId="3" xfId="0" applyFont="1" applyBorder="1" applyAlignment="1" applyProtection="1">
      <alignment horizontal="left" vertical="center"/>
      <protection locked="0"/>
    </xf>
    <xf numFmtId="0" fontId="63" fillId="0" borderId="3" xfId="0" applyFont="1" applyBorder="1" applyAlignment="1" applyProtection="1">
      <alignment horizontal="center" vertical="center"/>
      <protection locked="0"/>
    </xf>
    <xf numFmtId="0" fontId="63" fillId="0" borderId="3" xfId="0" applyFont="1" applyBorder="1" applyAlignment="1">
      <alignment horizontal="right" vertical="center"/>
    </xf>
    <xf numFmtId="193" fontId="63" fillId="0" borderId="3" xfId="0" applyNumberFormat="1" applyFont="1" applyBorder="1" applyAlignment="1" applyProtection="1">
      <alignment horizontal="right" vertical="center"/>
      <protection locked="0"/>
    </xf>
    <xf numFmtId="43" fontId="61" fillId="27" borderId="3" xfId="0" applyNumberFormat="1" applyFont="1" applyFill="1" applyBorder="1" applyAlignment="1">
      <alignment horizontal="right" vertical="center"/>
    </xf>
    <xf numFmtId="0" fontId="27" fillId="28" borderId="3" xfId="30" applyFill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176" fontId="0" fillId="0" borderId="3" xfId="1" applyFont="1" applyBorder="1" applyAlignment="1"/>
    <xf numFmtId="183" fontId="84" fillId="0" borderId="29" xfId="42" applyNumberFormat="1" applyBorder="1"/>
    <xf numFmtId="183" fontId="84" fillId="0" borderId="4" xfId="42" applyNumberFormat="1" applyBorder="1"/>
    <xf numFmtId="183" fontId="84" fillId="0" borderId="3" xfId="42" applyNumberFormat="1" applyBorder="1"/>
    <xf numFmtId="176" fontId="0" fillId="0" borderId="3" xfId="1" applyFont="1" applyFill="1" applyBorder="1" applyAlignment="1">
      <alignment horizontal="center" vertical="center"/>
    </xf>
    <xf numFmtId="9" fontId="0" fillId="0" borderId="3" xfId="0" applyNumberFormat="1" applyBorder="1" applyAlignment="1">
      <alignment vertical="center"/>
    </xf>
    <xf numFmtId="176" fontId="0" fillId="0" borderId="3" xfId="1" applyFont="1" applyBorder="1" applyAlignment="1">
      <alignment horizontal="center" vertical="center"/>
    </xf>
    <xf numFmtId="43" fontId="12" fillId="0" borderId="3" xfId="1" applyNumberFormat="1" applyFont="1" applyFill="1" applyBorder="1">
      <alignment vertical="center"/>
    </xf>
    <xf numFmtId="9" fontId="0" fillId="12" borderId="3" xfId="0" applyNumberFormat="1" applyFill="1" applyBorder="1" applyAlignment="1">
      <alignment vertical="center"/>
    </xf>
    <xf numFmtId="176" fontId="0" fillId="12" borderId="3" xfId="51" applyFont="1" applyFill="1" applyBorder="1" applyAlignment="1"/>
    <xf numFmtId="176" fontId="0" fillId="12" borderId="3" xfId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183" fontId="84" fillId="12" borderId="3" xfId="42" applyNumberFormat="1" applyFill="1" applyBorder="1"/>
    <xf numFmtId="176" fontId="0" fillId="12" borderId="3" xfId="1" applyFont="1" applyFill="1" applyBorder="1" applyAlignment="1"/>
    <xf numFmtId="0" fontId="0" fillId="12" borderId="3" xfId="0" applyFill="1" applyBorder="1" applyAlignment="1">
      <alignment vertical="center"/>
    </xf>
    <xf numFmtId="43" fontId="12" fillId="12" borderId="3" xfId="1" applyNumberFormat="1" applyFont="1" applyFill="1" applyBorder="1">
      <alignment vertical="center"/>
    </xf>
    <xf numFmtId="176" fontId="0" fillId="29" borderId="3" xfId="1" applyFont="1" applyFill="1" applyBorder="1" applyAlignment="1">
      <alignment horizontal="center" vertical="center"/>
    </xf>
    <xf numFmtId="43" fontId="0" fillId="0" borderId="0" xfId="65" applyFont="1">
      <alignment vertical="center"/>
    </xf>
    <xf numFmtId="0" fontId="84" fillId="0" borderId="0" xfId="34">
      <alignment vertical="center"/>
    </xf>
    <xf numFmtId="0" fontId="84" fillId="0" borderId="0" xfId="34" applyAlignment="1">
      <alignment horizontal="left" vertical="top"/>
    </xf>
    <xf numFmtId="43" fontId="0" fillId="0" borderId="0" xfId="65" applyFont="1" applyAlignment="1"/>
    <xf numFmtId="194" fontId="84" fillId="0" borderId="0" xfId="34" applyNumberFormat="1">
      <alignment vertical="center"/>
    </xf>
    <xf numFmtId="43" fontId="0" fillId="0" borderId="0" xfId="54" applyFont="1">
      <alignment vertical="center"/>
    </xf>
    <xf numFmtId="195" fontId="0" fillId="0" borderId="0" xfId="65" applyNumberFormat="1" applyFont="1">
      <alignment vertical="center"/>
    </xf>
    <xf numFmtId="43" fontId="66" fillId="0" borderId="0" xfId="65" applyFont="1" applyFill="1">
      <alignment vertical="center"/>
    </xf>
    <xf numFmtId="43" fontId="66" fillId="0" borderId="0" xfId="65" applyFont="1" applyAlignment="1">
      <alignment horizontal="left" vertical="top"/>
    </xf>
    <xf numFmtId="194" fontId="0" fillId="0" borderId="0" xfId="65" applyNumberFormat="1" applyFont="1">
      <alignment vertical="center"/>
    </xf>
    <xf numFmtId="43" fontId="0" fillId="0" borderId="0" xfId="65" applyFont="1" applyFill="1">
      <alignment vertical="center"/>
    </xf>
    <xf numFmtId="0" fontId="67" fillId="30" borderId="3" xfId="34" applyFont="1" applyFill="1" applyBorder="1" applyAlignment="1">
      <alignment horizontal="center" vertical="center"/>
    </xf>
    <xf numFmtId="0" fontId="67" fillId="30" borderId="3" xfId="34" applyFont="1" applyFill="1" applyBorder="1" applyAlignment="1">
      <alignment horizontal="left" vertical="top"/>
    </xf>
    <xf numFmtId="9" fontId="67" fillId="30" borderId="3" xfId="13" applyFont="1" applyFill="1" applyBorder="1" applyAlignment="1">
      <alignment horizontal="center" vertical="center"/>
    </xf>
    <xf numFmtId="43" fontId="67" fillId="30" borderId="3" xfId="54" applyFont="1" applyFill="1" applyBorder="1" applyAlignment="1">
      <alignment horizontal="center" vertical="center"/>
    </xf>
    <xf numFmtId="43" fontId="68" fillId="30" borderId="3" xfId="65" applyFont="1" applyFill="1" applyBorder="1" applyAlignment="1">
      <alignment horizontal="center" vertical="center"/>
    </xf>
    <xf numFmtId="43" fontId="68" fillId="8" borderId="3" xfId="65" applyFont="1" applyFill="1" applyBorder="1" applyAlignment="1">
      <alignment horizontal="center" vertical="center"/>
    </xf>
    <xf numFmtId="43" fontId="68" fillId="31" borderId="3" xfId="65" applyFont="1" applyFill="1" applyBorder="1" applyAlignment="1">
      <alignment horizontal="center" vertical="center"/>
    </xf>
    <xf numFmtId="194" fontId="68" fillId="30" borderId="3" xfId="65" applyNumberFormat="1" applyFont="1" applyFill="1" applyBorder="1" applyAlignment="1">
      <alignment horizontal="center" vertical="center"/>
    </xf>
    <xf numFmtId="43" fontId="68" fillId="30" borderId="29" xfId="65" applyFont="1" applyFill="1" applyBorder="1" applyAlignment="1">
      <alignment horizontal="center" vertical="center"/>
    </xf>
    <xf numFmtId="43" fontId="68" fillId="30" borderId="3" xfId="54" applyFont="1" applyFill="1" applyBorder="1" applyAlignment="1">
      <alignment horizontal="center" vertical="center"/>
    </xf>
    <xf numFmtId="195" fontId="68" fillId="30" borderId="3" xfId="65" applyNumberFormat="1" applyFont="1" applyFill="1" applyBorder="1" applyAlignment="1">
      <alignment horizontal="center" vertical="center"/>
    </xf>
    <xf numFmtId="43" fontId="84" fillId="0" borderId="0" xfId="34" applyNumberFormat="1">
      <alignment vertical="center"/>
    </xf>
    <xf numFmtId="49" fontId="84" fillId="0" borderId="0" xfId="34" applyNumberFormat="1">
      <alignment vertical="center"/>
    </xf>
    <xf numFmtId="0" fontId="84" fillId="0" borderId="13" xfId="34" applyBorder="1" applyAlignment="1">
      <alignment horizontal="center" vertical="center"/>
    </xf>
    <xf numFmtId="9" fontId="69" fillId="32" borderId="3" xfId="13" applyFont="1" applyFill="1" applyBorder="1" applyAlignment="1">
      <alignment horizontal="center" vertical="center"/>
    </xf>
    <xf numFmtId="43" fontId="70" fillId="32" borderId="3" xfId="65" applyFont="1" applyFill="1" applyBorder="1">
      <alignment vertical="center"/>
    </xf>
    <xf numFmtId="0" fontId="84" fillId="0" borderId="3" xfId="34" applyBorder="1">
      <alignment vertical="center"/>
    </xf>
    <xf numFmtId="43" fontId="0" fillId="0" borderId="3" xfId="65" applyFont="1" applyBorder="1">
      <alignment vertical="center"/>
    </xf>
    <xf numFmtId="1" fontId="84" fillId="0" borderId="3" xfId="34" applyNumberFormat="1" applyBorder="1">
      <alignment vertical="center"/>
    </xf>
    <xf numFmtId="195" fontId="0" fillId="0" borderId="3" xfId="65" applyNumberFormat="1" applyFont="1" applyBorder="1">
      <alignment vertical="center"/>
    </xf>
    <xf numFmtId="43" fontId="84" fillId="0" borderId="3" xfId="34" applyNumberFormat="1" applyBorder="1">
      <alignment vertical="center"/>
    </xf>
    <xf numFmtId="43" fontId="70" fillId="0" borderId="3" xfId="65" applyFont="1" applyFill="1" applyBorder="1">
      <alignment vertical="center"/>
    </xf>
    <xf numFmtId="0" fontId="84" fillId="0" borderId="4" xfId="34" applyBorder="1">
      <alignment vertical="center"/>
    </xf>
    <xf numFmtId="43" fontId="0" fillId="0" borderId="3" xfId="65" applyFont="1" applyBorder="1" applyAlignment="1"/>
    <xf numFmtId="194" fontId="84" fillId="0" borderId="3" xfId="34" applyNumberFormat="1" applyBorder="1">
      <alignment vertical="center"/>
    </xf>
    <xf numFmtId="0" fontId="84" fillId="0" borderId="29" xfId="34" applyBorder="1">
      <alignment vertical="center"/>
    </xf>
    <xf numFmtId="43" fontId="0" fillId="0" borderId="29" xfId="65" applyFont="1" applyBorder="1">
      <alignment vertical="center"/>
    </xf>
    <xf numFmtId="194" fontId="0" fillId="0" borderId="3" xfId="65" applyNumberFormat="1" applyFont="1" applyBorder="1">
      <alignment vertical="center"/>
    </xf>
    <xf numFmtId="0" fontId="84" fillId="0" borderId="3" xfId="18" applyBorder="1" applyAlignment="1">
      <alignment vertical="center"/>
    </xf>
    <xf numFmtId="43" fontId="0" fillId="0" borderId="3" xfId="54" applyFont="1" applyBorder="1">
      <alignment vertical="center"/>
    </xf>
    <xf numFmtId="43" fontId="15" fillId="0" borderId="0" xfId="54" applyFont="1" applyBorder="1">
      <alignment vertical="center"/>
    </xf>
    <xf numFmtId="0" fontId="69" fillId="32" borderId="3" xfId="34" applyFont="1" applyFill="1" applyBorder="1" applyAlignment="1">
      <alignment horizontal="center" vertical="center"/>
    </xf>
    <xf numFmtId="43" fontId="12" fillId="0" borderId="3" xfId="65" applyFont="1" applyFill="1" applyBorder="1" applyAlignment="1"/>
    <xf numFmtId="43" fontId="55" fillId="0" borderId="3" xfId="65" applyFont="1" applyBorder="1" applyAlignment="1">
      <alignment vertical="center"/>
    </xf>
    <xf numFmtId="43" fontId="0" fillId="0" borderId="3" xfId="65" applyFont="1" applyFill="1" applyBorder="1">
      <alignment vertical="center"/>
    </xf>
    <xf numFmtId="43" fontId="70" fillId="33" borderId="3" xfId="65" applyFont="1" applyFill="1" applyBorder="1">
      <alignment vertical="center"/>
    </xf>
    <xf numFmtId="0" fontId="84" fillId="0" borderId="0" xfId="18"/>
    <xf numFmtId="43" fontId="0" fillId="0" borderId="4" xfId="65" applyFont="1" applyBorder="1">
      <alignment vertical="center"/>
    </xf>
    <xf numFmtId="43" fontId="12" fillId="0" borderId="0" xfId="54" applyFont="1" applyBorder="1" applyAlignment="1"/>
    <xf numFmtId="43" fontId="84" fillId="0" borderId="0" xfId="18" applyNumberFormat="1"/>
    <xf numFmtId="0" fontId="84" fillId="0" borderId="17" xfId="34" applyBorder="1">
      <alignment vertical="center"/>
    </xf>
    <xf numFmtId="4" fontId="84" fillId="0" borderId="3" xfId="34" applyNumberFormat="1" applyBorder="1">
      <alignment vertical="center"/>
    </xf>
    <xf numFmtId="43" fontId="15" fillId="0" borderId="0" xfId="65" applyFont="1" applyBorder="1">
      <alignment vertical="center"/>
    </xf>
    <xf numFmtId="43" fontId="64" fillId="0" borderId="3" xfId="65" applyFont="1" applyBorder="1">
      <alignment vertical="center"/>
    </xf>
    <xf numFmtId="43" fontId="64" fillId="0" borderId="3" xfId="54" applyFont="1" applyBorder="1">
      <alignment vertical="center"/>
    </xf>
    <xf numFmtId="43" fontId="70" fillId="0" borderId="3" xfId="54" applyFont="1" applyBorder="1">
      <alignment vertical="center"/>
    </xf>
    <xf numFmtId="0" fontId="84" fillId="8" borderId="3" xfId="34" applyFill="1" applyBorder="1">
      <alignment vertical="center"/>
    </xf>
    <xf numFmtId="0" fontId="84" fillId="0" borderId="29" xfId="18" applyBorder="1"/>
    <xf numFmtId="194" fontId="12" fillId="0" borderId="3" xfId="65" applyNumberFormat="1" applyFont="1" applyBorder="1">
      <alignment vertical="center"/>
    </xf>
    <xf numFmtId="196" fontId="84" fillId="0" borderId="3" xfId="34" applyNumberFormat="1" applyBorder="1">
      <alignment vertical="center"/>
    </xf>
    <xf numFmtId="43" fontId="15" fillId="0" borderId="16" xfId="54" applyFont="1" applyBorder="1">
      <alignment vertical="center"/>
    </xf>
    <xf numFmtId="43" fontId="15" fillId="0" borderId="16" xfId="65" applyFont="1" applyBorder="1">
      <alignment vertical="center"/>
    </xf>
    <xf numFmtId="43" fontId="15" fillId="0" borderId="3" xfId="54" applyFont="1" applyBorder="1">
      <alignment vertical="center"/>
    </xf>
    <xf numFmtId="43" fontId="15" fillId="0" borderId="3" xfId="65" applyFont="1" applyBorder="1">
      <alignment vertical="center"/>
    </xf>
    <xf numFmtId="43" fontId="48" fillId="0" borderId="3" xfId="65" applyFont="1" applyBorder="1">
      <alignment vertical="center"/>
    </xf>
    <xf numFmtId="43" fontId="84" fillId="0" borderId="0" xfId="18" applyNumberFormat="1" applyAlignment="1">
      <alignment vertical="center"/>
    </xf>
    <xf numFmtId="0" fontId="84" fillId="0" borderId="15" xfId="34" applyBorder="1">
      <alignment vertical="center"/>
    </xf>
    <xf numFmtId="0" fontId="69" fillId="0" borderId="3" xfId="34" applyFont="1" applyBorder="1" applyAlignment="1">
      <alignment horizontal="center" vertical="center"/>
    </xf>
    <xf numFmtId="9" fontId="69" fillId="0" borderId="3" xfId="13" applyFont="1" applyFill="1" applyBorder="1" applyAlignment="1">
      <alignment horizontal="center" vertical="center"/>
    </xf>
    <xf numFmtId="43" fontId="0" fillId="0" borderId="3" xfId="65" applyFont="1" applyFill="1" applyBorder="1" applyAlignment="1"/>
    <xf numFmtId="43" fontId="0" fillId="0" borderId="29" xfId="65" applyFont="1" applyFill="1" applyBorder="1">
      <alignment vertical="center"/>
    </xf>
    <xf numFmtId="194" fontId="0" fillId="0" borderId="3" xfId="65" applyNumberFormat="1" applyFont="1" applyFill="1" applyBorder="1">
      <alignment vertical="center"/>
    </xf>
    <xf numFmtId="43" fontId="0" fillId="0" borderId="3" xfId="54" applyFont="1" applyFill="1" applyBorder="1">
      <alignment vertical="center"/>
    </xf>
    <xf numFmtId="195" fontId="0" fillId="0" borderId="3" xfId="65" applyNumberFormat="1" applyFont="1" applyFill="1" applyBorder="1">
      <alignment vertical="center"/>
    </xf>
    <xf numFmtId="0" fontId="84" fillId="0" borderId="3" xfId="34" applyBorder="1" applyAlignment="1">
      <alignment horizontal="left" vertical="center"/>
    </xf>
    <xf numFmtId="0" fontId="84" fillId="0" borderId="15" xfId="34" applyBorder="1" applyAlignment="1">
      <alignment horizontal="center" vertical="center"/>
    </xf>
    <xf numFmtId="0" fontId="84" fillId="0" borderId="3" xfId="34" applyBorder="1" applyAlignment="1">
      <alignment horizontal="center" vertical="center"/>
    </xf>
    <xf numFmtId="43" fontId="48" fillId="0" borderId="0" xfId="65" applyFont="1" applyAlignment="1"/>
    <xf numFmtId="43" fontId="0" fillId="0" borderId="3" xfId="65" applyFont="1" applyBorder="1" applyAlignment="1">
      <alignment vertical="center"/>
    </xf>
    <xf numFmtId="43" fontId="71" fillId="28" borderId="3" xfId="65" applyFont="1" applyFill="1" applyBorder="1">
      <alignment vertical="center"/>
    </xf>
    <xf numFmtId="0" fontId="0" fillId="0" borderId="3" xfId="54" applyNumberFormat="1" applyFont="1" applyBorder="1">
      <alignment vertical="center"/>
    </xf>
    <xf numFmtId="43" fontId="64" fillId="0" borderId="43" xfId="54" applyFont="1" applyBorder="1">
      <alignment vertical="center"/>
    </xf>
    <xf numFmtId="43" fontId="64" fillId="0" borderId="0" xfId="54" applyFont="1" applyBorder="1">
      <alignment vertical="center"/>
    </xf>
    <xf numFmtId="0" fontId="12" fillId="0" borderId="29" xfId="34" applyFont="1" applyBorder="1">
      <alignment vertical="center"/>
    </xf>
    <xf numFmtId="0" fontId="12" fillId="0" borderId="42" xfId="34" applyFont="1" applyBorder="1">
      <alignment vertical="center"/>
    </xf>
    <xf numFmtId="43" fontId="64" fillId="0" borderId="18" xfId="54" applyFont="1" applyBorder="1">
      <alignment vertical="center"/>
    </xf>
    <xf numFmtId="0" fontId="84" fillId="0" borderId="0" xfId="34" applyAlignment="1">
      <alignment horizontal="left" vertical="center"/>
    </xf>
    <xf numFmtId="0" fontId="84" fillId="0" borderId="0" xfId="34" applyAlignment="1">
      <alignment vertical="top"/>
    </xf>
    <xf numFmtId="43" fontId="19" fillId="0" borderId="0" xfId="34" applyNumberFormat="1" applyFont="1" applyAlignment="1">
      <alignment horizontal="center" vertical="top" wrapText="1"/>
    </xf>
    <xf numFmtId="0" fontId="84" fillId="0" borderId="0" xfId="34" applyAlignment="1">
      <alignment horizontal="center" vertical="center" wrapText="1"/>
    </xf>
    <xf numFmtId="0" fontId="84" fillId="0" borderId="0" xfId="34" applyAlignment="1">
      <alignment vertical="center" wrapText="1"/>
    </xf>
    <xf numFmtId="43" fontId="0" fillId="0" borderId="0" xfId="65" applyFont="1" applyAlignment="1">
      <alignment horizontal="center" vertical="center" wrapText="1"/>
    </xf>
    <xf numFmtId="43" fontId="48" fillId="0" borderId="0" xfId="65" applyFont="1">
      <alignment vertical="center"/>
    </xf>
    <xf numFmtId="43" fontId="64" fillId="0" borderId="0" xfId="28" applyNumberFormat="1" applyFont="1" applyAlignment="1">
      <alignment vertical="center"/>
    </xf>
    <xf numFmtId="43" fontId="19" fillId="0" borderId="0" xfId="34" applyNumberFormat="1" applyFont="1" applyAlignment="1">
      <alignment vertical="center" wrapText="1"/>
    </xf>
    <xf numFmtId="4" fontId="84" fillId="0" borderId="0" xfId="34" applyNumberFormat="1">
      <alignment vertical="center"/>
    </xf>
    <xf numFmtId="43" fontId="15" fillId="0" borderId="43" xfId="65" applyFont="1" applyBorder="1">
      <alignment vertical="center"/>
    </xf>
    <xf numFmtId="43" fontId="71" fillId="34" borderId="3" xfId="65" applyFont="1" applyFill="1" applyBorder="1">
      <alignment vertical="center"/>
    </xf>
    <xf numFmtId="9" fontId="84" fillId="0" borderId="0" xfId="34" applyNumberFormat="1">
      <alignment vertical="center"/>
    </xf>
    <xf numFmtId="0" fontId="84" fillId="0" borderId="0" xfId="18" applyAlignment="1">
      <alignment vertical="center"/>
    </xf>
    <xf numFmtId="9" fontId="84" fillId="0" borderId="0" xfId="18" applyNumberFormat="1" applyAlignment="1">
      <alignment vertical="center"/>
    </xf>
    <xf numFmtId="0" fontId="84" fillId="0" borderId="0" xfId="42" applyAlignment="1">
      <alignment horizontal="center" vertical="center"/>
    </xf>
    <xf numFmtId="0" fontId="84" fillId="8" borderId="0" xfId="42" applyFill="1"/>
    <xf numFmtId="0" fontId="84" fillId="0" borderId="0" xfId="42" applyAlignment="1">
      <alignment horizontal="left"/>
    </xf>
    <xf numFmtId="0" fontId="84" fillId="0" borderId="0" xfId="42" applyAlignment="1">
      <alignment horizontal="center"/>
    </xf>
    <xf numFmtId="176" fontId="0" fillId="0" borderId="0" xfId="1" applyFont="1" applyFill="1" applyBorder="1" applyAlignment="1" applyProtection="1"/>
    <xf numFmtId="0" fontId="67" fillId="28" borderId="3" xfId="30" applyFont="1" applyFill="1" applyBorder="1" applyAlignment="1">
      <alignment horizontal="left" vertical="center"/>
    </xf>
    <xf numFmtId="0" fontId="67" fillId="28" borderId="3" xfId="30" applyFont="1" applyFill="1" applyBorder="1" applyAlignment="1">
      <alignment horizontal="center" vertical="center" wrapText="1"/>
    </xf>
    <xf numFmtId="0" fontId="67" fillId="28" borderId="3" xfId="30" applyFont="1" applyFill="1" applyBorder="1" applyAlignment="1">
      <alignment horizontal="center" vertical="center"/>
    </xf>
    <xf numFmtId="9" fontId="67" fillId="28" borderId="3" xfId="11" applyFont="1" applyFill="1" applyBorder="1" applyAlignment="1">
      <alignment horizontal="center" vertical="center"/>
    </xf>
    <xf numFmtId="183" fontId="67" fillId="28" borderId="3" xfId="51" applyNumberFormat="1" applyFont="1" applyFill="1" applyBorder="1" applyAlignment="1">
      <alignment horizontal="center" vertical="center"/>
    </xf>
    <xf numFmtId="183" fontId="10" fillId="27" borderId="3" xfId="42" applyNumberFormat="1" applyFont="1" applyFill="1" applyBorder="1" applyAlignment="1">
      <alignment horizontal="center" vertical="center" wrapText="1"/>
    </xf>
    <xf numFmtId="183" fontId="10" fillId="27" borderId="3" xfId="42" applyNumberFormat="1" applyFont="1" applyFill="1" applyBorder="1" applyAlignment="1">
      <alignment horizontal="center" vertical="center"/>
    </xf>
    <xf numFmtId="176" fontId="10" fillId="27" borderId="3" xfId="1" applyFont="1" applyFill="1" applyBorder="1" applyAlignment="1">
      <alignment horizontal="center" vertical="center"/>
    </xf>
    <xf numFmtId="0" fontId="84" fillId="35" borderId="0" xfId="42" applyFill="1" applyAlignment="1">
      <alignment horizontal="center" vertical="center"/>
    </xf>
    <xf numFmtId="0" fontId="69" fillId="36" borderId="3" xfId="30" applyFont="1" applyFill="1" applyBorder="1" applyAlignment="1">
      <alignment horizontal="center" vertical="center"/>
    </xf>
    <xf numFmtId="9" fontId="69" fillId="36" borderId="3" xfId="11" applyFont="1" applyFill="1" applyBorder="1" applyAlignment="1">
      <alignment horizontal="center" vertical="center"/>
    </xf>
    <xf numFmtId="183" fontId="84" fillId="36" borderId="3" xfId="42" applyNumberFormat="1" applyFill="1" applyBorder="1"/>
    <xf numFmtId="183" fontId="0" fillId="36" borderId="3" xfId="51" applyNumberFormat="1" applyFont="1" applyFill="1" applyBorder="1" applyAlignment="1"/>
    <xf numFmtId="183" fontId="69" fillId="0" borderId="3" xfId="51" applyNumberFormat="1" applyFont="1" applyFill="1" applyBorder="1" applyAlignment="1">
      <alignment horizontal="center" vertical="center"/>
    </xf>
    <xf numFmtId="183" fontId="0" fillId="0" borderId="3" xfId="51" applyNumberFormat="1" applyFont="1" applyBorder="1" applyAlignment="1">
      <alignment horizontal="center" vertical="center"/>
    </xf>
    <xf numFmtId="183" fontId="84" fillId="0" borderId="3" xfId="42" applyNumberFormat="1" applyBorder="1" applyAlignment="1">
      <alignment horizontal="center"/>
    </xf>
    <xf numFmtId="183" fontId="0" fillId="0" borderId="3" xfId="51" applyNumberFormat="1" applyFont="1" applyBorder="1" applyAlignment="1"/>
    <xf numFmtId="0" fontId="84" fillId="0" borderId="13" xfId="42" applyBorder="1" applyAlignment="1">
      <alignment horizontal="center" vertical="center"/>
    </xf>
    <xf numFmtId="0" fontId="0" fillId="0" borderId="13" xfId="30" applyFont="1" applyBorder="1" applyAlignment="1">
      <alignment horizontal="center" vertical="center"/>
    </xf>
    <xf numFmtId="0" fontId="69" fillId="32" borderId="3" xfId="30" applyFont="1" applyFill="1" applyBorder="1" applyAlignment="1">
      <alignment horizontal="center" vertical="center"/>
    </xf>
    <xf numFmtId="9" fontId="69" fillId="32" borderId="3" xfId="11" applyFont="1" applyFill="1" applyBorder="1" applyAlignment="1">
      <alignment horizontal="center" vertical="center"/>
    </xf>
    <xf numFmtId="183" fontId="84" fillId="37" borderId="3" xfId="42" applyNumberFormat="1" applyFill="1" applyBorder="1"/>
    <xf numFmtId="183" fontId="0" fillId="37" borderId="3" xfId="51" applyNumberFormat="1" applyFont="1" applyFill="1" applyBorder="1" applyAlignment="1"/>
    <xf numFmtId="0" fontId="84" fillId="0" borderId="3" xfId="42" applyBorder="1" applyAlignment="1">
      <alignment horizontal="center" vertical="center"/>
    </xf>
    <xf numFmtId="0" fontId="0" fillId="0" borderId="3" xfId="30" applyFont="1" applyBorder="1" applyAlignment="1">
      <alignment horizontal="center" vertical="center"/>
    </xf>
    <xf numFmtId="0" fontId="0" fillId="0" borderId="15" xfId="30" applyFont="1" applyBorder="1" applyAlignment="1">
      <alignment horizontal="center" vertical="center"/>
    </xf>
    <xf numFmtId="0" fontId="84" fillId="0" borderId="13" xfId="42" applyBorder="1" applyAlignment="1">
      <alignment horizontal="center" vertical="center" wrapText="1"/>
    </xf>
    <xf numFmtId="176" fontId="0" fillId="0" borderId="0" xfId="1" applyFont="1" applyFill="1" applyAlignment="1" applyProtection="1"/>
    <xf numFmtId="176" fontId="12" fillId="0" borderId="0" xfId="1" applyFont="1" applyFill="1" applyBorder="1">
      <alignment vertical="center"/>
    </xf>
    <xf numFmtId="176" fontId="64" fillId="0" borderId="0" xfId="1" applyFont="1" applyFill="1" applyBorder="1">
      <alignment vertical="center"/>
    </xf>
    <xf numFmtId="0" fontId="84" fillId="0" borderId="14" xfId="42" applyBorder="1" applyAlignment="1">
      <alignment horizontal="center" vertical="center"/>
    </xf>
    <xf numFmtId="0" fontId="84" fillId="0" borderId="15" xfId="42" applyBorder="1" applyAlignment="1">
      <alignment horizontal="center" vertical="center"/>
    </xf>
    <xf numFmtId="176" fontId="0" fillId="0" borderId="0" xfId="1" applyFont="1" applyFill="1" applyAlignment="1"/>
    <xf numFmtId="0" fontId="84" fillId="0" borderId="3" xfId="42" applyBorder="1" applyAlignment="1">
      <alignment horizontal="left" vertical="center" wrapText="1"/>
    </xf>
    <xf numFmtId="176" fontId="64" fillId="0" borderId="0" xfId="1" applyFont="1" applyFill="1">
      <alignment vertical="center"/>
    </xf>
    <xf numFmtId="176" fontId="12" fillId="0" borderId="0" xfId="1" applyFont="1" applyFill="1">
      <alignment vertical="center"/>
    </xf>
    <xf numFmtId="0" fontId="84" fillId="0" borderId="3" xfId="42" applyBorder="1" applyAlignment="1">
      <alignment horizontal="left"/>
    </xf>
    <xf numFmtId="176" fontId="0" fillId="0" borderId="3" xfId="51" applyFont="1" applyBorder="1" applyAlignment="1">
      <alignment horizontal="center" vertical="center"/>
    </xf>
    <xf numFmtId="0" fontId="84" fillId="0" borderId="13" xfId="42" applyBorder="1" applyAlignment="1">
      <alignment horizontal="left"/>
    </xf>
    <xf numFmtId="0" fontId="84" fillId="0" borderId="13" xfId="42" applyBorder="1" applyAlignment="1">
      <alignment horizontal="center"/>
    </xf>
    <xf numFmtId="183" fontId="84" fillId="0" borderId="13" xfId="42" applyNumberFormat="1" applyBorder="1"/>
    <xf numFmtId="183" fontId="0" fillId="0" borderId="13" xfId="51" applyNumberFormat="1" applyFont="1" applyBorder="1" applyAlignment="1">
      <alignment horizontal="center" vertical="center"/>
    </xf>
    <xf numFmtId="176" fontId="0" fillId="0" borderId="13" xfId="51" applyFont="1" applyBorder="1" applyAlignment="1">
      <alignment horizontal="center" vertical="center"/>
    </xf>
    <xf numFmtId="176" fontId="0" fillId="0" borderId="13" xfId="1" applyFont="1" applyBorder="1" applyAlignment="1">
      <alignment horizontal="center" vertical="center"/>
    </xf>
    <xf numFmtId="176" fontId="0" fillId="0" borderId="13" xfId="1" applyFont="1" applyBorder="1" applyAlignment="1"/>
    <xf numFmtId="0" fontId="84" fillId="0" borderId="13" xfId="42" applyBorder="1" applyAlignment="1">
      <alignment horizontal="left" vertical="center" wrapText="1"/>
    </xf>
    <xf numFmtId="0" fontId="84" fillId="0" borderId="14" xfId="42" applyBorder="1" applyAlignment="1">
      <alignment horizontal="center"/>
    </xf>
    <xf numFmtId="0" fontId="0" fillId="0" borderId="14" xfId="30" applyFont="1" applyBorder="1" applyAlignment="1">
      <alignment horizontal="center" vertical="center"/>
    </xf>
    <xf numFmtId="0" fontId="69" fillId="32" borderId="13" xfId="30" applyFont="1" applyFill="1" applyBorder="1" applyAlignment="1">
      <alignment horizontal="center" vertical="center"/>
    </xf>
    <xf numFmtId="9" fontId="69" fillId="32" borderId="13" xfId="11" applyFont="1" applyFill="1" applyBorder="1" applyAlignment="1">
      <alignment horizontal="center" vertical="center"/>
    </xf>
    <xf numFmtId="183" fontId="84" fillId="0" borderId="17" xfId="42" applyNumberFormat="1" applyBorder="1"/>
    <xf numFmtId="183" fontId="84" fillId="0" borderId="31" xfId="42" applyNumberFormat="1" applyBorder="1"/>
    <xf numFmtId="176" fontId="0" fillId="0" borderId="3" xfId="1" applyFont="1" applyFill="1" applyBorder="1" applyAlignment="1" applyProtection="1"/>
    <xf numFmtId="176" fontId="0" fillId="0" borderId="29" xfId="1" applyFont="1" applyFill="1" applyBorder="1" applyAlignment="1" applyProtection="1"/>
    <xf numFmtId="176" fontId="0" fillId="0" borderId="0" xfId="1" applyFont="1" applyBorder="1" applyAlignment="1"/>
    <xf numFmtId="0" fontId="69" fillId="32" borderId="15" xfId="30" applyFont="1" applyFill="1" applyBorder="1" applyAlignment="1">
      <alignment horizontal="center" vertical="center"/>
    </xf>
    <xf numFmtId="9" fontId="69" fillId="32" borderId="15" xfId="11" applyFont="1" applyFill="1" applyBorder="1" applyAlignment="1">
      <alignment horizontal="center" vertical="center"/>
    </xf>
    <xf numFmtId="176" fontId="0" fillId="0" borderId="14" xfId="51" applyFont="1" applyBorder="1" applyAlignment="1">
      <alignment horizontal="center" vertical="center"/>
    </xf>
    <xf numFmtId="183" fontId="84" fillId="0" borderId="14" xfId="42" applyNumberFormat="1" applyBorder="1"/>
    <xf numFmtId="176" fontId="0" fillId="0" borderId="14" xfId="1" applyFont="1" applyBorder="1" applyAlignment="1">
      <alignment horizontal="center" vertical="center"/>
    </xf>
    <xf numFmtId="176" fontId="0" fillId="0" borderId="14" xfId="1" applyFont="1" applyBorder="1" applyAlignment="1"/>
    <xf numFmtId="176" fontId="12" fillId="0" borderId="0" xfId="1" applyFont="1">
      <alignment vertical="center"/>
    </xf>
    <xf numFmtId="0" fontId="84" fillId="0" borderId="3" xfId="42" applyBorder="1" applyAlignment="1">
      <alignment horizontal="center" vertical="center" wrapText="1"/>
    </xf>
    <xf numFmtId="183" fontId="0" fillId="0" borderId="13" xfId="51" applyNumberFormat="1" applyFont="1" applyBorder="1" applyAlignment="1"/>
    <xf numFmtId="0" fontId="69" fillId="8" borderId="3" xfId="30" applyFont="1" applyFill="1" applyBorder="1" applyAlignment="1">
      <alignment horizontal="center" vertical="center"/>
    </xf>
    <xf numFmtId="9" fontId="69" fillId="8" borderId="3" xfId="11" applyFont="1" applyFill="1" applyBorder="1" applyAlignment="1">
      <alignment horizontal="center" vertical="center"/>
    </xf>
    <xf numFmtId="183" fontId="0" fillId="8" borderId="3" xfId="51" applyNumberFormat="1" applyFont="1" applyFill="1" applyBorder="1" applyAlignment="1"/>
    <xf numFmtId="183" fontId="84" fillId="8" borderId="13" xfId="42" applyNumberFormat="1" applyFill="1" applyBorder="1"/>
    <xf numFmtId="183" fontId="0" fillId="8" borderId="13" xfId="51" applyNumberFormat="1" applyFont="1" applyFill="1" applyBorder="1" applyAlignment="1"/>
    <xf numFmtId="176" fontId="0" fillId="8" borderId="13" xfId="1" applyFont="1" applyFill="1" applyBorder="1" applyAlignment="1"/>
    <xf numFmtId="176" fontId="0" fillId="8" borderId="0" xfId="1" applyFont="1" applyFill="1" applyAlignment="1"/>
    <xf numFmtId="176" fontId="0" fillId="8" borderId="0" xfId="1" applyFont="1" applyFill="1" applyBorder="1" applyAlignment="1" applyProtection="1"/>
    <xf numFmtId="176" fontId="12" fillId="8" borderId="0" xfId="1" applyFont="1" applyFill="1">
      <alignment vertical="center"/>
    </xf>
    <xf numFmtId="183" fontId="0" fillId="37" borderId="13" xfId="51" applyNumberFormat="1" applyFont="1" applyFill="1" applyBorder="1" applyAlignment="1"/>
    <xf numFmtId="176" fontId="10" fillId="37" borderId="11" xfId="51" applyFont="1" applyFill="1" applyBorder="1" applyAlignment="1"/>
    <xf numFmtId="176" fontId="10" fillId="0" borderId="11" xfId="51" applyFont="1" applyBorder="1" applyAlignment="1"/>
    <xf numFmtId="176" fontId="10" fillId="0" borderId="11" xfId="1" applyFont="1" applyBorder="1" applyAlignment="1"/>
    <xf numFmtId="176" fontId="0" fillId="8" borderId="3" xfId="1" applyFont="1" applyFill="1" applyBorder="1" applyAlignment="1"/>
    <xf numFmtId="183" fontId="10" fillId="0" borderId="0" xfId="42" applyNumberFormat="1" applyFont="1" applyAlignment="1">
      <alignment horizontal="right"/>
    </xf>
    <xf numFmtId="183" fontId="19" fillId="0" borderId="0" xfId="42" applyNumberFormat="1" applyFont="1" applyAlignment="1">
      <alignment horizontal="right"/>
    </xf>
    <xf numFmtId="176" fontId="48" fillId="0" borderId="0" xfId="1" applyFont="1" applyAlignment="1"/>
    <xf numFmtId="0" fontId="10" fillId="38" borderId="3" xfId="42" applyFont="1" applyFill="1" applyBorder="1" applyAlignment="1">
      <alignment horizontal="center"/>
    </xf>
    <xf numFmtId="176" fontId="10" fillId="38" borderId="3" xfId="1" applyFont="1" applyFill="1" applyBorder="1" applyAlignment="1">
      <alignment horizontal="center"/>
    </xf>
    <xf numFmtId="176" fontId="10" fillId="38" borderId="3" xfId="1" applyFont="1" applyFill="1" applyBorder="1" applyAlignment="1" applyProtection="1">
      <alignment horizontal="center"/>
    </xf>
    <xf numFmtId="176" fontId="10" fillId="8" borderId="3" xfId="1" applyFont="1" applyFill="1" applyBorder="1" applyAlignment="1" applyProtection="1">
      <alignment horizontal="center"/>
    </xf>
    <xf numFmtId="176" fontId="0" fillId="38" borderId="4" xfId="1" applyFont="1" applyFill="1" applyBorder="1" applyAlignment="1">
      <alignment horizontal="center"/>
    </xf>
    <xf numFmtId="176" fontId="0" fillId="38" borderId="3" xfId="1" applyFont="1" applyFill="1" applyBorder="1" applyAlignment="1">
      <alignment horizontal="center"/>
    </xf>
    <xf numFmtId="176" fontId="0" fillId="38" borderId="19" xfId="1" applyFont="1" applyFill="1" applyBorder="1" applyAlignment="1">
      <alignment horizontal="center"/>
    </xf>
    <xf numFmtId="176" fontId="0" fillId="38" borderId="15" xfId="1" applyFont="1" applyFill="1" applyBorder="1" applyAlignment="1">
      <alignment horizontal="center"/>
    </xf>
    <xf numFmtId="176" fontId="0" fillId="8" borderId="15" xfId="1" applyFont="1" applyFill="1" applyBorder="1" applyAlignment="1">
      <alignment horizontal="center"/>
    </xf>
    <xf numFmtId="9" fontId="0" fillId="0" borderId="3" xfId="2" applyFont="1" applyBorder="1" applyAlignment="1">
      <alignment horizontal="center"/>
    </xf>
    <xf numFmtId="176" fontId="84" fillId="39" borderId="3" xfId="42" applyNumberFormat="1" applyFill="1" applyBorder="1"/>
    <xf numFmtId="176" fontId="84" fillId="25" borderId="3" xfId="42" applyNumberFormat="1" applyFill="1" applyBorder="1"/>
    <xf numFmtId="176" fontId="0" fillId="25" borderId="3" xfId="51" applyFont="1" applyFill="1" applyBorder="1" applyAlignment="1"/>
    <xf numFmtId="176" fontId="0" fillId="0" borderId="0" xfId="1" applyFont="1" applyAlignment="1">
      <alignment horizontal="center"/>
    </xf>
    <xf numFmtId="183" fontId="84" fillId="8" borderId="0" xfId="42" applyNumberFormat="1" applyFill="1"/>
    <xf numFmtId="176" fontId="84" fillId="0" borderId="3" xfId="42" applyNumberFormat="1" applyBorder="1"/>
    <xf numFmtId="176" fontId="10" fillId="0" borderId="0" xfId="1" applyFont="1" applyAlignment="1">
      <alignment horizontal="center"/>
    </xf>
    <xf numFmtId="176" fontId="10" fillId="25" borderId="0" xfId="1" applyFont="1" applyFill="1" applyAlignment="1">
      <alignment horizontal="center"/>
    </xf>
    <xf numFmtId="176" fontId="0" fillId="8" borderId="0" xfId="1" applyFont="1" applyFill="1" applyAlignment="1">
      <alignment horizontal="center"/>
    </xf>
    <xf numFmtId="176" fontId="19" fillId="0" borderId="0" xfId="1" applyFont="1" applyAlignment="1">
      <alignment horizontal="center"/>
    </xf>
    <xf numFmtId="43" fontId="64" fillId="0" borderId="0" xfId="42" applyNumberFormat="1" applyFont="1" applyAlignment="1">
      <alignment horizontal="center"/>
    </xf>
    <xf numFmtId="183" fontId="10" fillId="36" borderId="3" xfId="42" applyNumberFormat="1" applyFont="1" applyFill="1" applyBorder="1" applyAlignment="1">
      <alignment horizontal="center"/>
    </xf>
    <xf numFmtId="183" fontId="10" fillId="0" borderId="3" xfId="42" applyNumberFormat="1" applyFont="1" applyBorder="1" applyAlignment="1">
      <alignment horizontal="center"/>
    </xf>
    <xf numFmtId="183" fontId="2" fillId="0" borderId="3" xfId="42" applyNumberFormat="1" applyFont="1" applyBorder="1" applyAlignment="1">
      <alignment horizontal="left"/>
    </xf>
    <xf numFmtId="183" fontId="1" fillId="0" borderId="3" xfId="42" applyNumberFormat="1" applyFont="1" applyBorder="1"/>
    <xf numFmtId="183" fontId="10" fillId="36" borderId="0" xfId="42" applyNumberFormat="1" applyFont="1" applyFill="1"/>
    <xf numFmtId="0" fontId="10" fillId="27" borderId="3" xfId="0" applyFont="1" applyFill="1" applyBorder="1" applyAlignment="1">
      <alignment horizontal="center" vertical="center"/>
    </xf>
    <xf numFmtId="176" fontId="72" fillId="0" borderId="3" xfId="1" applyFont="1" applyBorder="1" applyAlignment="1">
      <alignment horizontal="left"/>
    </xf>
    <xf numFmtId="176" fontId="72" fillId="0" borderId="11" xfId="1" applyFont="1" applyFill="1" applyBorder="1" applyAlignment="1">
      <alignment horizontal="left"/>
    </xf>
    <xf numFmtId="176" fontId="0" fillId="0" borderId="11" xfId="1" applyFont="1" applyBorder="1" applyAlignment="1"/>
    <xf numFmtId="176" fontId="48" fillId="0" borderId="11" xfId="1" applyFont="1" applyBorder="1" applyAlignment="1"/>
    <xf numFmtId="176" fontId="12" fillId="0" borderId="11" xfId="1" applyFont="1" applyBorder="1" applyAlignment="1"/>
    <xf numFmtId="176" fontId="0" fillId="40" borderId="6" xfId="1" applyFont="1" applyFill="1" applyBorder="1" applyAlignment="1"/>
    <xf numFmtId="176" fontId="0" fillId="0" borderId="6" xfId="1" applyFont="1" applyBorder="1" applyAlignment="1"/>
    <xf numFmtId="176" fontId="0" fillId="40" borderId="3" xfId="1" applyFont="1" applyFill="1" applyBorder="1" applyAlignment="1"/>
    <xf numFmtId="176" fontId="0" fillId="40" borderId="13" xfId="1" applyFont="1" applyFill="1" applyBorder="1" applyAlignment="1"/>
    <xf numFmtId="176" fontId="0" fillId="40" borderId="11" xfId="1" applyFont="1" applyFill="1" applyBorder="1" applyAlignment="1"/>
    <xf numFmtId="176" fontId="10" fillId="0" borderId="15" xfId="1" applyFont="1" applyFill="1" applyBorder="1" applyAlignment="1"/>
    <xf numFmtId="176" fontId="10" fillId="0" borderId="15" xfId="1" applyFont="1" applyBorder="1" applyAlignment="1"/>
    <xf numFmtId="176" fontId="0" fillId="0" borderId="0" xfId="0" applyNumberFormat="1"/>
    <xf numFmtId="57" fontId="0" fillId="0" borderId="0" xfId="0" applyNumberFormat="1"/>
    <xf numFmtId="0" fontId="24" fillId="0" borderId="0" xfId="0" applyFont="1"/>
    <xf numFmtId="0" fontId="84" fillId="0" borderId="13" xfId="42" quotePrefix="1" applyBorder="1" applyAlignment="1">
      <alignment horizontal="center" vertical="center"/>
    </xf>
    <xf numFmtId="0" fontId="84" fillId="8" borderId="13" xfId="42" quotePrefix="1" applyFill="1" applyBorder="1" applyAlignment="1">
      <alignment horizontal="center" vertical="center"/>
    </xf>
    <xf numFmtId="176" fontId="39" fillId="18" borderId="3" xfId="1" quotePrefix="1" applyFont="1" applyFill="1" applyBorder="1" applyAlignment="1">
      <alignment horizontal="center" vertical="center"/>
    </xf>
    <xf numFmtId="176" fontId="52" fillId="19" borderId="29" xfId="1" applyFont="1" applyFill="1" applyBorder="1" applyAlignment="1">
      <alignment horizontal="left" vertical="center"/>
    </xf>
    <xf numFmtId="176" fontId="52" fillId="19" borderId="4" xfId="1" applyFont="1" applyFill="1" applyBorder="1" applyAlignment="1">
      <alignment horizontal="left" vertical="center"/>
    </xf>
    <xf numFmtId="176" fontId="72" fillId="0" borderId="3" xfId="1" applyFont="1" applyBorder="1" applyAlignment="1">
      <alignment horizontal="center" vertical="center"/>
    </xf>
    <xf numFmtId="176" fontId="72" fillId="0" borderId="11" xfId="1" applyFont="1" applyBorder="1" applyAlignment="1">
      <alignment horizontal="center" vertical="center"/>
    </xf>
    <xf numFmtId="176" fontId="0" fillId="0" borderId="6" xfId="1" applyFont="1" applyBorder="1" applyAlignment="1">
      <alignment horizontal="center" vertical="center"/>
    </xf>
    <xf numFmtId="176" fontId="0" fillId="0" borderId="3" xfId="1" applyFont="1" applyBorder="1" applyAlignment="1">
      <alignment horizontal="center" vertical="center"/>
    </xf>
    <xf numFmtId="176" fontId="0" fillId="0" borderId="13" xfId="1" applyFont="1" applyBorder="1" applyAlignment="1">
      <alignment horizontal="center" vertical="center"/>
    </xf>
    <xf numFmtId="176" fontId="0" fillId="0" borderId="11" xfId="1" applyFont="1" applyBorder="1" applyAlignment="1">
      <alignment horizontal="center" vertical="center"/>
    </xf>
    <xf numFmtId="176" fontId="10" fillId="0" borderId="11" xfId="51" applyFont="1" applyBorder="1" applyAlignment="1">
      <alignment horizontal="center"/>
    </xf>
    <xf numFmtId="0" fontId="10" fillId="38" borderId="29" xfId="42" applyFont="1" applyFill="1" applyBorder="1" applyAlignment="1">
      <alignment horizontal="center"/>
    </xf>
    <xf numFmtId="0" fontId="10" fillId="38" borderId="4" xfId="42" applyFont="1" applyFill="1" applyBorder="1" applyAlignment="1">
      <alignment horizontal="center"/>
    </xf>
    <xf numFmtId="0" fontId="10" fillId="9" borderId="13" xfId="42" applyFont="1" applyFill="1" applyBorder="1" applyAlignment="1">
      <alignment horizontal="center" vertical="center"/>
    </xf>
    <xf numFmtId="0" fontId="10" fillId="9" borderId="15" xfId="42" applyFont="1" applyFill="1" applyBorder="1" applyAlignment="1">
      <alignment horizontal="center" vertical="center"/>
    </xf>
    <xf numFmtId="0" fontId="10" fillId="25" borderId="3" xfId="42" applyFont="1" applyFill="1" applyBorder="1" applyAlignment="1">
      <alignment horizontal="center" vertical="center"/>
    </xf>
    <xf numFmtId="0" fontId="10" fillId="8" borderId="3" xfId="42" applyFont="1" applyFill="1" applyBorder="1" applyAlignment="1">
      <alignment horizontal="center" vertical="center"/>
    </xf>
    <xf numFmtId="0" fontId="10" fillId="38" borderId="29" xfId="1" applyNumberFormat="1" applyFont="1" applyFill="1" applyBorder="1" applyAlignment="1">
      <alignment horizontal="center"/>
    </xf>
    <xf numFmtId="0" fontId="10" fillId="38" borderId="4" xfId="1" applyNumberFormat="1" applyFont="1" applyFill="1" applyBorder="1" applyAlignment="1">
      <alignment horizontal="center"/>
    </xf>
    <xf numFmtId="176" fontId="10" fillId="38" borderId="4" xfId="1" applyFont="1" applyFill="1" applyBorder="1" applyAlignment="1">
      <alignment horizontal="center"/>
    </xf>
    <xf numFmtId="0" fontId="10" fillId="38" borderId="42" xfId="1" applyNumberFormat="1" applyFont="1" applyFill="1" applyBorder="1" applyAlignment="1">
      <alignment horizontal="center"/>
    </xf>
    <xf numFmtId="0" fontId="10" fillId="38" borderId="29" xfId="1" applyNumberFormat="1" applyFont="1" applyFill="1" applyBorder="1" applyAlignment="1" applyProtection="1">
      <alignment horizontal="center"/>
    </xf>
    <xf numFmtId="0" fontId="0" fillId="38" borderId="4" xfId="1" applyNumberFormat="1" applyFont="1" applyFill="1" applyBorder="1" applyAlignment="1">
      <alignment horizontal="center"/>
    </xf>
    <xf numFmtId="0" fontId="0" fillId="38" borderId="3" xfId="1" applyNumberFormat="1" applyFont="1" applyFill="1" applyBorder="1" applyAlignment="1">
      <alignment horizontal="center"/>
    </xf>
    <xf numFmtId="0" fontId="0" fillId="38" borderId="18" xfId="1" applyNumberFormat="1" applyFont="1" applyFill="1" applyBorder="1" applyAlignment="1">
      <alignment horizontal="center"/>
    </xf>
    <xf numFmtId="0" fontId="0" fillId="38" borderId="14" xfId="1" applyNumberFormat="1" applyFont="1" applyFill="1" applyBorder="1" applyAlignment="1">
      <alignment horizontal="center"/>
    </xf>
    <xf numFmtId="0" fontId="0" fillId="38" borderId="0" xfId="1" applyNumberFormat="1" applyFont="1" applyFill="1" applyBorder="1" applyAlignment="1" applyProtection="1">
      <alignment horizontal="center"/>
    </xf>
    <xf numFmtId="0" fontId="0" fillId="38" borderId="18" xfId="1" applyNumberFormat="1" applyFont="1" applyFill="1" applyBorder="1" applyAlignment="1" applyProtection="1">
      <alignment horizontal="center"/>
    </xf>
    <xf numFmtId="0" fontId="84" fillId="36" borderId="3" xfId="42" applyFill="1" applyBorder="1" applyAlignment="1">
      <alignment horizontal="left" vertical="center"/>
    </xf>
    <xf numFmtId="0" fontId="84" fillId="0" borderId="3" xfId="42" applyBorder="1" applyAlignment="1">
      <alignment horizontal="left" vertical="center"/>
    </xf>
    <xf numFmtId="0" fontId="84" fillId="0" borderId="3" xfId="42" applyBorder="1" applyAlignment="1">
      <alignment horizontal="left" vertical="center" wrapText="1"/>
    </xf>
    <xf numFmtId="0" fontId="84" fillId="0" borderId="14" xfId="42" applyBorder="1" applyAlignment="1">
      <alignment horizontal="left" vertical="center"/>
    </xf>
    <xf numFmtId="0" fontId="84" fillId="0" borderId="15" xfId="42" applyBorder="1" applyAlignment="1">
      <alignment horizontal="left" vertical="center"/>
    </xf>
    <xf numFmtId="0" fontId="84" fillId="0" borderId="13" xfId="42" applyBorder="1" applyAlignment="1">
      <alignment horizontal="left" vertical="center" wrapText="1"/>
    </xf>
    <xf numFmtId="0" fontId="84" fillId="0" borderId="15" xfId="42" applyBorder="1" applyAlignment="1">
      <alignment horizontal="left" vertical="center" wrapText="1"/>
    </xf>
    <xf numFmtId="0" fontId="84" fillId="0" borderId="13" xfId="42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84" fillId="0" borderId="13" xfId="42" applyBorder="1" applyAlignment="1">
      <alignment horizontal="center" vertical="center" wrapText="1"/>
    </xf>
    <xf numFmtId="0" fontId="84" fillId="0" borderId="14" xfId="42" applyBorder="1" applyAlignment="1">
      <alignment horizontal="center" vertical="center" wrapText="1"/>
    </xf>
    <xf numFmtId="0" fontId="84" fillId="0" borderId="15" xfId="42" applyBorder="1" applyAlignment="1">
      <alignment horizontal="center" vertical="center" wrapText="1"/>
    </xf>
    <xf numFmtId="0" fontId="84" fillId="0" borderId="14" xfId="42" applyBorder="1" applyAlignment="1">
      <alignment horizontal="center" vertical="center"/>
    </xf>
    <xf numFmtId="0" fontId="84" fillId="0" borderId="15" xfId="42" applyBorder="1" applyAlignment="1">
      <alignment horizontal="center" vertical="center"/>
    </xf>
    <xf numFmtId="0" fontId="84" fillId="0" borderId="3" xfId="42" applyBorder="1" applyAlignment="1">
      <alignment horizontal="center" vertical="center" wrapText="1"/>
    </xf>
    <xf numFmtId="0" fontId="10" fillId="36" borderId="13" xfId="30" applyFont="1" applyFill="1" applyBorder="1" applyAlignment="1">
      <alignment horizontal="center" vertical="center" wrapText="1"/>
    </xf>
    <xf numFmtId="0" fontId="10" fillId="36" borderId="14" xfId="30" applyFont="1" applyFill="1" applyBorder="1" applyAlignment="1">
      <alignment horizontal="center" vertical="center" wrapText="1"/>
    </xf>
    <xf numFmtId="0" fontId="10" fillId="36" borderId="14" xfId="30" applyFont="1" applyFill="1" applyBorder="1" applyAlignment="1">
      <alignment horizontal="center" vertical="center"/>
    </xf>
    <xf numFmtId="0" fontId="10" fillId="36" borderId="15" xfId="30" applyFont="1" applyFill="1" applyBorder="1" applyAlignment="1">
      <alignment horizontal="center" vertical="center"/>
    </xf>
    <xf numFmtId="0" fontId="0" fillId="0" borderId="13" xfId="30" applyFont="1" applyBorder="1" applyAlignment="1">
      <alignment horizontal="center" vertical="center"/>
    </xf>
    <xf numFmtId="0" fontId="0" fillId="0" borderId="3" xfId="30" applyFont="1" applyBorder="1" applyAlignment="1">
      <alignment horizontal="center" vertical="center"/>
    </xf>
    <xf numFmtId="0" fontId="0" fillId="0" borderId="15" xfId="30" applyFont="1" applyBorder="1" applyAlignment="1">
      <alignment horizontal="center" vertical="center"/>
    </xf>
    <xf numFmtId="0" fontId="0" fillId="0" borderId="13" xfId="30" applyFont="1" applyBorder="1" applyAlignment="1">
      <alignment horizontal="center" vertical="center" wrapText="1"/>
    </xf>
    <xf numFmtId="0" fontId="0" fillId="0" borderId="3" xfId="30" applyFont="1" applyBorder="1" applyAlignment="1">
      <alignment horizontal="center" vertical="center" wrapText="1"/>
    </xf>
    <xf numFmtId="0" fontId="0" fillId="0" borderId="15" xfId="30" applyFont="1" applyBorder="1" applyAlignment="1">
      <alignment horizontal="center" vertical="center" wrapText="1"/>
    </xf>
    <xf numFmtId="0" fontId="0" fillId="0" borderId="14" xfId="3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0" fillId="28" borderId="29" xfId="34" applyFont="1" applyFill="1" applyBorder="1" applyAlignment="1">
      <alignment horizontal="center" vertical="center"/>
    </xf>
    <xf numFmtId="0" fontId="10" fillId="28" borderId="42" xfId="34" applyFont="1" applyFill="1" applyBorder="1" applyAlignment="1">
      <alignment horizontal="center" vertical="center"/>
    </xf>
    <xf numFmtId="0" fontId="10" fillId="28" borderId="4" xfId="34" applyFont="1" applyFill="1" applyBorder="1" applyAlignment="1">
      <alignment horizontal="center" vertical="center"/>
    </xf>
    <xf numFmtId="43" fontId="71" fillId="34" borderId="29" xfId="65" applyFont="1" applyFill="1" applyBorder="1" applyAlignment="1">
      <alignment vertical="top"/>
    </xf>
    <xf numFmtId="43" fontId="71" fillId="34" borderId="42" xfId="65" applyFont="1" applyFill="1" applyBorder="1" applyAlignment="1">
      <alignment horizontal="center" vertical="center"/>
    </xf>
    <xf numFmtId="43" fontId="71" fillId="34" borderId="4" xfId="65" applyFont="1" applyFill="1" applyBorder="1" applyAlignment="1">
      <alignment horizontal="center" vertical="center"/>
    </xf>
    <xf numFmtId="0" fontId="84" fillId="0" borderId="13" xfId="34" applyBorder="1" applyAlignment="1">
      <alignment horizontal="center" vertical="center"/>
    </xf>
    <xf numFmtId="0" fontId="84" fillId="0" borderId="14" xfId="34" applyBorder="1" applyAlignment="1">
      <alignment horizontal="center" vertical="center"/>
    </xf>
    <xf numFmtId="0" fontId="84" fillId="0" borderId="15" xfId="34" applyBorder="1" applyAlignment="1">
      <alignment horizontal="center" vertical="center"/>
    </xf>
    <xf numFmtId="0" fontId="84" fillId="0" borderId="3" xfId="34" applyBorder="1" applyAlignment="1">
      <alignment horizontal="center" vertical="center"/>
    </xf>
    <xf numFmtId="0" fontId="12" fillId="0" borderId="13" xfId="34" applyFont="1" applyBorder="1" applyAlignment="1">
      <alignment horizontal="center" vertical="center"/>
    </xf>
    <xf numFmtId="0" fontId="12" fillId="0" borderId="14" xfId="34" applyFont="1" applyBorder="1" applyAlignment="1">
      <alignment horizontal="center" vertical="center"/>
    </xf>
    <xf numFmtId="0" fontId="12" fillId="0" borderId="15" xfId="34" applyFont="1" applyBorder="1" applyAlignment="1">
      <alignment horizontal="center" vertical="center"/>
    </xf>
    <xf numFmtId="0" fontId="84" fillId="0" borderId="13" xfId="34" applyBorder="1" applyAlignment="1">
      <alignment horizontal="left" vertical="center"/>
    </xf>
    <xf numFmtId="0" fontId="84" fillId="0" borderId="14" xfId="34" applyBorder="1" applyAlignment="1">
      <alignment horizontal="left" vertical="center"/>
    </xf>
    <xf numFmtId="0" fontId="84" fillId="0" borderId="14" xfId="34" applyBorder="1" applyAlignment="1">
      <alignment horizontal="left" vertical="top"/>
    </xf>
    <xf numFmtId="0" fontId="84" fillId="0" borderId="15" xfId="34" applyBorder="1" applyAlignment="1">
      <alignment horizontal="left" vertical="center"/>
    </xf>
    <xf numFmtId="0" fontId="84" fillId="0" borderId="13" xfId="25" applyBorder="1" applyAlignment="1">
      <alignment horizontal="left" vertical="center"/>
    </xf>
    <xf numFmtId="0" fontId="84" fillId="0" borderId="14" xfId="25" applyBorder="1" applyAlignment="1">
      <alignment horizontal="left" vertical="top"/>
    </xf>
    <xf numFmtId="0" fontId="84" fillId="0" borderId="15" xfId="25" applyBorder="1" applyAlignment="1">
      <alignment horizontal="left" vertical="center"/>
    </xf>
    <xf numFmtId="0" fontId="84" fillId="0" borderId="3" xfId="34" applyBorder="1" applyAlignment="1">
      <alignment horizontal="left" vertical="center"/>
    </xf>
    <xf numFmtId="43" fontId="84" fillId="0" borderId="3" xfId="34" applyNumberFormat="1" applyBorder="1" applyAlignment="1">
      <alignment horizontal="center" vertical="center"/>
    </xf>
    <xf numFmtId="0" fontId="84" fillId="0" borderId="3" xfId="34" applyBorder="1" applyAlignment="1">
      <alignment horizontal="left" vertical="top"/>
    </xf>
    <xf numFmtId="0" fontId="69" fillId="32" borderId="13" xfId="34" applyFont="1" applyFill="1" applyBorder="1" applyAlignment="1">
      <alignment horizontal="center" vertical="center"/>
    </xf>
    <xf numFmtId="0" fontId="69" fillId="32" borderId="15" xfId="34" applyFont="1" applyFill="1" applyBorder="1" applyAlignment="1">
      <alignment horizontal="center" vertical="center"/>
    </xf>
    <xf numFmtId="0" fontId="69" fillId="32" borderId="3" xfId="34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27" fillId="28" borderId="3" xfId="30" applyFill="1" applyBorder="1" applyAlignment="1">
      <alignment horizontal="left" vertical="center"/>
    </xf>
    <xf numFmtId="0" fontId="27" fillId="27" borderId="3" xfId="30" applyFill="1" applyBorder="1" applyAlignment="1">
      <alignment horizontal="left" vertical="center"/>
    </xf>
    <xf numFmtId="0" fontId="27" fillId="28" borderId="3" xfId="30" applyFill="1" applyBorder="1" applyAlignment="1">
      <alignment horizontal="center" vertical="center"/>
    </xf>
    <xf numFmtId="0" fontId="56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57" fillId="0" borderId="0" xfId="0" applyFont="1" applyAlignment="1">
      <alignment horizontal="left" vertical="top" wrapText="1"/>
    </xf>
    <xf numFmtId="189" fontId="58" fillId="0" borderId="39" xfId="0" applyNumberFormat="1" applyFont="1" applyBorder="1" applyAlignment="1">
      <alignment horizontal="left" vertical="center" wrapText="1" indent="4"/>
    </xf>
    <xf numFmtId="0" fontId="35" fillId="0" borderId="39" xfId="0" applyFont="1" applyBorder="1" applyAlignment="1">
      <alignment horizontal="left" vertical="center" wrapText="1"/>
    </xf>
    <xf numFmtId="0" fontId="58" fillId="0" borderId="39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176" fontId="31" fillId="0" borderId="20" xfId="1" applyFont="1" applyBorder="1" applyAlignment="1">
      <alignment horizontal="center" vertical="center"/>
    </xf>
    <xf numFmtId="176" fontId="32" fillId="0" borderId="20" xfId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4" xfId="0" applyNumberFormat="1" applyFont="1" applyBorder="1" applyAlignment="1">
      <alignment horizontal="center" vertical="center"/>
    </xf>
    <xf numFmtId="185" fontId="30" fillId="0" borderId="25" xfId="0" applyNumberFormat="1" applyFont="1" applyBorder="1" applyAlignment="1">
      <alignment horizontal="center" vertical="center"/>
    </xf>
    <xf numFmtId="176" fontId="34" fillId="11" borderId="33" xfId="1" applyFont="1" applyFill="1" applyBorder="1" applyAlignment="1">
      <alignment horizontal="center" vertical="center"/>
    </xf>
    <xf numFmtId="176" fontId="33" fillId="11" borderId="34" xfId="1" applyFont="1" applyFill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176" fontId="36" fillId="0" borderId="16" xfId="1" applyFont="1" applyBorder="1" applyAlignment="1">
      <alignment horizontal="center" vertical="center"/>
    </xf>
    <xf numFmtId="176" fontId="36" fillId="0" borderId="0" xfId="1" applyFont="1" applyBorder="1" applyAlignment="1">
      <alignment horizontal="center" vertical="center"/>
    </xf>
    <xf numFmtId="176" fontId="36" fillId="0" borderId="2" xfId="1" applyFont="1" applyBorder="1" applyAlignment="1">
      <alignment horizontal="center" vertical="center"/>
    </xf>
    <xf numFmtId="38" fontId="39" fillId="2" borderId="13" xfId="1" applyNumberFormat="1" applyFont="1" applyFill="1" applyBorder="1" applyAlignment="1">
      <alignment horizontal="center" vertical="center"/>
    </xf>
    <xf numFmtId="38" fontId="39" fillId="2" borderId="15" xfId="1" applyNumberFormat="1" applyFont="1" applyFill="1" applyBorder="1" applyAlignment="1">
      <alignment horizontal="center" vertical="center"/>
    </xf>
    <xf numFmtId="38" fontId="39" fillId="0" borderId="13" xfId="1" applyNumberFormat="1" applyFont="1" applyFill="1" applyBorder="1" applyAlignment="1">
      <alignment horizontal="center" vertical="center"/>
    </xf>
    <xf numFmtId="38" fontId="39" fillId="0" borderId="14" xfId="1" applyNumberFormat="1" applyFont="1" applyFill="1" applyBorder="1" applyAlignment="1">
      <alignment horizontal="center" vertical="center"/>
    </xf>
    <xf numFmtId="38" fontId="39" fillId="0" borderId="15" xfId="1" applyNumberFormat="1" applyFont="1" applyFill="1" applyBorder="1" applyAlignment="1">
      <alignment horizontal="center" vertical="center"/>
    </xf>
    <xf numFmtId="176" fontId="36" fillId="0" borderId="13" xfId="1" applyFont="1" applyBorder="1" applyAlignment="1">
      <alignment horizontal="center" vertical="center"/>
    </xf>
    <xf numFmtId="176" fontId="36" fillId="0" borderId="14" xfId="1" applyFont="1" applyBorder="1" applyAlignment="1">
      <alignment horizontal="center" vertical="center"/>
    </xf>
    <xf numFmtId="176" fontId="36" fillId="0" borderId="17" xfId="1" applyFont="1" applyBorder="1" applyAlignment="1">
      <alignment horizontal="center" vertical="center"/>
    </xf>
    <xf numFmtId="176" fontId="36" fillId="0" borderId="18" xfId="1" applyFont="1" applyBorder="1" applyAlignment="1">
      <alignment horizontal="center" vertical="center"/>
    </xf>
    <xf numFmtId="176" fontId="36" fillId="0" borderId="19" xfId="1" applyFont="1" applyBorder="1" applyAlignment="1">
      <alignment horizontal="center" vertical="center"/>
    </xf>
    <xf numFmtId="176" fontId="51" fillId="2" borderId="13" xfId="1" applyFont="1" applyFill="1" applyBorder="1" applyAlignment="1">
      <alignment horizontal="center" vertical="center"/>
    </xf>
    <xf numFmtId="176" fontId="51" fillId="2" borderId="15" xfId="1" applyFont="1" applyFill="1" applyBorder="1" applyAlignment="1">
      <alignment horizontal="center" vertical="center"/>
    </xf>
    <xf numFmtId="176" fontId="52" fillId="0" borderId="13" xfId="1" applyFont="1" applyFill="1" applyBorder="1" applyAlignment="1">
      <alignment horizontal="center" vertical="center"/>
    </xf>
    <xf numFmtId="176" fontId="52" fillId="0" borderId="14" xfId="1" applyFont="1" applyFill="1" applyBorder="1" applyAlignment="1">
      <alignment horizontal="center" vertical="center"/>
    </xf>
    <xf numFmtId="176" fontId="52" fillId="0" borderId="15" xfId="1" applyFont="1" applyFill="1" applyBorder="1" applyAlignment="1">
      <alignment horizontal="center" vertical="center"/>
    </xf>
    <xf numFmtId="176" fontId="37" fillId="0" borderId="13" xfId="1" applyFont="1" applyBorder="1" applyAlignment="1">
      <alignment horizontal="center" vertical="center"/>
    </xf>
    <xf numFmtId="176" fontId="37" fillId="0" borderId="14" xfId="1" applyFont="1" applyBorder="1" applyAlignment="1">
      <alignment horizontal="center" vertical="center"/>
    </xf>
    <xf numFmtId="176" fontId="37" fillId="0" borderId="15" xfId="1" applyFont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 wrapText="1"/>
    </xf>
    <xf numFmtId="176" fontId="10" fillId="0" borderId="3" xfId="48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0" fillId="0" borderId="6" xfId="42" applyFont="1" applyBorder="1" applyAlignment="1">
      <alignment horizontal="center" vertical="center"/>
    </xf>
    <xf numFmtId="0" fontId="10" fillId="0" borderId="7" xfId="42" applyFont="1" applyBorder="1" applyAlignment="1">
      <alignment horizontal="center" vertical="center"/>
    </xf>
    <xf numFmtId="0" fontId="10" fillId="0" borderId="5" xfId="42" applyFont="1" applyBorder="1" applyAlignment="1">
      <alignment horizontal="center" vertical="center"/>
    </xf>
    <xf numFmtId="0" fontId="10" fillId="0" borderId="8" xfId="42" applyFont="1" applyBorder="1" applyAlignment="1">
      <alignment horizontal="center" vertical="center"/>
    </xf>
    <xf numFmtId="0" fontId="2" fillId="0" borderId="0" xfId="31" applyFont="1" applyAlignment="1">
      <alignment horizontal="center" vertical="center" wrapText="1"/>
    </xf>
    <xf numFmtId="0" fontId="3" fillId="2" borderId="1" xfId="31" applyFont="1" applyFill="1" applyBorder="1" applyAlignment="1">
      <alignment horizontal="center" vertical="center" wrapText="1"/>
    </xf>
    <xf numFmtId="0" fontId="3" fillId="2" borderId="2" xfId="31" applyFont="1" applyFill="1" applyBorder="1" applyAlignment="1">
      <alignment horizontal="center" vertical="center" wrapText="1"/>
    </xf>
  </cellXfs>
  <cellStyles count="67">
    <cellStyle name="Comma [0] 2" xfId="3" xr:uid="{00000000-0005-0000-0000-000031000000}"/>
    <cellStyle name="Comma 3 2" xfId="4" xr:uid="{00000000-0005-0000-0000-000032000000}"/>
    <cellStyle name="Normal" xfId="5" xr:uid="{00000000-0005-0000-0000-000033000000}"/>
    <cellStyle name="Normal 2" xfId="6" xr:uid="{00000000-0005-0000-0000-000034000000}"/>
    <cellStyle name="Normal 3" xfId="7" xr:uid="{00000000-0005-0000-0000-000035000000}"/>
    <cellStyle name="Percent 5" xfId="8" xr:uid="{00000000-0005-0000-0000-000036000000}"/>
    <cellStyle name="百分比" xfId="2" builtinId="5"/>
    <cellStyle name="百分比 2" xfId="9" xr:uid="{00000000-0005-0000-0000-000037000000}"/>
    <cellStyle name="百分比 2 2" xfId="10" xr:uid="{00000000-0005-0000-0000-000038000000}"/>
    <cellStyle name="百分比 2 2 2" xfId="11" xr:uid="{00000000-0005-0000-0000-000039000000}"/>
    <cellStyle name="百分比 2 3" xfId="12" xr:uid="{00000000-0005-0000-0000-00003A000000}"/>
    <cellStyle name="百分比 2 4" xfId="13" xr:uid="{00000000-0005-0000-0000-00003B000000}"/>
    <cellStyle name="百分比 2 5" xfId="14" xr:uid="{00000000-0005-0000-0000-00003C000000}"/>
    <cellStyle name="百分比 3" xfId="15" xr:uid="{00000000-0005-0000-0000-00003D000000}"/>
    <cellStyle name="百分比 3 2" xfId="16" xr:uid="{00000000-0005-0000-0000-00003E000000}"/>
    <cellStyle name="百分比 4" xfId="17" xr:uid="{00000000-0005-0000-0000-00003F000000}"/>
    <cellStyle name="常规" xfId="0" builtinId="0"/>
    <cellStyle name="常规 10" xfId="18" xr:uid="{00000000-0005-0000-0000-000040000000}"/>
    <cellStyle name="常规 11" xfId="19" xr:uid="{00000000-0005-0000-0000-000041000000}"/>
    <cellStyle name="常规 12" xfId="20" xr:uid="{00000000-0005-0000-0000-000042000000}"/>
    <cellStyle name="常规 13" xfId="21" xr:uid="{00000000-0005-0000-0000-000043000000}"/>
    <cellStyle name="常规 14" xfId="22" xr:uid="{00000000-0005-0000-0000-000044000000}"/>
    <cellStyle name="常规 2" xfId="23" xr:uid="{00000000-0005-0000-0000-000045000000}"/>
    <cellStyle name="常规 2 2" xfId="24" xr:uid="{00000000-0005-0000-0000-000046000000}"/>
    <cellStyle name="常规 2 2 2" xfId="25" xr:uid="{00000000-0005-0000-0000-000047000000}"/>
    <cellStyle name="常规 2 2 3" xfId="26" xr:uid="{00000000-0005-0000-0000-000048000000}"/>
    <cellStyle name="常规 2 3" xfId="27" xr:uid="{00000000-0005-0000-0000-000049000000}"/>
    <cellStyle name="常规 2 4" xfId="28" xr:uid="{00000000-0005-0000-0000-00004A000000}"/>
    <cellStyle name="常规 2 5" xfId="29" xr:uid="{00000000-0005-0000-0000-00004B000000}"/>
    <cellStyle name="常规 3" xfId="30" xr:uid="{00000000-0005-0000-0000-00004C000000}"/>
    <cellStyle name="常规 3 2" xfId="31" xr:uid="{00000000-0005-0000-0000-00004D000000}"/>
    <cellStyle name="常规 3 3" xfId="32" xr:uid="{00000000-0005-0000-0000-00004E000000}"/>
    <cellStyle name="常规 3 4" xfId="33" xr:uid="{00000000-0005-0000-0000-00004F000000}"/>
    <cellStyle name="常规 3 5" xfId="34" xr:uid="{00000000-0005-0000-0000-000050000000}"/>
    <cellStyle name="常规 3 6" xfId="35" xr:uid="{00000000-0005-0000-0000-000051000000}"/>
    <cellStyle name="常规 4" xfId="36" xr:uid="{00000000-0005-0000-0000-000052000000}"/>
    <cellStyle name="常规 4 2" xfId="37" xr:uid="{00000000-0005-0000-0000-000053000000}"/>
    <cellStyle name="常规 5" xfId="38" xr:uid="{00000000-0005-0000-0000-000054000000}"/>
    <cellStyle name="常规 5 2" xfId="39" xr:uid="{00000000-0005-0000-0000-000055000000}"/>
    <cellStyle name="常规 5 3" xfId="40" xr:uid="{00000000-0005-0000-0000-000056000000}"/>
    <cellStyle name="常规 6" xfId="41" xr:uid="{00000000-0005-0000-0000-000057000000}"/>
    <cellStyle name="常规 6 2" xfId="42" xr:uid="{00000000-0005-0000-0000-000058000000}"/>
    <cellStyle name="常规 7" xfId="43" xr:uid="{00000000-0005-0000-0000-000059000000}"/>
    <cellStyle name="常规 7 2" xfId="44" xr:uid="{00000000-0005-0000-0000-00005A000000}"/>
    <cellStyle name="常规 8" xfId="45" xr:uid="{00000000-0005-0000-0000-00005B000000}"/>
    <cellStyle name="常规 9" xfId="46" xr:uid="{00000000-0005-0000-0000-00005C000000}"/>
    <cellStyle name="千位分隔" xfId="1" builtinId="3"/>
    <cellStyle name="千位分隔 10" xfId="47" xr:uid="{00000000-0005-0000-0000-00005D000000}"/>
    <cellStyle name="千位分隔 17" xfId="48" xr:uid="{00000000-0005-0000-0000-00005E000000}"/>
    <cellStyle name="千位分隔 2" xfId="49" xr:uid="{00000000-0005-0000-0000-00005F000000}"/>
    <cellStyle name="千位分隔 2 2" xfId="50" xr:uid="{00000000-0005-0000-0000-000060000000}"/>
    <cellStyle name="千位分隔 2 2 2" xfId="51" xr:uid="{00000000-0005-0000-0000-000061000000}"/>
    <cellStyle name="千位分隔 2 3" xfId="52" xr:uid="{00000000-0005-0000-0000-000062000000}"/>
    <cellStyle name="千位分隔 2 4" xfId="53" xr:uid="{00000000-0005-0000-0000-000063000000}"/>
    <cellStyle name="千位分隔 2 5" xfId="54" xr:uid="{00000000-0005-0000-0000-000064000000}"/>
    <cellStyle name="千位分隔 2 6" xfId="55" xr:uid="{00000000-0005-0000-0000-000065000000}"/>
    <cellStyle name="千位分隔 3" xfId="56" xr:uid="{00000000-0005-0000-0000-000066000000}"/>
    <cellStyle name="千位分隔 3 2" xfId="57" xr:uid="{00000000-0005-0000-0000-000067000000}"/>
    <cellStyle name="千位分隔 3 2 2" xfId="58" xr:uid="{00000000-0005-0000-0000-000068000000}"/>
    <cellStyle name="千位分隔 4" xfId="59" xr:uid="{00000000-0005-0000-0000-000069000000}"/>
    <cellStyle name="千位分隔 4 2" xfId="60" xr:uid="{00000000-0005-0000-0000-00006A000000}"/>
    <cellStyle name="千位分隔 5" xfId="61" xr:uid="{00000000-0005-0000-0000-00006B000000}"/>
    <cellStyle name="千位分隔 5 2" xfId="62" xr:uid="{00000000-0005-0000-0000-00006C000000}"/>
    <cellStyle name="千位分隔 6" xfId="63" xr:uid="{00000000-0005-0000-0000-00006D000000}"/>
    <cellStyle name="千位分隔 7" xfId="64" xr:uid="{00000000-0005-0000-0000-00006E000000}"/>
    <cellStyle name="千位分隔 8" xfId="65" xr:uid="{00000000-0005-0000-0000-00006F000000}"/>
    <cellStyle name="千位分隔 9" xfId="66" xr:uid="{00000000-0005-0000-0000-000070000000}"/>
  </cellStyles>
  <dxfs count="0"/>
  <tableStyles count="0" defaultTableStyle="TableStyleMedium2" defaultPivotStyle="PivotStyleLight16"/>
  <colors>
    <mruColors>
      <color rgb="FFFF7C80"/>
      <color rgb="FFFF5050"/>
      <color rgb="FFA50021"/>
      <color rgb="FFC00000"/>
      <color rgb="FF996633"/>
      <color rgb="FFE9CCA1"/>
      <color rgb="FF993300"/>
      <color rgb="FFDFABB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20</xdr:col>
      <xdr:colOff>252412</xdr:colOff>
      <xdr:row>17</xdr:row>
      <xdr:rowOff>125412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115" y="923925"/>
          <a:ext cx="7257415" cy="241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401410</xdr:colOff>
      <xdr:row>48</xdr:row>
      <xdr:rowOff>140955</xdr:rowOff>
    </xdr:from>
    <xdr:to>
      <xdr:col>20</xdr:col>
      <xdr:colOff>357241</xdr:colOff>
      <xdr:row>61</xdr:row>
      <xdr:rowOff>47566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6640" y="9216390"/>
          <a:ext cx="7606665" cy="21932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20</xdr:col>
      <xdr:colOff>243568</xdr:colOff>
      <xdr:row>111</xdr:row>
      <xdr:rowOff>4082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91115" y="17723485"/>
          <a:ext cx="7248525" cy="246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135255</xdr:colOff>
      <xdr:row>138</xdr:row>
      <xdr:rowOff>97790</xdr:rowOff>
    </xdr:from>
    <xdr:to>
      <xdr:col>21</xdr:col>
      <xdr:colOff>37963</xdr:colOff>
      <xdr:row>150</xdr:row>
      <xdr:rowOff>82686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80575" y="25061545"/>
          <a:ext cx="8199120" cy="209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21</xdr:col>
      <xdr:colOff>539750</xdr:colOff>
      <xdr:row>198</xdr:row>
      <xdr:rowOff>47625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1115" y="33259395"/>
          <a:ext cx="8190865" cy="233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576580</xdr:colOff>
      <xdr:row>231</xdr:row>
      <xdr:rowOff>59055</xdr:rowOff>
    </xdr:from>
    <xdr:to>
      <xdr:col>21</xdr:col>
      <xdr:colOff>287655</xdr:colOff>
      <xdr:row>244</xdr:row>
      <xdr:rowOff>6985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21900" y="41438195"/>
          <a:ext cx="8007985" cy="223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227330</xdr:colOff>
      <xdr:row>274</xdr:row>
      <xdr:rowOff>194310</xdr:rowOff>
    </xdr:from>
    <xdr:to>
      <xdr:col>20</xdr:col>
      <xdr:colOff>514350</xdr:colOff>
      <xdr:row>287</xdr:row>
      <xdr:rowOff>133985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18445" y="49147095"/>
          <a:ext cx="7292340" cy="224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322</xdr:row>
      <xdr:rowOff>208915</xdr:rowOff>
    </xdr:from>
    <xdr:to>
      <xdr:col>21</xdr:col>
      <xdr:colOff>227965</xdr:colOff>
      <xdr:row>336</xdr:row>
      <xdr:rowOff>97790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91115" y="57618630"/>
          <a:ext cx="7879080" cy="238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407035</xdr:colOff>
      <xdr:row>341</xdr:row>
      <xdr:rowOff>84455</xdr:rowOff>
    </xdr:from>
    <xdr:to>
      <xdr:col>23</xdr:col>
      <xdr:colOff>83820</xdr:colOff>
      <xdr:row>363</xdr:row>
      <xdr:rowOff>50800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52355" y="60869195"/>
          <a:ext cx="9265285" cy="386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397510</xdr:colOff>
      <xdr:row>363</xdr:row>
      <xdr:rowOff>58420</xdr:rowOff>
    </xdr:from>
    <xdr:to>
      <xdr:col>19</xdr:col>
      <xdr:colOff>598805</xdr:colOff>
      <xdr:row>376</xdr:row>
      <xdr:rowOff>120650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42830" y="64741425"/>
          <a:ext cx="7206615" cy="234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276225</xdr:colOff>
      <xdr:row>410</xdr:row>
      <xdr:rowOff>151765</xdr:rowOff>
    </xdr:from>
    <xdr:to>
      <xdr:col>21</xdr:col>
      <xdr:colOff>115570</xdr:colOff>
      <xdr:row>427</xdr:row>
      <xdr:rowOff>11430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21545" y="73135490"/>
          <a:ext cx="8136255" cy="284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157480</xdr:colOff>
      <xdr:row>453</xdr:row>
      <xdr:rowOff>104775</xdr:rowOff>
    </xdr:from>
    <xdr:to>
      <xdr:col>20</xdr:col>
      <xdr:colOff>328930</xdr:colOff>
      <xdr:row>468</xdr:row>
      <xdr:rowOff>96520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02800" y="80680560"/>
          <a:ext cx="7822565" cy="263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187325</xdr:colOff>
      <xdr:row>498</xdr:row>
      <xdr:rowOff>133985</xdr:rowOff>
    </xdr:from>
    <xdr:to>
      <xdr:col>21</xdr:col>
      <xdr:colOff>53975</xdr:colOff>
      <xdr:row>513</xdr:row>
      <xdr:rowOff>62865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32645" y="88653620"/>
          <a:ext cx="8163560" cy="2567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570</xdr:row>
      <xdr:rowOff>0</xdr:rowOff>
    </xdr:from>
    <xdr:to>
      <xdr:col>10</xdr:col>
      <xdr:colOff>180975</xdr:colOff>
      <xdr:row>601</xdr:row>
      <xdr:rowOff>104775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" y="100803710"/>
          <a:ext cx="5993130" cy="5557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290195</xdr:colOff>
      <xdr:row>26</xdr:row>
      <xdr:rowOff>170815</xdr:rowOff>
    </xdr:from>
    <xdr:to>
      <xdr:col>5</xdr:col>
      <xdr:colOff>546100</xdr:colOff>
      <xdr:row>60</xdr:row>
      <xdr:rowOff>41275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195" y="4752975"/>
          <a:ext cx="6722745" cy="6022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P46"/>
  <sheetViews>
    <sheetView zoomScale="80" zoomScaleNormal="80" workbookViewId="0">
      <selection activeCell="D20" sqref="D20"/>
    </sheetView>
  </sheetViews>
  <sheetFormatPr defaultColWidth="9" defaultRowHeight="14.25"/>
  <cols>
    <col min="2" max="2" width="22.375" customWidth="1"/>
    <col min="3" max="3" width="14.75" customWidth="1"/>
    <col min="4" max="4" width="16.875" customWidth="1"/>
    <col min="5" max="5" width="15" customWidth="1"/>
    <col min="6" max="6" width="14.375" customWidth="1"/>
    <col min="7" max="7" width="14.75" customWidth="1"/>
    <col min="8" max="8" width="13.75" customWidth="1"/>
    <col min="9" max="9" width="13.125" style="59" customWidth="1"/>
    <col min="10" max="10" width="14.5" customWidth="1"/>
    <col min="11" max="11" width="14.375" style="59" customWidth="1"/>
    <col min="12" max="12" width="15.375" customWidth="1"/>
    <col min="13" max="13" width="13.75" customWidth="1"/>
    <col min="14" max="14" width="14.375" customWidth="1"/>
    <col min="15" max="15" width="15.125" customWidth="1"/>
    <col min="16" max="16" width="17" customWidth="1"/>
  </cols>
  <sheetData>
    <row r="1" spans="1:16">
      <c r="A1" s="625" t="s">
        <v>0</v>
      </c>
      <c r="B1" s="626"/>
      <c r="C1" s="236" t="s">
        <v>1</v>
      </c>
      <c r="D1" s="606">
        <v>202412</v>
      </c>
      <c r="E1" s="606">
        <v>202501</v>
      </c>
      <c r="F1" s="606">
        <v>202502</v>
      </c>
      <c r="G1" s="606">
        <v>202503</v>
      </c>
      <c r="H1" s="606">
        <v>202504</v>
      </c>
      <c r="I1" s="606">
        <v>202505</v>
      </c>
      <c r="J1" s="606">
        <v>202506</v>
      </c>
      <c r="K1" s="606">
        <v>202507</v>
      </c>
      <c r="L1" s="606">
        <v>202508</v>
      </c>
      <c r="M1" s="606">
        <v>202509</v>
      </c>
      <c r="N1" s="606">
        <v>202510</v>
      </c>
      <c r="O1" s="606">
        <v>202511</v>
      </c>
      <c r="P1" s="606">
        <v>202512</v>
      </c>
    </row>
    <row r="2" spans="1:16" ht="17.25">
      <c r="A2" s="627" t="s">
        <v>2</v>
      </c>
      <c r="B2" s="607" t="s">
        <v>3</v>
      </c>
      <c r="C2" s="607"/>
      <c r="D2" s="341">
        <v>1512649050.3800001</v>
      </c>
      <c r="E2" s="341">
        <v>431165837.97000003</v>
      </c>
      <c r="F2" s="375">
        <v>355584080.39999998</v>
      </c>
      <c r="G2" s="375">
        <v>48816137.859999999</v>
      </c>
      <c r="H2" s="375">
        <v>97382183.185000002</v>
      </c>
      <c r="I2" s="375">
        <v>50884269.899999999</v>
      </c>
      <c r="J2" s="375">
        <v>121716054.69</v>
      </c>
      <c r="K2" s="111">
        <v>110819286.25</v>
      </c>
      <c r="L2" s="111">
        <v>179583690.52000001</v>
      </c>
      <c r="M2" s="111">
        <v>174426163.13999999</v>
      </c>
      <c r="N2" s="111">
        <v>117094624.44</v>
      </c>
      <c r="O2" s="111">
        <v>1739318190.04</v>
      </c>
      <c r="P2" s="111">
        <v>3914722849.34057</v>
      </c>
    </row>
    <row r="3" spans="1:16" ht="17.25">
      <c r="A3" s="627"/>
      <c r="B3" s="607" t="s">
        <v>4</v>
      </c>
      <c r="C3" s="607"/>
      <c r="D3" s="375"/>
      <c r="E3" s="375"/>
      <c r="F3" s="375"/>
      <c r="G3" s="375"/>
      <c r="H3" s="375"/>
      <c r="I3" s="375"/>
      <c r="J3" s="375"/>
      <c r="K3" s="111"/>
      <c r="L3" s="375"/>
      <c r="M3" s="375"/>
      <c r="N3" s="375"/>
      <c r="O3" s="375"/>
      <c r="P3" s="375"/>
    </row>
    <row r="4" spans="1:16" ht="17.25">
      <c r="A4" s="627"/>
      <c r="B4" s="607" t="s">
        <v>5</v>
      </c>
      <c r="C4" s="607"/>
      <c r="D4" s="381">
        <v>1126259821.73</v>
      </c>
      <c r="E4" s="381">
        <v>780536596.70000005</v>
      </c>
      <c r="F4" s="381">
        <v>526201681.80000001</v>
      </c>
      <c r="G4" s="381">
        <v>476086943.89999998</v>
      </c>
      <c r="H4" s="381">
        <v>78604518.969999999</v>
      </c>
      <c r="I4" s="381">
        <v>37974760.670000002</v>
      </c>
      <c r="J4" s="381">
        <v>236840482.66999999</v>
      </c>
      <c r="K4" s="379">
        <v>109147812.59999999</v>
      </c>
      <c r="L4" s="381">
        <v>140167334.72999999</v>
      </c>
      <c r="M4" s="381">
        <v>239799327.74000001</v>
      </c>
      <c r="N4" s="381">
        <v>313899048.50999999</v>
      </c>
      <c r="O4" s="381">
        <v>1013212112.96</v>
      </c>
      <c r="P4" s="381">
        <v>1094647029.2</v>
      </c>
    </row>
    <row r="5" spans="1:16" ht="17.25">
      <c r="A5" s="627"/>
      <c r="B5" s="607" t="s">
        <v>6</v>
      </c>
      <c r="C5" s="607"/>
      <c r="D5" s="375"/>
      <c r="E5" s="375"/>
      <c r="F5" s="375"/>
      <c r="G5" s="375"/>
      <c r="H5" s="375"/>
      <c r="I5" s="375"/>
      <c r="J5" s="375"/>
      <c r="K5" s="111"/>
      <c r="L5" s="375"/>
      <c r="M5" s="375"/>
      <c r="N5" s="375"/>
      <c r="O5" s="375"/>
      <c r="P5" s="375"/>
    </row>
    <row r="6" spans="1:16" ht="17.25">
      <c r="A6" s="627"/>
      <c r="B6" s="607" t="s">
        <v>7</v>
      </c>
      <c r="C6" s="607" t="s">
        <v>8</v>
      </c>
      <c r="D6" s="381">
        <v>153357247.69999999</v>
      </c>
      <c r="E6" s="381">
        <v>54874883.549999997</v>
      </c>
      <c r="F6" s="381">
        <v>45434329.052100003</v>
      </c>
      <c r="G6" s="381">
        <v>4651212.5268000001</v>
      </c>
      <c r="H6" s="381">
        <v>9372591.2200000007</v>
      </c>
      <c r="I6" s="381">
        <v>4606639.49</v>
      </c>
      <c r="J6" s="381">
        <v>10897954.75</v>
      </c>
      <c r="K6" s="379">
        <v>9901838.0500000007</v>
      </c>
      <c r="L6" s="379">
        <v>12579094.890000001</v>
      </c>
      <c r="M6" s="379">
        <v>16661163.960000001</v>
      </c>
      <c r="N6" s="379">
        <v>12198025.390000001</v>
      </c>
      <c r="O6" s="379">
        <v>222629313.72</v>
      </c>
      <c r="P6" s="379">
        <v>474608539.94725698</v>
      </c>
    </row>
    <row r="7" spans="1:16" ht="17.25">
      <c r="A7" s="627"/>
      <c r="B7" s="607" t="s">
        <v>9</v>
      </c>
      <c r="C7" s="607" t="s">
        <v>10</v>
      </c>
      <c r="D7" s="375">
        <v>67835873.359999999</v>
      </c>
      <c r="E7" s="375">
        <v>72025451.760000005</v>
      </c>
      <c r="F7" s="375">
        <v>60425054.759999998</v>
      </c>
      <c r="G7" s="375">
        <v>7987426.7800000003</v>
      </c>
      <c r="H7" s="375">
        <v>7347644.3099999996</v>
      </c>
      <c r="I7" s="375">
        <v>7003174.4100000001</v>
      </c>
      <c r="J7" s="375">
        <v>4385018.6900000004</v>
      </c>
      <c r="K7" s="111">
        <v>6626261.7800000003</v>
      </c>
      <c r="L7" s="111">
        <v>22887594.289999999</v>
      </c>
      <c r="M7" s="111">
        <v>18893309.350000001</v>
      </c>
      <c r="N7" s="111">
        <v>18347859.670000002</v>
      </c>
      <c r="O7" s="111">
        <v>184798391.15000001</v>
      </c>
      <c r="P7" s="111">
        <v>408481008.93000001</v>
      </c>
    </row>
    <row r="8" spans="1:16" ht="17.25">
      <c r="A8" s="627"/>
      <c r="B8" s="607" t="s">
        <v>11</v>
      </c>
      <c r="C8" s="607" t="s">
        <v>12</v>
      </c>
      <c r="D8" s="375"/>
      <c r="E8" s="375"/>
      <c r="F8" s="375"/>
      <c r="G8" s="375"/>
      <c r="H8" s="375"/>
      <c r="I8" s="375"/>
      <c r="J8" s="375"/>
      <c r="K8" s="111"/>
      <c r="L8" s="375"/>
      <c r="M8" s="375"/>
      <c r="N8" s="375"/>
      <c r="O8" s="375">
        <v>2228173.48</v>
      </c>
      <c r="P8" s="375">
        <v>1210358</v>
      </c>
    </row>
    <row r="9" spans="1:16" ht="17.25">
      <c r="A9" s="627"/>
      <c r="B9" s="607" t="s">
        <v>13</v>
      </c>
      <c r="C9" s="607" t="s">
        <v>14</v>
      </c>
      <c r="D9" s="375"/>
      <c r="E9" s="375">
        <v>14956.1</v>
      </c>
      <c r="F9" s="375">
        <v>3542.11</v>
      </c>
      <c r="G9" s="375">
        <v>595805.06999999995</v>
      </c>
      <c r="H9" s="375">
        <v>22641.51</v>
      </c>
      <c r="I9" s="375"/>
      <c r="J9" s="375">
        <v>272019.39</v>
      </c>
      <c r="K9" s="111">
        <v>43475.46</v>
      </c>
      <c r="L9" s="375">
        <v>267177.46999999997</v>
      </c>
      <c r="M9" s="375">
        <v>82568.81</v>
      </c>
      <c r="N9" s="375"/>
      <c r="O9" s="375"/>
      <c r="P9" s="375">
        <v>603847.64</v>
      </c>
    </row>
    <row r="10" spans="1:16" ht="17.25">
      <c r="A10" s="627"/>
      <c r="B10" s="607" t="s">
        <v>15</v>
      </c>
      <c r="C10" s="607" t="s">
        <v>16</v>
      </c>
      <c r="D10" s="375">
        <v>11847360.67</v>
      </c>
      <c r="E10" s="375"/>
      <c r="F10" s="375"/>
      <c r="G10" s="375">
        <v>29781.96</v>
      </c>
      <c r="H10" s="375">
        <v>2217866.5</v>
      </c>
      <c r="I10" s="375">
        <v>655226.71</v>
      </c>
      <c r="J10" s="375">
        <v>382841.63</v>
      </c>
      <c r="K10" s="375"/>
      <c r="L10" s="375">
        <v>116982.96</v>
      </c>
      <c r="M10" s="375">
        <v>2762668.29</v>
      </c>
      <c r="N10" s="375"/>
      <c r="O10" s="375"/>
      <c r="P10" s="375">
        <v>7694589.4500000002</v>
      </c>
    </row>
    <row r="11" spans="1:16" ht="17.25">
      <c r="A11" s="628"/>
      <c r="B11" s="608" t="s">
        <v>17</v>
      </c>
      <c r="C11" s="608" t="s">
        <v>18</v>
      </c>
      <c r="D11" s="609">
        <v>73674013.670000002</v>
      </c>
      <c r="E11" s="609"/>
      <c r="F11" s="609"/>
      <c r="G11" s="609"/>
      <c r="H11" s="610"/>
      <c r="I11" s="611"/>
      <c r="J11" s="611"/>
      <c r="K11" s="611"/>
      <c r="L11" s="611"/>
      <c r="M11" s="611"/>
      <c r="N11" s="611"/>
      <c r="O11" s="611"/>
      <c r="P11" s="611">
        <v>57826431.207257003</v>
      </c>
    </row>
    <row r="12" spans="1:16">
      <c r="A12" s="629" t="s">
        <v>19</v>
      </c>
      <c r="B12" s="612" t="s">
        <v>20</v>
      </c>
      <c r="C12" s="612"/>
      <c r="D12" s="613">
        <v>73674013.670000002</v>
      </c>
      <c r="E12" s="613">
        <f t="shared" ref="E12:G12" si="0">E11</f>
        <v>0</v>
      </c>
      <c r="F12" s="613">
        <f t="shared" si="0"/>
        <v>0</v>
      </c>
      <c r="G12" s="613">
        <f t="shared" si="0"/>
        <v>0</v>
      </c>
      <c r="H12" s="613">
        <v>0</v>
      </c>
      <c r="I12" s="613">
        <f t="shared" ref="I12:P12" si="1">I11</f>
        <v>0</v>
      </c>
      <c r="J12" s="613">
        <f t="shared" si="1"/>
        <v>0</v>
      </c>
      <c r="K12" s="613">
        <f t="shared" si="1"/>
        <v>0</v>
      </c>
      <c r="L12" s="613">
        <f t="shared" si="1"/>
        <v>0</v>
      </c>
      <c r="M12" s="613">
        <f t="shared" si="1"/>
        <v>0</v>
      </c>
      <c r="N12" s="613">
        <f t="shared" si="1"/>
        <v>0</v>
      </c>
      <c r="O12" s="613">
        <f t="shared" si="1"/>
        <v>0</v>
      </c>
      <c r="P12" s="613">
        <f t="shared" si="1"/>
        <v>57826431.207257003</v>
      </c>
    </row>
    <row r="13" spans="1:16">
      <c r="A13" s="630"/>
      <c r="B13" s="614" t="s">
        <v>21</v>
      </c>
      <c r="C13" s="614"/>
      <c r="D13" s="375">
        <v>1051983.42</v>
      </c>
      <c r="E13" s="375"/>
      <c r="F13" s="375"/>
      <c r="G13" s="375"/>
      <c r="H13" s="375"/>
      <c r="I13" s="375"/>
      <c r="J13" s="375">
        <v>330365.58</v>
      </c>
      <c r="K13" s="375"/>
      <c r="L13" s="375"/>
      <c r="M13" s="375"/>
      <c r="N13" s="375"/>
      <c r="O13" s="375"/>
      <c r="P13" s="375"/>
    </row>
    <row r="14" spans="1:16">
      <c r="A14" s="630"/>
      <c r="B14" s="614" t="s">
        <v>22</v>
      </c>
      <c r="C14" s="614" t="s">
        <v>23</v>
      </c>
      <c r="D14" s="375">
        <v>5157180.9568999996</v>
      </c>
      <c r="E14" s="375">
        <f t="shared" ref="E14:P14" si="2">E12*0.07</f>
        <v>0</v>
      </c>
      <c r="F14" s="375">
        <f t="shared" si="2"/>
        <v>0</v>
      </c>
      <c r="G14" s="375">
        <f t="shared" si="2"/>
        <v>0</v>
      </c>
      <c r="H14" s="375">
        <f t="shared" si="2"/>
        <v>0</v>
      </c>
      <c r="I14" s="375">
        <f t="shared" si="2"/>
        <v>0</v>
      </c>
      <c r="J14" s="375">
        <f t="shared" si="2"/>
        <v>0</v>
      </c>
      <c r="K14" s="375">
        <f t="shared" si="2"/>
        <v>0</v>
      </c>
      <c r="L14" s="375">
        <f t="shared" si="2"/>
        <v>0</v>
      </c>
      <c r="M14" s="375">
        <f t="shared" si="2"/>
        <v>0</v>
      </c>
      <c r="N14" s="375">
        <f t="shared" si="2"/>
        <v>0</v>
      </c>
      <c r="O14" s="375">
        <f t="shared" si="2"/>
        <v>0</v>
      </c>
      <c r="P14" s="375">
        <f t="shared" si="2"/>
        <v>4047850.1845079898</v>
      </c>
    </row>
    <row r="15" spans="1:16">
      <c r="A15" s="630"/>
      <c r="B15" s="614" t="s">
        <v>24</v>
      </c>
      <c r="C15" s="614" t="s">
        <v>25</v>
      </c>
      <c r="D15" s="375">
        <v>2210220.4101</v>
      </c>
      <c r="E15" s="375">
        <f t="shared" ref="E15:P15" si="3">E12*0.03</f>
        <v>0</v>
      </c>
      <c r="F15" s="375">
        <f t="shared" si="3"/>
        <v>0</v>
      </c>
      <c r="G15" s="375">
        <f t="shared" si="3"/>
        <v>0</v>
      </c>
      <c r="H15" s="375">
        <f t="shared" si="3"/>
        <v>0</v>
      </c>
      <c r="I15" s="375">
        <f t="shared" si="3"/>
        <v>0</v>
      </c>
      <c r="J15" s="375">
        <f t="shared" si="3"/>
        <v>0</v>
      </c>
      <c r="K15" s="375">
        <f t="shared" si="3"/>
        <v>0</v>
      </c>
      <c r="L15" s="375">
        <f t="shared" si="3"/>
        <v>0</v>
      </c>
      <c r="M15" s="375">
        <f t="shared" si="3"/>
        <v>0</v>
      </c>
      <c r="N15" s="375">
        <f t="shared" si="3"/>
        <v>0</v>
      </c>
      <c r="O15" s="375">
        <f t="shared" si="3"/>
        <v>0</v>
      </c>
      <c r="P15" s="375">
        <f t="shared" si="3"/>
        <v>1734792.9362177099</v>
      </c>
    </row>
    <row r="16" spans="1:16">
      <c r="A16" s="630"/>
      <c r="B16" s="614" t="s">
        <v>26</v>
      </c>
      <c r="C16" s="614" t="s">
        <v>27</v>
      </c>
      <c r="D16" s="375">
        <v>1473480.2734000001</v>
      </c>
      <c r="E16" s="375">
        <f t="shared" ref="E16:P16" si="4">E12*0.02</f>
        <v>0</v>
      </c>
      <c r="F16" s="375">
        <f t="shared" si="4"/>
        <v>0</v>
      </c>
      <c r="G16" s="375">
        <f t="shared" si="4"/>
        <v>0</v>
      </c>
      <c r="H16" s="375">
        <f t="shared" si="4"/>
        <v>0</v>
      </c>
      <c r="I16" s="375">
        <f t="shared" si="4"/>
        <v>0</v>
      </c>
      <c r="J16" s="375">
        <f t="shared" si="4"/>
        <v>0</v>
      </c>
      <c r="K16" s="375">
        <f t="shared" si="4"/>
        <v>0</v>
      </c>
      <c r="L16" s="375">
        <f t="shared" si="4"/>
        <v>0</v>
      </c>
      <c r="M16" s="375">
        <f t="shared" si="4"/>
        <v>0</v>
      </c>
      <c r="N16" s="375">
        <f t="shared" si="4"/>
        <v>0</v>
      </c>
      <c r="O16" s="375">
        <f t="shared" si="4"/>
        <v>0</v>
      </c>
      <c r="P16" s="375">
        <f t="shared" si="4"/>
        <v>1156528.6241451399</v>
      </c>
    </row>
    <row r="17" spans="1:16">
      <c r="A17" s="630"/>
      <c r="B17" s="614" t="s">
        <v>28</v>
      </c>
      <c r="C17" s="614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</row>
    <row r="18" spans="1:16">
      <c r="A18" s="630"/>
      <c r="B18" s="614" t="s">
        <v>29</v>
      </c>
      <c r="C18" s="614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</row>
    <row r="19" spans="1:16">
      <c r="A19" s="630"/>
      <c r="B19" s="614" t="s">
        <v>30</v>
      </c>
      <c r="C19" s="614"/>
      <c r="D19" s="375">
        <v>380017882.53799701</v>
      </c>
      <c r="E19" s="375"/>
      <c r="F19" s="375"/>
      <c r="G19" s="375"/>
      <c r="H19" s="375"/>
      <c r="I19" s="375"/>
      <c r="J19" s="375">
        <v>29332501.690000001</v>
      </c>
      <c r="K19" s="375"/>
      <c r="L19" s="375"/>
      <c r="M19" s="375">
        <v>25579908.920000002</v>
      </c>
      <c r="N19" s="375"/>
      <c r="O19" s="375"/>
      <c r="P19" s="375">
        <v>77589713.680000007</v>
      </c>
    </row>
    <row r="20" spans="1:16">
      <c r="A20" s="631"/>
      <c r="B20" s="614" t="s">
        <v>31</v>
      </c>
      <c r="C20" s="615"/>
      <c r="D20" s="543"/>
      <c r="E20" s="543"/>
      <c r="F20" s="543"/>
      <c r="G20" s="543"/>
      <c r="H20" s="543"/>
      <c r="I20" s="543"/>
      <c r="J20" s="543"/>
      <c r="K20" s="543"/>
      <c r="L20" s="543"/>
      <c r="M20" s="543"/>
      <c r="N20" s="543"/>
      <c r="O20" s="543"/>
      <c r="P20" s="543"/>
    </row>
    <row r="21" spans="1:16">
      <c r="A21" s="632"/>
      <c r="B21" s="616" t="s">
        <v>32</v>
      </c>
      <c r="C21" s="616"/>
      <c r="D21" s="609"/>
      <c r="E21" s="609"/>
      <c r="F21" s="609"/>
      <c r="G21" s="609"/>
      <c r="H21" s="609"/>
      <c r="I21" s="609"/>
      <c r="J21" s="609"/>
      <c r="K21" s="609">
        <v>181635.35</v>
      </c>
      <c r="L21" s="609"/>
      <c r="M21" s="609"/>
      <c r="N21" s="609"/>
      <c r="O21" s="609"/>
      <c r="P21" s="609"/>
    </row>
    <row r="22" spans="1:16">
      <c r="A22" s="617"/>
      <c r="B22" s="617" t="s">
        <v>33</v>
      </c>
      <c r="C22" s="617"/>
      <c r="D22" s="618">
        <f t="shared" ref="D22:P22" si="5">SUM(D12:D21)</f>
        <v>463584761.26839697</v>
      </c>
      <c r="E22" s="618">
        <f t="shared" si="5"/>
        <v>0</v>
      </c>
      <c r="F22" s="618">
        <f t="shared" si="5"/>
        <v>0</v>
      </c>
      <c r="G22" s="618">
        <f t="shared" si="5"/>
        <v>0</v>
      </c>
      <c r="H22" s="618">
        <f t="shared" si="5"/>
        <v>0</v>
      </c>
      <c r="I22" s="618">
        <f t="shared" si="5"/>
        <v>0</v>
      </c>
      <c r="J22" s="618">
        <f t="shared" si="5"/>
        <v>29662867.27</v>
      </c>
      <c r="K22" s="618">
        <f t="shared" si="5"/>
        <v>181635.35</v>
      </c>
      <c r="L22" s="618">
        <f t="shared" si="5"/>
        <v>0</v>
      </c>
      <c r="M22" s="618">
        <f t="shared" si="5"/>
        <v>25579908.920000002</v>
      </c>
      <c r="N22" s="618">
        <f t="shared" si="5"/>
        <v>0</v>
      </c>
      <c r="O22" s="618">
        <f t="shared" si="5"/>
        <v>0</v>
      </c>
      <c r="P22" s="618">
        <f t="shared" si="5"/>
        <v>142355316.632128</v>
      </c>
    </row>
    <row r="26" spans="1:16">
      <c r="F26" t="s">
        <v>34</v>
      </c>
      <c r="H26" t="s">
        <v>34</v>
      </c>
      <c r="I26" s="59" t="s">
        <v>30</v>
      </c>
    </row>
    <row r="27" spans="1:16">
      <c r="F27" t="s">
        <v>35</v>
      </c>
      <c r="G27" s="59"/>
      <c r="H27" t="s">
        <v>36</v>
      </c>
    </row>
    <row r="28" spans="1:16">
      <c r="F28" t="s">
        <v>37</v>
      </c>
      <c r="G28" s="59"/>
      <c r="H28" t="s">
        <v>38</v>
      </c>
    </row>
    <row r="29" spans="1:16">
      <c r="F29" t="s">
        <v>39</v>
      </c>
      <c r="G29" s="59"/>
      <c r="H29" t="s">
        <v>40</v>
      </c>
      <c r="I29" s="59">
        <v>450039.33</v>
      </c>
    </row>
    <row r="30" spans="1:16">
      <c r="G30" s="619"/>
      <c r="H30" t="s">
        <v>41</v>
      </c>
      <c r="I30" s="59">
        <v>734696.74</v>
      </c>
    </row>
    <row r="31" spans="1:16">
      <c r="H31" t="s">
        <v>42</v>
      </c>
    </row>
    <row r="33" spans="5:9">
      <c r="F33" t="s">
        <v>43</v>
      </c>
      <c r="H33" t="s">
        <v>44</v>
      </c>
      <c r="I33" s="59">
        <v>136.15</v>
      </c>
    </row>
    <row r="34" spans="5:9">
      <c r="F34" t="s">
        <v>45</v>
      </c>
      <c r="H34" t="s">
        <v>46</v>
      </c>
      <c r="I34" s="59">
        <v>61976.18</v>
      </c>
    </row>
    <row r="37" spans="5:9">
      <c r="E37" s="620">
        <v>45748</v>
      </c>
      <c r="F37" s="621" t="s">
        <v>47</v>
      </c>
      <c r="H37" t="s">
        <v>48</v>
      </c>
      <c r="I37" s="59">
        <v>443045.39</v>
      </c>
    </row>
    <row r="39" spans="5:9">
      <c r="E39" s="620">
        <v>45778</v>
      </c>
      <c r="F39" t="s">
        <v>49</v>
      </c>
      <c r="H39" t="s">
        <v>50</v>
      </c>
      <c r="I39" s="59">
        <v>96963.75</v>
      </c>
    </row>
    <row r="40" spans="5:9">
      <c r="F40" t="s">
        <v>51</v>
      </c>
      <c r="H40" t="s">
        <v>52</v>
      </c>
      <c r="I40" s="59">
        <v>172641.17</v>
      </c>
    </row>
    <row r="42" spans="5:9">
      <c r="E42" s="620">
        <v>45809</v>
      </c>
      <c r="F42" t="s">
        <v>53</v>
      </c>
      <c r="H42" t="s">
        <v>54</v>
      </c>
      <c r="I42" s="59">
        <v>59826.73</v>
      </c>
    </row>
    <row r="43" spans="5:9" ht="42.75">
      <c r="F43" s="198" t="s">
        <v>55</v>
      </c>
      <c r="H43" t="s">
        <v>56</v>
      </c>
      <c r="I43" s="59">
        <v>62095.040000000001</v>
      </c>
    </row>
    <row r="44" spans="5:9" ht="42.75">
      <c r="E44">
        <v>2025.7</v>
      </c>
      <c r="H44" s="198" t="s">
        <v>57</v>
      </c>
      <c r="I44" s="59">
        <v>98649.14</v>
      </c>
    </row>
    <row r="45" spans="5:9" ht="57">
      <c r="E45">
        <v>2025.8</v>
      </c>
      <c r="G45" s="198" t="s">
        <v>58</v>
      </c>
      <c r="H45" s="198" t="s">
        <v>59</v>
      </c>
      <c r="I45" s="59">
        <v>364233.03</v>
      </c>
    </row>
    <row r="46" spans="5:9" ht="42.75">
      <c r="E46">
        <v>2025.9</v>
      </c>
      <c r="G46" s="198" t="s">
        <v>60</v>
      </c>
      <c r="I46" s="59">
        <v>288997.39</v>
      </c>
    </row>
  </sheetData>
  <mergeCells count="3">
    <mergeCell ref="A1:B1"/>
    <mergeCell ref="A2:A11"/>
    <mergeCell ref="A12:A21"/>
  </mergeCells>
  <phoneticPr fontId="8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XET435"/>
  <sheetViews>
    <sheetView zoomScale="70" zoomScaleNormal="70" workbookViewId="0">
      <pane xSplit="27" topLeftCell="AB1" activePane="topRight" state="frozen"/>
      <selection pane="topRight" activeCell="G20" sqref="G20"/>
    </sheetView>
  </sheetViews>
  <sheetFormatPr defaultColWidth="9" defaultRowHeight="14.25" outlineLevelCol="1"/>
  <cols>
    <col min="1" max="1" width="4.625" style="61" customWidth="1"/>
    <col min="2" max="2" width="12" style="496" customWidth="1"/>
    <col min="3" max="3" width="13.5" style="497" customWidth="1"/>
    <col min="4" max="4" width="19.5" style="61" customWidth="1"/>
    <col min="5" max="5" width="19.375" style="105" customWidth="1"/>
    <col min="6" max="6" width="17.5" style="105" customWidth="1"/>
    <col min="7" max="7" width="19.375" style="105" customWidth="1"/>
    <col min="8" max="8" width="22.25" style="105" customWidth="1"/>
    <col min="9" max="9" width="17.5" style="105" customWidth="1"/>
    <col min="10" max="10" width="20.625" style="105" hidden="1" customWidth="1" outlineLevel="1"/>
    <col min="11" max="11" width="21.375" style="105" hidden="1" customWidth="1" outlineLevel="1"/>
    <col min="12" max="12" width="19.875" style="105" hidden="1" customWidth="1" outlineLevel="1"/>
    <col min="13" max="13" width="15.875" style="105" hidden="1" customWidth="1" outlineLevel="1"/>
    <col min="14" max="14" width="20.625" style="105" hidden="1" customWidth="1" outlineLevel="1"/>
    <col min="15" max="15" width="15.875" style="105" hidden="1" customWidth="1" outlineLevel="1"/>
    <col min="16" max="16" width="19.875" style="105" hidden="1" customWidth="1" outlineLevel="1"/>
    <col min="17" max="17" width="15.875" style="105" hidden="1" customWidth="1" outlineLevel="1"/>
    <col min="18" max="18" width="19.875" style="59" hidden="1" customWidth="1" outlineLevel="1"/>
    <col min="19" max="19" width="15.875" style="59" hidden="1" customWidth="1" outlineLevel="1"/>
    <col min="20" max="20" width="16" style="59" hidden="1" customWidth="1" outlineLevel="1"/>
    <col min="21" max="21" width="15" style="59" hidden="1" customWidth="1" outlineLevel="1"/>
    <col min="22" max="22" width="17.75" style="498" hidden="1" customWidth="1" outlineLevel="1"/>
    <col min="23" max="23" width="15.5" style="498" hidden="1" customWidth="1" outlineLevel="1"/>
    <col min="24" max="24" width="16.75" style="498" hidden="1" customWidth="1" outlineLevel="1" collapsed="1"/>
    <col min="25" max="25" width="17.875" style="59" hidden="1" customWidth="1" outlineLevel="1"/>
    <col min="26" max="26" width="17.375" style="59" hidden="1" customWidth="1" outlineLevel="1"/>
    <col min="27" max="27" width="16" style="59" hidden="1" customWidth="1" outlineLevel="1"/>
    <col min="28" max="28" width="17.25" style="59" customWidth="1" collapsed="1"/>
    <col min="29" max="29" width="17.875" style="59" customWidth="1"/>
    <col min="30" max="30" width="17.25" style="59" customWidth="1"/>
    <col min="31" max="31" width="17.875" style="59" customWidth="1"/>
    <col min="32" max="32" width="22.375" style="61" customWidth="1"/>
    <col min="33" max="33" width="16.375" style="61" customWidth="1"/>
    <col min="34" max="34" width="22.375" style="59" customWidth="1"/>
    <col min="35" max="35" width="18.125" style="59" customWidth="1"/>
    <col min="36" max="36" width="16.5" style="61" customWidth="1"/>
    <col min="37" max="37" width="19" style="61" customWidth="1"/>
    <col min="38" max="38" width="16.5" style="61" customWidth="1"/>
    <col min="39" max="39" width="19" style="61" customWidth="1"/>
    <col min="40" max="40" width="16.5" style="61" customWidth="1"/>
    <col min="41" max="41" width="19" style="61" customWidth="1"/>
    <col min="42" max="42" width="16.5" style="61" customWidth="1"/>
    <col min="43" max="43" width="19" style="61" customWidth="1"/>
    <col min="44" max="44" width="16.5" style="61" customWidth="1"/>
    <col min="45" max="45" width="19" style="59" customWidth="1"/>
    <col min="46" max="46" width="18.625" style="59" customWidth="1"/>
    <col min="47" max="47" width="16.5" style="59" customWidth="1"/>
    <col min="48" max="48" width="15.375" style="59" customWidth="1"/>
    <col min="49" max="49" width="16.5" style="59" customWidth="1"/>
    <col min="50" max="50" width="17.875" style="59" customWidth="1"/>
    <col min="51" max="51" width="17.5" style="61" customWidth="1"/>
    <col min="52" max="52" width="15.375" style="61" customWidth="1"/>
    <col min="53" max="53" width="14.875" style="61" customWidth="1"/>
    <col min="54" max="54" width="18" style="61" customWidth="1"/>
    <col min="55" max="55" width="17.5" style="61" customWidth="1"/>
    <col min="56" max="56" width="15.375" style="61" customWidth="1"/>
    <col min="57" max="57" width="14.875" style="61" customWidth="1"/>
    <col min="58" max="58" width="18" style="61" customWidth="1"/>
    <col min="59" max="59" width="17.5" style="61" customWidth="1"/>
    <col min="60" max="60" width="15.375" style="61" customWidth="1"/>
    <col min="61" max="61" width="14.875" style="61" customWidth="1"/>
    <col min="62" max="62" width="18" style="61" customWidth="1"/>
    <col min="63" max="16384" width="9" style="61"/>
  </cols>
  <sheetData>
    <row r="1" spans="2:62">
      <c r="E1" s="61"/>
      <c r="F1" s="61"/>
      <c r="J1" s="105">
        <f>'累计项目税收明细表2017-202302'!G355</f>
        <v>11960885335.572201</v>
      </c>
      <c r="K1" s="105">
        <f>'累计项目税收明细表2017-202302'!H355</f>
        <v>11569548939.0158</v>
      </c>
      <c r="L1" s="105">
        <f>SUBTOTAL(9,L8:L143)</f>
        <v>442396995.24000001</v>
      </c>
      <c r="M1" s="105">
        <f>SUBTOTAL(9,M9:M143)</f>
        <v>548139309.51999998</v>
      </c>
      <c r="N1" s="105">
        <f>SUBTOTAL(9,N8:N143)</f>
        <v>521251687.35000002</v>
      </c>
      <c r="O1" s="105">
        <f>SUBTOTAL(9,O8:O143)</f>
        <v>512442356.93000001</v>
      </c>
      <c r="P1" s="105">
        <f>SUBTOTAL(9,P8:P143)</f>
        <v>635908712.92999995</v>
      </c>
      <c r="Q1" s="105">
        <f>SUBTOTAL(9,Q8:Q143)</f>
        <v>547412844.71000004</v>
      </c>
      <c r="R1" s="59">
        <f t="shared" ref="R1:Y1" si="0">SUBTOTAL(9,R8:R150)</f>
        <v>309018271.42000002</v>
      </c>
      <c r="S1" s="59">
        <f t="shared" si="0"/>
        <v>349981310.93000001</v>
      </c>
      <c r="T1" s="59">
        <f>SUBTOTAL(9,T8:T157)</f>
        <v>555683772.25</v>
      </c>
      <c r="U1" s="59">
        <f t="shared" si="0"/>
        <v>517893612.47000003</v>
      </c>
      <c r="V1" s="59">
        <f t="shared" si="0"/>
        <v>674483315.83000004</v>
      </c>
      <c r="W1" s="59">
        <f t="shared" si="0"/>
        <v>542438903.14999998</v>
      </c>
      <c r="X1" s="59">
        <f t="shared" si="0"/>
        <v>336795611.06999999</v>
      </c>
      <c r="Y1" s="59">
        <f t="shared" si="0"/>
        <v>456531846.85000002</v>
      </c>
    </row>
    <row r="2" spans="2:62" s="494" customFormat="1" ht="35.1" customHeight="1">
      <c r="B2" s="499" t="s">
        <v>61</v>
      </c>
      <c r="C2" s="500" t="s">
        <v>62</v>
      </c>
      <c r="D2" s="501" t="s">
        <v>63</v>
      </c>
      <c r="E2" s="501" t="s">
        <v>64</v>
      </c>
      <c r="F2" s="502" t="s">
        <v>65</v>
      </c>
      <c r="G2" s="503" t="s">
        <v>66</v>
      </c>
      <c r="H2" s="503" t="s">
        <v>67</v>
      </c>
      <c r="I2" s="503" t="s">
        <v>68</v>
      </c>
      <c r="J2" s="504" t="s">
        <v>69</v>
      </c>
      <c r="K2" s="504" t="s">
        <v>70</v>
      </c>
      <c r="L2" s="505" t="s">
        <v>71</v>
      </c>
      <c r="M2" s="505" t="s">
        <v>72</v>
      </c>
      <c r="N2" s="505" t="s">
        <v>73</v>
      </c>
      <c r="O2" s="505" t="s">
        <v>74</v>
      </c>
      <c r="P2" s="505" t="s">
        <v>75</v>
      </c>
      <c r="Q2" s="505" t="s">
        <v>76</v>
      </c>
      <c r="R2" s="506" t="s">
        <v>77</v>
      </c>
      <c r="S2" s="506" t="s">
        <v>78</v>
      </c>
      <c r="T2" s="506" t="s">
        <v>79</v>
      </c>
      <c r="U2" s="506" t="s">
        <v>80</v>
      </c>
      <c r="V2" s="506" t="s">
        <v>81</v>
      </c>
      <c r="W2" s="506" t="s">
        <v>82</v>
      </c>
      <c r="X2" s="506" t="s">
        <v>83</v>
      </c>
      <c r="Y2" s="506" t="s">
        <v>84</v>
      </c>
      <c r="Z2" s="506" t="s">
        <v>85</v>
      </c>
      <c r="AA2" s="506" t="s">
        <v>86</v>
      </c>
      <c r="AB2" s="506" t="s">
        <v>87</v>
      </c>
      <c r="AC2" s="506" t="s">
        <v>88</v>
      </c>
      <c r="AD2" s="506" t="s">
        <v>89</v>
      </c>
      <c r="AE2" s="506" t="s">
        <v>90</v>
      </c>
      <c r="AF2" s="506" t="s">
        <v>91</v>
      </c>
      <c r="AG2" s="506" t="s">
        <v>92</v>
      </c>
      <c r="AH2" s="506" t="s">
        <v>93</v>
      </c>
      <c r="AI2" s="506" t="s">
        <v>94</v>
      </c>
      <c r="AJ2" s="506" t="s">
        <v>95</v>
      </c>
      <c r="AK2" s="506" t="s">
        <v>96</v>
      </c>
      <c r="AL2" s="506" t="s">
        <v>97</v>
      </c>
      <c r="AM2" s="506" t="s">
        <v>98</v>
      </c>
      <c r="AN2" s="506" t="s">
        <v>99</v>
      </c>
      <c r="AO2" s="506" t="s">
        <v>100</v>
      </c>
      <c r="AP2" s="506" t="s">
        <v>101</v>
      </c>
      <c r="AQ2" s="506" t="s">
        <v>102</v>
      </c>
      <c r="AR2" s="506" t="s">
        <v>103</v>
      </c>
      <c r="AS2" s="506" t="s">
        <v>104</v>
      </c>
      <c r="AT2" s="506" t="s">
        <v>105</v>
      </c>
      <c r="AU2" s="506" t="s">
        <v>106</v>
      </c>
      <c r="AV2" s="506" t="s">
        <v>107</v>
      </c>
      <c r="AW2" s="506" t="s">
        <v>108</v>
      </c>
      <c r="AX2" s="506" t="s">
        <v>109</v>
      </c>
      <c r="AY2" s="506" t="s">
        <v>110</v>
      </c>
      <c r="AZ2" s="506" t="s">
        <v>111</v>
      </c>
      <c r="BA2" s="507" t="s">
        <v>112</v>
      </c>
      <c r="BB2" s="507" t="s">
        <v>113</v>
      </c>
      <c r="BC2" s="506" t="s">
        <v>114</v>
      </c>
      <c r="BD2" s="506" t="s">
        <v>115</v>
      </c>
      <c r="BE2" s="507" t="s">
        <v>116</v>
      </c>
      <c r="BF2" s="507" t="s">
        <v>117</v>
      </c>
      <c r="BG2" s="506" t="s">
        <v>118</v>
      </c>
      <c r="BH2" s="506" t="s">
        <v>119</v>
      </c>
      <c r="BI2" s="507" t="s">
        <v>120</v>
      </c>
      <c r="BJ2" s="507" t="s">
        <v>121</v>
      </c>
    </row>
    <row r="3" spans="2:62">
      <c r="B3" s="651"/>
      <c r="C3" s="651"/>
      <c r="D3" s="673" t="s">
        <v>122</v>
      </c>
      <c r="E3" s="508" t="s">
        <v>123</v>
      </c>
      <c r="F3" s="509">
        <v>0.16</v>
      </c>
      <c r="G3" s="510">
        <f>SUM(J3,L3,N3,P3,R3,T3,V3,X3,Z3)</f>
        <v>467927.47985308501</v>
      </c>
      <c r="H3" s="510">
        <f>SUM(K3,M3,O3,Q3)</f>
        <v>88819830.209999993</v>
      </c>
      <c r="I3" s="511">
        <f>G3-H3</f>
        <v>-88351902.7301469</v>
      </c>
      <c r="J3" s="378">
        <v>467927.47985308501</v>
      </c>
      <c r="K3" s="378">
        <v>88819830.209999993</v>
      </c>
      <c r="L3" s="512"/>
      <c r="M3" s="513"/>
      <c r="N3" s="378"/>
      <c r="O3" s="378"/>
      <c r="P3" s="378"/>
      <c r="Q3" s="378"/>
      <c r="R3" s="375"/>
      <c r="S3" s="375"/>
      <c r="U3" s="61"/>
      <c r="X3" s="59"/>
      <c r="AD3" s="61"/>
      <c r="AE3" s="61"/>
      <c r="AF3" s="59"/>
      <c r="AG3" s="59"/>
    </row>
    <row r="4" spans="2:62">
      <c r="B4" s="651"/>
      <c r="C4" s="651"/>
      <c r="D4" s="674"/>
      <c r="E4" s="508" t="s">
        <v>124</v>
      </c>
      <c r="F4" s="509">
        <v>0.1</v>
      </c>
      <c r="G4" s="510">
        <f t="shared" ref="G4:G7" si="1">SUM(J4,L4,N4,P4,R4,T4,V4,X4,Z4)</f>
        <v>-125644385.531721</v>
      </c>
      <c r="H4" s="510">
        <f t="shared" ref="H4:H7" si="2">SUM(K4,M4,O4,Q4)</f>
        <v>-47524533.149999999</v>
      </c>
      <c r="I4" s="511">
        <f t="shared" ref="I4:I10" si="3">G4-H4</f>
        <v>-78119852.381721005</v>
      </c>
      <c r="J4" s="378">
        <v>-125644385.531721</v>
      </c>
      <c r="K4" s="378">
        <v>-47524533.149999999</v>
      </c>
      <c r="L4" s="512"/>
      <c r="M4" s="513"/>
      <c r="N4" s="378"/>
      <c r="O4" s="378"/>
      <c r="P4" s="378"/>
      <c r="Q4" s="378"/>
      <c r="R4" s="375"/>
      <c r="S4" s="375"/>
      <c r="U4" s="61"/>
      <c r="X4" s="59"/>
      <c r="AD4" s="61"/>
      <c r="AE4" s="61"/>
      <c r="AF4" s="59"/>
      <c r="AG4" s="59"/>
    </row>
    <row r="5" spans="2:62">
      <c r="B5" s="651"/>
      <c r="C5" s="651"/>
      <c r="D5" s="675"/>
      <c r="E5" s="508" t="s">
        <v>123</v>
      </c>
      <c r="F5" s="509">
        <v>0.13</v>
      </c>
      <c r="G5" s="510">
        <f t="shared" si="1"/>
        <v>6608548542.9727097</v>
      </c>
      <c r="H5" s="510">
        <f t="shared" si="2"/>
        <v>6267048842.4142199</v>
      </c>
      <c r="I5" s="511">
        <f t="shared" si="3"/>
        <v>341499700.55848998</v>
      </c>
      <c r="J5" s="378">
        <v>6608548542.9727097</v>
      </c>
      <c r="K5" s="378">
        <v>6267048842.4142199</v>
      </c>
      <c r="L5" s="514"/>
      <c r="M5" s="378"/>
      <c r="N5" s="378"/>
      <c r="O5" s="378"/>
      <c r="P5" s="378"/>
      <c r="Q5" s="378"/>
      <c r="R5" s="375"/>
      <c r="S5" s="375"/>
      <c r="X5" s="59"/>
      <c r="AF5" s="59"/>
      <c r="AG5" s="59"/>
    </row>
    <row r="6" spans="2:62">
      <c r="B6" s="651"/>
      <c r="C6" s="651"/>
      <c r="D6" s="675"/>
      <c r="E6" s="508" t="s">
        <v>124</v>
      </c>
      <c r="F6" s="509">
        <v>0.09</v>
      </c>
      <c r="G6" s="510">
        <f t="shared" si="1"/>
        <v>5014547733.4339199</v>
      </c>
      <c r="H6" s="510">
        <f t="shared" si="2"/>
        <v>4892353029.7115602</v>
      </c>
      <c r="I6" s="511">
        <f t="shared" si="3"/>
        <v>122194703.72236</v>
      </c>
      <c r="J6" s="378">
        <v>5014547733.4339199</v>
      </c>
      <c r="K6" s="378">
        <v>4892353029.7115602</v>
      </c>
      <c r="L6" s="514"/>
      <c r="M6" s="378"/>
      <c r="N6" s="378"/>
      <c r="O6" s="378"/>
      <c r="P6" s="378"/>
      <c r="Q6" s="378"/>
      <c r="R6" s="375"/>
      <c r="S6" s="375"/>
      <c r="X6" s="59"/>
      <c r="AF6" s="59"/>
      <c r="AG6" s="59"/>
    </row>
    <row r="7" spans="2:62">
      <c r="B7" s="651"/>
      <c r="C7" s="651"/>
      <c r="D7" s="676"/>
      <c r="E7" s="508" t="s">
        <v>125</v>
      </c>
      <c r="F7" s="509">
        <v>0.06</v>
      </c>
      <c r="G7" s="510">
        <f t="shared" si="1"/>
        <v>462965517.21747398</v>
      </c>
      <c r="H7" s="510">
        <f t="shared" si="2"/>
        <v>368851769.82999998</v>
      </c>
      <c r="I7" s="511">
        <f t="shared" si="3"/>
        <v>94113747.387474</v>
      </c>
      <c r="J7" s="378">
        <v>462965517.21747398</v>
      </c>
      <c r="K7" s="378">
        <v>368851769.82999998</v>
      </c>
      <c r="L7" s="514"/>
      <c r="M7" s="378"/>
      <c r="N7" s="378"/>
      <c r="O7" s="378"/>
      <c r="P7" s="515"/>
      <c r="Q7" s="378"/>
      <c r="R7" s="375"/>
      <c r="S7" s="375"/>
      <c r="Y7" s="59">
        <v>0</v>
      </c>
      <c r="AF7" s="59"/>
      <c r="AG7" s="59"/>
    </row>
    <row r="8" spans="2:62">
      <c r="B8" s="652" t="s">
        <v>126</v>
      </c>
      <c r="C8" s="516">
        <v>2346</v>
      </c>
      <c r="D8" s="677" t="s">
        <v>127</v>
      </c>
      <c r="E8" s="518" t="s">
        <v>123</v>
      </c>
      <c r="F8" s="519">
        <v>0.13</v>
      </c>
      <c r="G8" s="520">
        <f>SUM(J8,L8,N8,P8,R8,T8,V8,X8,Z8,AB8,AD8,AF8,AH8,AJ8,AL8,AN8,AP8,AR8,AU8,AW8,AY8,BC8,BG8)</f>
        <v>32635696.27</v>
      </c>
      <c r="H8" s="520">
        <f>SUM(K8,M8,O8,Q8,S8,U8,W8,Y8,AA8,AC8,AE8,AG8,AI8,AK8,AM8,AO8,AQ8,AS8,AV8,AX8,AZ8,BD8,BH8)</f>
        <v>37275652.649999999</v>
      </c>
      <c r="I8" s="521">
        <f t="shared" si="3"/>
        <v>-4639956.38</v>
      </c>
      <c r="J8" s="378"/>
      <c r="K8" s="378"/>
      <c r="L8" s="378"/>
      <c r="N8" s="378">
        <v>7575879.3099999996</v>
      </c>
      <c r="O8" s="378">
        <v>11624469.66</v>
      </c>
      <c r="P8" s="378">
        <v>17461283.199999999</v>
      </c>
      <c r="Q8" s="378">
        <v>7575879.3200000003</v>
      </c>
      <c r="R8" s="375">
        <v>2028030.52</v>
      </c>
      <c r="S8" s="375">
        <v>10476769.91</v>
      </c>
      <c r="T8" s="59">
        <v>184101.94</v>
      </c>
      <c r="V8" s="498">
        <v>5386401.2999999998</v>
      </c>
      <c r="W8" s="498">
        <v>0</v>
      </c>
      <c r="X8" s="59">
        <v>0</v>
      </c>
      <c r="Y8" s="59">
        <v>0</v>
      </c>
      <c r="AF8" s="59"/>
      <c r="AG8" s="59"/>
      <c r="AJ8" s="61">
        <v>0</v>
      </c>
      <c r="AK8" s="61">
        <v>7598533.7599999998</v>
      </c>
    </row>
    <row r="9" spans="2:62">
      <c r="B9" s="652"/>
      <c r="C9" s="522">
        <v>2346</v>
      </c>
      <c r="D9" s="678"/>
      <c r="E9" s="518" t="s">
        <v>124</v>
      </c>
      <c r="F9" s="519">
        <v>0.09</v>
      </c>
      <c r="G9" s="520">
        <f>SUM(J9,L9,N9,P9,R9,T9,V9,X9,Z9,AB9,AD9,AF9,AH9,AJ9,AL9,AN9,AP9,AR9,AU9,AW9,AY9,BC9,BG9)</f>
        <v>9498435.8200000003</v>
      </c>
      <c r="H9" s="520">
        <f>SUM(K9,M9,O9,Q9,S9,U9,W9,Y9,AA9,AC9,AE9,AG9,AI9,AK9,AM9,AO9,AQ9,AS9,AV9,AX9,AZ9,BD9,BH9)</f>
        <v>19399126.059999999</v>
      </c>
      <c r="I9" s="521">
        <f t="shared" si="3"/>
        <v>-9900690.2400000002</v>
      </c>
      <c r="J9" s="378"/>
      <c r="K9" s="378"/>
      <c r="L9" s="378">
        <v>1044857.26</v>
      </c>
      <c r="M9" s="378"/>
      <c r="N9" s="378">
        <v>2871503.66</v>
      </c>
      <c r="O9" s="378"/>
      <c r="P9" s="378">
        <v>1423208.3</v>
      </c>
      <c r="Q9" s="378">
        <v>15363804.960000001</v>
      </c>
      <c r="R9" s="375">
        <v>2364082.19</v>
      </c>
      <c r="S9" s="375">
        <v>4035321.1</v>
      </c>
      <c r="T9" s="59">
        <v>1100229.3600000001</v>
      </c>
      <c r="V9" s="498">
        <v>470183.49</v>
      </c>
      <c r="W9" s="498">
        <v>0</v>
      </c>
      <c r="X9" s="59">
        <v>224371.56</v>
      </c>
      <c r="Y9" s="59">
        <v>0</v>
      </c>
      <c r="AF9" s="59"/>
      <c r="AG9" s="59"/>
    </row>
    <row r="10" spans="2:62">
      <c r="B10" s="652"/>
      <c r="C10" s="522">
        <v>2346</v>
      </c>
      <c r="D10" s="679"/>
      <c r="E10" s="518" t="s">
        <v>125</v>
      </c>
      <c r="F10" s="519">
        <v>0.06</v>
      </c>
      <c r="G10" s="520">
        <f t="shared" ref="G10:G73" si="4">SUM(J10,L10,N10,P10,R10,T10,V10,X10,Z10,AB10,AD10,AF10,AH10,AJ10,AL10,AN10,AP10,AR10,AU10,AW10,AY10,BC10,BG10)</f>
        <v>1587499.45</v>
      </c>
      <c r="H10" s="520">
        <f t="shared" ref="H10:H73" si="5">SUM(K10,M10,O10,Q10,S10,U10,W10,Y10,AA10,AC10,AE10,AG10,AI10,AK10,AM10,AO10,AQ10,AS10,AV10,AX10,AZ10,BD10,BH10)</f>
        <v>1604523.24</v>
      </c>
      <c r="I10" s="521">
        <f t="shared" si="3"/>
        <v>-17023.79</v>
      </c>
      <c r="J10" s="378"/>
      <c r="K10" s="378"/>
      <c r="L10" s="378">
        <v>116896.06</v>
      </c>
      <c r="M10" s="378"/>
      <c r="N10" s="378">
        <v>170311.43</v>
      </c>
      <c r="O10" s="378"/>
      <c r="P10" s="515">
        <v>316972.40000000002</v>
      </c>
      <c r="Q10" s="378">
        <v>1050615.97</v>
      </c>
      <c r="R10" s="375">
        <v>634803.18000000005</v>
      </c>
      <c r="S10" s="375">
        <v>362041.83</v>
      </c>
      <c r="T10" s="59">
        <v>201873.22</v>
      </c>
      <c r="U10" s="59">
        <v>45222.28</v>
      </c>
      <c r="V10" s="498">
        <v>68316.87</v>
      </c>
      <c r="W10" s="498">
        <v>68316.87</v>
      </c>
      <c r="X10" s="498">
        <v>44486.8</v>
      </c>
      <c r="Y10" s="59">
        <v>44486.8</v>
      </c>
      <c r="Z10" s="59">
        <v>33839.49</v>
      </c>
      <c r="AA10" s="59">
        <v>33839.49</v>
      </c>
      <c r="AF10" s="59"/>
      <c r="AG10" s="59"/>
    </row>
    <row r="11" spans="2:62">
      <c r="B11" s="652"/>
      <c r="C11" s="667" t="s">
        <v>128</v>
      </c>
      <c r="D11" s="677" t="s">
        <v>127</v>
      </c>
      <c r="E11" s="518" t="s">
        <v>123</v>
      </c>
      <c r="F11" s="519">
        <v>0.13</v>
      </c>
      <c r="G11" s="520">
        <f t="shared" si="4"/>
        <v>0</v>
      </c>
      <c r="H11" s="520">
        <f t="shared" si="5"/>
        <v>81415.929999999993</v>
      </c>
      <c r="I11" s="521"/>
      <c r="J11" s="378"/>
      <c r="K11" s="378"/>
      <c r="L11" s="378"/>
      <c r="M11" s="378"/>
      <c r="N11" s="378"/>
      <c r="O11" s="378"/>
      <c r="P11" s="515"/>
      <c r="Q11" s="378"/>
      <c r="R11" s="375"/>
      <c r="S11" s="375"/>
      <c r="X11" s="526"/>
      <c r="AF11" s="59"/>
      <c r="AG11" s="59"/>
      <c r="BH11" s="61">
        <v>81415.929999999993</v>
      </c>
    </row>
    <row r="12" spans="2:62">
      <c r="B12" s="652"/>
      <c r="C12" s="668"/>
      <c r="D12" s="678"/>
      <c r="E12" s="518" t="s">
        <v>124</v>
      </c>
      <c r="F12" s="519">
        <v>0.09</v>
      </c>
      <c r="G12" s="520">
        <f t="shared" si="4"/>
        <v>0</v>
      </c>
      <c r="H12" s="520">
        <f t="shared" si="5"/>
        <v>0</v>
      </c>
      <c r="I12" s="521"/>
      <c r="J12" s="378"/>
      <c r="K12" s="378"/>
      <c r="L12" s="378"/>
      <c r="M12" s="378"/>
      <c r="N12" s="378"/>
      <c r="O12" s="378"/>
      <c r="P12" s="515"/>
      <c r="Q12" s="378"/>
      <c r="R12" s="375"/>
      <c r="S12" s="375"/>
      <c r="X12" s="526"/>
      <c r="AF12" s="59"/>
      <c r="AG12" s="59"/>
    </row>
    <row r="13" spans="2:62">
      <c r="B13" s="652"/>
      <c r="C13" s="669"/>
      <c r="D13" s="679"/>
      <c r="E13" s="518" t="s">
        <v>125</v>
      </c>
      <c r="F13" s="519">
        <v>0.06</v>
      </c>
      <c r="G13" s="520">
        <f t="shared" si="4"/>
        <v>0</v>
      </c>
      <c r="H13" s="520">
        <f t="shared" si="5"/>
        <v>0</v>
      </c>
      <c r="I13" s="521"/>
      <c r="J13" s="378"/>
      <c r="K13" s="378"/>
      <c r="L13" s="378"/>
      <c r="M13" s="378"/>
      <c r="N13" s="378"/>
      <c r="O13" s="378"/>
      <c r="P13" s="515"/>
      <c r="Q13" s="378"/>
      <c r="R13" s="375"/>
      <c r="S13" s="375"/>
      <c r="X13" s="526"/>
      <c r="AF13" s="59"/>
      <c r="AG13" s="59"/>
    </row>
    <row r="14" spans="2:62" ht="15.6" customHeight="1">
      <c r="B14" s="652" t="s">
        <v>126</v>
      </c>
      <c r="C14" s="522">
        <v>3660</v>
      </c>
      <c r="D14" s="677" t="s">
        <v>129</v>
      </c>
      <c r="E14" s="518" t="s">
        <v>123</v>
      </c>
      <c r="F14" s="519">
        <v>0.13</v>
      </c>
      <c r="G14" s="520">
        <f t="shared" si="4"/>
        <v>8211701.3099999996</v>
      </c>
      <c r="H14" s="520">
        <f t="shared" si="5"/>
        <v>11336363.98</v>
      </c>
      <c r="I14" s="521">
        <f>G14-H14</f>
        <v>-3124662.67</v>
      </c>
      <c r="J14" s="378"/>
      <c r="K14" s="378"/>
      <c r="L14" s="378">
        <v>8130064.1399999997</v>
      </c>
      <c r="M14" s="513">
        <v>3124662.61</v>
      </c>
      <c r="N14" s="378">
        <v>81637.17</v>
      </c>
      <c r="O14" s="378"/>
      <c r="P14" s="515"/>
      <c r="Q14" s="378"/>
      <c r="R14" s="375"/>
      <c r="S14" s="375"/>
      <c r="V14" s="498">
        <v>0</v>
      </c>
      <c r="W14" s="498">
        <v>0</v>
      </c>
      <c r="X14" s="59">
        <v>0</v>
      </c>
      <c r="Y14" s="59">
        <v>8211701.3700000001</v>
      </c>
      <c r="AF14" s="59"/>
      <c r="AG14" s="59"/>
    </row>
    <row r="15" spans="2:62">
      <c r="B15" s="652"/>
      <c r="C15" s="522">
        <v>3660</v>
      </c>
      <c r="D15" s="678"/>
      <c r="E15" s="518" t="s">
        <v>124</v>
      </c>
      <c r="F15" s="519">
        <v>0.09</v>
      </c>
      <c r="G15" s="520">
        <f t="shared" si="4"/>
        <v>462148463.33999997</v>
      </c>
      <c r="H15" s="520">
        <f t="shared" si="5"/>
        <v>462148463.37</v>
      </c>
      <c r="I15" s="521">
        <f>G15-H15</f>
        <v>-2.9999911785125701E-2</v>
      </c>
      <c r="J15" s="378"/>
      <c r="K15" s="378"/>
      <c r="L15" s="378">
        <v>189046572.84999999</v>
      </c>
      <c r="M15" s="378">
        <v>183486238.55000001</v>
      </c>
      <c r="N15" s="378">
        <v>220183486.24000001</v>
      </c>
      <c r="O15" s="378">
        <v>220183486.24000001</v>
      </c>
      <c r="P15" s="515">
        <v>192660550.47</v>
      </c>
      <c r="Q15" s="378">
        <v>192660550.47</v>
      </c>
      <c r="R15" s="375"/>
      <c r="S15" s="375"/>
      <c r="U15" s="59">
        <v>3981328.08</v>
      </c>
      <c r="V15" s="498">
        <v>1239039.5900000001</v>
      </c>
      <c r="W15" s="498">
        <v>0</v>
      </c>
      <c r="X15" s="59">
        <v>0</v>
      </c>
      <c r="Y15" s="59">
        <v>2818045.8</v>
      </c>
      <c r="AD15" s="59">
        <v>-140981185.81</v>
      </c>
      <c r="AE15" s="59">
        <v>0</v>
      </c>
      <c r="AF15" s="59"/>
      <c r="AG15" s="59"/>
      <c r="AI15" s="527">
        <v>-140981185.77000001</v>
      </c>
    </row>
    <row r="16" spans="2:62">
      <c r="B16" s="652"/>
      <c r="C16" s="522">
        <v>3660</v>
      </c>
      <c r="D16" s="679"/>
      <c r="E16" s="518" t="s">
        <v>125</v>
      </c>
      <c r="F16" s="519">
        <v>0.06</v>
      </c>
      <c r="G16" s="520">
        <f t="shared" si="4"/>
        <v>5519384.1299999999</v>
      </c>
      <c r="H16" s="520">
        <f t="shared" si="5"/>
        <v>6976051.4500000002</v>
      </c>
      <c r="I16" s="521">
        <f>G16-H16</f>
        <v>-1456667.32</v>
      </c>
      <c r="J16" s="378"/>
      <c r="K16" s="378"/>
      <c r="L16" s="378">
        <v>5238515.34</v>
      </c>
      <c r="M16" s="378">
        <v>1456667.33</v>
      </c>
      <c r="N16" s="378">
        <v>-81637.17</v>
      </c>
      <c r="O16" s="378"/>
      <c r="P16" s="515"/>
      <c r="Q16" s="378"/>
      <c r="R16" s="375"/>
      <c r="S16" s="375"/>
      <c r="T16" s="59">
        <v>212735.85</v>
      </c>
      <c r="U16" s="59">
        <v>4216037.74</v>
      </c>
      <c r="V16" s="498">
        <v>52152</v>
      </c>
      <c r="W16" s="498">
        <v>0</v>
      </c>
      <c r="X16" s="498">
        <v>0</v>
      </c>
      <c r="Y16" s="59">
        <v>1205728.27</v>
      </c>
      <c r="AD16" s="59">
        <v>97618.11</v>
      </c>
      <c r="AE16" s="59">
        <v>97618.11</v>
      </c>
      <c r="AF16" s="59"/>
      <c r="AG16" s="59"/>
    </row>
    <row r="17" spans="2:37">
      <c r="B17" s="652" t="s">
        <v>126</v>
      </c>
      <c r="C17" s="516">
        <v>4030</v>
      </c>
      <c r="D17" s="677" t="s">
        <v>130</v>
      </c>
      <c r="E17" s="518" t="s">
        <v>123</v>
      </c>
      <c r="F17" s="519">
        <v>0.13</v>
      </c>
      <c r="G17" s="520">
        <f t="shared" si="4"/>
        <v>203292576.72999999</v>
      </c>
      <c r="H17" s="520">
        <f t="shared" si="5"/>
        <v>111341985.59</v>
      </c>
      <c r="I17" s="521">
        <f>G17-H17</f>
        <v>91950591.140000001</v>
      </c>
      <c r="J17" s="378"/>
      <c r="K17" s="378"/>
      <c r="L17" s="378"/>
      <c r="M17" s="378"/>
      <c r="N17" s="378">
        <v>3664601.77</v>
      </c>
      <c r="O17" s="378"/>
      <c r="P17" s="515">
        <v>222234.5</v>
      </c>
      <c r="Q17" s="378"/>
      <c r="R17" s="375">
        <v>18651915.940000001</v>
      </c>
      <c r="S17" s="375">
        <v>0</v>
      </c>
      <c r="T17" s="59">
        <v>53556347.57</v>
      </c>
      <c r="V17" s="498">
        <v>14543775.970000001</v>
      </c>
      <c r="W17" s="498">
        <v>0</v>
      </c>
      <c r="X17" s="498">
        <v>-9581572.6699999999</v>
      </c>
      <c r="Y17" s="59">
        <v>8347326.46</v>
      </c>
      <c r="Z17" s="59">
        <v>32102530.309999999</v>
      </c>
      <c r="AA17" s="59">
        <v>11020813.49</v>
      </c>
      <c r="AB17" s="59">
        <v>90132743.340000004</v>
      </c>
      <c r="AC17" s="59">
        <v>91973845.640000001</v>
      </c>
      <c r="AF17" s="59"/>
      <c r="AG17" s="59"/>
    </row>
    <row r="18" spans="2:37">
      <c r="B18" s="652"/>
      <c r="C18" s="522">
        <v>4030</v>
      </c>
      <c r="D18" s="678"/>
      <c r="E18" s="518" t="s">
        <v>124</v>
      </c>
      <c r="F18" s="519">
        <v>0.09</v>
      </c>
      <c r="G18" s="520">
        <f t="shared" si="4"/>
        <v>213091605.74000001</v>
      </c>
      <c r="H18" s="520">
        <f t="shared" si="5"/>
        <v>188904465.15000001</v>
      </c>
      <c r="I18" s="521">
        <f>G18-H18</f>
        <v>24187140.59</v>
      </c>
      <c r="J18" s="378"/>
      <c r="K18" s="378"/>
      <c r="L18" s="378">
        <v>489233.5</v>
      </c>
      <c r="M18" s="378"/>
      <c r="N18" s="378">
        <v>9211423.5999999996</v>
      </c>
      <c r="O18" s="378">
        <v>45871559.640000001</v>
      </c>
      <c r="P18" s="515">
        <v>10406006.060000001</v>
      </c>
      <c r="Q18" s="528"/>
      <c r="R18" s="375">
        <v>14196012.84</v>
      </c>
      <c r="S18" s="375">
        <v>0</v>
      </c>
      <c r="T18" s="59">
        <v>12344909.74</v>
      </c>
      <c r="V18" s="498">
        <v>9578080.3599999994</v>
      </c>
      <c r="W18" s="498">
        <v>0</v>
      </c>
      <c r="X18" s="59">
        <v>15013766.529999999</v>
      </c>
      <c r="Y18" s="59">
        <v>18679331.690000001</v>
      </c>
      <c r="Z18" s="59">
        <v>37165437.439999998</v>
      </c>
      <c r="AA18" s="59">
        <v>9429091.4600000009</v>
      </c>
      <c r="AB18" s="59">
        <v>53132536.759999998</v>
      </c>
      <c r="AC18" s="59">
        <v>63370283.450000003</v>
      </c>
      <c r="AD18" s="59">
        <v>51554198.909999996</v>
      </c>
      <c r="AE18" s="59">
        <v>51554198.909999996</v>
      </c>
      <c r="AF18" s="59"/>
      <c r="AG18" s="59"/>
    </row>
    <row r="19" spans="2:37">
      <c r="B19" s="652"/>
      <c r="C19" s="522">
        <v>4030</v>
      </c>
      <c r="D19" s="679"/>
      <c r="E19" s="518" t="s">
        <v>125</v>
      </c>
      <c r="F19" s="519">
        <v>0.06</v>
      </c>
      <c r="G19" s="520">
        <f t="shared" si="4"/>
        <v>8329405.2599999998</v>
      </c>
      <c r="H19" s="520">
        <f t="shared" si="5"/>
        <v>7940431.75</v>
      </c>
      <c r="I19" s="521">
        <f t="shared" ref="I19:I58" si="6">G19-H19</f>
        <v>388973.51</v>
      </c>
      <c r="J19" s="378"/>
      <c r="K19" s="378"/>
      <c r="L19" s="378">
        <v>43891.61</v>
      </c>
      <c r="M19" s="378"/>
      <c r="N19" s="378">
        <v>685280.75</v>
      </c>
      <c r="O19" s="378"/>
      <c r="P19" s="515">
        <v>64486.14</v>
      </c>
      <c r="Q19" s="378"/>
      <c r="R19" s="375">
        <v>156301.32999999999</v>
      </c>
      <c r="S19" s="375">
        <v>60092.57</v>
      </c>
      <c r="T19" s="59">
        <v>3078319.53</v>
      </c>
      <c r="U19" s="59">
        <v>60296.37</v>
      </c>
      <c r="V19" s="498">
        <f>563843.01+91089.15</f>
        <v>654932.16</v>
      </c>
      <c r="W19" s="498">
        <v>91089.15</v>
      </c>
      <c r="X19" s="498">
        <v>165683.66</v>
      </c>
      <c r="Y19" s="59">
        <v>4427585.96</v>
      </c>
      <c r="Z19" s="59">
        <v>3031830.82</v>
      </c>
      <c r="AA19" s="59">
        <v>474936.19</v>
      </c>
      <c r="AB19" s="59">
        <v>448679.26</v>
      </c>
      <c r="AC19" s="59">
        <v>2826431.51</v>
      </c>
      <c r="AF19" s="59"/>
      <c r="AG19" s="59"/>
    </row>
    <row r="20" spans="2:37">
      <c r="B20" s="652" t="s">
        <v>126</v>
      </c>
      <c r="C20" s="516">
        <v>4020</v>
      </c>
      <c r="D20" s="677" t="s">
        <v>131</v>
      </c>
      <c r="E20" s="518" t="s">
        <v>123</v>
      </c>
      <c r="F20" s="519">
        <v>0.13</v>
      </c>
      <c r="G20" s="520">
        <f t="shared" si="4"/>
        <v>105381364.31999999</v>
      </c>
      <c r="H20" s="520">
        <f t="shared" si="5"/>
        <v>107674054.37</v>
      </c>
      <c r="I20" s="521">
        <f t="shared" si="6"/>
        <v>-2292690.0500000101</v>
      </c>
      <c r="J20" s="378"/>
      <c r="K20" s="378"/>
      <c r="L20" s="378"/>
      <c r="M20" s="378">
        <v>2292690.0499999998</v>
      </c>
      <c r="N20" s="378">
        <v>10422345.18</v>
      </c>
      <c r="O20" s="378"/>
      <c r="P20" s="515"/>
      <c r="Q20" s="378"/>
      <c r="R20" s="375">
        <v>660150.80000000005</v>
      </c>
      <c r="S20" s="375">
        <v>0</v>
      </c>
      <c r="T20" s="59">
        <v>27073953.289999999</v>
      </c>
      <c r="V20" s="498">
        <v>3545901.08</v>
      </c>
      <c r="W20" s="498">
        <v>13168632.810000001</v>
      </c>
      <c r="X20" s="59">
        <v>11705115.32</v>
      </c>
      <c r="Y20" s="59">
        <v>3422302.68</v>
      </c>
      <c r="Z20" s="59">
        <v>51973898.649999999</v>
      </c>
      <c r="AA20" s="59">
        <v>36816530.18</v>
      </c>
      <c r="AF20" s="59"/>
      <c r="AG20" s="59"/>
      <c r="AI20" s="527">
        <v>51973898.649999999</v>
      </c>
    </row>
    <row r="21" spans="2:37" ht="13.5" customHeight="1">
      <c r="B21" s="652"/>
      <c r="C21" s="522">
        <v>4020</v>
      </c>
      <c r="D21" s="678"/>
      <c r="E21" s="518" t="s">
        <v>124</v>
      </c>
      <c r="F21" s="519">
        <v>0.09</v>
      </c>
      <c r="G21" s="520">
        <f>SUM(J21,L21,N21,P21,R21,T21,V21,X21,Z21,AB21,AD21,AF21,AH21,AJ21,AL21,AN21,AP21,AR21,AU21,AW21,AY21,BC21,BG21)</f>
        <v>297213375.05000001</v>
      </c>
      <c r="H21" s="520">
        <f t="shared" si="5"/>
        <v>326816509.85000002</v>
      </c>
      <c r="I21" s="521">
        <f t="shared" si="6"/>
        <v>-29603134.800000012</v>
      </c>
      <c r="J21" s="378"/>
      <c r="K21" s="378"/>
      <c r="L21" s="378">
        <v>5244190.53</v>
      </c>
      <c r="M21" s="378">
        <v>29823783.23</v>
      </c>
      <c r="N21" s="378">
        <v>13660419.18</v>
      </c>
      <c r="O21" s="378">
        <v>164304832.94</v>
      </c>
      <c r="P21" s="515">
        <v>27909442.09</v>
      </c>
      <c r="Q21" s="378"/>
      <c r="R21" s="375">
        <v>19309600.649999999</v>
      </c>
      <c r="S21" s="375">
        <v>0</v>
      </c>
      <c r="T21" s="59">
        <v>12545272.710000001</v>
      </c>
      <c r="V21" s="498">
        <v>7283802.8300000001</v>
      </c>
      <c r="W21" s="498">
        <v>73424734.640000001</v>
      </c>
      <c r="X21" s="59">
        <v>8064138.7300000004</v>
      </c>
      <c r="Y21" s="59">
        <v>2271099.1</v>
      </c>
      <c r="Z21" s="59">
        <v>203196508.33000001</v>
      </c>
      <c r="AA21" s="59">
        <v>47672841.799999997</v>
      </c>
      <c r="AE21" s="59">
        <v>9319218.1400000006</v>
      </c>
      <c r="AF21" s="59"/>
      <c r="AG21" s="59"/>
    </row>
    <row r="22" spans="2:37">
      <c r="B22" s="652"/>
      <c r="C22" s="522">
        <v>4020</v>
      </c>
      <c r="D22" s="679"/>
      <c r="E22" s="518" t="s">
        <v>125</v>
      </c>
      <c r="F22" s="519">
        <v>0.06</v>
      </c>
      <c r="G22" s="520">
        <f t="shared" si="4"/>
        <v>15200556.98</v>
      </c>
      <c r="H22" s="520">
        <f t="shared" si="5"/>
        <v>29092125.780000001</v>
      </c>
      <c r="I22" s="521">
        <f t="shared" si="6"/>
        <v>-13891568.800000001</v>
      </c>
      <c r="J22" s="378"/>
      <c r="K22" s="378"/>
      <c r="L22" s="378">
        <v>387382.3</v>
      </c>
      <c r="M22" s="378">
        <v>6720925.0700000003</v>
      </c>
      <c r="N22" s="378">
        <v>1991865.65</v>
      </c>
      <c r="O22" s="378">
        <v>614275.5</v>
      </c>
      <c r="P22" s="515">
        <v>1033444.78</v>
      </c>
      <c r="Q22" s="378"/>
      <c r="R22" s="375">
        <v>605451.16</v>
      </c>
      <c r="S22" s="375">
        <v>60092.57</v>
      </c>
      <c r="T22" s="59">
        <v>3642158.86</v>
      </c>
      <c r="U22" s="59">
        <v>60296.37</v>
      </c>
      <c r="V22" s="498">
        <f>451080.26+91089.15</f>
        <v>542169.41</v>
      </c>
      <c r="W22" s="498">
        <v>14187371.189999999</v>
      </c>
      <c r="X22" s="498">
        <v>453844.04</v>
      </c>
      <c r="Y22" s="59">
        <v>510396</v>
      </c>
      <c r="Z22" s="59">
        <v>5695184.1799999997</v>
      </c>
      <c r="AA22" s="59">
        <v>394528.3</v>
      </c>
      <c r="AD22" s="59">
        <v>849056.6</v>
      </c>
      <c r="AE22" s="59">
        <v>5695184.1799999997</v>
      </c>
      <c r="AF22" s="59"/>
      <c r="AG22" s="59">
        <v>849056.6</v>
      </c>
    </row>
    <row r="23" spans="2:37">
      <c r="B23" s="652" t="s">
        <v>126</v>
      </c>
      <c r="C23" s="522">
        <v>2319</v>
      </c>
      <c r="D23" s="677" t="s">
        <v>132</v>
      </c>
      <c r="E23" s="518" t="s">
        <v>123</v>
      </c>
      <c r="F23" s="519">
        <v>0.13</v>
      </c>
      <c r="G23" s="520">
        <f t="shared" si="4"/>
        <v>121926121.98999999</v>
      </c>
      <c r="H23" s="520">
        <f t="shared" si="5"/>
        <v>144488841.50999999</v>
      </c>
      <c r="I23" s="521">
        <f t="shared" si="6"/>
        <v>-22562719.52</v>
      </c>
      <c r="J23" s="378"/>
      <c r="K23" s="378"/>
      <c r="L23" s="378">
        <v>3184412.86</v>
      </c>
      <c r="M23" s="378"/>
      <c r="N23" s="378"/>
      <c r="O23" s="378"/>
      <c r="P23" s="515">
        <v>3053970.59</v>
      </c>
      <c r="Q23" s="378"/>
      <c r="R23" s="375">
        <v>1591338.08</v>
      </c>
      <c r="S23" s="375">
        <v>0</v>
      </c>
      <c r="T23" s="59">
        <v>28616.54</v>
      </c>
      <c r="U23" s="59">
        <v>30132373.09</v>
      </c>
      <c r="V23" s="498">
        <v>22396947.550000001</v>
      </c>
      <c r="W23" s="498">
        <v>0</v>
      </c>
      <c r="X23" s="59">
        <v>23544880.98</v>
      </c>
      <c r="Y23" s="59">
        <v>0</v>
      </c>
      <c r="Z23" s="59">
        <v>68125955.390000001</v>
      </c>
      <c r="AA23" s="59">
        <v>54847.11</v>
      </c>
      <c r="AC23" s="59">
        <v>114041553.34999999</v>
      </c>
      <c r="AD23" s="59">
        <v>0</v>
      </c>
      <c r="AE23" s="59">
        <v>260067.96</v>
      </c>
      <c r="AF23" s="59"/>
      <c r="AG23" s="59"/>
    </row>
    <row r="24" spans="2:37">
      <c r="B24" s="652"/>
      <c r="C24" s="522">
        <v>2319</v>
      </c>
      <c r="D24" s="678"/>
      <c r="E24" s="518" t="s">
        <v>124</v>
      </c>
      <c r="F24" s="519">
        <v>0.09</v>
      </c>
      <c r="G24" s="520">
        <f t="shared" si="4"/>
        <v>402984925.98000002</v>
      </c>
      <c r="H24" s="520">
        <f t="shared" si="5"/>
        <v>475991019.13999999</v>
      </c>
      <c r="I24" s="521">
        <f t="shared" si="6"/>
        <v>-73006093.159999996</v>
      </c>
      <c r="J24" s="378"/>
      <c r="K24" s="378"/>
      <c r="L24" s="378">
        <v>-493692.65</v>
      </c>
      <c r="M24" s="378"/>
      <c r="N24" s="378">
        <v>11024684.720000001</v>
      </c>
      <c r="O24" s="378"/>
      <c r="P24" s="515">
        <v>9616720.8900000006</v>
      </c>
      <c r="Q24" s="378"/>
      <c r="R24" s="375">
        <v>15488844.01</v>
      </c>
      <c r="S24" s="375">
        <v>0</v>
      </c>
      <c r="T24" s="59">
        <v>5873943.6600000001</v>
      </c>
      <c r="U24" s="59">
        <v>108642650.13</v>
      </c>
      <c r="V24" s="498">
        <v>8786601.4900000002</v>
      </c>
      <c r="W24" s="498">
        <v>0</v>
      </c>
      <c r="X24" s="59">
        <v>15887462.98</v>
      </c>
      <c r="Y24" s="59">
        <v>0</v>
      </c>
      <c r="Z24" s="59">
        <v>43577732.009999998</v>
      </c>
      <c r="AB24" s="59">
        <v>293966663.74000001</v>
      </c>
      <c r="AC24" s="59">
        <v>74125740.140000001</v>
      </c>
      <c r="AD24" s="59">
        <v>-744034.87</v>
      </c>
      <c r="AE24" s="59">
        <v>293222628.87</v>
      </c>
      <c r="AF24" s="59"/>
      <c r="AG24" s="59"/>
    </row>
    <row r="25" spans="2:37">
      <c r="B25" s="652"/>
      <c r="C25" s="529">
        <v>2319</v>
      </c>
      <c r="D25" s="679"/>
      <c r="E25" s="518" t="s">
        <v>125</v>
      </c>
      <c r="F25" s="519">
        <v>0.06</v>
      </c>
      <c r="G25" s="520">
        <f t="shared" si="4"/>
        <v>12445292.390000001</v>
      </c>
      <c r="H25" s="520">
        <f t="shared" si="5"/>
        <v>25072323.949999999</v>
      </c>
      <c r="I25" s="521">
        <f t="shared" si="6"/>
        <v>-12627031.560000001</v>
      </c>
      <c r="J25" s="378"/>
      <c r="K25" s="378"/>
      <c r="L25" s="378"/>
      <c r="M25" s="378"/>
      <c r="N25" s="378"/>
      <c r="O25" s="378"/>
      <c r="P25" s="515">
        <v>572632.47</v>
      </c>
      <c r="Q25" s="378"/>
      <c r="R25" s="375">
        <v>1198794.77</v>
      </c>
      <c r="S25" s="375">
        <v>60092.57</v>
      </c>
      <c r="T25" s="59">
        <v>1933105.94</v>
      </c>
      <c r="U25" s="59">
        <v>15442086.970000001</v>
      </c>
      <c r="V25" s="498">
        <f>2056169.38+91089.15</f>
        <v>2147258.5299999998</v>
      </c>
      <c r="W25" s="498">
        <v>-1053820.3700000001</v>
      </c>
      <c r="X25" s="498">
        <v>1316111</v>
      </c>
      <c r="Y25" s="59">
        <v>59315.74</v>
      </c>
      <c r="Z25" s="59">
        <v>5207673.28</v>
      </c>
      <c r="AC25" s="59">
        <v>10494932.640000001</v>
      </c>
      <c r="AF25" s="59">
        <v>69716.399999999994</v>
      </c>
      <c r="AG25" s="59">
        <v>69716.399999999994</v>
      </c>
    </row>
    <row r="26" spans="2:37">
      <c r="B26" s="652" t="s">
        <v>126</v>
      </c>
      <c r="C26" s="516">
        <v>2318</v>
      </c>
      <c r="D26" s="677" t="s">
        <v>133</v>
      </c>
      <c r="E26" s="518" t="s">
        <v>123</v>
      </c>
      <c r="F26" s="519">
        <v>0.13</v>
      </c>
      <c r="G26" s="520">
        <f t="shared" si="4"/>
        <v>91048577.599999994</v>
      </c>
      <c r="H26" s="520">
        <f t="shared" si="5"/>
        <v>94539001.900000006</v>
      </c>
      <c r="I26" s="521">
        <f t="shared" si="6"/>
        <v>-3490424.3000000101</v>
      </c>
      <c r="J26" s="378"/>
      <c r="K26" s="378"/>
      <c r="L26" s="378"/>
      <c r="M26" s="378"/>
      <c r="N26" s="378"/>
      <c r="O26" s="378"/>
      <c r="P26" s="515">
        <v>18248654.079999998</v>
      </c>
      <c r="Q26" s="378"/>
      <c r="R26" s="375">
        <v>14223008.859999999</v>
      </c>
      <c r="S26" s="375">
        <v>0</v>
      </c>
      <c r="T26" s="59">
        <v>24448245.690000001</v>
      </c>
      <c r="U26" s="59">
        <v>35962087.240000002</v>
      </c>
      <c r="V26" s="498">
        <v>6740165.0700000003</v>
      </c>
      <c r="W26" s="498">
        <v>0</v>
      </c>
      <c r="X26" s="498">
        <v>-3136197.95</v>
      </c>
      <c r="Y26" s="59">
        <v>0</v>
      </c>
      <c r="Z26" s="59">
        <v>30470274.800000001</v>
      </c>
      <c r="AB26" s="59">
        <v>54427.05</v>
      </c>
      <c r="AC26" s="59">
        <v>58576914.659999996</v>
      </c>
      <c r="AF26" s="59"/>
      <c r="AG26" s="59"/>
    </row>
    <row r="27" spans="2:37">
      <c r="B27" s="652"/>
      <c r="C27" s="522">
        <v>2318</v>
      </c>
      <c r="D27" s="678"/>
      <c r="E27" s="518" t="s">
        <v>124</v>
      </c>
      <c r="F27" s="519">
        <v>0.09</v>
      </c>
      <c r="G27" s="520">
        <f t="shared" si="4"/>
        <v>238524098.44999999</v>
      </c>
      <c r="H27" s="520">
        <f t="shared" si="5"/>
        <v>277531961.56999999</v>
      </c>
      <c r="I27" s="521">
        <f t="shared" si="6"/>
        <v>-39007863.119999997</v>
      </c>
      <c r="J27" s="378"/>
      <c r="K27" s="378"/>
      <c r="L27" s="378">
        <v>-634747.69999999995</v>
      </c>
      <c r="M27" s="378"/>
      <c r="N27" s="378">
        <v>4893183.57</v>
      </c>
      <c r="O27" s="378"/>
      <c r="P27" s="515">
        <v>1363532.1</v>
      </c>
      <c r="Q27" s="378"/>
      <c r="R27" s="375">
        <v>7882465.7400000002</v>
      </c>
      <c r="S27" s="375">
        <v>0</v>
      </c>
      <c r="T27" s="59">
        <v>3424803.44</v>
      </c>
      <c r="U27" s="59">
        <v>52512296.829999998</v>
      </c>
      <c r="V27" s="498">
        <v>3477768.09</v>
      </c>
      <c r="W27" s="498">
        <v>0</v>
      </c>
      <c r="X27" s="498">
        <v>-545268.65</v>
      </c>
      <c r="Y27" s="59">
        <v>0</v>
      </c>
      <c r="Z27" s="59">
        <v>17266715.120000001</v>
      </c>
      <c r="AB27" s="59">
        <v>157287359.62</v>
      </c>
      <c r="AC27" s="59">
        <v>180911377.62</v>
      </c>
      <c r="AD27" s="59">
        <v>44108287.119999997</v>
      </c>
      <c r="AE27" s="59">
        <v>44108287.119999997</v>
      </c>
      <c r="AF27" s="59"/>
      <c r="AG27" s="59"/>
    </row>
    <row r="28" spans="2:37">
      <c r="B28" s="652"/>
      <c r="C28" s="522">
        <v>2318</v>
      </c>
      <c r="D28" s="679"/>
      <c r="E28" s="518" t="s">
        <v>125</v>
      </c>
      <c r="F28" s="519">
        <v>0.06</v>
      </c>
      <c r="G28" s="520">
        <f t="shared" si="4"/>
        <v>9887422.3900000006</v>
      </c>
      <c r="H28" s="520">
        <f t="shared" si="5"/>
        <v>22107135.75</v>
      </c>
      <c r="I28" s="521">
        <f t="shared" si="6"/>
        <v>-12219713.359999999</v>
      </c>
      <c r="J28" s="378"/>
      <c r="K28" s="378"/>
      <c r="L28" s="378">
        <v>625546.26</v>
      </c>
      <c r="M28" s="378"/>
      <c r="N28" s="378">
        <v>721744.48</v>
      </c>
      <c r="O28" s="378"/>
      <c r="P28" s="515">
        <v>1109241.82</v>
      </c>
      <c r="Q28" s="378"/>
      <c r="R28" s="375">
        <v>848738.92</v>
      </c>
      <c r="S28" s="375">
        <v>45069.41</v>
      </c>
      <c r="T28" s="59">
        <v>1125155.5900000001</v>
      </c>
      <c r="U28" s="59">
        <v>16630790.279999999</v>
      </c>
      <c r="V28" s="498">
        <f>1480911.13+68316.91</f>
        <v>1549228.04</v>
      </c>
      <c r="W28" s="498">
        <v>-935850.35</v>
      </c>
      <c r="X28" s="59">
        <v>281836.92</v>
      </c>
      <c r="Y28" s="59">
        <v>44486.75</v>
      </c>
      <c r="Z28" s="59">
        <v>3625930.36</v>
      </c>
      <c r="AC28" s="59">
        <v>6322639.6600000001</v>
      </c>
      <c r="AF28" s="59"/>
      <c r="AG28" s="59"/>
    </row>
    <row r="29" spans="2:37">
      <c r="B29" s="652" t="s">
        <v>126</v>
      </c>
      <c r="C29" s="516" t="s">
        <v>134</v>
      </c>
      <c r="D29" s="677" t="s">
        <v>135</v>
      </c>
      <c r="E29" s="518" t="s">
        <v>123</v>
      </c>
      <c r="F29" s="519">
        <v>0.13</v>
      </c>
      <c r="G29" s="520">
        <f t="shared" si="4"/>
        <v>0</v>
      </c>
      <c r="H29" s="520">
        <f t="shared" si="5"/>
        <v>9836350.7799999993</v>
      </c>
      <c r="I29" s="521">
        <f t="shared" si="6"/>
        <v>-9836350.7799999993</v>
      </c>
      <c r="J29" s="378"/>
      <c r="K29" s="378"/>
      <c r="L29" s="378"/>
      <c r="M29" s="378"/>
      <c r="N29" s="378"/>
      <c r="O29" s="378"/>
      <c r="P29" s="515"/>
      <c r="Q29" s="378"/>
      <c r="R29" s="375"/>
      <c r="S29" s="375"/>
      <c r="V29" s="498">
        <v>0</v>
      </c>
      <c r="W29" s="498">
        <v>0</v>
      </c>
      <c r="X29" s="498">
        <v>0</v>
      </c>
      <c r="Y29" s="498">
        <v>0</v>
      </c>
      <c r="Z29" s="59">
        <v>117923.07</v>
      </c>
      <c r="AF29" s="59"/>
      <c r="AG29" s="59"/>
      <c r="AH29" s="59">
        <v>-117923.07</v>
      </c>
      <c r="AJ29" s="61">
        <v>0</v>
      </c>
      <c r="AK29" s="61">
        <v>9836350.7799999993</v>
      </c>
    </row>
    <row r="30" spans="2:37">
      <c r="B30" s="652"/>
      <c r="C30" s="522" t="s">
        <v>134</v>
      </c>
      <c r="D30" s="678"/>
      <c r="E30" s="518" t="s">
        <v>124</v>
      </c>
      <c r="F30" s="519">
        <v>0.09</v>
      </c>
      <c r="G30" s="520">
        <f t="shared" si="4"/>
        <v>2073641.77</v>
      </c>
      <c r="H30" s="520">
        <f t="shared" si="5"/>
        <v>30988092.489999998</v>
      </c>
      <c r="I30" s="521">
        <f t="shared" si="6"/>
        <v>-28914450.719999999</v>
      </c>
      <c r="J30" s="378"/>
      <c r="K30" s="378"/>
      <c r="L30" s="378"/>
      <c r="M30" s="378"/>
      <c r="N30" s="378"/>
      <c r="O30" s="378"/>
      <c r="P30" s="515"/>
      <c r="Q30" s="378"/>
      <c r="R30" s="375"/>
      <c r="S30" s="375"/>
      <c r="V30" s="498">
        <v>0</v>
      </c>
      <c r="W30" s="498">
        <v>0</v>
      </c>
      <c r="X30" s="498">
        <v>0</v>
      </c>
      <c r="Y30" s="498">
        <v>0</v>
      </c>
      <c r="Z30" s="59">
        <v>2073641.77</v>
      </c>
      <c r="AF30" s="59"/>
      <c r="AG30" s="59"/>
      <c r="AI30" s="527">
        <v>30988092.489999998</v>
      </c>
    </row>
    <row r="31" spans="2:37">
      <c r="B31" s="652"/>
      <c r="C31" s="522" t="s">
        <v>134</v>
      </c>
      <c r="D31" s="679"/>
      <c r="E31" s="518" t="s">
        <v>125</v>
      </c>
      <c r="F31" s="519">
        <v>0.06</v>
      </c>
      <c r="G31" s="520">
        <f t="shared" si="4"/>
        <v>1726122.17</v>
      </c>
      <c r="H31" s="520">
        <f t="shared" si="5"/>
        <v>8077291.4199999999</v>
      </c>
      <c r="I31" s="521">
        <f t="shared" si="6"/>
        <v>-6351169.25</v>
      </c>
      <c r="J31" s="378"/>
      <c r="K31" s="378"/>
      <c r="L31" s="378">
        <v>1262584.23</v>
      </c>
      <c r="M31" s="378"/>
      <c r="N31" s="378">
        <v>112007.19</v>
      </c>
      <c r="O31" s="378"/>
      <c r="P31" s="515"/>
      <c r="Q31" s="378">
        <v>7725760.6799999997</v>
      </c>
      <c r="R31" s="375"/>
      <c r="S31" s="375"/>
      <c r="U31" s="59">
        <v>0</v>
      </c>
      <c r="V31" s="498">
        <v>0</v>
      </c>
      <c r="W31" s="498">
        <v>0</v>
      </c>
      <c r="X31" s="498">
        <v>0</v>
      </c>
      <c r="Y31" s="498">
        <v>0</v>
      </c>
      <c r="Z31" s="59">
        <v>351530.75</v>
      </c>
      <c r="AF31" s="59"/>
      <c r="AG31" s="59"/>
      <c r="AJ31" s="61">
        <v>0</v>
      </c>
      <c r="AK31" s="61">
        <v>351530.74</v>
      </c>
    </row>
    <row r="32" spans="2:37">
      <c r="B32" s="652" t="s">
        <v>126</v>
      </c>
      <c r="C32" s="516">
        <v>1080</v>
      </c>
      <c r="D32" s="677" t="s">
        <v>136</v>
      </c>
      <c r="E32" s="518" t="s">
        <v>123</v>
      </c>
      <c r="F32" s="519">
        <v>0.13</v>
      </c>
      <c r="G32" s="520">
        <f t="shared" si="4"/>
        <v>0</v>
      </c>
      <c r="H32" s="520">
        <f t="shared" si="5"/>
        <v>0</v>
      </c>
      <c r="I32" s="521">
        <f t="shared" si="6"/>
        <v>0</v>
      </c>
      <c r="J32" s="378"/>
      <c r="K32" s="378"/>
      <c r="L32" s="378"/>
      <c r="M32" s="378"/>
      <c r="N32" s="378"/>
      <c r="O32" s="378"/>
      <c r="P32" s="515"/>
      <c r="Q32" s="378"/>
      <c r="R32" s="375"/>
      <c r="S32" s="375"/>
      <c r="Y32" s="498"/>
      <c r="AF32" s="59"/>
      <c r="AG32" s="59"/>
    </row>
    <row r="33" spans="2:52">
      <c r="B33" s="652"/>
      <c r="C33" s="522">
        <v>1080</v>
      </c>
      <c r="D33" s="678"/>
      <c r="E33" s="518" t="s">
        <v>124</v>
      </c>
      <c r="F33" s="519">
        <v>0.09</v>
      </c>
      <c r="G33" s="520">
        <f t="shared" si="4"/>
        <v>0</v>
      </c>
      <c r="H33" s="520">
        <f t="shared" si="5"/>
        <v>379237.83</v>
      </c>
      <c r="I33" s="521">
        <f t="shared" si="6"/>
        <v>-379237.83</v>
      </c>
      <c r="J33" s="378"/>
      <c r="K33" s="378"/>
      <c r="L33" s="378"/>
      <c r="M33" s="378"/>
      <c r="N33" s="378"/>
      <c r="O33" s="378"/>
      <c r="P33" s="515"/>
      <c r="Q33" s="378"/>
      <c r="R33" s="375"/>
      <c r="S33" s="375"/>
      <c r="Y33" s="498"/>
      <c r="AF33" s="59"/>
      <c r="AG33" s="59"/>
      <c r="AI33" s="527">
        <v>379237.83</v>
      </c>
    </row>
    <row r="34" spans="2:52">
      <c r="B34" s="652"/>
      <c r="C34" s="522">
        <v>1080</v>
      </c>
      <c r="D34" s="679"/>
      <c r="E34" s="518" t="s">
        <v>125</v>
      </c>
      <c r="F34" s="519">
        <v>0.06</v>
      </c>
      <c r="G34" s="520">
        <f t="shared" si="4"/>
        <v>0</v>
      </c>
      <c r="H34" s="520">
        <f t="shared" si="5"/>
        <v>475794.07</v>
      </c>
      <c r="I34" s="521">
        <f t="shared" si="6"/>
        <v>-475794.07</v>
      </c>
      <c r="J34" s="378"/>
      <c r="K34" s="378"/>
      <c r="L34" s="378"/>
      <c r="M34" s="378"/>
      <c r="N34" s="378"/>
      <c r="O34" s="378"/>
      <c r="P34" s="515"/>
      <c r="Q34" s="378"/>
      <c r="R34" s="375"/>
      <c r="S34" s="375"/>
      <c r="Y34" s="498"/>
      <c r="AF34" s="59"/>
      <c r="AG34" s="59"/>
      <c r="AI34" s="527">
        <v>475794.07</v>
      </c>
    </row>
    <row r="35" spans="2:52">
      <c r="B35" s="652" t="s">
        <v>126</v>
      </c>
      <c r="C35" s="516">
        <v>1080</v>
      </c>
      <c r="D35" s="677" t="s">
        <v>137</v>
      </c>
      <c r="E35" s="518" t="s">
        <v>123</v>
      </c>
      <c r="F35" s="519">
        <v>0.13</v>
      </c>
      <c r="G35" s="520">
        <f t="shared" si="4"/>
        <v>218183037.44999999</v>
      </c>
      <c r="H35" s="520">
        <f t="shared" si="5"/>
        <v>207728813.12</v>
      </c>
      <c r="I35" s="521">
        <f t="shared" si="6"/>
        <v>10454224.33</v>
      </c>
      <c r="J35" s="378"/>
      <c r="K35" s="378"/>
      <c r="L35" s="378"/>
      <c r="M35" s="378"/>
      <c r="N35" s="378">
        <v>22944611.219999999</v>
      </c>
      <c r="O35" s="378"/>
      <c r="P35" s="515">
        <v>9632042.6400000006</v>
      </c>
      <c r="Q35" s="378">
        <v>21162439.18</v>
      </c>
      <c r="R35" s="375">
        <v>35911880.469999999</v>
      </c>
      <c r="S35" s="375">
        <v>11414214.68</v>
      </c>
      <c r="T35" s="59">
        <v>10896695.039999999</v>
      </c>
      <c r="V35" s="498">
        <v>106289807.45</v>
      </c>
      <c r="W35" s="498">
        <v>36354351.18</v>
      </c>
      <c r="X35" s="59">
        <v>4407911.8099999996</v>
      </c>
      <c r="Y35" s="59">
        <v>83150388.939999998</v>
      </c>
      <c r="Z35" s="59">
        <v>28100088.82</v>
      </c>
      <c r="AA35" s="59">
        <v>27533528.18</v>
      </c>
      <c r="AE35" s="59">
        <v>4012784.76</v>
      </c>
      <c r="AF35" s="59"/>
      <c r="AG35" s="59"/>
      <c r="AI35" s="527">
        <v>24101106.199999999</v>
      </c>
    </row>
    <row r="36" spans="2:52">
      <c r="B36" s="652"/>
      <c r="C36" s="522">
        <v>1080</v>
      </c>
      <c r="D36" s="678"/>
      <c r="E36" s="518" t="s">
        <v>124</v>
      </c>
      <c r="F36" s="519">
        <v>0.09</v>
      </c>
      <c r="G36" s="520">
        <f t="shared" si="4"/>
        <v>1183315548.3399999</v>
      </c>
      <c r="H36" s="520">
        <f t="shared" si="5"/>
        <v>1097680496.02</v>
      </c>
      <c r="I36" s="521">
        <f t="shared" si="6"/>
        <v>85635052.320000201</v>
      </c>
      <c r="J36" s="378"/>
      <c r="K36" s="378"/>
      <c r="L36" s="378">
        <v>2011104.09</v>
      </c>
      <c r="M36" s="378"/>
      <c r="N36" s="378">
        <v>16149385.24</v>
      </c>
      <c r="O36" s="378"/>
      <c r="P36" s="515">
        <v>24831318.77</v>
      </c>
      <c r="Q36" s="378"/>
      <c r="R36" s="375">
        <v>29735687.109999999</v>
      </c>
      <c r="S36" s="375">
        <v>49099875.030000001</v>
      </c>
      <c r="T36" s="59">
        <v>158685860.58000001</v>
      </c>
      <c r="U36" s="59">
        <v>137614678.90000001</v>
      </c>
      <c r="V36" s="498">
        <v>171895105.94999999</v>
      </c>
      <c r="W36" s="498">
        <v>206770171.53999999</v>
      </c>
      <c r="X36" s="59">
        <v>117305843.02</v>
      </c>
      <c r="Y36" s="59">
        <v>127337229.25</v>
      </c>
      <c r="Z36" s="59">
        <v>75373568.370000005</v>
      </c>
      <c r="AA36" s="59">
        <v>28836196.789999999</v>
      </c>
      <c r="AD36" s="59">
        <v>587327675.21000004</v>
      </c>
      <c r="AE36" s="59">
        <v>144180907.80000001</v>
      </c>
      <c r="AF36" s="59"/>
      <c r="AG36" s="59">
        <v>275229357.80000001</v>
      </c>
      <c r="AI36" s="527">
        <v>128612078.91</v>
      </c>
      <c r="AN36" s="61">
        <v>-91743119.25</v>
      </c>
      <c r="AP36" s="61">
        <v>91743119.25</v>
      </c>
    </row>
    <row r="37" spans="2:52">
      <c r="B37" s="652"/>
      <c r="C37" s="522">
        <v>1080</v>
      </c>
      <c r="D37" s="679"/>
      <c r="E37" s="518" t="s">
        <v>125</v>
      </c>
      <c r="F37" s="519">
        <v>0.06</v>
      </c>
      <c r="G37" s="520">
        <f t="shared" si="4"/>
        <v>20771258.767665301</v>
      </c>
      <c r="H37" s="520">
        <f t="shared" si="5"/>
        <v>22230480.600000001</v>
      </c>
      <c r="I37" s="521">
        <f t="shared" si="6"/>
        <v>-1459221.8323347101</v>
      </c>
      <c r="J37" s="378"/>
      <c r="K37" s="378"/>
      <c r="L37" s="378">
        <v>439078.6</v>
      </c>
      <c r="M37" s="378"/>
      <c r="N37" s="378">
        <v>1226790.19</v>
      </c>
      <c r="O37" s="378"/>
      <c r="P37" s="515">
        <v>-113038.25</v>
      </c>
      <c r="Q37" s="378">
        <v>2831283.82</v>
      </c>
      <c r="R37" s="375">
        <v>60092.57</v>
      </c>
      <c r="S37" s="375">
        <v>60092.57</v>
      </c>
      <c r="T37" s="59">
        <v>472894.22</v>
      </c>
      <c r="U37" s="59">
        <v>60296.37</v>
      </c>
      <c r="V37" s="498">
        <f>7294630.9+91089.15</f>
        <v>7385720.0499999998</v>
      </c>
      <c r="W37" s="498">
        <v>684455.55</v>
      </c>
      <c r="X37" s="498">
        <v>2150705.65</v>
      </c>
      <c r="Y37" s="59">
        <v>7353946.6399999997</v>
      </c>
      <c r="Z37" s="59">
        <v>9149015.73766529</v>
      </c>
      <c r="AA37" s="59">
        <v>2091389.91</v>
      </c>
      <c r="AE37" s="59">
        <v>9149015.7400000002</v>
      </c>
      <c r="AF37" s="59"/>
      <c r="AG37" s="59"/>
    </row>
    <row r="38" spans="2:52">
      <c r="B38" s="652" t="s">
        <v>126</v>
      </c>
      <c r="C38" s="516">
        <v>1080</v>
      </c>
      <c r="D38" s="677" t="s">
        <v>138</v>
      </c>
      <c r="E38" s="518" t="s">
        <v>123</v>
      </c>
      <c r="F38" s="519">
        <v>0.13</v>
      </c>
      <c r="G38" s="520">
        <f t="shared" si="4"/>
        <v>131845843.7</v>
      </c>
      <c r="H38" s="520">
        <f t="shared" si="5"/>
        <v>142300068.03</v>
      </c>
      <c r="I38" s="521">
        <f t="shared" si="6"/>
        <v>-10454224.33</v>
      </c>
      <c r="J38" s="378"/>
      <c r="K38" s="378"/>
      <c r="L38" s="378"/>
      <c r="M38" s="378"/>
      <c r="N38" s="378">
        <v>11498520.92</v>
      </c>
      <c r="O38" s="378"/>
      <c r="P38" s="515">
        <v>7347191.0899999999</v>
      </c>
      <c r="Q38" s="378">
        <v>11498520.92</v>
      </c>
      <c r="R38" s="375">
        <v>6781679.0800000001</v>
      </c>
      <c r="S38" s="375">
        <v>7347191.0899999999</v>
      </c>
      <c r="T38" s="59">
        <v>0.02</v>
      </c>
      <c r="V38" s="498">
        <v>80139398.260000005</v>
      </c>
      <c r="W38" s="498">
        <v>17235903.43</v>
      </c>
      <c r="X38" s="59">
        <v>4038990.73</v>
      </c>
      <c r="Y38" s="59">
        <v>0</v>
      </c>
      <c r="Z38" s="59">
        <v>22040063.600000001</v>
      </c>
      <c r="AA38" s="59">
        <v>84178388.989999995</v>
      </c>
      <c r="AE38" s="59">
        <v>15258590.84</v>
      </c>
      <c r="AF38" s="59"/>
      <c r="AG38" s="59"/>
      <c r="AI38" s="527">
        <v>6781472.7599999998</v>
      </c>
    </row>
    <row r="39" spans="2:52">
      <c r="B39" s="652"/>
      <c r="C39" s="522">
        <v>1080</v>
      </c>
      <c r="D39" s="678"/>
      <c r="E39" s="518" t="s">
        <v>124</v>
      </c>
      <c r="F39" s="519">
        <v>0.09</v>
      </c>
      <c r="G39" s="520">
        <f t="shared" si="4"/>
        <v>457510576.69999999</v>
      </c>
      <c r="H39" s="520">
        <f t="shared" si="5"/>
        <v>459963312.14999998</v>
      </c>
      <c r="I39" s="521">
        <f t="shared" si="6"/>
        <v>-2452735.4499999299</v>
      </c>
      <c r="J39" s="378"/>
      <c r="K39" s="378"/>
      <c r="L39" s="378">
        <v>498586.12</v>
      </c>
      <c r="M39" s="378"/>
      <c r="N39" s="378">
        <v>5439135.9100000001</v>
      </c>
      <c r="O39" s="378"/>
      <c r="P39" s="515">
        <v>15436789.9</v>
      </c>
      <c r="Q39" s="378"/>
      <c r="R39" s="375">
        <v>23070802.629999999</v>
      </c>
      <c r="S39" s="375">
        <v>23827247.379999999</v>
      </c>
      <c r="T39" s="59">
        <v>27932491.84</v>
      </c>
      <c r="V39" s="498">
        <v>33910822.82</v>
      </c>
      <c r="W39" s="498">
        <v>51003294.469999999</v>
      </c>
      <c r="X39" s="59">
        <v>24149722.219999999</v>
      </c>
      <c r="Y39" s="59">
        <v>21902159.039999999</v>
      </c>
      <c r="Z39" s="59">
        <v>25856794.710000001</v>
      </c>
      <c r="AA39" s="59">
        <v>36158386</v>
      </c>
      <c r="AD39" s="59">
        <v>301215430.55000001</v>
      </c>
      <c r="AE39" s="59">
        <v>327072225.25999999</v>
      </c>
      <c r="AF39" s="59"/>
      <c r="AG39" s="59"/>
    </row>
    <row r="40" spans="2:52">
      <c r="B40" s="652"/>
      <c r="C40" s="522">
        <v>1080</v>
      </c>
      <c r="D40" s="679"/>
      <c r="E40" s="518" t="s">
        <v>125</v>
      </c>
      <c r="F40" s="519">
        <v>0.06</v>
      </c>
      <c r="G40" s="520">
        <f t="shared" si="4"/>
        <v>16797952.739999998</v>
      </c>
      <c r="H40" s="520">
        <f t="shared" si="5"/>
        <v>19963111.030000001</v>
      </c>
      <c r="I40" s="521">
        <f t="shared" si="6"/>
        <v>-3165158.29</v>
      </c>
      <c r="J40" s="378"/>
      <c r="K40" s="378"/>
      <c r="L40" s="378">
        <v>404945.11</v>
      </c>
      <c r="M40" s="378"/>
      <c r="N40" s="378">
        <v>887361.61</v>
      </c>
      <c r="O40" s="378"/>
      <c r="P40" s="515">
        <v>-78904.759999999995</v>
      </c>
      <c r="Q40" s="378">
        <v>4197791.72</v>
      </c>
      <c r="R40" s="375">
        <v>60092.57</v>
      </c>
      <c r="S40" s="375">
        <v>60092.57</v>
      </c>
      <c r="T40" s="59">
        <v>652067.30000000005</v>
      </c>
      <c r="U40" s="59">
        <v>60296.37</v>
      </c>
      <c r="V40" s="498">
        <f>5996293.68+91089.15</f>
        <v>6087382.8300000001</v>
      </c>
      <c r="W40" s="498">
        <v>863628.63</v>
      </c>
      <c r="X40" s="498">
        <v>1635477.45</v>
      </c>
      <c r="Y40" s="59">
        <v>59315.74</v>
      </c>
      <c r="Z40" s="59">
        <v>7149530.6299999999</v>
      </c>
      <c r="AA40" s="59">
        <v>7572455.3899999997</v>
      </c>
      <c r="AE40" s="59">
        <v>7149530.6100000003</v>
      </c>
      <c r="AF40" s="59"/>
      <c r="AG40" s="59"/>
    </row>
    <row r="41" spans="2:52">
      <c r="B41" s="652" t="s">
        <v>126</v>
      </c>
      <c r="C41" s="516">
        <v>2316</v>
      </c>
      <c r="D41" s="677" t="s">
        <v>139</v>
      </c>
      <c r="E41" s="518" t="s">
        <v>123</v>
      </c>
      <c r="F41" s="519">
        <v>0.13</v>
      </c>
      <c r="G41" s="520">
        <f t="shared" si="4"/>
        <v>3526106.2</v>
      </c>
      <c r="H41" s="520">
        <f t="shared" si="5"/>
        <v>3526106.2</v>
      </c>
      <c r="I41" s="521">
        <f t="shared" si="6"/>
        <v>0</v>
      </c>
      <c r="J41" s="378"/>
      <c r="K41" s="378"/>
      <c r="L41" s="378"/>
      <c r="M41" s="378"/>
      <c r="N41" s="378"/>
      <c r="O41" s="378"/>
      <c r="P41" s="515"/>
      <c r="Q41" s="378"/>
      <c r="R41" s="375"/>
      <c r="S41" s="375"/>
      <c r="V41" s="498">
        <v>0</v>
      </c>
      <c r="W41" s="498">
        <v>0</v>
      </c>
      <c r="X41" s="59">
        <v>0</v>
      </c>
      <c r="Y41" s="59">
        <v>0</v>
      </c>
      <c r="AD41" s="59">
        <v>3526106.2</v>
      </c>
      <c r="AF41" s="59"/>
      <c r="AG41" s="59"/>
      <c r="AK41" s="61">
        <v>3526106.2</v>
      </c>
    </row>
    <row r="42" spans="2:52">
      <c r="B42" s="652"/>
      <c r="C42" s="522">
        <v>2316</v>
      </c>
      <c r="D42" s="678"/>
      <c r="E42" s="518" t="s">
        <v>124</v>
      </c>
      <c r="F42" s="519">
        <v>0.09</v>
      </c>
      <c r="G42" s="520">
        <f t="shared" si="4"/>
        <v>0</v>
      </c>
      <c r="H42" s="520">
        <f t="shared" si="5"/>
        <v>0</v>
      </c>
      <c r="I42" s="521">
        <f t="shared" si="6"/>
        <v>0</v>
      </c>
      <c r="J42" s="378"/>
      <c r="K42" s="378"/>
      <c r="L42" s="378"/>
      <c r="M42" s="378"/>
      <c r="N42" s="378"/>
      <c r="O42" s="378"/>
      <c r="P42" s="515"/>
      <c r="Q42" s="378"/>
      <c r="R42" s="375"/>
      <c r="S42" s="375"/>
      <c r="V42" s="498">
        <v>0</v>
      </c>
      <c r="W42" s="498">
        <v>0</v>
      </c>
      <c r="X42" s="59">
        <v>0</v>
      </c>
      <c r="Y42" s="59">
        <v>0</v>
      </c>
      <c r="AF42" s="59"/>
      <c r="AG42" s="59"/>
    </row>
    <row r="43" spans="2:52">
      <c r="B43" s="652"/>
      <c r="C43" s="522">
        <v>2316</v>
      </c>
      <c r="D43" s="679"/>
      <c r="E43" s="518" t="s">
        <v>125</v>
      </c>
      <c r="F43" s="519">
        <v>0.06</v>
      </c>
      <c r="G43" s="520">
        <f t="shared" si="4"/>
        <v>3187758.42</v>
      </c>
      <c r="H43" s="520">
        <f t="shared" si="5"/>
        <v>10589330.189999999</v>
      </c>
      <c r="I43" s="521">
        <f t="shared" si="6"/>
        <v>-7401571.7699999996</v>
      </c>
      <c r="J43" s="378"/>
      <c r="K43" s="378"/>
      <c r="L43" s="378">
        <f>-6425985.71+6471185.29</f>
        <v>45199.580000000104</v>
      </c>
      <c r="M43" s="378">
        <v>6439798.5599999996</v>
      </c>
      <c r="N43" s="378">
        <v>54164.39</v>
      </c>
      <c r="O43" s="378"/>
      <c r="P43" s="515">
        <v>832458.31</v>
      </c>
      <c r="Q43" s="378">
        <v>1061137.18</v>
      </c>
      <c r="R43" s="375">
        <v>313557.90999999997</v>
      </c>
      <c r="S43" s="375">
        <v>60092.570000000102</v>
      </c>
      <c r="T43" s="59">
        <v>60296.37</v>
      </c>
      <c r="U43" s="59">
        <v>110522.47</v>
      </c>
      <c r="V43" s="498">
        <f>119624.91+91089.15</f>
        <v>210714.06</v>
      </c>
      <c r="W43" s="498">
        <v>91089.15</v>
      </c>
      <c r="X43" s="498">
        <v>753655.36</v>
      </c>
      <c r="Y43" s="59">
        <v>59315.74</v>
      </c>
      <c r="Z43" s="59">
        <v>45119.28</v>
      </c>
      <c r="AA43" s="59">
        <v>45119.28</v>
      </c>
      <c r="AB43" s="59">
        <v>95097.08</v>
      </c>
      <c r="AC43" s="59">
        <v>95097.08</v>
      </c>
      <c r="AD43" s="59">
        <v>71287.13</v>
      </c>
      <c r="AF43" s="59"/>
      <c r="AG43" s="59">
        <v>1849662.08</v>
      </c>
      <c r="AK43" s="61">
        <v>71287.13</v>
      </c>
      <c r="AP43" s="61">
        <v>284905.65999999997</v>
      </c>
      <c r="AQ43" s="61">
        <v>284905.65999999997</v>
      </c>
      <c r="AR43" s="61">
        <v>201165.05</v>
      </c>
      <c r="AS43" s="59">
        <v>201165.05</v>
      </c>
      <c r="AW43" s="59">
        <v>220138.23999999999</v>
      </c>
      <c r="AZ43" s="61">
        <v>220138.23999999999</v>
      </c>
    </row>
    <row r="44" spans="2:52">
      <c r="B44" s="652" t="s">
        <v>126</v>
      </c>
      <c r="C44" s="516">
        <v>2026</v>
      </c>
      <c r="D44" s="677" t="s">
        <v>140</v>
      </c>
      <c r="E44" s="518" t="s">
        <v>123</v>
      </c>
      <c r="F44" s="519">
        <v>0.13</v>
      </c>
      <c r="G44" s="520">
        <f t="shared" si="4"/>
        <v>0</v>
      </c>
      <c r="H44" s="520">
        <f t="shared" si="5"/>
        <v>31750112.719999999</v>
      </c>
      <c r="I44" s="521">
        <f t="shared" si="6"/>
        <v>-31750112.719999999</v>
      </c>
      <c r="J44" s="378"/>
      <c r="K44" s="378"/>
      <c r="L44" s="378"/>
      <c r="M44" s="378">
        <v>31750112.719999999</v>
      </c>
      <c r="N44" s="378"/>
      <c r="O44" s="378"/>
      <c r="P44" s="515"/>
      <c r="Q44" s="378"/>
      <c r="R44" s="375"/>
      <c r="S44" s="375"/>
      <c r="V44" s="498">
        <v>0</v>
      </c>
      <c r="W44" s="498">
        <v>0</v>
      </c>
      <c r="X44" s="498">
        <v>0</v>
      </c>
      <c r="Y44" s="498">
        <v>0</v>
      </c>
      <c r="AF44" s="59"/>
      <c r="AG44" s="59"/>
    </row>
    <row r="45" spans="2:52">
      <c r="B45" s="652"/>
      <c r="C45" s="522">
        <v>2026</v>
      </c>
      <c r="D45" s="678"/>
      <c r="E45" s="518" t="s">
        <v>124</v>
      </c>
      <c r="F45" s="519">
        <v>0.09</v>
      </c>
      <c r="G45" s="520">
        <f t="shared" si="4"/>
        <v>0</v>
      </c>
      <c r="H45" s="520">
        <f t="shared" si="5"/>
        <v>33171635.899999999</v>
      </c>
      <c r="I45" s="521">
        <f t="shared" si="6"/>
        <v>-33171635.899999999</v>
      </c>
      <c r="J45" s="378"/>
      <c r="K45" s="378"/>
      <c r="L45" s="378"/>
      <c r="M45" s="378">
        <v>33171635.899999999</v>
      </c>
      <c r="N45" s="378"/>
      <c r="O45" s="378"/>
      <c r="P45" s="515"/>
      <c r="Q45" s="378"/>
      <c r="R45" s="375"/>
      <c r="S45" s="375"/>
      <c r="V45" s="498">
        <v>0</v>
      </c>
      <c r="W45" s="498">
        <v>0</v>
      </c>
      <c r="X45" s="498">
        <v>0</v>
      </c>
      <c r="Y45" s="498">
        <v>0</v>
      </c>
      <c r="AF45" s="59"/>
      <c r="AG45" s="59"/>
    </row>
    <row r="46" spans="2:52">
      <c r="B46" s="652"/>
      <c r="C46" s="522">
        <v>2026</v>
      </c>
      <c r="D46" s="679"/>
      <c r="E46" s="518" t="s">
        <v>125</v>
      </c>
      <c r="F46" s="519">
        <v>0.06</v>
      </c>
      <c r="G46" s="520">
        <f t="shared" si="4"/>
        <v>235849.06</v>
      </c>
      <c r="H46" s="520">
        <f t="shared" si="5"/>
        <v>4299686.97</v>
      </c>
      <c r="I46" s="521">
        <f t="shared" si="6"/>
        <v>-4063837.91</v>
      </c>
      <c r="J46" s="378"/>
      <c r="K46" s="378"/>
      <c r="L46" s="378">
        <v>235849.06</v>
      </c>
      <c r="M46" s="378">
        <v>4299686.97</v>
      </c>
      <c r="N46" s="378"/>
      <c r="O46" s="378"/>
      <c r="P46" s="515"/>
      <c r="Q46" s="378"/>
      <c r="R46" s="375"/>
      <c r="S46" s="375"/>
      <c r="V46" s="498">
        <v>0</v>
      </c>
      <c r="W46" s="498">
        <v>0</v>
      </c>
      <c r="X46" s="498">
        <v>0</v>
      </c>
      <c r="Y46" s="498">
        <v>0</v>
      </c>
      <c r="AF46" s="59"/>
      <c r="AG46" s="59"/>
    </row>
    <row r="47" spans="2:52">
      <c r="B47" s="652" t="s">
        <v>126</v>
      </c>
      <c r="C47" s="522">
        <v>3314</v>
      </c>
      <c r="D47" s="677" t="s">
        <v>141</v>
      </c>
      <c r="E47" s="518" t="s">
        <v>123</v>
      </c>
      <c r="F47" s="519">
        <v>0.13</v>
      </c>
      <c r="G47" s="520">
        <f t="shared" si="4"/>
        <v>70891362.969999999</v>
      </c>
      <c r="H47" s="520">
        <f t="shared" si="5"/>
        <v>91744118.650000006</v>
      </c>
      <c r="I47" s="521">
        <f t="shared" si="6"/>
        <v>-20852755.68</v>
      </c>
      <c r="J47" s="378"/>
      <c r="K47" s="378"/>
      <c r="L47" s="378">
        <v>12608407.08</v>
      </c>
      <c r="M47" s="378"/>
      <c r="N47" s="378">
        <v>13606194.68</v>
      </c>
      <c r="O47" s="378"/>
      <c r="P47" s="515">
        <v>13606194.68</v>
      </c>
      <c r="Q47" s="378">
        <v>47067357.439999998</v>
      </c>
      <c r="R47" s="375">
        <v>13661517.470000001</v>
      </c>
      <c r="S47" s="375">
        <v>13606194.68</v>
      </c>
      <c r="T47" s="59">
        <v>6803097.3399999999</v>
      </c>
      <c r="V47" s="498">
        <v>3473441.92</v>
      </c>
      <c r="W47" s="498">
        <v>20464614.809999999</v>
      </c>
      <c r="X47" s="59">
        <v>1224583.22</v>
      </c>
      <c r="Y47" s="59">
        <v>0</v>
      </c>
      <c r="Z47" s="59">
        <v>5907926.5800000001</v>
      </c>
      <c r="AA47" s="59">
        <v>4337007.4400000004</v>
      </c>
      <c r="AF47" s="59"/>
      <c r="AG47" s="59"/>
      <c r="AJ47" s="61">
        <v>0</v>
      </c>
      <c r="AK47" s="61">
        <v>6268944.2800000003</v>
      </c>
    </row>
    <row r="48" spans="2:52">
      <c r="B48" s="652"/>
      <c r="C48" s="522">
        <v>3314</v>
      </c>
      <c r="D48" s="678"/>
      <c r="E48" s="518" t="s">
        <v>124</v>
      </c>
      <c r="F48" s="519">
        <v>0.09</v>
      </c>
      <c r="G48" s="520">
        <f t="shared" si="4"/>
        <v>101048764.38</v>
      </c>
      <c r="H48" s="520">
        <f t="shared" si="5"/>
        <v>159904959.58000001</v>
      </c>
      <c r="I48" s="521">
        <f t="shared" si="6"/>
        <v>-58856195.200000003</v>
      </c>
      <c r="J48" s="378"/>
      <c r="K48" s="378"/>
      <c r="L48" s="378">
        <v>2430176.6800000002</v>
      </c>
      <c r="M48" s="378"/>
      <c r="N48" s="378">
        <v>4192187.14</v>
      </c>
      <c r="O48" s="378"/>
      <c r="P48" s="515">
        <v>2922190.37</v>
      </c>
      <c r="Q48" s="378"/>
      <c r="R48" s="375">
        <v>7321918.8099999996</v>
      </c>
      <c r="S48" s="375">
        <v>68400749.379999995</v>
      </c>
      <c r="T48" s="59">
        <v>4366907.62</v>
      </c>
      <c r="V48" s="498">
        <v>3350080.62</v>
      </c>
      <c r="W48" s="498">
        <v>11688826.43</v>
      </c>
      <c r="X48" s="59">
        <v>3602505.03</v>
      </c>
      <c r="Y48" s="59">
        <v>2521858.56</v>
      </c>
      <c r="Z48" s="59">
        <v>12889061.09</v>
      </c>
      <c r="AA48" s="59">
        <v>4430727.09</v>
      </c>
      <c r="AF48" s="59"/>
      <c r="AG48" s="59"/>
      <c r="AJ48" s="61">
        <v>0</v>
      </c>
      <c r="AK48" s="61">
        <v>12889061.09</v>
      </c>
      <c r="AL48" s="61">
        <v>59973737.030000001</v>
      </c>
      <c r="AM48" s="61">
        <v>59973737.030000001</v>
      </c>
      <c r="AR48" s="61">
        <v>-0.01</v>
      </c>
    </row>
    <row r="49" spans="2:60">
      <c r="B49" s="652"/>
      <c r="C49" s="522">
        <v>3314</v>
      </c>
      <c r="D49" s="679"/>
      <c r="E49" s="518" t="s">
        <v>125</v>
      </c>
      <c r="F49" s="519">
        <v>0.06</v>
      </c>
      <c r="G49" s="520">
        <f t="shared" si="4"/>
        <v>14007095.92</v>
      </c>
      <c r="H49" s="520">
        <f t="shared" si="5"/>
        <v>16122173.18</v>
      </c>
      <c r="I49" s="521">
        <f t="shared" si="6"/>
        <v>-2115077.2599999998</v>
      </c>
      <c r="J49" s="378"/>
      <c r="K49" s="378"/>
      <c r="L49" s="378">
        <v>358897.98</v>
      </c>
      <c r="M49" s="378"/>
      <c r="N49" s="378">
        <v>560269.56999999995</v>
      </c>
      <c r="O49" s="378"/>
      <c r="P49" s="515">
        <v>271800.08</v>
      </c>
      <c r="Q49" s="378">
        <v>2979681.33</v>
      </c>
      <c r="R49" s="375">
        <v>175308.31</v>
      </c>
      <c r="S49" s="375">
        <v>279199.94</v>
      </c>
      <c r="T49" s="59">
        <v>738198.42</v>
      </c>
      <c r="U49" s="59">
        <v>137455.32999999999</v>
      </c>
      <c r="V49" s="498">
        <f>2418745.68+68316.87</f>
        <v>2487062.5499999998</v>
      </c>
      <c r="W49" s="498">
        <f>823215.02+68316.87</f>
        <v>891531.89</v>
      </c>
      <c r="X49" s="498">
        <v>141236.73000000001</v>
      </c>
      <c r="Y49" s="59">
        <v>0</v>
      </c>
      <c r="Z49" s="59">
        <v>9274322.2799999993</v>
      </c>
      <c r="AA49" s="59">
        <v>2559982.41</v>
      </c>
      <c r="AF49" s="59"/>
      <c r="AG49" s="59"/>
      <c r="AJ49" s="61">
        <v>0</v>
      </c>
      <c r="AK49" s="61">
        <v>9274322.2799999993</v>
      </c>
    </row>
    <row r="50" spans="2:60" ht="12" customHeight="1">
      <c r="B50" s="652" t="s">
        <v>126</v>
      </c>
      <c r="C50" s="516">
        <v>2016</v>
      </c>
      <c r="D50" s="680" t="s">
        <v>142</v>
      </c>
      <c r="E50" s="518" t="s">
        <v>123</v>
      </c>
      <c r="F50" s="519">
        <v>0.13</v>
      </c>
      <c r="G50" s="520">
        <f t="shared" si="4"/>
        <v>19584962.539999999</v>
      </c>
      <c r="H50" s="520">
        <f t="shared" si="5"/>
        <v>19584962.539999999</v>
      </c>
      <c r="I50" s="521">
        <f t="shared" si="6"/>
        <v>0</v>
      </c>
      <c r="J50" s="378"/>
      <c r="K50" s="378"/>
      <c r="L50" s="378"/>
      <c r="M50" s="378"/>
      <c r="N50" s="378"/>
      <c r="O50" s="378"/>
      <c r="P50" s="515">
        <v>19584962.539999999</v>
      </c>
      <c r="Q50" s="378"/>
      <c r="R50" s="375">
        <v>0</v>
      </c>
      <c r="S50" s="375">
        <v>19584962.539999999</v>
      </c>
      <c r="V50" s="498">
        <v>0</v>
      </c>
      <c r="W50" s="498">
        <v>0</v>
      </c>
      <c r="X50" s="59">
        <v>0</v>
      </c>
      <c r="Y50" s="59">
        <v>0</v>
      </c>
      <c r="AF50" s="59"/>
      <c r="AG50" s="59"/>
    </row>
    <row r="51" spans="2:60">
      <c r="B51" s="652"/>
      <c r="C51" s="522">
        <v>2016</v>
      </c>
      <c r="D51" s="681"/>
      <c r="E51" s="518" t="s">
        <v>124</v>
      </c>
      <c r="F51" s="519">
        <v>0.09</v>
      </c>
      <c r="G51" s="520">
        <f t="shared" si="4"/>
        <v>3991345.21</v>
      </c>
      <c r="H51" s="520">
        <f t="shared" si="5"/>
        <v>5446187.0599999996</v>
      </c>
      <c r="I51" s="521">
        <f t="shared" si="6"/>
        <v>-1454841.85</v>
      </c>
      <c r="J51" s="378"/>
      <c r="K51" s="378"/>
      <c r="L51" s="378"/>
      <c r="M51" s="378"/>
      <c r="N51" s="378"/>
      <c r="O51" s="378"/>
      <c r="P51" s="515"/>
      <c r="Q51" s="378"/>
      <c r="R51" s="375">
        <v>0</v>
      </c>
      <c r="S51" s="375">
        <v>1454841.86</v>
      </c>
      <c r="V51" s="498">
        <v>0</v>
      </c>
      <c r="W51" s="498">
        <v>0</v>
      </c>
      <c r="X51" s="59">
        <v>0</v>
      </c>
      <c r="Y51" s="59">
        <v>0</v>
      </c>
      <c r="Z51" s="59">
        <v>3991345.2</v>
      </c>
      <c r="AC51" s="59">
        <v>3991345.2</v>
      </c>
      <c r="AF51" s="59"/>
      <c r="AG51" s="59"/>
      <c r="AR51" s="61">
        <v>0.01</v>
      </c>
    </row>
    <row r="52" spans="2:60">
      <c r="B52" s="652"/>
      <c r="C52" s="522">
        <v>2016</v>
      </c>
      <c r="D52" s="682"/>
      <c r="E52" s="518" t="s">
        <v>125</v>
      </c>
      <c r="F52" s="519">
        <v>0.06</v>
      </c>
      <c r="G52" s="520">
        <f t="shared" si="4"/>
        <v>4027205.69</v>
      </c>
      <c r="H52" s="520">
        <f t="shared" si="5"/>
        <v>3314881.85</v>
      </c>
      <c r="I52" s="521">
        <f t="shared" si="6"/>
        <v>712323.84</v>
      </c>
      <c r="J52" s="378"/>
      <c r="K52" s="378"/>
      <c r="L52" s="378">
        <v>20225.689999999999</v>
      </c>
      <c r="M52" s="378"/>
      <c r="N52" s="378">
        <v>89988.01</v>
      </c>
      <c r="O52" s="378"/>
      <c r="P52" s="515">
        <v>18834.8</v>
      </c>
      <c r="Q52" s="378">
        <v>1207772.6200000001</v>
      </c>
      <c r="R52" s="375">
        <v>22534.720000000001</v>
      </c>
      <c r="S52" s="375">
        <v>22534.720000000001</v>
      </c>
      <c r="T52" s="59">
        <v>22611.14</v>
      </c>
      <c r="U52" s="59">
        <v>41445.94</v>
      </c>
      <c r="V52" s="498">
        <f>1880746.37+34158.42</f>
        <v>1914904.79</v>
      </c>
      <c r="W52" s="498">
        <v>34158.42</v>
      </c>
      <c r="X52" s="498">
        <v>22243.4</v>
      </c>
      <c r="Y52" s="59">
        <v>155622.32999999999</v>
      </c>
      <c r="Z52" s="59">
        <v>1853347.82</v>
      </c>
      <c r="AD52" s="59">
        <v>62515.32</v>
      </c>
      <c r="AF52" s="59"/>
      <c r="AG52" s="59"/>
      <c r="AI52" s="527">
        <v>1853347.82</v>
      </c>
    </row>
    <row r="53" spans="2:60">
      <c r="B53" s="652" t="s">
        <v>126</v>
      </c>
      <c r="C53" s="516">
        <v>2016</v>
      </c>
      <c r="D53" s="680" t="s">
        <v>143</v>
      </c>
      <c r="E53" s="518" t="s">
        <v>123</v>
      </c>
      <c r="F53" s="519">
        <v>0.13</v>
      </c>
      <c r="G53" s="520">
        <f t="shared" si="4"/>
        <v>36181724.439999998</v>
      </c>
      <c r="H53" s="520">
        <f t="shared" si="5"/>
        <v>36181724.439999998</v>
      </c>
      <c r="I53" s="521">
        <f t="shared" si="6"/>
        <v>0</v>
      </c>
      <c r="J53" s="378"/>
      <c r="K53" s="378"/>
      <c r="L53" s="378"/>
      <c r="M53" s="378"/>
      <c r="N53" s="378"/>
      <c r="O53" s="378"/>
      <c r="P53" s="515">
        <v>27152203.73</v>
      </c>
      <c r="Q53" s="378"/>
      <c r="R53" s="375">
        <v>176101.34</v>
      </c>
      <c r="S53" s="375">
        <v>27152203.73</v>
      </c>
      <c r="V53" s="498">
        <v>3723883.97</v>
      </c>
      <c r="W53" s="498">
        <v>0</v>
      </c>
      <c r="X53" s="59">
        <v>0</v>
      </c>
      <c r="Y53" s="59">
        <v>3899985.31</v>
      </c>
      <c r="Z53" s="59">
        <v>5129535.4000000004</v>
      </c>
      <c r="AF53" s="59"/>
      <c r="AG53" s="59"/>
      <c r="AI53" s="527">
        <v>5129535.4000000004</v>
      </c>
    </row>
    <row r="54" spans="2:60">
      <c r="B54" s="652"/>
      <c r="C54" s="522">
        <v>2016</v>
      </c>
      <c r="D54" s="681"/>
      <c r="E54" s="518" t="s">
        <v>124</v>
      </c>
      <c r="F54" s="519">
        <v>0.09</v>
      </c>
      <c r="G54" s="520">
        <f t="shared" si="4"/>
        <v>208328832.16</v>
      </c>
      <c r="H54" s="520">
        <f t="shared" si="5"/>
        <v>213150867.81</v>
      </c>
      <c r="I54" s="521">
        <f t="shared" si="6"/>
        <v>-4822035.6500000097</v>
      </c>
      <c r="J54" s="378"/>
      <c r="K54" s="378"/>
      <c r="L54" s="378">
        <v>507798.16</v>
      </c>
      <c r="M54" s="378"/>
      <c r="N54" s="378">
        <v>1269495.3999999999</v>
      </c>
      <c r="O54" s="378"/>
      <c r="P54" s="515">
        <v>1360228.16</v>
      </c>
      <c r="Q54" s="378"/>
      <c r="R54" s="375">
        <v>0</v>
      </c>
      <c r="S54" s="375">
        <v>7959557.3700000001</v>
      </c>
      <c r="T54" s="59">
        <v>1973247.25</v>
      </c>
      <c r="V54" s="498">
        <v>305907.77</v>
      </c>
      <c r="W54" s="498">
        <v>0</v>
      </c>
      <c r="X54" s="59">
        <v>7646759.4000000004</v>
      </c>
      <c r="Y54" s="59">
        <v>2279155.02</v>
      </c>
      <c r="Z54" s="59">
        <v>50766701.600000001</v>
      </c>
      <c r="AC54" s="59">
        <v>11936901.050000001</v>
      </c>
      <c r="AF54" s="59"/>
      <c r="AG54" s="59"/>
      <c r="AI54" s="527">
        <v>46476559.950000003</v>
      </c>
      <c r="AR54" s="61">
        <v>73394495.420000002</v>
      </c>
      <c r="AS54" s="59">
        <v>73394495.420000002</v>
      </c>
      <c r="AU54" s="59">
        <v>71104199</v>
      </c>
      <c r="AX54" s="59">
        <v>71104199</v>
      </c>
    </row>
    <row r="55" spans="2:60">
      <c r="B55" s="652"/>
      <c r="C55" s="522">
        <v>2016</v>
      </c>
      <c r="D55" s="682"/>
      <c r="E55" s="518" t="s">
        <v>125</v>
      </c>
      <c r="F55" s="519">
        <v>0.06</v>
      </c>
      <c r="G55" s="520">
        <f t="shared" si="4"/>
        <v>15348124.77</v>
      </c>
      <c r="H55" s="520">
        <f t="shared" si="5"/>
        <v>17209687.309999999</v>
      </c>
      <c r="I55" s="521">
        <f t="shared" si="6"/>
        <v>-1861562.54</v>
      </c>
      <c r="J55" s="378"/>
      <c r="K55" s="378"/>
      <c r="L55" s="378">
        <v>20225.689999999999</v>
      </c>
      <c r="M55" s="378"/>
      <c r="N55" s="378">
        <v>908379.56</v>
      </c>
      <c r="O55" s="378"/>
      <c r="P55" s="515">
        <v>650679.63</v>
      </c>
      <c r="Q55" s="378">
        <v>980285.04</v>
      </c>
      <c r="R55" s="375">
        <v>2821931.8</v>
      </c>
      <c r="S55" s="375">
        <v>654379.55000000005</v>
      </c>
      <c r="T55" s="59">
        <v>731886.98</v>
      </c>
      <c r="U55" s="59">
        <v>41445.94</v>
      </c>
      <c r="V55" s="498">
        <f>1959365.19+34158.42</f>
        <v>1993523.61</v>
      </c>
      <c r="W55" s="498">
        <v>34158.42</v>
      </c>
      <c r="X55" s="498">
        <v>1011104.67</v>
      </c>
      <c r="Y55" s="59">
        <v>7237648.9500000002</v>
      </c>
      <c r="Z55" s="59">
        <v>6674545.1699999999</v>
      </c>
      <c r="AB55" s="59">
        <v>900636.97</v>
      </c>
      <c r="AF55" s="59"/>
      <c r="AG55" s="59"/>
      <c r="AI55" s="527">
        <v>8626558.7300000004</v>
      </c>
      <c r="AL55" s="61">
        <v>221438.68</v>
      </c>
      <c r="AR55" s="61">
        <v>0.01</v>
      </c>
      <c r="AS55" s="59">
        <v>221438.68</v>
      </c>
      <c r="AU55" s="59">
        <v>-586228</v>
      </c>
      <c r="AX55" s="59">
        <v>-586228</v>
      </c>
    </row>
    <row r="56" spans="2:60">
      <c r="B56" s="652" t="s">
        <v>126</v>
      </c>
      <c r="C56" s="522">
        <v>4470</v>
      </c>
      <c r="D56" s="680" t="s">
        <v>144</v>
      </c>
      <c r="E56" s="518" t="s">
        <v>123</v>
      </c>
      <c r="F56" s="519">
        <v>0.13</v>
      </c>
      <c r="G56" s="520">
        <f t="shared" si="4"/>
        <v>156326606.91999999</v>
      </c>
      <c r="H56" s="520">
        <f t="shared" si="5"/>
        <v>62114591.210000001</v>
      </c>
      <c r="I56" s="521">
        <f t="shared" si="6"/>
        <v>94212015.709999993</v>
      </c>
      <c r="J56" s="378"/>
      <c r="K56" s="378"/>
      <c r="L56" s="378">
        <v>12953097.34</v>
      </c>
      <c r="M56" s="378"/>
      <c r="N56" s="378">
        <v>7559164.5700000003</v>
      </c>
      <c r="O56" s="378"/>
      <c r="P56" s="515">
        <v>3793850.66</v>
      </c>
      <c r="Q56" s="378"/>
      <c r="R56" s="375"/>
      <c r="S56" s="375"/>
      <c r="T56" s="59">
        <v>55278599.990000002</v>
      </c>
      <c r="V56" s="498">
        <v>52916258.979999997</v>
      </c>
      <c r="W56" s="498">
        <v>9840417.2100000009</v>
      </c>
      <c r="X56" s="59">
        <v>10795169.41</v>
      </c>
      <c r="Y56" s="59">
        <v>0</v>
      </c>
      <c r="AA56" s="59">
        <v>-54847.11</v>
      </c>
      <c r="AB56" s="59">
        <v>114480.68</v>
      </c>
      <c r="AC56" s="59">
        <v>-79871.12</v>
      </c>
      <c r="AD56" s="59">
        <v>16916191.199999999</v>
      </c>
      <c r="AE56" s="59">
        <v>50514064.159999996</v>
      </c>
      <c r="AF56" s="59">
        <v>12535.93</v>
      </c>
      <c r="AG56" s="59"/>
      <c r="AL56" s="61">
        <v>1882292.14</v>
      </c>
      <c r="AN56" s="61">
        <v>13869886.369999999</v>
      </c>
      <c r="AP56" s="61">
        <v>3314574.24</v>
      </c>
      <c r="AQ56" s="61">
        <v>1894828.07</v>
      </c>
      <c r="AW56" s="59">
        <v>-103706.42</v>
      </c>
      <c r="BC56" s="61">
        <v>-20924240.530000001</v>
      </c>
      <c r="BG56" s="61">
        <v>-2051547.64</v>
      </c>
    </row>
    <row r="57" spans="2:60">
      <c r="B57" s="652"/>
      <c r="C57" s="522">
        <v>4470</v>
      </c>
      <c r="D57" s="681"/>
      <c r="E57" s="518" t="s">
        <v>124</v>
      </c>
      <c r="F57" s="519">
        <v>0.09</v>
      </c>
      <c r="G57" s="520">
        <f t="shared" si="4"/>
        <v>126910296.03</v>
      </c>
      <c r="H57" s="520">
        <f t="shared" si="5"/>
        <v>124466010.98999999</v>
      </c>
      <c r="I57" s="521">
        <f t="shared" si="6"/>
        <v>2444285.0400000098</v>
      </c>
      <c r="J57" s="378"/>
      <c r="K57" s="378"/>
      <c r="L57" s="378"/>
      <c r="M57" s="378"/>
      <c r="N57" s="378">
        <v>12131405.800000001</v>
      </c>
      <c r="O57" s="378"/>
      <c r="P57" s="515">
        <v>32038295.550000001</v>
      </c>
      <c r="Q57" s="378">
        <v>49098164.920000002</v>
      </c>
      <c r="R57" s="375"/>
      <c r="S57" s="375"/>
      <c r="T57" s="59">
        <v>23227907.329999998</v>
      </c>
      <c r="V57" s="498">
        <v>28676173.82</v>
      </c>
      <c r="W57" s="498">
        <v>32191614.600000001</v>
      </c>
      <c r="X57" s="59">
        <v>16473081.4</v>
      </c>
      <c r="Y57" s="59">
        <v>16473081.4</v>
      </c>
      <c r="Z57" s="59">
        <v>12571169.35</v>
      </c>
      <c r="AA57" s="59">
        <v>12571169.35</v>
      </c>
      <c r="AD57" s="59">
        <v>7925458.3499999996</v>
      </c>
      <c r="AE57" s="59">
        <v>7925458.3499999996</v>
      </c>
      <c r="AF57" s="59">
        <f>2781089.72+401414.45</f>
        <v>3182504.17</v>
      </c>
      <c r="AG57" s="59"/>
      <c r="AL57" s="61">
        <v>62534.400000000001</v>
      </c>
      <c r="AN57" s="61">
        <v>288592.24</v>
      </c>
      <c r="AP57" s="61">
        <v>3479357.8</v>
      </c>
      <c r="AQ57" s="61">
        <v>6206522.3700000001</v>
      </c>
      <c r="AW57" s="59">
        <v>-220368.17</v>
      </c>
      <c r="BC57" s="61">
        <v>-18201527.859999999</v>
      </c>
      <c r="BG57" s="61">
        <v>5275711.8499999996</v>
      </c>
    </row>
    <row r="58" spans="2:60">
      <c r="B58" s="652"/>
      <c r="C58" s="522">
        <v>4470</v>
      </c>
      <c r="D58" s="682"/>
      <c r="E58" s="518" t="s">
        <v>125</v>
      </c>
      <c r="F58" s="519">
        <v>0.06</v>
      </c>
      <c r="G58" s="520">
        <f t="shared" si="4"/>
        <v>31903820.899999999</v>
      </c>
      <c r="H58" s="520">
        <f t="shared" si="5"/>
        <v>52059488.520000003</v>
      </c>
      <c r="I58" s="521">
        <f t="shared" si="6"/>
        <v>-20155667.620000001</v>
      </c>
      <c r="J58" s="378"/>
      <c r="K58" s="378"/>
      <c r="L58" s="378">
        <f>53935.17+6741.9</f>
        <v>60677.07</v>
      </c>
      <c r="M58" s="378"/>
      <c r="N58" s="378">
        <f>126783.7+6770.55</f>
        <v>133554.25</v>
      </c>
      <c r="O58" s="378"/>
      <c r="P58" s="515">
        <f>605292.35+6278.27</f>
        <v>611570.62</v>
      </c>
      <c r="Q58" s="378"/>
      <c r="R58" s="375"/>
      <c r="S58" s="375"/>
      <c r="U58" s="59">
        <v>41285582.060000002</v>
      </c>
      <c r="V58" s="498">
        <v>91089.15</v>
      </c>
      <c r="W58" s="498">
        <v>91089.15</v>
      </c>
      <c r="X58" s="498">
        <v>602950.62</v>
      </c>
      <c r="Y58" s="59">
        <v>757667.6</v>
      </c>
      <c r="Z58" s="59">
        <v>251408.63</v>
      </c>
      <c r="AA58" s="59">
        <v>251408.63</v>
      </c>
      <c r="AC58" s="59">
        <v>11887.15</v>
      </c>
      <c r="AD58" s="59">
        <v>1892980.13</v>
      </c>
      <c r="AE58" s="59">
        <v>8434196.75</v>
      </c>
      <c r="AF58" s="59">
        <v>227323.24</v>
      </c>
      <c r="AG58" s="59"/>
      <c r="AL58" s="61">
        <v>3587500</v>
      </c>
      <c r="AN58" s="61">
        <v>594201.85</v>
      </c>
      <c r="AQ58" s="61">
        <v>1227657.18</v>
      </c>
      <c r="AW58" s="59">
        <v>1366564.17</v>
      </c>
      <c r="BC58" s="61">
        <v>-351429.1</v>
      </c>
      <c r="BG58" s="61">
        <v>22835430.27</v>
      </c>
    </row>
    <row r="59" spans="2:60">
      <c r="B59" s="652"/>
      <c r="C59" s="667" t="s">
        <v>145</v>
      </c>
      <c r="D59" s="680" t="s">
        <v>144</v>
      </c>
      <c r="E59" s="518" t="s">
        <v>123</v>
      </c>
      <c r="F59" s="519">
        <v>0.13</v>
      </c>
      <c r="G59" s="520">
        <f t="shared" si="4"/>
        <v>0</v>
      </c>
      <c r="H59" s="520">
        <f t="shared" si="5"/>
        <v>2451327.4500000002</v>
      </c>
      <c r="I59" s="521"/>
      <c r="J59" s="378"/>
      <c r="K59" s="378"/>
      <c r="L59" s="378"/>
      <c r="M59" s="378"/>
      <c r="N59" s="378"/>
      <c r="O59" s="378"/>
      <c r="P59" s="515"/>
      <c r="Q59" s="378"/>
      <c r="R59" s="375"/>
      <c r="S59" s="375"/>
      <c r="AF59" s="59"/>
      <c r="AG59" s="59"/>
      <c r="BH59" s="61">
        <v>2451327.4500000002</v>
      </c>
    </row>
    <row r="60" spans="2:60">
      <c r="B60" s="652"/>
      <c r="C60" s="668"/>
      <c r="D60" s="681"/>
      <c r="E60" s="518" t="s">
        <v>124</v>
      </c>
      <c r="F60" s="519">
        <v>0.09</v>
      </c>
      <c r="G60" s="520">
        <f t="shared" si="4"/>
        <v>0</v>
      </c>
      <c r="H60" s="520">
        <f t="shared" si="5"/>
        <v>0</v>
      </c>
      <c r="I60" s="521"/>
      <c r="J60" s="378"/>
      <c r="K60" s="378"/>
      <c r="L60" s="378"/>
      <c r="M60" s="378"/>
      <c r="N60" s="378"/>
      <c r="O60" s="378"/>
      <c r="P60" s="515"/>
      <c r="Q60" s="378"/>
      <c r="R60" s="375"/>
      <c r="S60" s="375"/>
      <c r="AF60" s="59"/>
      <c r="AG60" s="59"/>
    </row>
    <row r="61" spans="2:60">
      <c r="B61" s="652"/>
      <c r="C61" s="669"/>
      <c r="D61" s="682"/>
      <c r="E61" s="518" t="s">
        <v>125</v>
      </c>
      <c r="F61" s="519">
        <v>0.06</v>
      </c>
      <c r="G61" s="520">
        <f t="shared" si="4"/>
        <v>0</v>
      </c>
      <c r="H61" s="520">
        <f t="shared" si="5"/>
        <v>0</v>
      </c>
      <c r="I61" s="521"/>
      <c r="J61" s="378"/>
      <c r="K61" s="378"/>
      <c r="L61" s="378"/>
      <c r="M61" s="378"/>
      <c r="N61" s="378"/>
      <c r="O61" s="378"/>
      <c r="P61" s="515"/>
      <c r="Q61" s="378"/>
      <c r="R61" s="375"/>
      <c r="S61" s="375"/>
      <c r="AF61" s="59"/>
      <c r="AG61" s="59"/>
    </row>
    <row r="62" spans="2:60">
      <c r="B62" s="652"/>
      <c r="C62" s="667" t="s">
        <v>146</v>
      </c>
      <c r="D62" s="680" t="s">
        <v>144</v>
      </c>
      <c r="E62" s="518" t="s">
        <v>123</v>
      </c>
      <c r="F62" s="519">
        <v>0.13</v>
      </c>
      <c r="G62" s="520">
        <f t="shared" si="4"/>
        <v>0</v>
      </c>
      <c r="H62" s="520">
        <f t="shared" si="5"/>
        <v>361770.42</v>
      </c>
      <c r="I62" s="521"/>
      <c r="J62" s="378"/>
      <c r="K62" s="378"/>
      <c r="L62" s="378"/>
      <c r="M62" s="378"/>
      <c r="N62" s="378"/>
      <c r="O62" s="378"/>
      <c r="P62" s="515"/>
      <c r="Q62" s="378"/>
      <c r="R62" s="375"/>
      <c r="S62" s="375"/>
      <c r="AF62" s="59"/>
      <c r="AG62" s="59"/>
      <c r="BH62" s="61">
        <v>361770.42</v>
      </c>
    </row>
    <row r="63" spans="2:60">
      <c r="B63" s="652"/>
      <c r="C63" s="670"/>
      <c r="D63" s="681"/>
      <c r="E63" s="518" t="s">
        <v>124</v>
      </c>
      <c r="F63" s="519">
        <v>0.09</v>
      </c>
      <c r="G63" s="520">
        <f t="shared" si="4"/>
        <v>0</v>
      </c>
      <c r="H63" s="520">
        <f t="shared" si="5"/>
        <v>0</v>
      </c>
      <c r="I63" s="521"/>
      <c r="J63" s="378"/>
      <c r="K63" s="378"/>
      <c r="L63" s="378"/>
      <c r="M63" s="378"/>
      <c r="N63" s="378"/>
      <c r="O63" s="378"/>
      <c r="P63" s="515"/>
      <c r="Q63" s="378"/>
      <c r="R63" s="375"/>
      <c r="S63" s="375"/>
      <c r="AF63" s="59"/>
      <c r="AG63" s="59"/>
    </row>
    <row r="64" spans="2:60">
      <c r="B64" s="652"/>
      <c r="C64" s="671"/>
      <c r="D64" s="682"/>
      <c r="E64" s="518" t="s">
        <v>125</v>
      </c>
      <c r="F64" s="519">
        <v>0.06</v>
      </c>
      <c r="G64" s="520">
        <f t="shared" si="4"/>
        <v>0</v>
      </c>
      <c r="H64" s="520">
        <f t="shared" si="5"/>
        <v>0</v>
      </c>
      <c r="I64" s="521"/>
      <c r="J64" s="378"/>
      <c r="K64" s="378"/>
      <c r="L64" s="378"/>
      <c r="M64" s="378"/>
      <c r="N64" s="378"/>
      <c r="O64" s="378"/>
      <c r="P64" s="515"/>
      <c r="Q64" s="378"/>
      <c r="R64" s="375"/>
      <c r="S64" s="375"/>
      <c r="AF64" s="59"/>
      <c r="AG64" s="59"/>
    </row>
    <row r="65" spans="2:59">
      <c r="B65" s="652" t="s">
        <v>126</v>
      </c>
      <c r="C65" s="516" t="s">
        <v>147</v>
      </c>
      <c r="D65" s="680" t="s">
        <v>148</v>
      </c>
      <c r="E65" s="518" t="s">
        <v>123</v>
      </c>
      <c r="F65" s="519">
        <v>0.13</v>
      </c>
      <c r="G65" s="520">
        <f t="shared" si="4"/>
        <v>0</v>
      </c>
      <c r="H65" s="520">
        <f t="shared" si="5"/>
        <v>0</v>
      </c>
      <c r="I65" s="521">
        <f t="shared" ref="I65:I88" si="7">G65-H65</f>
        <v>0</v>
      </c>
      <c r="J65" s="378"/>
      <c r="K65" s="378"/>
      <c r="L65" s="378"/>
      <c r="M65" s="378"/>
      <c r="N65" s="378"/>
      <c r="O65" s="378"/>
      <c r="P65" s="515"/>
      <c r="Q65" s="378"/>
      <c r="R65" s="375"/>
      <c r="S65" s="375"/>
      <c r="V65" s="498">
        <v>0</v>
      </c>
      <c r="W65" s="498">
        <v>0</v>
      </c>
      <c r="X65" s="498">
        <v>0</v>
      </c>
      <c r="Y65" s="498">
        <v>0</v>
      </c>
      <c r="AF65" s="59"/>
      <c r="AG65" s="59"/>
    </row>
    <row r="66" spans="2:59">
      <c r="B66" s="652"/>
      <c r="C66" s="522" t="s">
        <v>147</v>
      </c>
      <c r="D66" s="681"/>
      <c r="E66" s="518" t="s">
        <v>124</v>
      </c>
      <c r="F66" s="519">
        <v>0.09</v>
      </c>
      <c r="G66" s="520">
        <f t="shared" si="4"/>
        <v>0</v>
      </c>
      <c r="H66" s="520">
        <f t="shared" si="5"/>
        <v>0</v>
      </c>
      <c r="I66" s="521">
        <f t="shared" si="7"/>
        <v>0</v>
      </c>
      <c r="J66" s="378"/>
      <c r="K66" s="378"/>
      <c r="L66" s="378"/>
      <c r="M66" s="378"/>
      <c r="N66" s="378"/>
      <c r="O66" s="378"/>
      <c r="P66" s="515"/>
      <c r="Q66" s="378"/>
      <c r="R66" s="375"/>
      <c r="S66" s="375"/>
      <c r="V66" s="498">
        <v>0</v>
      </c>
      <c r="W66" s="498">
        <v>0</v>
      </c>
      <c r="X66" s="498">
        <v>0</v>
      </c>
      <c r="Y66" s="498">
        <v>0</v>
      </c>
      <c r="AF66" s="59"/>
      <c r="AG66" s="59"/>
    </row>
    <row r="67" spans="2:59">
      <c r="B67" s="652"/>
      <c r="C67" s="522" t="s">
        <v>147</v>
      </c>
      <c r="D67" s="682"/>
      <c r="E67" s="518" t="s">
        <v>125</v>
      </c>
      <c r="F67" s="519">
        <v>0.06</v>
      </c>
      <c r="G67" s="520">
        <f t="shared" si="4"/>
        <v>60072</v>
      </c>
      <c r="H67" s="520">
        <f t="shared" si="5"/>
        <v>813027.61</v>
      </c>
      <c r="I67" s="521">
        <f t="shared" si="7"/>
        <v>-752955.61</v>
      </c>
      <c r="J67" s="378"/>
      <c r="K67" s="378"/>
      <c r="L67" s="378">
        <v>7219.88</v>
      </c>
      <c r="M67" s="378"/>
      <c r="N67" s="378">
        <v>7220.06</v>
      </c>
      <c r="O67" s="378"/>
      <c r="P67" s="515">
        <v>7307.29</v>
      </c>
      <c r="Q67" s="378"/>
      <c r="R67" s="375">
        <v>7319.78</v>
      </c>
      <c r="S67" s="375">
        <v>7319.78</v>
      </c>
      <c r="T67" s="59">
        <v>11645.92</v>
      </c>
      <c r="U67" s="59">
        <v>805707.83</v>
      </c>
      <c r="V67" s="498">
        <v>0</v>
      </c>
      <c r="W67" s="498">
        <v>0</v>
      </c>
      <c r="X67" s="498">
        <v>0</v>
      </c>
      <c r="Y67" s="498">
        <v>0</v>
      </c>
      <c r="AF67" s="59"/>
      <c r="AG67" s="59"/>
      <c r="AR67" s="61">
        <v>19359.07</v>
      </c>
    </row>
    <row r="68" spans="2:59">
      <c r="B68" s="652" t="s">
        <v>126</v>
      </c>
      <c r="C68" s="516">
        <v>3318</v>
      </c>
      <c r="D68" s="680" t="s">
        <v>149</v>
      </c>
      <c r="E68" s="518" t="s">
        <v>123</v>
      </c>
      <c r="F68" s="519">
        <v>0.13</v>
      </c>
      <c r="G68" s="520">
        <f t="shared" si="4"/>
        <v>0</v>
      </c>
      <c r="H68" s="520">
        <f t="shared" si="5"/>
        <v>0</v>
      </c>
      <c r="I68" s="521">
        <f t="shared" si="7"/>
        <v>0</v>
      </c>
      <c r="J68" s="378"/>
      <c r="K68" s="378"/>
      <c r="L68" s="378"/>
      <c r="M68" s="378"/>
      <c r="N68" s="378"/>
      <c r="O68" s="378"/>
      <c r="P68" s="515"/>
      <c r="Q68" s="378"/>
      <c r="R68" s="375"/>
      <c r="S68" s="375"/>
      <c r="V68" s="498">
        <v>0</v>
      </c>
      <c r="W68" s="498">
        <v>0</v>
      </c>
      <c r="X68" s="498">
        <v>0</v>
      </c>
      <c r="Y68" s="498">
        <v>0</v>
      </c>
      <c r="AF68" s="59"/>
      <c r="AG68" s="59"/>
    </row>
    <row r="69" spans="2:59">
      <c r="B69" s="652"/>
      <c r="C69" s="522">
        <v>3318</v>
      </c>
      <c r="D69" s="681"/>
      <c r="E69" s="518" t="s">
        <v>124</v>
      </c>
      <c r="F69" s="519">
        <v>0.09</v>
      </c>
      <c r="G69" s="520">
        <f t="shared" si="4"/>
        <v>0</v>
      </c>
      <c r="H69" s="520">
        <f t="shared" si="5"/>
        <v>0</v>
      </c>
      <c r="I69" s="521">
        <f t="shared" si="7"/>
        <v>0</v>
      </c>
      <c r="J69" s="378"/>
      <c r="K69" s="378"/>
      <c r="L69" s="378"/>
      <c r="M69" s="378"/>
      <c r="N69" s="378"/>
      <c r="O69" s="378"/>
      <c r="P69" s="515"/>
      <c r="Q69" s="378"/>
      <c r="R69" s="375"/>
      <c r="S69" s="375"/>
      <c r="V69" s="498">
        <v>0</v>
      </c>
      <c r="W69" s="498">
        <v>0</v>
      </c>
      <c r="X69" s="498">
        <v>0</v>
      </c>
      <c r="Y69" s="498">
        <v>0</v>
      </c>
      <c r="AF69" s="59"/>
      <c r="AG69" s="59"/>
    </row>
    <row r="70" spans="2:59">
      <c r="B70" s="652"/>
      <c r="C70" s="522">
        <v>3318</v>
      </c>
      <c r="D70" s="682"/>
      <c r="E70" s="518" t="s">
        <v>125</v>
      </c>
      <c r="F70" s="519">
        <v>0.06</v>
      </c>
      <c r="G70" s="520">
        <f t="shared" si="4"/>
        <v>1132075.47</v>
      </c>
      <c r="H70" s="520">
        <f t="shared" si="5"/>
        <v>1132075.47</v>
      </c>
      <c r="I70" s="521">
        <f t="shared" si="7"/>
        <v>0</v>
      </c>
      <c r="J70" s="378"/>
      <c r="K70" s="378"/>
      <c r="L70" s="378">
        <v>1132075.47</v>
      </c>
      <c r="M70" s="378">
        <v>1132075.47</v>
      </c>
      <c r="N70" s="378"/>
      <c r="O70" s="378"/>
      <c r="P70" s="515"/>
      <c r="Q70" s="378"/>
      <c r="R70" s="375"/>
      <c r="S70" s="375"/>
      <c r="V70" s="498">
        <v>0</v>
      </c>
      <c r="W70" s="498">
        <v>0</v>
      </c>
      <c r="X70" s="498">
        <v>0</v>
      </c>
      <c r="Y70" s="498">
        <v>0</v>
      </c>
      <c r="AF70" s="59"/>
      <c r="AG70" s="59"/>
    </row>
    <row r="71" spans="2:59">
      <c r="B71" s="652" t="s">
        <v>126</v>
      </c>
      <c r="C71" s="516">
        <v>3350</v>
      </c>
      <c r="D71" s="680" t="s">
        <v>150</v>
      </c>
      <c r="E71" s="518" t="s">
        <v>123</v>
      </c>
      <c r="F71" s="519">
        <v>0.13</v>
      </c>
      <c r="G71" s="520">
        <f t="shared" si="4"/>
        <v>0</v>
      </c>
      <c r="H71" s="520">
        <f t="shared" si="5"/>
        <v>0</v>
      </c>
      <c r="I71" s="521">
        <f t="shared" si="7"/>
        <v>0</v>
      </c>
      <c r="J71" s="378"/>
      <c r="K71" s="378"/>
      <c r="L71" s="378"/>
      <c r="M71" s="378"/>
      <c r="N71" s="378"/>
      <c r="O71" s="378"/>
      <c r="P71" s="515"/>
      <c r="Q71" s="378"/>
      <c r="R71" s="375"/>
      <c r="S71" s="375"/>
      <c r="V71" s="498">
        <v>0</v>
      </c>
      <c r="W71" s="498">
        <v>0</v>
      </c>
      <c r="X71" s="498">
        <v>0</v>
      </c>
      <c r="Y71" s="498">
        <v>0</v>
      </c>
      <c r="AF71" s="59"/>
      <c r="AG71" s="59"/>
    </row>
    <row r="72" spans="2:59">
      <c r="B72" s="652"/>
      <c r="C72" s="522">
        <v>3350</v>
      </c>
      <c r="D72" s="681"/>
      <c r="E72" s="518" t="s">
        <v>124</v>
      </c>
      <c r="F72" s="519">
        <v>0.09</v>
      </c>
      <c r="G72" s="520">
        <f t="shared" si="4"/>
        <v>0</v>
      </c>
      <c r="H72" s="520">
        <f t="shared" si="5"/>
        <v>479041.85</v>
      </c>
      <c r="I72" s="521">
        <f t="shared" si="7"/>
        <v>-479041.85</v>
      </c>
      <c r="J72" s="378"/>
      <c r="K72" s="378"/>
      <c r="L72" s="378"/>
      <c r="M72" s="378"/>
      <c r="N72" s="378"/>
      <c r="O72" s="378"/>
      <c r="P72" s="515"/>
      <c r="Q72" s="378">
        <v>258731.46</v>
      </c>
      <c r="R72" s="375"/>
      <c r="S72" s="375"/>
      <c r="V72" s="498">
        <v>0</v>
      </c>
      <c r="W72" s="498">
        <v>0</v>
      </c>
      <c r="X72" s="498">
        <v>0</v>
      </c>
      <c r="Y72" s="498">
        <v>0</v>
      </c>
      <c r="AE72" s="59">
        <v>-258731.46</v>
      </c>
      <c r="AF72" s="59"/>
      <c r="AG72" s="59"/>
      <c r="AM72" s="61">
        <v>479041.85</v>
      </c>
    </row>
    <row r="73" spans="2:59">
      <c r="B73" s="652"/>
      <c r="C73" s="529">
        <v>3350</v>
      </c>
      <c r="D73" s="682"/>
      <c r="E73" s="518" t="s">
        <v>125</v>
      </c>
      <c r="F73" s="519">
        <v>0.06</v>
      </c>
      <c r="G73" s="520">
        <f t="shared" si="4"/>
        <v>0</v>
      </c>
      <c r="H73" s="520">
        <f t="shared" si="5"/>
        <v>0</v>
      </c>
      <c r="I73" s="521">
        <f t="shared" si="7"/>
        <v>0</v>
      </c>
      <c r="J73" s="378"/>
      <c r="K73" s="378"/>
      <c r="L73" s="378"/>
      <c r="M73" s="378"/>
      <c r="N73" s="378"/>
      <c r="O73" s="378"/>
      <c r="P73" s="515"/>
      <c r="Q73" s="378"/>
      <c r="R73" s="375">
        <v>191067.96</v>
      </c>
      <c r="S73" s="375">
        <v>0</v>
      </c>
      <c r="V73" s="498">
        <v>0</v>
      </c>
      <c r="W73" s="498">
        <v>0</v>
      </c>
      <c r="X73" s="498">
        <v>0</v>
      </c>
      <c r="Y73" s="498">
        <v>0</v>
      </c>
      <c r="AF73" s="59"/>
      <c r="AG73" s="59"/>
      <c r="BC73" s="61">
        <v>-191067.96</v>
      </c>
    </row>
    <row r="74" spans="2:59">
      <c r="B74" s="652" t="s">
        <v>126</v>
      </c>
      <c r="C74" s="516">
        <v>4470</v>
      </c>
      <c r="D74" s="680" t="s">
        <v>151</v>
      </c>
      <c r="E74" s="518" t="s">
        <v>123</v>
      </c>
      <c r="F74" s="519">
        <v>0.13</v>
      </c>
      <c r="G74" s="520">
        <f t="shared" ref="G74:G137" si="8">SUM(J74,L74,N74,P74,R74,T74,V74,X74,Z74,AB74,AD74,AF74,AH74,AJ74,AL74,AN74,AP74,AR74,AU74,AW74,AY74,BC74,BG74)</f>
        <v>38525142.359999999</v>
      </c>
      <c r="H74" s="520">
        <f t="shared" ref="H74:H137" si="9">SUM(K74,M74,O74,Q74,S74,U74,W74,Y74,AA74,AC74,AE74,AG74,AI74,AK74,AM74,AO74,AQ74,AS74,AV74,AX74,AZ74,BD74,BH74)</f>
        <v>16726499.470000001</v>
      </c>
      <c r="I74" s="521">
        <f t="shared" si="7"/>
        <v>21798642.890000001</v>
      </c>
      <c r="J74" s="378"/>
      <c r="K74" s="378"/>
      <c r="L74" s="378"/>
      <c r="M74" s="378"/>
      <c r="N74" s="378"/>
      <c r="O74" s="378"/>
      <c r="P74" s="515"/>
      <c r="Q74" s="378"/>
      <c r="R74" s="375">
        <v>535025.56000000006</v>
      </c>
      <c r="S74" s="375">
        <v>0</v>
      </c>
      <c r="U74" s="59">
        <v>16726499.470000001</v>
      </c>
      <c r="V74" s="498">
        <f>4376588</f>
        <v>4376588</v>
      </c>
      <c r="W74" s="498">
        <v>0</v>
      </c>
      <c r="X74" s="59">
        <v>0</v>
      </c>
      <c r="Y74" s="59">
        <v>0</v>
      </c>
      <c r="Z74" s="59">
        <v>32984879.52</v>
      </c>
      <c r="AB74" s="59">
        <v>610464.6</v>
      </c>
      <c r="AF74" s="59"/>
      <c r="AG74" s="59"/>
      <c r="AN74" s="61">
        <v>18184.68</v>
      </c>
    </row>
    <row r="75" spans="2:59">
      <c r="B75" s="652"/>
      <c r="C75" s="522">
        <v>4470</v>
      </c>
      <c r="D75" s="681"/>
      <c r="E75" s="518" t="s">
        <v>124</v>
      </c>
      <c r="F75" s="519">
        <v>0.09</v>
      </c>
      <c r="G75" s="520">
        <f t="shared" si="8"/>
        <v>2594225.34</v>
      </c>
      <c r="H75" s="520">
        <f t="shared" si="9"/>
        <v>31473110.260000002</v>
      </c>
      <c r="I75" s="521">
        <f t="shared" si="7"/>
        <v>-28878884.920000002</v>
      </c>
      <c r="J75" s="378"/>
      <c r="K75" s="378"/>
      <c r="L75" s="378"/>
      <c r="M75" s="378"/>
      <c r="N75" s="378"/>
      <c r="O75" s="378"/>
      <c r="P75" s="515"/>
      <c r="Q75" s="378">
        <v>486312.49</v>
      </c>
      <c r="R75" s="375">
        <v>831989.3</v>
      </c>
      <c r="S75" s="375">
        <v>0</v>
      </c>
      <c r="U75" s="59">
        <v>30542863.52</v>
      </c>
      <c r="V75" s="498">
        <f>831989.3+930246.74</f>
        <v>1762236.04</v>
      </c>
      <c r="W75" s="498">
        <v>930246.74</v>
      </c>
      <c r="X75" s="59">
        <v>0</v>
      </c>
      <c r="Y75" s="59">
        <v>0</v>
      </c>
      <c r="AE75" s="59">
        <v>-486312.49</v>
      </c>
      <c r="AF75" s="59"/>
      <c r="AG75" s="59"/>
    </row>
    <row r="76" spans="2:59">
      <c r="B76" s="652"/>
      <c r="C76" s="529">
        <v>4470</v>
      </c>
      <c r="D76" s="682"/>
      <c r="E76" s="518" t="s">
        <v>125</v>
      </c>
      <c r="F76" s="519">
        <v>0.06</v>
      </c>
      <c r="G76" s="520">
        <f t="shared" si="8"/>
        <v>47143609.630000003</v>
      </c>
      <c r="H76" s="520">
        <f t="shared" si="9"/>
        <v>7511.57</v>
      </c>
      <c r="I76" s="521">
        <f t="shared" si="7"/>
        <v>47136098.060000002</v>
      </c>
      <c r="J76" s="378"/>
      <c r="K76" s="378"/>
      <c r="L76" s="378"/>
      <c r="M76" s="378"/>
      <c r="N76" s="378"/>
      <c r="O76" s="378"/>
      <c r="P76" s="515"/>
      <c r="Q76" s="378"/>
      <c r="R76" s="375">
        <v>7511.57</v>
      </c>
      <c r="S76" s="375">
        <v>7511.57</v>
      </c>
      <c r="T76" s="59">
        <v>41339456.920000002</v>
      </c>
      <c r="V76" s="498">
        <v>0</v>
      </c>
      <c r="W76" s="498">
        <v>0</v>
      </c>
      <c r="X76" s="498">
        <v>0</v>
      </c>
      <c r="Y76" s="59">
        <v>0</v>
      </c>
      <c r="AB76" s="59">
        <v>5796641.1399999997</v>
      </c>
      <c r="AF76" s="59"/>
      <c r="AG76" s="59"/>
      <c r="BC76" s="61">
        <v>0</v>
      </c>
    </row>
    <row r="77" spans="2:59">
      <c r="B77" s="652" t="s">
        <v>126</v>
      </c>
      <c r="C77" s="516">
        <v>4470</v>
      </c>
      <c r="D77" s="680" t="s">
        <v>152</v>
      </c>
      <c r="E77" s="518" t="s">
        <v>123</v>
      </c>
      <c r="F77" s="519">
        <v>0.13</v>
      </c>
      <c r="G77" s="520">
        <f t="shared" si="8"/>
        <v>27234067.260000002</v>
      </c>
      <c r="H77" s="520">
        <f t="shared" si="9"/>
        <v>63552790.869999997</v>
      </c>
      <c r="I77" s="521">
        <f t="shared" si="7"/>
        <v>-36318723.609999999</v>
      </c>
      <c r="J77" s="378"/>
      <c r="K77" s="378"/>
      <c r="L77" s="378"/>
      <c r="M77" s="378"/>
      <c r="N77" s="378"/>
      <c r="O77" s="378"/>
      <c r="P77" s="515"/>
      <c r="Q77" s="378"/>
      <c r="R77" s="375">
        <v>19775234.289999999</v>
      </c>
      <c r="S77" s="375">
        <v>50697108.049999997</v>
      </c>
      <c r="T77" s="59">
        <v>535025.56000000006</v>
      </c>
      <c r="V77" s="498">
        <v>0</v>
      </c>
      <c r="W77" s="498">
        <v>0</v>
      </c>
      <c r="X77" s="59">
        <v>2690452.92</v>
      </c>
      <c r="Y77" s="59">
        <v>2690452.92</v>
      </c>
      <c r="Z77" s="59">
        <v>1610020.47</v>
      </c>
      <c r="AA77" s="59">
        <v>1610020.47</v>
      </c>
      <c r="AD77" s="59">
        <v>323827.43</v>
      </c>
      <c r="AE77" s="59">
        <v>6057103.7199999997</v>
      </c>
      <c r="AF77" s="59">
        <v>1710381</v>
      </c>
      <c r="AG77" s="59"/>
      <c r="AH77" s="527">
        <v>412382.29</v>
      </c>
      <c r="AQ77" s="61">
        <v>1186468.55</v>
      </c>
      <c r="AR77" s="61">
        <v>518750.43</v>
      </c>
      <c r="AV77" s="59">
        <v>1311637.1599999999</v>
      </c>
      <c r="AY77" s="61">
        <v>-342007.13</v>
      </c>
    </row>
    <row r="78" spans="2:59">
      <c r="B78" s="652"/>
      <c r="C78" s="522">
        <v>4470</v>
      </c>
      <c r="D78" s="681"/>
      <c r="E78" s="518" t="s">
        <v>124</v>
      </c>
      <c r="F78" s="519">
        <v>0.09</v>
      </c>
      <c r="G78" s="520">
        <f t="shared" si="8"/>
        <v>20631615.559999999</v>
      </c>
      <c r="H78" s="520">
        <f t="shared" si="9"/>
        <v>8131237.4299999997</v>
      </c>
      <c r="I78" s="521">
        <f t="shared" si="7"/>
        <v>12500378.130000001</v>
      </c>
      <c r="J78" s="378"/>
      <c r="K78" s="378"/>
      <c r="L78" s="378"/>
      <c r="M78" s="378"/>
      <c r="N78" s="378"/>
      <c r="O78" s="378"/>
      <c r="P78" s="515"/>
      <c r="Q78" s="378"/>
      <c r="R78" s="375">
        <v>11119160.16</v>
      </c>
      <c r="S78" s="375">
        <v>917431.19</v>
      </c>
      <c r="V78" s="498">
        <v>207306.14</v>
      </c>
      <c r="W78" s="498">
        <v>207306.14</v>
      </c>
      <c r="X78" s="59">
        <v>0</v>
      </c>
      <c r="Y78" s="59">
        <v>0</v>
      </c>
      <c r="AB78" s="59">
        <v>270555.32</v>
      </c>
      <c r="AD78" s="59">
        <v>757261.12</v>
      </c>
      <c r="AE78" s="59">
        <f>2421239.72+270555.32</f>
        <v>2691795.04</v>
      </c>
      <c r="AF78" s="59">
        <v>5127803.87</v>
      </c>
      <c r="AG78" s="59"/>
      <c r="AQ78" s="61">
        <v>3671822.59</v>
      </c>
      <c r="AR78" s="61">
        <v>188073.4</v>
      </c>
      <c r="AV78" s="59">
        <v>642882.47</v>
      </c>
      <c r="AY78" s="61">
        <v>402538</v>
      </c>
      <c r="BG78" s="61">
        <v>2558917.5499999998</v>
      </c>
    </row>
    <row r="79" spans="2:59">
      <c r="B79" s="652"/>
      <c r="C79" s="529">
        <v>4470</v>
      </c>
      <c r="D79" s="682"/>
      <c r="E79" s="518" t="s">
        <v>125</v>
      </c>
      <c r="F79" s="519">
        <v>0.06</v>
      </c>
      <c r="G79" s="520">
        <f t="shared" si="8"/>
        <v>945443.01</v>
      </c>
      <c r="H79" s="520">
        <f t="shared" si="9"/>
        <v>1160920.28</v>
      </c>
      <c r="I79" s="521">
        <f t="shared" si="7"/>
        <v>-215477.27</v>
      </c>
      <c r="J79" s="378"/>
      <c r="K79" s="378"/>
      <c r="L79" s="378"/>
      <c r="M79" s="378"/>
      <c r="N79" s="378"/>
      <c r="O79" s="378"/>
      <c r="P79" s="515"/>
      <c r="Q79" s="378"/>
      <c r="R79" s="375">
        <v>60092.57</v>
      </c>
      <c r="S79" s="375">
        <v>687778.13</v>
      </c>
      <c r="V79" s="498">
        <f>186949.69+11386.14</f>
        <v>198335.83</v>
      </c>
      <c r="W79" s="498">
        <f>186949.69+11386.14</f>
        <v>198335.83</v>
      </c>
      <c r="X79" s="498">
        <v>7414.46</v>
      </c>
      <c r="Y79" s="59">
        <v>7414.46</v>
      </c>
      <c r="Z79" s="59">
        <v>5639.92</v>
      </c>
      <c r="AA79" s="59">
        <v>5639.92</v>
      </c>
      <c r="AB79" s="59">
        <v>11887.15</v>
      </c>
      <c r="AD79" s="59">
        <v>197931.19</v>
      </c>
      <c r="AE79" s="59">
        <v>197931.19</v>
      </c>
      <c r="AF79" s="59"/>
      <c r="AG79" s="59"/>
      <c r="AR79" s="61">
        <v>63820.75</v>
      </c>
      <c r="AU79" s="59">
        <v>15471.7</v>
      </c>
      <c r="AV79" s="59">
        <v>63820.75</v>
      </c>
      <c r="AY79" s="61">
        <v>287000</v>
      </c>
      <c r="BG79" s="61">
        <v>97849.44</v>
      </c>
    </row>
    <row r="80" spans="2:59">
      <c r="B80" s="652" t="s">
        <v>126</v>
      </c>
      <c r="C80" s="516">
        <v>4570</v>
      </c>
      <c r="D80" s="677" t="s">
        <v>153</v>
      </c>
      <c r="E80" s="518" t="s">
        <v>123</v>
      </c>
      <c r="F80" s="519">
        <v>0.13</v>
      </c>
      <c r="G80" s="520">
        <f t="shared" si="8"/>
        <v>40316.81</v>
      </c>
      <c r="H80" s="520">
        <f t="shared" si="9"/>
        <v>40316.81</v>
      </c>
      <c r="I80" s="521">
        <f t="shared" si="7"/>
        <v>0</v>
      </c>
      <c r="J80" s="378"/>
      <c r="K80" s="378"/>
      <c r="L80" s="378"/>
      <c r="M80" s="378"/>
      <c r="N80" s="378"/>
      <c r="O80" s="378"/>
      <c r="P80" s="515"/>
      <c r="Q80" s="378"/>
      <c r="R80" s="375"/>
      <c r="S80" s="375"/>
      <c r="V80" s="498">
        <v>40316.81</v>
      </c>
      <c r="W80" s="498">
        <v>0</v>
      </c>
      <c r="X80" s="59">
        <v>0</v>
      </c>
      <c r="Y80" s="59">
        <v>0</v>
      </c>
      <c r="AF80" s="59"/>
      <c r="AG80" s="59">
        <v>40316.81</v>
      </c>
    </row>
    <row r="81" spans="2:60">
      <c r="B81" s="652"/>
      <c r="C81" s="522">
        <v>4570</v>
      </c>
      <c r="D81" s="678"/>
      <c r="E81" s="518" t="s">
        <v>124</v>
      </c>
      <c r="F81" s="519">
        <v>0.09</v>
      </c>
      <c r="G81" s="520">
        <f t="shared" si="8"/>
        <v>291262.14</v>
      </c>
      <c r="H81" s="520">
        <f t="shared" si="9"/>
        <v>291262.14</v>
      </c>
      <c r="I81" s="521">
        <f t="shared" si="7"/>
        <v>0</v>
      </c>
      <c r="J81" s="378"/>
      <c r="K81" s="378"/>
      <c r="L81" s="378">
        <v>291262.14</v>
      </c>
      <c r="M81" s="378">
        <v>291262.14</v>
      </c>
      <c r="N81" s="378"/>
      <c r="O81" s="378"/>
      <c r="P81" s="515"/>
      <c r="Q81" s="378"/>
      <c r="R81" s="375"/>
      <c r="S81" s="375"/>
      <c r="V81" s="498">
        <v>0</v>
      </c>
      <c r="W81" s="498">
        <v>0</v>
      </c>
      <c r="X81" s="59">
        <v>0</v>
      </c>
      <c r="Y81" s="59">
        <v>0</v>
      </c>
      <c r="AF81" s="59"/>
      <c r="AG81" s="59"/>
    </row>
    <row r="82" spans="2:60">
      <c r="B82" s="652"/>
      <c r="C82" s="522">
        <v>4570</v>
      </c>
      <c r="D82" s="679"/>
      <c r="E82" s="518" t="s">
        <v>125</v>
      </c>
      <c r="F82" s="519">
        <v>0.06</v>
      </c>
      <c r="G82" s="520">
        <f t="shared" si="8"/>
        <v>10105097.76</v>
      </c>
      <c r="H82" s="520">
        <f t="shared" si="9"/>
        <v>10455260.83</v>
      </c>
      <c r="I82" s="521">
        <f t="shared" si="7"/>
        <v>-350163.07</v>
      </c>
      <c r="J82" s="378"/>
      <c r="K82" s="378"/>
      <c r="L82" s="378">
        <f>4391330.09+329654.87</f>
        <v>4720984.96</v>
      </c>
      <c r="M82" s="378">
        <v>4203905.5599999996</v>
      </c>
      <c r="N82" s="378">
        <v>488607.91</v>
      </c>
      <c r="O82" s="378"/>
      <c r="P82" s="515">
        <v>323799.96999999997</v>
      </c>
      <c r="Q82" s="378">
        <v>1355850.38</v>
      </c>
      <c r="R82" s="375">
        <v>864773.96</v>
      </c>
      <c r="S82" s="375">
        <v>67604.149999999994</v>
      </c>
      <c r="T82" s="59">
        <v>67833.42</v>
      </c>
      <c r="U82" s="59">
        <v>124337.79</v>
      </c>
      <c r="V82" s="498">
        <f>1327755.84+102475.29</f>
        <v>1430231.13</v>
      </c>
      <c r="W82" s="498">
        <v>102475.29</v>
      </c>
      <c r="X82" s="498">
        <v>962956.63</v>
      </c>
      <c r="Y82" s="59">
        <v>66730.210000000006</v>
      </c>
      <c r="Z82" s="59">
        <v>50759.24</v>
      </c>
      <c r="AA82" s="59">
        <v>50759.24</v>
      </c>
      <c r="AB82" s="59">
        <v>467059.25</v>
      </c>
      <c r="AC82" s="59">
        <v>467059.25</v>
      </c>
      <c r="AD82" s="59">
        <v>300060.87</v>
      </c>
      <c r="AF82" s="59"/>
      <c r="AG82" s="59">
        <v>3588508.54</v>
      </c>
      <c r="AN82" s="61">
        <v>157232.70000000001</v>
      </c>
      <c r="AQ82" s="61">
        <v>157232.70000000001</v>
      </c>
      <c r="AR82" s="61">
        <v>181699.17</v>
      </c>
      <c r="AS82" s="59">
        <v>181699.17</v>
      </c>
      <c r="AU82" s="59">
        <v>89098.55</v>
      </c>
      <c r="AZ82" s="61">
        <v>89098.55</v>
      </c>
    </row>
    <row r="83" spans="2:60">
      <c r="B83" s="652" t="s">
        <v>126</v>
      </c>
      <c r="C83" s="516">
        <v>2351</v>
      </c>
      <c r="D83" s="677" t="s">
        <v>154</v>
      </c>
      <c r="E83" s="518" t="s">
        <v>123</v>
      </c>
      <c r="F83" s="519">
        <v>0.13</v>
      </c>
      <c r="G83" s="520">
        <f t="shared" si="8"/>
        <v>0</v>
      </c>
      <c r="H83" s="520">
        <f t="shared" si="9"/>
        <v>0</v>
      </c>
      <c r="I83" s="521">
        <f t="shared" si="7"/>
        <v>0</v>
      </c>
      <c r="J83" s="378"/>
      <c r="K83" s="378"/>
      <c r="L83" s="378"/>
      <c r="M83" s="378"/>
      <c r="N83" s="378"/>
      <c r="O83" s="378"/>
      <c r="P83" s="515"/>
      <c r="Q83" s="378"/>
      <c r="R83" s="375"/>
      <c r="S83" s="375"/>
      <c r="V83" s="498">
        <v>0</v>
      </c>
      <c r="W83" s="498">
        <v>0</v>
      </c>
      <c r="X83" s="59">
        <v>0</v>
      </c>
      <c r="Y83" s="59">
        <v>0</v>
      </c>
      <c r="AF83" s="59"/>
      <c r="AG83" s="59"/>
    </row>
    <row r="84" spans="2:60">
      <c r="B84" s="652"/>
      <c r="C84" s="522">
        <v>2351</v>
      </c>
      <c r="D84" s="678"/>
      <c r="E84" s="518" t="s">
        <v>124</v>
      </c>
      <c r="F84" s="519">
        <v>0.09</v>
      </c>
      <c r="G84" s="520">
        <f t="shared" si="8"/>
        <v>769393.45</v>
      </c>
      <c r="H84" s="520">
        <f t="shared" si="9"/>
        <v>769393.45</v>
      </c>
      <c r="I84" s="521">
        <f t="shared" si="7"/>
        <v>0</v>
      </c>
      <c r="J84" s="378"/>
      <c r="K84" s="378"/>
      <c r="L84" s="378">
        <v>769393.45</v>
      </c>
      <c r="M84" s="378">
        <v>769393.45</v>
      </c>
      <c r="N84" s="378"/>
      <c r="O84" s="378"/>
      <c r="P84" s="515"/>
      <c r="Q84" s="378"/>
      <c r="R84" s="375"/>
      <c r="S84" s="375"/>
      <c r="V84" s="498">
        <v>0</v>
      </c>
      <c r="W84" s="498">
        <v>0</v>
      </c>
      <c r="X84" s="59">
        <v>0</v>
      </c>
      <c r="Y84" s="59">
        <v>0</v>
      </c>
      <c r="AF84" s="59"/>
      <c r="AG84" s="59"/>
    </row>
    <row r="85" spans="2:60" ht="12.95" customHeight="1">
      <c r="B85" s="652"/>
      <c r="C85" s="522">
        <v>2351</v>
      </c>
      <c r="D85" s="679"/>
      <c r="E85" s="518" t="s">
        <v>125</v>
      </c>
      <c r="F85" s="519">
        <v>0.06</v>
      </c>
      <c r="G85" s="520">
        <f t="shared" si="8"/>
        <v>8138787.5099999998</v>
      </c>
      <c r="H85" s="520">
        <f t="shared" si="9"/>
        <v>8461721.4000000004</v>
      </c>
      <c r="I85" s="521">
        <f t="shared" si="7"/>
        <v>-322933.89000000199</v>
      </c>
      <c r="J85" s="378"/>
      <c r="K85" s="378"/>
      <c r="L85" s="378">
        <f>354587.32+4501401.45</f>
        <v>4855988.7699999996</v>
      </c>
      <c r="M85" s="378">
        <v>3388193.9</v>
      </c>
      <c r="N85" s="378">
        <v>420738.6</v>
      </c>
      <c r="O85" s="378"/>
      <c r="P85" s="515">
        <v>226506.05</v>
      </c>
      <c r="Q85" s="378">
        <v>2123417.0499999998</v>
      </c>
      <c r="R85" s="375">
        <v>761004.23</v>
      </c>
      <c r="S85" s="375">
        <v>45069.43</v>
      </c>
      <c r="T85" s="59">
        <v>93440.31</v>
      </c>
      <c r="U85" s="59">
        <v>82891.850000000006</v>
      </c>
      <c r="V85" s="498">
        <v>203692.85</v>
      </c>
      <c r="W85" s="498">
        <v>68316.87</v>
      </c>
      <c r="X85" s="498">
        <v>44486.8</v>
      </c>
      <c r="Y85" s="59">
        <v>44486.8</v>
      </c>
      <c r="Z85" s="59">
        <v>306376.18</v>
      </c>
      <c r="AA85" s="59">
        <v>33839.49</v>
      </c>
      <c r="AB85" s="59">
        <v>143021.01</v>
      </c>
      <c r="AC85" s="59">
        <v>71322.899999999994</v>
      </c>
      <c r="AD85" s="59">
        <v>167722.12</v>
      </c>
      <c r="AF85" s="59"/>
      <c r="AG85" s="59">
        <v>1520650.4</v>
      </c>
      <c r="AJ85" s="61">
        <v>89108.91</v>
      </c>
      <c r="AK85" s="61">
        <v>256831.03</v>
      </c>
      <c r="AN85" s="61">
        <v>260405.04</v>
      </c>
      <c r="AP85" s="61">
        <v>78613.210000000006</v>
      </c>
      <c r="AQ85" s="61">
        <v>339018.25</v>
      </c>
      <c r="AR85" s="61">
        <v>27096.43</v>
      </c>
      <c r="AS85" s="59">
        <v>27096.43</v>
      </c>
      <c r="AU85" s="59">
        <v>460587</v>
      </c>
      <c r="BH85" s="61">
        <v>460587</v>
      </c>
    </row>
    <row r="86" spans="2:60">
      <c r="B86" s="652" t="s">
        <v>126</v>
      </c>
      <c r="C86" s="516">
        <v>3307</v>
      </c>
      <c r="D86" s="677" t="s">
        <v>155</v>
      </c>
      <c r="E86" s="518" t="s">
        <v>123</v>
      </c>
      <c r="F86" s="519">
        <v>0.13</v>
      </c>
      <c r="G86" s="520">
        <f t="shared" si="8"/>
        <v>0</v>
      </c>
      <c r="H86" s="520">
        <f t="shared" si="9"/>
        <v>0</v>
      </c>
      <c r="I86" s="521">
        <f t="shared" si="7"/>
        <v>0</v>
      </c>
      <c r="J86" s="378"/>
      <c r="K86" s="378"/>
      <c r="L86" s="378"/>
      <c r="M86" s="378"/>
      <c r="N86" s="378"/>
      <c r="O86" s="378"/>
      <c r="P86" s="515"/>
      <c r="Q86" s="378"/>
      <c r="R86" s="375"/>
      <c r="S86" s="375"/>
      <c r="V86" s="498">
        <v>0</v>
      </c>
      <c r="W86" s="498">
        <v>0</v>
      </c>
      <c r="X86" s="59">
        <v>0</v>
      </c>
      <c r="Y86" s="59">
        <v>0</v>
      </c>
      <c r="AF86" s="59"/>
      <c r="AG86" s="59"/>
    </row>
    <row r="87" spans="2:60">
      <c r="B87" s="652"/>
      <c r="C87" s="522">
        <v>3307</v>
      </c>
      <c r="D87" s="678"/>
      <c r="E87" s="518" t="s">
        <v>124</v>
      </c>
      <c r="F87" s="519">
        <v>0.09</v>
      </c>
      <c r="G87" s="520">
        <f t="shared" si="8"/>
        <v>194174.76</v>
      </c>
      <c r="H87" s="520">
        <f t="shared" si="9"/>
        <v>194174.76</v>
      </c>
      <c r="I87" s="521">
        <f t="shared" si="7"/>
        <v>0</v>
      </c>
      <c r="J87" s="378"/>
      <c r="K87" s="378"/>
      <c r="L87" s="378">
        <v>194174.76</v>
      </c>
      <c r="M87" s="378">
        <v>194174.76</v>
      </c>
      <c r="N87" s="378"/>
      <c r="O87" s="378"/>
      <c r="P87" s="515"/>
      <c r="Q87" s="378"/>
      <c r="R87" s="375"/>
      <c r="S87" s="375"/>
      <c r="V87" s="498">
        <v>0</v>
      </c>
      <c r="W87" s="498">
        <v>0</v>
      </c>
      <c r="X87" s="59">
        <v>0</v>
      </c>
      <c r="Y87" s="59">
        <v>0</v>
      </c>
      <c r="AF87" s="59"/>
      <c r="AG87" s="59"/>
    </row>
    <row r="88" spans="2:60">
      <c r="B88" s="652"/>
      <c r="C88" s="522">
        <v>3307</v>
      </c>
      <c r="D88" s="679"/>
      <c r="E88" s="518" t="s">
        <v>125</v>
      </c>
      <c r="F88" s="519">
        <v>0.06</v>
      </c>
      <c r="G88" s="520">
        <f t="shared" si="8"/>
        <v>5322473.68</v>
      </c>
      <c r="H88" s="520">
        <f t="shared" si="9"/>
        <v>5584964.9500000002</v>
      </c>
      <c r="I88" s="521">
        <f t="shared" si="7"/>
        <v>-262491.27</v>
      </c>
      <c r="J88" s="378"/>
      <c r="K88" s="378"/>
      <c r="L88" s="378">
        <f>1978162.8+131078.12</f>
        <v>2109240.92</v>
      </c>
      <c r="M88" s="378">
        <v>1918579.88</v>
      </c>
      <c r="N88" s="378">
        <v>54164.39</v>
      </c>
      <c r="O88" s="378"/>
      <c r="P88" s="515">
        <v>555432.9</v>
      </c>
      <c r="Q88" s="378">
        <v>500605.24</v>
      </c>
      <c r="R88" s="375">
        <v>60092.57</v>
      </c>
      <c r="S88" s="375">
        <v>60092.57</v>
      </c>
      <c r="U88" s="59">
        <v>110522.47</v>
      </c>
      <c r="V88" s="531">
        <f>525589.21+91089.15</f>
        <v>616678.36</v>
      </c>
      <c r="W88" s="498">
        <v>91089.15</v>
      </c>
      <c r="X88" s="498">
        <v>141957.25</v>
      </c>
      <c r="Y88" s="59">
        <v>59315.74</v>
      </c>
      <c r="Z88" s="59">
        <v>45119.32</v>
      </c>
      <c r="AA88" s="59">
        <v>45119.32</v>
      </c>
      <c r="AB88" s="59">
        <v>175474.56</v>
      </c>
      <c r="AC88" s="59">
        <v>95097.2</v>
      </c>
      <c r="AD88" s="59">
        <v>87852.62</v>
      </c>
      <c r="AE88" s="59">
        <v>87852.62</v>
      </c>
      <c r="AF88" s="59"/>
      <c r="AG88" s="59">
        <v>1193814.8799999999</v>
      </c>
      <c r="AH88" s="59">
        <v>1099136.69</v>
      </c>
      <c r="AI88" s="59">
        <v>1099136.69</v>
      </c>
      <c r="BC88" s="61">
        <v>323739.19</v>
      </c>
      <c r="BG88" s="61">
        <v>53584.91</v>
      </c>
      <c r="BH88" s="61">
        <v>323739.19</v>
      </c>
    </row>
    <row r="89" spans="2:60">
      <c r="B89" s="652" t="s">
        <v>126</v>
      </c>
      <c r="C89" s="516">
        <v>3307</v>
      </c>
      <c r="D89" s="677" t="s">
        <v>156</v>
      </c>
      <c r="E89" s="518" t="s">
        <v>123</v>
      </c>
      <c r="F89" s="519">
        <v>0.13</v>
      </c>
      <c r="G89" s="520">
        <f t="shared" si="8"/>
        <v>0</v>
      </c>
      <c r="H89" s="520">
        <f t="shared" si="9"/>
        <v>0</v>
      </c>
      <c r="I89" s="521">
        <f t="shared" ref="I89:I152" si="10">G89-H89</f>
        <v>0</v>
      </c>
      <c r="J89" s="378"/>
      <c r="K89" s="378"/>
      <c r="L89" s="378"/>
      <c r="M89" s="378"/>
      <c r="N89" s="378"/>
      <c r="O89" s="378"/>
      <c r="P89" s="515"/>
      <c r="Q89" s="378"/>
      <c r="R89" s="375"/>
      <c r="S89" s="375"/>
      <c r="V89" s="498">
        <v>0</v>
      </c>
      <c r="W89" s="498">
        <v>0</v>
      </c>
      <c r="X89" s="59">
        <v>0</v>
      </c>
      <c r="Y89" s="59">
        <v>0</v>
      </c>
      <c r="AF89" s="59"/>
      <c r="AG89" s="59"/>
    </row>
    <row r="90" spans="2:60">
      <c r="B90" s="652"/>
      <c r="C90" s="522">
        <v>3307</v>
      </c>
      <c r="D90" s="678"/>
      <c r="E90" s="518" t="s">
        <v>124</v>
      </c>
      <c r="F90" s="519">
        <v>0.09</v>
      </c>
      <c r="G90" s="520">
        <f t="shared" si="8"/>
        <v>0</v>
      </c>
      <c r="H90" s="520">
        <f t="shared" si="9"/>
        <v>0</v>
      </c>
      <c r="I90" s="521">
        <f t="shared" si="10"/>
        <v>0</v>
      </c>
      <c r="J90" s="378"/>
      <c r="K90" s="378"/>
      <c r="L90" s="378"/>
      <c r="M90" s="378"/>
      <c r="N90" s="378"/>
      <c r="O90" s="378"/>
      <c r="P90" s="515"/>
      <c r="Q90" s="378"/>
      <c r="R90" s="375"/>
      <c r="S90" s="375"/>
      <c r="V90" s="498">
        <v>0</v>
      </c>
      <c r="W90" s="498">
        <v>0</v>
      </c>
      <c r="X90" s="59">
        <v>0</v>
      </c>
      <c r="Y90" s="59">
        <v>0</v>
      </c>
      <c r="AF90" s="59"/>
      <c r="AG90" s="59"/>
    </row>
    <row r="91" spans="2:60">
      <c r="B91" s="652"/>
      <c r="C91" s="522">
        <v>3307</v>
      </c>
      <c r="D91" s="679"/>
      <c r="E91" s="518" t="s">
        <v>125</v>
      </c>
      <c r="F91" s="519">
        <v>0.06</v>
      </c>
      <c r="G91" s="520">
        <f t="shared" si="8"/>
        <v>3482281.25</v>
      </c>
      <c r="H91" s="520">
        <f t="shared" si="9"/>
        <v>3677764.69</v>
      </c>
      <c r="I91" s="521">
        <f t="shared" si="10"/>
        <v>-195483.44</v>
      </c>
      <c r="J91" s="378"/>
      <c r="K91" s="378"/>
      <c r="L91" s="378">
        <f>1299437.53+115623.92</f>
        <v>1415061.45</v>
      </c>
      <c r="M91" s="378">
        <v>1245812.8999999999</v>
      </c>
      <c r="N91" s="378">
        <v>54164.39</v>
      </c>
      <c r="O91" s="378"/>
      <c r="P91" s="515">
        <v>352625.48</v>
      </c>
      <c r="Q91" s="378">
        <v>479192.75</v>
      </c>
      <c r="R91" s="375">
        <v>60092.57</v>
      </c>
      <c r="S91" s="375">
        <v>60092.57</v>
      </c>
      <c r="T91" s="59">
        <v>120592.74</v>
      </c>
      <c r="U91" s="59">
        <v>110522.47</v>
      </c>
      <c r="V91" s="498">
        <f>408373.06+91089.15</f>
        <v>499462.21</v>
      </c>
      <c r="W91" s="498">
        <v>91089.15</v>
      </c>
      <c r="X91" s="498">
        <v>59315.74</v>
      </c>
      <c r="Y91" s="498">
        <v>59315.74</v>
      </c>
      <c r="Z91" s="59">
        <v>45119.32</v>
      </c>
      <c r="AA91" s="59">
        <v>45119.32</v>
      </c>
      <c r="AB91" s="59">
        <v>95097.2</v>
      </c>
      <c r="AC91" s="59">
        <v>95097.2</v>
      </c>
      <c r="AD91" s="59">
        <v>87852.62</v>
      </c>
      <c r="AE91" s="59">
        <v>87852.62</v>
      </c>
      <c r="AF91" s="59"/>
      <c r="AG91" s="59">
        <v>710772.44</v>
      </c>
      <c r="AH91" s="527">
        <v>473848.28</v>
      </c>
      <c r="AI91" s="527">
        <v>473848.28</v>
      </c>
      <c r="BC91" s="61">
        <v>219049.25</v>
      </c>
      <c r="BH91" s="61">
        <v>219049.25</v>
      </c>
    </row>
    <row r="92" spans="2:60">
      <c r="B92" s="652" t="s">
        <v>126</v>
      </c>
      <c r="C92" s="516">
        <v>2058</v>
      </c>
      <c r="D92" s="677" t="s">
        <v>157</v>
      </c>
      <c r="E92" s="518" t="s">
        <v>123</v>
      </c>
      <c r="F92" s="519">
        <v>0.13</v>
      </c>
      <c r="G92" s="520">
        <f t="shared" si="8"/>
        <v>165026.54999999999</v>
      </c>
      <c r="H92" s="520">
        <f t="shared" si="9"/>
        <v>165026.54999999999</v>
      </c>
      <c r="I92" s="521">
        <f t="shared" si="10"/>
        <v>0</v>
      </c>
      <c r="J92" s="378"/>
      <c r="K92" s="378"/>
      <c r="L92" s="378"/>
      <c r="M92" s="378"/>
      <c r="N92" s="378"/>
      <c r="O92" s="378"/>
      <c r="P92" s="515"/>
      <c r="Q92" s="378"/>
      <c r="R92" s="375"/>
      <c r="S92" s="375"/>
      <c r="V92" s="498">
        <v>0</v>
      </c>
      <c r="W92" s="498">
        <v>0</v>
      </c>
      <c r="X92" s="59">
        <v>0</v>
      </c>
      <c r="Y92" s="59">
        <v>0</v>
      </c>
      <c r="AF92" s="59"/>
      <c r="AG92" s="59"/>
      <c r="AW92" s="59">
        <v>165026.54999999999</v>
      </c>
      <c r="AX92" s="59">
        <v>165026.54999999999</v>
      </c>
    </row>
    <row r="93" spans="2:60">
      <c r="B93" s="652"/>
      <c r="C93" s="522">
        <v>2058</v>
      </c>
      <c r="D93" s="678"/>
      <c r="E93" s="518" t="s">
        <v>124</v>
      </c>
      <c r="F93" s="519">
        <v>0.09</v>
      </c>
      <c r="G93" s="520">
        <f t="shared" si="8"/>
        <v>0</v>
      </c>
      <c r="H93" s="520">
        <f t="shared" si="9"/>
        <v>0</v>
      </c>
      <c r="I93" s="521">
        <f t="shared" si="10"/>
        <v>0</v>
      </c>
      <c r="J93" s="378"/>
      <c r="K93" s="378"/>
      <c r="L93" s="378"/>
      <c r="M93" s="378"/>
      <c r="N93" s="378"/>
      <c r="O93" s="378"/>
      <c r="P93" s="515"/>
      <c r="Q93" s="378"/>
      <c r="R93" s="375"/>
      <c r="S93" s="375"/>
      <c r="V93" s="498">
        <v>0</v>
      </c>
      <c r="W93" s="498">
        <v>0</v>
      </c>
      <c r="X93" s="59">
        <v>0</v>
      </c>
      <c r="Y93" s="59">
        <v>0</v>
      </c>
      <c r="AF93" s="59"/>
      <c r="AG93" s="59"/>
    </row>
    <row r="94" spans="2:60">
      <c r="B94" s="652"/>
      <c r="C94" s="522">
        <v>2058</v>
      </c>
      <c r="D94" s="679"/>
      <c r="E94" s="518" t="s">
        <v>125</v>
      </c>
      <c r="F94" s="519">
        <v>0.06</v>
      </c>
      <c r="G94" s="520">
        <f t="shared" si="8"/>
        <v>3616053.29</v>
      </c>
      <c r="H94" s="520">
        <f t="shared" si="9"/>
        <v>3786782.45</v>
      </c>
      <c r="I94" s="521">
        <f t="shared" si="10"/>
        <v>-170729.16</v>
      </c>
      <c r="J94" s="378"/>
      <c r="K94" s="378"/>
      <c r="L94" s="378">
        <f>1077061.32+144175.76</f>
        <v>1221237.08</v>
      </c>
      <c r="M94" s="378">
        <v>995856.92</v>
      </c>
      <c r="N94" s="378">
        <v>221154.96</v>
      </c>
      <c r="O94" s="378"/>
      <c r="P94" s="515">
        <v>74754.399999999994</v>
      </c>
      <c r="Q94" s="378">
        <v>705314.59</v>
      </c>
      <c r="R94" s="375">
        <f>60092.57+81205.45</f>
        <v>141298.01999999999</v>
      </c>
      <c r="S94" s="375">
        <v>60092.57</v>
      </c>
      <c r="T94" s="59">
        <v>366187.35</v>
      </c>
      <c r="U94" s="59">
        <v>110522.47</v>
      </c>
      <c r="V94" s="498">
        <f>484600.63+91089.15</f>
        <v>575689.78</v>
      </c>
      <c r="W94" s="498">
        <v>91089.15</v>
      </c>
      <c r="X94" s="498">
        <v>59315.74</v>
      </c>
      <c r="Y94" s="59">
        <v>59315.74</v>
      </c>
      <c r="Z94" s="59">
        <v>45119.32</v>
      </c>
      <c r="AA94" s="59">
        <v>45119.32</v>
      </c>
      <c r="AB94" s="59">
        <v>387259.95</v>
      </c>
      <c r="AD94" s="59">
        <v>111327.03999999999</v>
      </c>
      <c r="AF94" s="59"/>
      <c r="AG94" s="59">
        <v>1195435</v>
      </c>
      <c r="AJ94" s="61">
        <v>200000</v>
      </c>
      <c r="AK94" s="61">
        <v>311327.03999999998</v>
      </c>
      <c r="AL94" s="61">
        <v>185642.56</v>
      </c>
      <c r="AN94" s="61">
        <v>27067.09</v>
      </c>
      <c r="AQ94" s="61">
        <v>212709.65</v>
      </c>
    </row>
    <row r="95" spans="2:60">
      <c r="B95" s="652" t="s">
        <v>126</v>
      </c>
      <c r="C95" s="516">
        <v>3308</v>
      </c>
      <c r="D95" s="677" t="s">
        <v>158</v>
      </c>
      <c r="E95" s="518" t="s">
        <v>123</v>
      </c>
      <c r="F95" s="519">
        <v>0.13</v>
      </c>
      <c r="G95" s="520">
        <f t="shared" si="8"/>
        <v>0</v>
      </c>
      <c r="H95" s="520">
        <f t="shared" si="9"/>
        <v>0</v>
      </c>
      <c r="I95" s="521">
        <f t="shared" si="10"/>
        <v>0</v>
      </c>
      <c r="J95" s="378"/>
      <c r="K95" s="378"/>
      <c r="L95" s="378"/>
      <c r="M95" s="378"/>
      <c r="N95" s="378"/>
      <c r="O95" s="378"/>
      <c r="P95" s="515"/>
      <c r="Q95" s="378"/>
      <c r="R95" s="375"/>
      <c r="S95" s="375"/>
      <c r="V95" s="498">
        <v>0</v>
      </c>
      <c r="W95" s="498">
        <v>0</v>
      </c>
      <c r="X95" s="59">
        <v>0</v>
      </c>
      <c r="Y95" s="59">
        <v>0</v>
      </c>
      <c r="AF95" s="59"/>
      <c r="AG95" s="59"/>
    </row>
    <row r="96" spans="2:60">
      <c r="B96" s="652"/>
      <c r="C96" s="522">
        <v>3308</v>
      </c>
      <c r="D96" s="678"/>
      <c r="E96" s="518" t="s">
        <v>124</v>
      </c>
      <c r="F96" s="519">
        <v>0.09</v>
      </c>
      <c r="G96" s="520">
        <f t="shared" si="8"/>
        <v>214563.11</v>
      </c>
      <c r="H96" s="520">
        <f t="shared" si="9"/>
        <v>214563.11</v>
      </c>
      <c r="I96" s="521">
        <f t="shared" si="10"/>
        <v>0</v>
      </c>
      <c r="J96" s="378"/>
      <c r="K96" s="378"/>
      <c r="L96" s="378">
        <v>214563.11</v>
      </c>
      <c r="M96" s="378">
        <v>214563.11</v>
      </c>
      <c r="N96" s="378"/>
      <c r="O96" s="378"/>
      <c r="P96" s="515"/>
      <c r="Q96" s="378"/>
      <c r="R96" s="375"/>
      <c r="S96" s="375"/>
      <c r="V96" s="498">
        <v>0</v>
      </c>
      <c r="W96" s="498">
        <v>0</v>
      </c>
      <c r="X96" s="59">
        <v>0</v>
      </c>
      <c r="Y96" s="59">
        <v>0</v>
      </c>
      <c r="AF96" s="59"/>
      <c r="AG96" s="59"/>
    </row>
    <row r="97" spans="2:60">
      <c r="B97" s="652"/>
      <c r="C97" s="522">
        <v>3308</v>
      </c>
      <c r="D97" s="679"/>
      <c r="E97" s="518" t="s">
        <v>125</v>
      </c>
      <c r="F97" s="519">
        <v>0.06</v>
      </c>
      <c r="G97" s="520">
        <f t="shared" si="8"/>
        <v>10809476.77</v>
      </c>
      <c r="H97" s="520">
        <f t="shared" si="9"/>
        <v>11105978.039999999</v>
      </c>
      <c r="I97" s="521">
        <f t="shared" si="10"/>
        <v>-296501.27</v>
      </c>
      <c r="J97" s="378"/>
      <c r="K97" s="378"/>
      <c r="L97" s="378">
        <f>3640904.27+199508.76</f>
        <v>3840413.03</v>
      </c>
      <c r="M97" s="378">
        <v>3640904.27</v>
      </c>
      <c r="N97" s="378">
        <v>60934.95</v>
      </c>
      <c r="O97" s="378"/>
      <c r="P97" s="515">
        <v>406510.66</v>
      </c>
      <c r="Q97" s="378">
        <v>556944.98</v>
      </c>
      <c r="R97" s="375">
        <v>67604.149999999994</v>
      </c>
      <c r="S97" s="375">
        <v>67604.149999999994</v>
      </c>
      <c r="T97" s="59">
        <v>2107833.42</v>
      </c>
      <c r="U97" s="59">
        <v>124337.79</v>
      </c>
      <c r="V97" s="498">
        <f>102475.29+1542313.07</f>
        <v>1644788.36</v>
      </c>
      <c r="W97" s="498">
        <v>102475.29</v>
      </c>
      <c r="X97" s="498">
        <v>66730.210000000006</v>
      </c>
      <c r="Y97" s="59">
        <v>66730.210000000006</v>
      </c>
      <c r="Z97" s="59">
        <v>50759.24</v>
      </c>
      <c r="AA97" s="59">
        <v>50759.24</v>
      </c>
      <c r="AB97" s="59">
        <v>106984.35</v>
      </c>
      <c r="AC97" s="59">
        <v>106984.35</v>
      </c>
      <c r="AD97" s="59">
        <v>179211.56</v>
      </c>
      <c r="AE97" s="59">
        <v>98834.2</v>
      </c>
      <c r="AF97" s="59"/>
      <c r="AG97" s="59">
        <v>3932319.36</v>
      </c>
      <c r="AH97" s="59">
        <v>1659585.18</v>
      </c>
      <c r="AI97" s="59">
        <v>1659585.18</v>
      </c>
      <c r="AK97" s="61">
        <v>80377.36</v>
      </c>
      <c r="BC97" s="61">
        <v>618121.66</v>
      </c>
      <c r="BH97" s="61">
        <v>618121.66</v>
      </c>
    </row>
    <row r="98" spans="2:60">
      <c r="B98" s="652" t="s">
        <v>126</v>
      </c>
      <c r="C98" s="516">
        <v>2057</v>
      </c>
      <c r="D98" s="680" t="s">
        <v>159</v>
      </c>
      <c r="E98" s="518" t="s">
        <v>123</v>
      </c>
      <c r="F98" s="519">
        <v>0.13</v>
      </c>
      <c r="G98" s="520">
        <f t="shared" si="8"/>
        <v>0</v>
      </c>
      <c r="H98" s="520">
        <f t="shared" si="9"/>
        <v>0</v>
      </c>
      <c r="I98" s="521">
        <f t="shared" si="10"/>
        <v>0</v>
      </c>
      <c r="J98" s="378"/>
      <c r="K98" s="378"/>
      <c r="L98" s="378"/>
      <c r="M98" s="378"/>
      <c r="N98" s="378"/>
      <c r="O98" s="378"/>
      <c r="P98" s="515"/>
      <c r="Q98" s="378"/>
      <c r="R98" s="375"/>
      <c r="S98" s="375"/>
      <c r="V98" s="498">
        <v>0</v>
      </c>
      <c r="W98" s="498">
        <v>0</v>
      </c>
      <c r="X98" s="59">
        <v>0</v>
      </c>
      <c r="Y98" s="59">
        <v>0</v>
      </c>
      <c r="AF98" s="59"/>
      <c r="AG98" s="59"/>
    </row>
    <row r="99" spans="2:60">
      <c r="B99" s="652"/>
      <c r="C99" s="522">
        <v>2057</v>
      </c>
      <c r="D99" s="678"/>
      <c r="E99" s="518" t="s">
        <v>124</v>
      </c>
      <c r="F99" s="519">
        <v>0.09</v>
      </c>
      <c r="G99" s="520">
        <f t="shared" si="8"/>
        <v>0</v>
      </c>
      <c r="H99" s="520">
        <f t="shared" si="9"/>
        <v>0</v>
      </c>
      <c r="I99" s="521">
        <f t="shared" si="10"/>
        <v>0</v>
      </c>
      <c r="J99" s="378"/>
      <c r="K99" s="378"/>
      <c r="L99" s="378"/>
      <c r="M99" s="378"/>
      <c r="N99" s="378"/>
      <c r="O99" s="378"/>
      <c r="P99" s="515"/>
      <c r="Q99" s="378"/>
      <c r="R99" s="375"/>
      <c r="S99" s="375"/>
      <c r="V99" s="498">
        <v>0</v>
      </c>
      <c r="W99" s="498">
        <v>0</v>
      </c>
      <c r="X99" s="59">
        <v>0</v>
      </c>
      <c r="Y99" s="59">
        <v>0</v>
      </c>
      <c r="AF99" s="59"/>
      <c r="AG99" s="59"/>
    </row>
    <row r="100" spans="2:60">
      <c r="B100" s="652"/>
      <c r="C100" s="522">
        <v>2057</v>
      </c>
      <c r="D100" s="679"/>
      <c r="E100" s="518" t="s">
        <v>125</v>
      </c>
      <c r="F100" s="519">
        <v>0.06</v>
      </c>
      <c r="G100" s="520">
        <f t="shared" si="8"/>
        <v>1706596.8</v>
      </c>
      <c r="H100" s="520">
        <f t="shared" si="9"/>
        <v>1903931.02</v>
      </c>
      <c r="I100" s="521">
        <f t="shared" si="10"/>
        <v>-197334.22</v>
      </c>
      <c r="J100" s="378"/>
      <c r="K100" s="378"/>
      <c r="L100" s="378">
        <f>497018.11+195454.72</f>
        <v>692472.83</v>
      </c>
      <c r="M100" s="378">
        <v>195454.72</v>
      </c>
      <c r="N100" s="378">
        <v>40623.300000000003</v>
      </c>
      <c r="O100" s="378"/>
      <c r="P100" s="515">
        <v>37669.57</v>
      </c>
      <c r="Q100" s="378">
        <v>734975.63</v>
      </c>
      <c r="R100" s="375">
        <v>45069.43</v>
      </c>
      <c r="S100" s="375">
        <v>45069.43</v>
      </c>
      <c r="T100" s="59">
        <v>45222.28</v>
      </c>
      <c r="U100" s="59">
        <v>82891.850000000006</v>
      </c>
      <c r="V100" s="498">
        <f>200000+68316.87</f>
        <v>268316.87</v>
      </c>
      <c r="W100" s="498">
        <v>68316.87</v>
      </c>
      <c r="X100" s="498">
        <v>44486.8</v>
      </c>
      <c r="Y100" s="498">
        <v>44486.8</v>
      </c>
      <c r="Z100" s="59">
        <v>33839.49</v>
      </c>
      <c r="AA100" s="59">
        <v>33839.49</v>
      </c>
      <c r="AB100" s="59">
        <v>166298.74</v>
      </c>
      <c r="AF100" s="59">
        <v>277164.57</v>
      </c>
      <c r="AG100" s="59">
        <v>366298.74</v>
      </c>
      <c r="AK100" s="61">
        <v>277164.57</v>
      </c>
      <c r="BC100" s="61">
        <v>55432.92</v>
      </c>
      <c r="BH100" s="61">
        <v>55432.92</v>
      </c>
    </row>
    <row r="101" spans="2:60">
      <c r="B101" s="652" t="s">
        <v>126</v>
      </c>
      <c r="C101" s="516">
        <v>3324</v>
      </c>
      <c r="D101" s="677" t="s">
        <v>160</v>
      </c>
      <c r="E101" s="518" t="s">
        <v>123</v>
      </c>
      <c r="F101" s="519">
        <v>0.13</v>
      </c>
      <c r="G101" s="520">
        <f t="shared" si="8"/>
        <v>3899293.8</v>
      </c>
      <c r="H101" s="520">
        <f t="shared" si="9"/>
        <v>3899293.8</v>
      </c>
      <c r="I101" s="521">
        <f t="shared" si="10"/>
        <v>0</v>
      </c>
      <c r="J101" s="378"/>
      <c r="K101" s="378"/>
      <c r="L101" s="378"/>
      <c r="M101" s="378"/>
      <c r="N101" s="378"/>
      <c r="O101" s="378"/>
      <c r="P101" s="515"/>
      <c r="Q101" s="378"/>
      <c r="R101" s="375"/>
      <c r="S101" s="375"/>
      <c r="V101" s="498">
        <v>0</v>
      </c>
      <c r="W101" s="498">
        <v>0</v>
      </c>
      <c r="X101" s="59">
        <v>0</v>
      </c>
      <c r="Y101" s="59">
        <v>0</v>
      </c>
      <c r="AF101" s="59"/>
      <c r="AG101" s="59"/>
      <c r="AL101" s="61">
        <v>3899293.8</v>
      </c>
      <c r="AM101" s="61">
        <v>3899293.8</v>
      </c>
    </row>
    <row r="102" spans="2:60">
      <c r="B102" s="652"/>
      <c r="C102" s="522">
        <v>3324</v>
      </c>
      <c r="D102" s="678"/>
      <c r="E102" s="518" t="s">
        <v>124</v>
      </c>
      <c r="F102" s="519">
        <v>0.09</v>
      </c>
      <c r="G102" s="520">
        <f t="shared" si="8"/>
        <v>0</v>
      </c>
      <c r="H102" s="520">
        <f t="shared" si="9"/>
        <v>0</v>
      </c>
      <c r="I102" s="521">
        <f t="shared" si="10"/>
        <v>0</v>
      </c>
      <c r="J102" s="378"/>
      <c r="K102" s="378"/>
      <c r="L102" s="378"/>
      <c r="M102" s="378"/>
      <c r="N102" s="378"/>
      <c r="O102" s="378"/>
      <c r="P102" s="515"/>
      <c r="Q102" s="378"/>
      <c r="R102" s="375"/>
      <c r="S102" s="375"/>
      <c r="V102" s="498">
        <v>0</v>
      </c>
      <c r="W102" s="498">
        <v>0</v>
      </c>
      <c r="X102" s="59">
        <v>0</v>
      </c>
      <c r="Y102" s="59">
        <v>0</v>
      </c>
      <c r="AF102" s="59"/>
      <c r="AG102" s="59"/>
    </row>
    <row r="103" spans="2:60">
      <c r="B103" s="652"/>
      <c r="C103" s="522">
        <v>3324</v>
      </c>
      <c r="D103" s="679"/>
      <c r="E103" s="518" t="s">
        <v>125</v>
      </c>
      <c r="F103" s="519">
        <v>0.06</v>
      </c>
      <c r="G103" s="520">
        <f t="shared" si="8"/>
        <v>6775261.2300000004</v>
      </c>
      <c r="H103" s="520">
        <f t="shared" si="9"/>
        <v>6706944.3600000003</v>
      </c>
      <c r="I103" s="521">
        <f t="shared" si="10"/>
        <v>68316.870000000097</v>
      </c>
      <c r="J103" s="378"/>
      <c r="K103" s="378"/>
      <c r="L103" s="378">
        <f>1034075.48+363745.65</f>
        <v>1397821.13</v>
      </c>
      <c r="M103" s="378">
        <v>1034075.48</v>
      </c>
      <c r="N103" s="378">
        <v>685277.39</v>
      </c>
      <c r="O103" s="378"/>
      <c r="P103" s="515">
        <v>37669.57</v>
      </c>
      <c r="Q103" s="378">
        <v>1049023.04</v>
      </c>
      <c r="R103" s="375">
        <f>429769.38+45069.43</f>
        <v>474838.81</v>
      </c>
      <c r="S103" s="375">
        <v>45069.43</v>
      </c>
      <c r="T103" s="59">
        <v>1213146.8</v>
      </c>
      <c r="U103" s="59">
        <v>82891.850000000006</v>
      </c>
      <c r="V103" s="498">
        <v>1253065.3</v>
      </c>
      <c r="W103" s="498">
        <v>0</v>
      </c>
      <c r="X103" s="498">
        <v>195430.2</v>
      </c>
      <c r="Y103" s="59">
        <v>44486.8</v>
      </c>
      <c r="Z103" s="59">
        <v>33839.49</v>
      </c>
      <c r="AA103" s="59">
        <v>33839.49</v>
      </c>
      <c r="AB103" s="59">
        <v>1203398.3700000001</v>
      </c>
      <c r="AC103" s="59">
        <v>71322.899999999994</v>
      </c>
      <c r="AD103" s="59">
        <v>65889.460000000006</v>
      </c>
      <c r="AE103" s="59">
        <v>65889.460000000006</v>
      </c>
      <c r="AF103" s="59"/>
      <c r="AG103" s="59">
        <v>4065461.2</v>
      </c>
      <c r="AU103" s="59">
        <v>214884.71</v>
      </c>
      <c r="AZ103" s="61">
        <v>214884.71</v>
      </c>
    </row>
    <row r="104" spans="2:60">
      <c r="B104" s="652" t="s">
        <v>126</v>
      </c>
      <c r="C104" s="516">
        <v>4460</v>
      </c>
      <c r="D104" s="677" t="s">
        <v>161</v>
      </c>
      <c r="E104" s="518" t="s">
        <v>123</v>
      </c>
      <c r="F104" s="519">
        <v>0.13</v>
      </c>
      <c r="G104" s="520">
        <f t="shared" si="8"/>
        <v>0</v>
      </c>
      <c r="H104" s="520">
        <f t="shared" si="9"/>
        <v>0</v>
      </c>
      <c r="I104" s="521">
        <f t="shared" si="10"/>
        <v>0</v>
      </c>
      <c r="J104" s="378"/>
      <c r="K104" s="378"/>
      <c r="L104" s="378"/>
      <c r="M104" s="378"/>
      <c r="N104" s="378"/>
      <c r="O104" s="378"/>
      <c r="P104" s="515"/>
      <c r="Q104" s="378"/>
      <c r="R104" s="375"/>
      <c r="S104" s="375"/>
      <c r="V104" s="498">
        <v>0</v>
      </c>
      <c r="W104" s="498">
        <v>0</v>
      </c>
      <c r="X104" s="59">
        <v>0</v>
      </c>
      <c r="Y104" s="59">
        <v>0</v>
      </c>
      <c r="AF104" s="59"/>
      <c r="AG104" s="59"/>
    </row>
    <row r="105" spans="2:60">
      <c r="B105" s="652"/>
      <c r="C105" s="522">
        <v>4460</v>
      </c>
      <c r="D105" s="678"/>
      <c r="E105" s="518" t="s">
        <v>124</v>
      </c>
      <c r="F105" s="519">
        <v>0.09</v>
      </c>
      <c r="G105" s="520">
        <f t="shared" si="8"/>
        <v>0</v>
      </c>
      <c r="H105" s="520">
        <f t="shared" si="9"/>
        <v>0</v>
      </c>
      <c r="I105" s="521">
        <f t="shared" si="10"/>
        <v>0</v>
      </c>
      <c r="J105" s="378"/>
      <c r="K105" s="378"/>
      <c r="L105" s="378"/>
      <c r="M105" s="378"/>
      <c r="N105" s="378"/>
      <c r="O105" s="378"/>
      <c r="P105" s="515"/>
      <c r="Q105" s="378"/>
      <c r="R105" s="375"/>
      <c r="S105" s="375"/>
      <c r="V105" s="498">
        <v>0</v>
      </c>
      <c r="W105" s="498">
        <v>0</v>
      </c>
      <c r="X105" s="59">
        <v>0</v>
      </c>
      <c r="Y105" s="59">
        <v>0</v>
      </c>
      <c r="AF105" s="59"/>
      <c r="AG105" s="59"/>
    </row>
    <row r="106" spans="2:60">
      <c r="B106" s="652"/>
      <c r="C106" s="522">
        <v>4460</v>
      </c>
      <c r="D106" s="679"/>
      <c r="E106" s="518" t="s">
        <v>125</v>
      </c>
      <c r="F106" s="519">
        <v>0.06</v>
      </c>
      <c r="G106" s="520">
        <f t="shared" si="8"/>
        <v>282345.32</v>
      </c>
      <c r="H106" s="520">
        <f t="shared" si="9"/>
        <v>282345.32</v>
      </c>
      <c r="I106" s="521">
        <f t="shared" si="10"/>
        <v>0</v>
      </c>
      <c r="J106" s="378"/>
      <c r="K106" s="378"/>
      <c r="L106" s="378">
        <v>165100.22</v>
      </c>
      <c r="M106" s="378"/>
      <c r="N106" s="378">
        <v>16926.37</v>
      </c>
      <c r="O106" s="378"/>
      <c r="P106" s="515">
        <v>15695.65</v>
      </c>
      <c r="Q106" s="378">
        <v>182026.59</v>
      </c>
      <c r="R106" s="375">
        <v>18778.93</v>
      </c>
      <c r="S106" s="375">
        <v>18778.93</v>
      </c>
      <c r="T106" s="59">
        <v>18842.62</v>
      </c>
      <c r="U106" s="59">
        <v>18842.62</v>
      </c>
      <c r="V106" s="498">
        <v>28465.360000000001</v>
      </c>
      <c r="W106" s="498">
        <v>28465.360000000001</v>
      </c>
      <c r="X106" s="498">
        <v>18536.169999999998</v>
      </c>
      <c r="Y106" s="59">
        <v>34231.82</v>
      </c>
      <c r="AF106" s="59"/>
      <c r="AG106" s="59"/>
    </row>
    <row r="107" spans="2:60">
      <c r="B107" s="652" t="s">
        <v>126</v>
      </c>
      <c r="C107" s="516">
        <v>3100</v>
      </c>
      <c r="D107" s="677" t="s">
        <v>162</v>
      </c>
      <c r="E107" s="518" t="s">
        <v>123</v>
      </c>
      <c r="F107" s="519">
        <v>0.13</v>
      </c>
      <c r="G107" s="520">
        <f t="shared" si="8"/>
        <v>0</v>
      </c>
      <c r="H107" s="520">
        <f t="shared" si="9"/>
        <v>0</v>
      </c>
      <c r="I107" s="521">
        <f t="shared" si="10"/>
        <v>0</v>
      </c>
      <c r="J107" s="378"/>
      <c r="K107" s="378"/>
      <c r="L107" s="378"/>
      <c r="M107" s="378"/>
      <c r="N107" s="378"/>
      <c r="O107" s="378"/>
      <c r="P107" s="515"/>
      <c r="Q107" s="378"/>
      <c r="R107" s="375"/>
      <c r="S107" s="375"/>
      <c r="V107" s="498">
        <v>0</v>
      </c>
      <c r="W107" s="498">
        <v>0</v>
      </c>
      <c r="X107" s="498">
        <v>0</v>
      </c>
      <c r="Y107" s="498">
        <v>0</v>
      </c>
      <c r="AF107" s="59"/>
      <c r="AG107" s="59"/>
    </row>
    <row r="108" spans="2:60">
      <c r="B108" s="652"/>
      <c r="C108" s="522">
        <v>3100</v>
      </c>
      <c r="D108" s="678"/>
      <c r="E108" s="518" t="s">
        <v>124</v>
      </c>
      <c r="F108" s="519">
        <v>0.09</v>
      </c>
      <c r="G108" s="520">
        <f t="shared" si="8"/>
        <v>0</v>
      </c>
      <c r="H108" s="520">
        <f t="shared" si="9"/>
        <v>0</v>
      </c>
      <c r="I108" s="521">
        <f t="shared" si="10"/>
        <v>0</v>
      </c>
      <c r="J108" s="378"/>
      <c r="K108" s="378"/>
      <c r="L108" s="378"/>
      <c r="M108" s="378"/>
      <c r="N108" s="378"/>
      <c r="O108" s="378"/>
      <c r="P108" s="515"/>
      <c r="Q108" s="378"/>
      <c r="R108" s="375"/>
      <c r="S108" s="375"/>
      <c r="V108" s="498">
        <v>0</v>
      </c>
      <c r="W108" s="498">
        <v>0</v>
      </c>
      <c r="X108" s="498">
        <v>0</v>
      </c>
      <c r="Y108" s="498">
        <v>0</v>
      </c>
      <c r="AF108" s="59"/>
      <c r="AG108" s="59"/>
    </row>
    <row r="109" spans="2:60">
      <c r="B109" s="652"/>
      <c r="C109" s="529">
        <v>3100</v>
      </c>
      <c r="D109" s="679"/>
      <c r="E109" s="518" t="s">
        <v>125</v>
      </c>
      <c r="F109" s="519">
        <v>0.06</v>
      </c>
      <c r="G109" s="520">
        <f t="shared" si="8"/>
        <v>0</v>
      </c>
      <c r="H109" s="520">
        <f t="shared" si="9"/>
        <v>1772971.66</v>
      </c>
      <c r="I109" s="521">
        <f t="shared" si="10"/>
        <v>-1772971.66</v>
      </c>
      <c r="J109" s="378"/>
      <c r="K109" s="378"/>
      <c r="L109" s="378"/>
      <c r="M109" s="378"/>
      <c r="N109" s="378"/>
      <c r="O109" s="378"/>
      <c r="P109" s="515"/>
      <c r="Q109" s="378">
        <v>1772971.66</v>
      </c>
      <c r="R109" s="375"/>
      <c r="S109" s="375"/>
      <c r="V109" s="498">
        <v>0</v>
      </c>
      <c r="W109" s="498">
        <v>0</v>
      </c>
      <c r="X109" s="498">
        <v>0</v>
      </c>
      <c r="Y109" s="498">
        <v>0</v>
      </c>
      <c r="AF109" s="59"/>
      <c r="AG109" s="59"/>
    </row>
    <row r="110" spans="2:60">
      <c r="B110" s="652" t="s">
        <v>126</v>
      </c>
      <c r="C110" s="516">
        <v>3353</v>
      </c>
      <c r="D110" s="680" t="s">
        <v>163</v>
      </c>
      <c r="E110" s="518" t="s">
        <v>123</v>
      </c>
      <c r="F110" s="519">
        <v>0.13</v>
      </c>
      <c r="G110" s="520">
        <f t="shared" si="8"/>
        <v>255060265.33000001</v>
      </c>
      <c r="H110" s="520">
        <f t="shared" si="9"/>
        <v>255060265.33000001</v>
      </c>
      <c r="I110" s="521">
        <f t="shared" si="10"/>
        <v>0</v>
      </c>
      <c r="J110" s="378"/>
      <c r="K110" s="378"/>
      <c r="L110" s="378"/>
      <c r="M110" s="378"/>
      <c r="N110" s="378"/>
      <c r="O110" s="378"/>
      <c r="P110" s="515"/>
      <c r="Q110" s="378"/>
      <c r="R110" s="375"/>
      <c r="S110" s="375"/>
      <c r="X110" s="59">
        <v>0</v>
      </c>
      <c r="Y110" s="59">
        <v>0</v>
      </c>
      <c r="AB110" s="59">
        <v>2268932.06</v>
      </c>
      <c r="AD110" s="59">
        <v>246463899.63999999</v>
      </c>
      <c r="AF110" s="59"/>
      <c r="AG110" s="59"/>
      <c r="AJ110" s="61">
        <v>6327433.6299999999</v>
      </c>
      <c r="AK110" s="61">
        <v>173438843.69999999</v>
      </c>
      <c r="AQ110" s="61">
        <v>81621421.629999995</v>
      </c>
    </row>
    <row r="111" spans="2:60">
      <c r="B111" s="652"/>
      <c r="C111" s="522">
        <v>3353</v>
      </c>
      <c r="D111" s="681"/>
      <c r="E111" s="518" t="s">
        <v>124</v>
      </c>
      <c r="F111" s="519">
        <v>0.09</v>
      </c>
      <c r="G111" s="520">
        <f t="shared" si="8"/>
        <v>130866403.03</v>
      </c>
      <c r="H111" s="520">
        <f t="shared" si="9"/>
        <v>130866403.03</v>
      </c>
      <c r="I111" s="521">
        <f t="shared" si="10"/>
        <v>0</v>
      </c>
      <c r="J111" s="378"/>
      <c r="K111" s="378"/>
      <c r="L111" s="378"/>
      <c r="M111" s="378"/>
      <c r="N111" s="378"/>
      <c r="O111" s="378"/>
      <c r="P111" s="515"/>
      <c r="Q111" s="378"/>
      <c r="R111" s="375"/>
      <c r="S111" s="375"/>
      <c r="T111" s="59">
        <v>281182.83</v>
      </c>
      <c r="V111" s="498">
        <v>9193750.7799999993</v>
      </c>
      <c r="W111" s="498">
        <v>0</v>
      </c>
      <c r="X111" s="59">
        <v>12747360.5</v>
      </c>
      <c r="Y111" s="59">
        <v>0</v>
      </c>
      <c r="Z111" s="59">
        <v>7619203.7699999996</v>
      </c>
      <c r="AB111" s="59">
        <v>6900400</v>
      </c>
      <c r="AC111" s="59">
        <v>29841497.879999999</v>
      </c>
      <c r="AD111" s="59">
        <v>101323748.27</v>
      </c>
      <c r="AE111" s="59">
        <v>101257282</v>
      </c>
      <c r="AF111" s="59"/>
      <c r="AG111" s="59"/>
      <c r="AJ111" s="61">
        <v>-7199243.1200000001</v>
      </c>
      <c r="AK111" s="61">
        <v>-3808486.27</v>
      </c>
      <c r="AQ111" s="61">
        <v>3576109.42</v>
      </c>
    </row>
    <row r="112" spans="2:60">
      <c r="B112" s="652"/>
      <c r="C112" s="529">
        <v>3353</v>
      </c>
      <c r="D112" s="682"/>
      <c r="E112" s="518" t="s">
        <v>125</v>
      </c>
      <c r="F112" s="519">
        <v>0.06</v>
      </c>
      <c r="G112" s="520">
        <f t="shared" si="8"/>
        <v>13349390.16</v>
      </c>
      <c r="H112" s="520">
        <f t="shared" si="9"/>
        <v>13349390.16</v>
      </c>
      <c r="I112" s="521">
        <f t="shared" si="10"/>
        <v>0</v>
      </c>
      <c r="J112" s="378"/>
      <c r="K112" s="378"/>
      <c r="L112" s="378"/>
      <c r="M112" s="378"/>
      <c r="N112" s="378"/>
      <c r="O112" s="378"/>
      <c r="P112" s="515"/>
      <c r="Q112" s="378"/>
      <c r="R112" s="375"/>
      <c r="S112" s="375"/>
      <c r="T112" s="59">
        <v>1617787.02</v>
      </c>
      <c r="V112" s="498">
        <f>116153.78+68316.87</f>
        <v>184470.65</v>
      </c>
      <c r="W112" s="498">
        <v>68316.87</v>
      </c>
      <c r="X112" s="498">
        <f>388295.7+44486.8</f>
        <v>432782.5</v>
      </c>
      <c r="Y112" s="59">
        <v>44486.8</v>
      </c>
      <c r="Z112" s="59">
        <v>131265.23000000001</v>
      </c>
      <c r="AA112" s="59">
        <v>33839.49</v>
      </c>
      <c r="AB112" s="59">
        <v>1849696.49999999</v>
      </c>
      <c r="AC112" s="59">
        <v>71322.899999999994</v>
      </c>
      <c r="AD112" s="59">
        <v>9274897.6899999995</v>
      </c>
      <c r="AE112" s="59">
        <v>3998035.84</v>
      </c>
      <c r="AF112" s="59"/>
      <c r="AG112" s="59"/>
      <c r="AJ112" s="61">
        <v>-141509.43</v>
      </c>
      <c r="AQ112" s="61">
        <v>9133388.2599999998</v>
      </c>
    </row>
    <row r="113" spans="2:60">
      <c r="B113" s="652" t="s">
        <v>126</v>
      </c>
      <c r="C113" s="516" t="s">
        <v>164</v>
      </c>
      <c r="D113" s="680" t="s">
        <v>165</v>
      </c>
      <c r="E113" s="518" t="s">
        <v>123</v>
      </c>
      <c r="F113" s="519">
        <v>0.13</v>
      </c>
      <c r="G113" s="520">
        <f t="shared" si="8"/>
        <v>20353982.289999999</v>
      </c>
      <c r="H113" s="520">
        <f t="shared" si="9"/>
        <v>0</v>
      </c>
      <c r="I113" s="521">
        <f t="shared" si="10"/>
        <v>20353982.289999999</v>
      </c>
      <c r="J113" s="378"/>
      <c r="K113" s="378"/>
      <c r="L113" s="378"/>
      <c r="M113" s="378"/>
      <c r="N113" s="378"/>
      <c r="O113" s="378"/>
      <c r="P113" s="515"/>
      <c r="Q113" s="378"/>
      <c r="R113" s="375"/>
      <c r="S113" s="375"/>
      <c r="W113" s="498">
        <v>0</v>
      </c>
      <c r="X113" s="59"/>
      <c r="AB113" s="59">
        <v>1169652.94</v>
      </c>
      <c r="AD113" s="59">
        <v>10866195.6</v>
      </c>
      <c r="AF113" s="59">
        <v>1337273.4099999999</v>
      </c>
      <c r="AG113" s="59"/>
      <c r="AI113" s="527">
        <v>13373121.949999999</v>
      </c>
      <c r="AP113" s="61">
        <v>997787.61</v>
      </c>
      <c r="AR113" s="61">
        <v>5983072.7300000004</v>
      </c>
      <c r="AS113" s="59">
        <v>-13373121.949999999</v>
      </c>
    </row>
    <row r="114" spans="2:60">
      <c r="B114" s="652"/>
      <c r="C114" s="522" t="s">
        <v>164</v>
      </c>
      <c r="D114" s="681"/>
      <c r="E114" s="518" t="s">
        <v>124</v>
      </c>
      <c r="F114" s="519">
        <v>0.09</v>
      </c>
      <c r="G114" s="520">
        <f t="shared" si="8"/>
        <v>3749821.71</v>
      </c>
      <c r="H114" s="520">
        <f t="shared" si="9"/>
        <v>0</v>
      </c>
      <c r="I114" s="521">
        <f t="shared" si="10"/>
        <v>3749821.71</v>
      </c>
      <c r="J114" s="378"/>
      <c r="K114" s="378"/>
      <c r="L114" s="378"/>
      <c r="M114" s="378"/>
      <c r="N114" s="378"/>
      <c r="O114" s="378"/>
      <c r="P114" s="515"/>
      <c r="Q114" s="378"/>
      <c r="R114" s="375"/>
      <c r="S114" s="375"/>
      <c r="W114" s="498">
        <v>0</v>
      </c>
      <c r="X114" s="59">
        <v>1367893.25</v>
      </c>
      <c r="Z114" s="59">
        <v>1862627.29</v>
      </c>
      <c r="AB114" s="59">
        <v>3678388.11</v>
      </c>
      <c r="AD114" s="59">
        <v>3245448.71</v>
      </c>
      <c r="AE114" s="59">
        <v>0</v>
      </c>
      <c r="AF114" s="59">
        <v>1608135.67</v>
      </c>
      <c r="AG114" s="59"/>
      <c r="AH114" s="527">
        <v>29854.37</v>
      </c>
      <c r="AR114" s="61">
        <v>-5880013.9299999997</v>
      </c>
      <c r="BG114" s="61">
        <v>-2162511.7599999998</v>
      </c>
    </row>
    <row r="115" spans="2:60">
      <c r="B115" s="652"/>
      <c r="C115" s="529" t="s">
        <v>164</v>
      </c>
      <c r="D115" s="682"/>
      <c r="E115" s="518" t="s">
        <v>125</v>
      </c>
      <c r="F115" s="519">
        <v>0.06</v>
      </c>
      <c r="G115" s="520">
        <f t="shared" si="8"/>
        <v>3901926.87</v>
      </c>
      <c r="H115" s="520">
        <f t="shared" si="9"/>
        <v>2282478.46</v>
      </c>
      <c r="I115" s="521">
        <f t="shared" si="10"/>
        <v>1619448.41</v>
      </c>
      <c r="J115" s="378"/>
      <c r="K115" s="378"/>
      <c r="L115" s="378"/>
      <c r="M115" s="378"/>
      <c r="N115" s="378"/>
      <c r="O115" s="378"/>
      <c r="P115" s="515"/>
      <c r="Q115" s="378"/>
      <c r="R115" s="375"/>
      <c r="S115" s="375"/>
      <c r="W115" s="498">
        <v>0</v>
      </c>
      <c r="X115" s="498">
        <v>0</v>
      </c>
      <c r="Y115" s="59">
        <v>607743.34</v>
      </c>
      <c r="Z115" s="59">
        <v>64842.36</v>
      </c>
      <c r="AA115" s="59">
        <v>14099.79</v>
      </c>
      <c r="AB115" s="59">
        <f>574644.72+29717.88</f>
        <v>604362.6</v>
      </c>
      <c r="AC115" s="59">
        <v>29717.88</v>
      </c>
      <c r="AD115" s="59">
        <v>356299.03</v>
      </c>
      <c r="AF115" s="59">
        <v>649231.13</v>
      </c>
      <c r="AG115" s="59"/>
      <c r="AH115" s="527">
        <v>91863.21</v>
      </c>
      <c r="AI115" s="59">
        <v>1630917.45</v>
      </c>
      <c r="AL115" s="61">
        <v>342177.28000000003</v>
      </c>
      <c r="AN115" s="61">
        <v>649937.68999999994</v>
      </c>
      <c r="AP115" s="61">
        <v>12210</v>
      </c>
      <c r="AR115" s="61">
        <v>52575.73</v>
      </c>
      <c r="AU115" s="59">
        <v>81226.41</v>
      </c>
      <c r="AW115" s="59">
        <v>21311.88</v>
      </c>
      <c r="BC115" s="61">
        <v>99554.75</v>
      </c>
      <c r="BG115" s="61">
        <v>876334.8</v>
      </c>
    </row>
    <row r="116" spans="2:60">
      <c r="B116" s="652" t="s">
        <v>126</v>
      </c>
      <c r="C116" s="516">
        <v>3315</v>
      </c>
      <c r="D116" s="680" t="s">
        <v>166</v>
      </c>
      <c r="E116" s="518" t="s">
        <v>123</v>
      </c>
      <c r="F116" s="519">
        <v>0.13</v>
      </c>
      <c r="G116" s="520">
        <f t="shared" si="8"/>
        <v>0</v>
      </c>
      <c r="H116" s="520">
        <f t="shared" si="9"/>
        <v>21772916.079999998</v>
      </c>
      <c r="I116" s="521">
        <f t="shared" si="10"/>
        <v>-21772916.079999998</v>
      </c>
      <c r="J116" s="378"/>
      <c r="K116" s="378"/>
      <c r="L116" s="378"/>
      <c r="M116" s="378"/>
      <c r="N116" s="378"/>
      <c r="O116" s="378"/>
      <c r="P116" s="515"/>
      <c r="Q116" s="378"/>
      <c r="R116" s="375"/>
      <c r="S116" s="375"/>
      <c r="V116" s="498">
        <v>0</v>
      </c>
      <c r="W116" s="498">
        <v>0</v>
      </c>
      <c r="X116" s="59">
        <v>0</v>
      </c>
      <c r="Y116" s="59">
        <v>21772916.079999998</v>
      </c>
      <c r="AF116" s="59"/>
      <c r="AG116" s="59"/>
    </row>
    <row r="117" spans="2:60">
      <c r="B117" s="652"/>
      <c r="C117" s="522">
        <v>3315</v>
      </c>
      <c r="D117" s="681"/>
      <c r="E117" s="518" t="s">
        <v>124</v>
      </c>
      <c r="F117" s="519">
        <v>0.09</v>
      </c>
      <c r="G117" s="520">
        <f t="shared" si="8"/>
        <v>418382.43</v>
      </c>
      <c r="H117" s="520">
        <f t="shared" si="9"/>
        <v>5947277.2400000002</v>
      </c>
      <c r="I117" s="521">
        <f t="shared" si="10"/>
        <v>-5528894.8099999996</v>
      </c>
      <c r="J117" s="378"/>
      <c r="K117" s="378"/>
      <c r="L117" s="378"/>
      <c r="M117" s="378"/>
      <c r="N117" s="378"/>
      <c r="O117" s="378"/>
      <c r="P117" s="515"/>
      <c r="Q117" s="378"/>
      <c r="R117" s="375"/>
      <c r="S117" s="375"/>
      <c r="V117" s="498">
        <v>0</v>
      </c>
      <c r="W117" s="498">
        <v>0</v>
      </c>
      <c r="X117" s="59">
        <v>0</v>
      </c>
      <c r="Y117" s="59">
        <v>5528894.8099999996</v>
      </c>
      <c r="AD117" s="59">
        <v>418382.43</v>
      </c>
      <c r="AE117" s="59">
        <v>418382.43</v>
      </c>
      <c r="AF117" s="59"/>
      <c r="AG117" s="59"/>
    </row>
    <row r="118" spans="2:60">
      <c r="B118" s="652"/>
      <c r="C118" s="529">
        <v>3315</v>
      </c>
      <c r="D118" s="682"/>
      <c r="E118" s="518" t="s">
        <v>125</v>
      </c>
      <c r="F118" s="519">
        <v>0.06</v>
      </c>
      <c r="G118" s="520">
        <f t="shared" si="8"/>
        <v>191056.34</v>
      </c>
      <c r="H118" s="520">
        <f t="shared" si="9"/>
        <v>318441.53999999998</v>
      </c>
      <c r="I118" s="521">
        <f t="shared" si="10"/>
        <v>-127385.2</v>
      </c>
      <c r="J118" s="378"/>
      <c r="K118" s="378"/>
      <c r="L118" s="378"/>
      <c r="M118" s="378"/>
      <c r="N118" s="378"/>
      <c r="O118" s="378"/>
      <c r="P118" s="515"/>
      <c r="Q118" s="378"/>
      <c r="R118" s="375"/>
      <c r="S118" s="375"/>
      <c r="U118" s="59">
        <v>318441.53999999998</v>
      </c>
      <c r="V118" s="498">
        <v>0</v>
      </c>
      <c r="W118" s="498">
        <v>0</v>
      </c>
      <c r="AF118" s="59"/>
      <c r="AG118" s="59"/>
      <c r="AY118" s="61">
        <v>107838.51</v>
      </c>
      <c r="BC118" s="61">
        <v>83217.83</v>
      </c>
    </row>
    <row r="119" spans="2:60">
      <c r="B119" s="652" t="s">
        <v>167</v>
      </c>
      <c r="C119" s="516"/>
      <c r="D119" s="680" t="s">
        <v>167</v>
      </c>
      <c r="E119" s="518" t="s">
        <v>123</v>
      </c>
      <c r="F119" s="519">
        <v>0.13</v>
      </c>
      <c r="G119" s="520">
        <f t="shared" si="8"/>
        <v>10452126.810000001</v>
      </c>
      <c r="H119" s="520">
        <f t="shared" si="9"/>
        <v>9190405.0999999996</v>
      </c>
      <c r="I119" s="521">
        <f t="shared" si="10"/>
        <v>1261721.71</v>
      </c>
      <c r="J119" s="378"/>
      <c r="K119" s="378"/>
      <c r="L119" s="378"/>
      <c r="M119" s="378"/>
      <c r="N119" s="378"/>
      <c r="O119" s="378"/>
      <c r="P119" s="515"/>
      <c r="Q119" s="378"/>
      <c r="R119" s="375"/>
      <c r="S119" s="375"/>
      <c r="V119" s="498">
        <f>10583.3399999998+395044.24</f>
        <v>405627.58</v>
      </c>
      <c r="W119" s="498">
        <v>3722611.21</v>
      </c>
      <c r="X119" s="59"/>
      <c r="AF119" s="59"/>
      <c r="AG119" s="59"/>
      <c r="AH119" s="59">
        <v>480713.13</v>
      </c>
      <c r="AJ119" s="61">
        <v>457594.21</v>
      </c>
      <c r="AK119" s="61">
        <v>31524</v>
      </c>
      <c r="AL119" s="61">
        <v>2980432.9</v>
      </c>
      <c r="AM119" s="61">
        <v>1793535.39</v>
      </c>
      <c r="AN119" s="61">
        <v>880996.23</v>
      </c>
      <c r="AP119" s="61">
        <v>797379.75</v>
      </c>
      <c r="AR119" s="61">
        <v>665263.27</v>
      </c>
      <c r="AS119" s="59">
        <v>2643323</v>
      </c>
      <c r="AU119" s="59">
        <v>660387.16</v>
      </c>
      <c r="AV119" s="59">
        <v>0</v>
      </c>
      <c r="AW119" s="59">
        <v>752865.04</v>
      </c>
      <c r="AY119" s="61">
        <v>660387.16</v>
      </c>
      <c r="AZ119" s="61">
        <v>999411.5</v>
      </c>
      <c r="BC119" s="61">
        <v>1049723.45</v>
      </c>
      <c r="BG119" s="61">
        <v>660756.93000000005</v>
      </c>
    </row>
    <row r="120" spans="2:60">
      <c r="B120" s="652"/>
      <c r="C120" s="522"/>
      <c r="D120" s="681"/>
      <c r="E120" s="518" t="s">
        <v>124</v>
      </c>
      <c r="F120" s="519">
        <v>0.09</v>
      </c>
      <c r="G120" s="520">
        <f t="shared" si="8"/>
        <v>3189024.5</v>
      </c>
      <c r="H120" s="520">
        <f t="shared" si="9"/>
        <v>68076</v>
      </c>
      <c r="I120" s="521">
        <f t="shared" si="10"/>
        <v>3120948.5</v>
      </c>
      <c r="J120" s="378"/>
      <c r="K120" s="378"/>
      <c r="L120" s="378"/>
      <c r="M120" s="378"/>
      <c r="N120" s="378"/>
      <c r="O120" s="378"/>
      <c r="P120" s="515"/>
      <c r="Q120" s="378"/>
      <c r="R120" s="375"/>
      <c r="S120" s="375"/>
      <c r="X120" s="59"/>
      <c r="AF120" s="59">
        <v>0</v>
      </c>
      <c r="AG120" s="59">
        <v>0</v>
      </c>
      <c r="AJ120" s="61">
        <v>41119.99</v>
      </c>
      <c r="AK120" s="61">
        <v>68076</v>
      </c>
      <c r="AN120" s="61">
        <v>68076</v>
      </c>
      <c r="AP120" s="61">
        <v>1366862.34</v>
      </c>
      <c r="BC120" s="61">
        <v>1590724.09</v>
      </c>
      <c r="BG120" s="61">
        <v>122242.08</v>
      </c>
    </row>
    <row r="121" spans="2:60">
      <c r="B121" s="652"/>
      <c r="C121" s="529"/>
      <c r="D121" s="682"/>
      <c r="E121" s="518" t="s">
        <v>125</v>
      </c>
      <c r="F121" s="519">
        <v>0.06</v>
      </c>
      <c r="G121" s="520">
        <f t="shared" si="8"/>
        <v>16215421.539999999</v>
      </c>
      <c r="H121" s="520">
        <f t="shared" si="9"/>
        <v>13727253.73</v>
      </c>
      <c r="I121" s="521">
        <f t="shared" si="10"/>
        <v>2488167.81</v>
      </c>
      <c r="J121" s="378"/>
      <c r="K121" s="378"/>
      <c r="L121" s="378">
        <v>256027.28</v>
      </c>
      <c r="M121" s="378"/>
      <c r="N121" s="378">
        <v>797627.28</v>
      </c>
      <c r="O121" s="378">
        <v>227232.63</v>
      </c>
      <c r="P121" s="515">
        <v>256027.28</v>
      </c>
      <c r="Q121" s="378"/>
      <c r="R121" s="375"/>
      <c r="S121" s="375"/>
      <c r="T121" s="59">
        <v>438378.31</v>
      </c>
      <c r="AF121" s="59">
        <v>0</v>
      </c>
      <c r="AG121" s="59">
        <v>0</v>
      </c>
      <c r="AH121" s="59">
        <v>1898503.28</v>
      </c>
      <c r="AI121" s="59">
        <v>1871451.74</v>
      </c>
      <c r="AJ121" s="61">
        <v>1131680.5900000001</v>
      </c>
      <c r="AK121" s="61">
        <v>635607.65</v>
      </c>
      <c r="AL121" s="61">
        <v>1621800.03</v>
      </c>
      <c r="AM121" s="61">
        <v>370645.49</v>
      </c>
      <c r="AN121" s="61">
        <v>1541443.02</v>
      </c>
      <c r="AO121" s="61">
        <v>1092264.19</v>
      </c>
      <c r="AR121" s="61">
        <v>1361483.06</v>
      </c>
      <c r="AS121" s="59">
        <v>3877729.8</v>
      </c>
      <c r="AU121" s="59">
        <v>1366862.34</v>
      </c>
      <c r="AV121" s="59">
        <v>1263802.25</v>
      </c>
      <c r="AW121" s="59">
        <v>1268277.43</v>
      </c>
      <c r="AX121" s="59">
        <v>289561.32</v>
      </c>
      <c r="AY121" s="61">
        <v>1427694.98</v>
      </c>
      <c r="AZ121" s="61">
        <v>987215.2</v>
      </c>
      <c r="BC121" s="61">
        <f>1539154.77+57228.13</f>
        <v>1596382.9</v>
      </c>
      <c r="BD121" s="61">
        <f>2647563.72+57228.13</f>
        <v>2704791.85</v>
      </c>
      <c r="BG121" s="61">
        <v>1253233.76</v>
      </c>
      <c r="BH121" s="61">
        <v>406951.61</v>
      </c>
    </row>
    <row r="122" spans="2:60">
      <c r="B122" s="652" t="s">
        <v>168</v>
      </c>
      <c r="C122" s="522"/>
      <c r="D122" s="680" t="s">
        <v>169</v>
      </c>
      <c r="E122" s="518" t="s">
        <v>123</v>
      </c>
      <c r="F122" s="519">
        <v>0.13</v>
      </c>
      <c r="G122" s="520">
        <f t="shared" si="8"/>
        <v>155752365.66</v>
      </c>
      <c r="H122" s="520">
        <f t="shared" si="9"/>
        <v>142762512.34</v>
      </c>
      <c r="I122" s="521">
        <f t="shared" si="10"/>
        <v>12989853.32</v>
      </c>
      <c r="J122" s="378"/>
      <c r="K122" s="378"/>
      <c r="L122" s="378">
        <v>22141073.82</v>
      </c>
      <c r="M122" s="378">
        <v>16100000</v>
      </c>
      <c r="N122" s="378">
        <v>7230088.5</v>
      </c>
      <c r="O122" s="378"/>
      <c r="P122" s="515"/>
      <c r="Q122" s="378"/>
      <c r="R122" s="375"/>
      <c r="S122" s="375"/>
      <c r="T122" s="59">
        <v>59382288.780000001</v>
      </c>
      <c r="U122" s="59">
        <v>18639601.609999999</v>
      </c>
      <c r="V122" s="498">
        <v>6283185.8399999999</v>
      </c>
      <c r="X122" s="59">
        <v>48885870.399999999</v>
      </c>
      <c r="Y122" s="59">
        <v>101708554.22</v>
      </c>
      <c r="Z122" s="59">
        <v>11083131.880000001</v>
      </c>
      <c r="AA122" s="59">
        <v>-39626548.460000001</v>
      </c>
      <c r="AD122" s="59">
        <v>746726.44</v>
      </c>
      <c r="AF122" s="59"/>
      <c r="AG122" s="59"/>
      <c r="AK122" s="61">
        <v>45940904.969999999</v>
      </c>
    </row>
    <row r="123" spans="2:60">
      <c r="B123" s="652"/>
      <c r="C123" s="522"/>
      <c r="D123" s="681"/>
      <c r="E123" s="518" t="s">
        <v>124</v>
      </c>
      <c r="F123" s="519">
        <v>0.09</v>
      </c>
      <c r="G123" s="520">
        <f t="shared" si="8"/>
        <v>104513642.55</v>
      </c>
      <c r="H123" s="520">
        <f t="shared" si="9"/>
        <v>189134862.38</v>
      </c>
      <c r="I123" s="521">
        <f t="shared" si="10"/>
        <v>-84621219.829999998</v>
      </c>
      <c r="J123" s="378"/>
      <c r="K123" s="378"/>
      <c r="L123" s="378">
        <v>26213959.489999998</v>
      </c>
      <c r="M123" s="378">
        <v>58630275.229999997</v>
      </c>
      <c r="N123" s="378">
        <v>90809.78</v>
      </c>
      <c r="O123" s="378"/>
      <c r="P123" s="515"/>
      <c r="Q123" s="378"/>
      <c r="R123" s="375"/>
      <c r="S123" s="375"/>
      <c r="V123" s="498">
        <v>42979515.5</v>
      </c>
      <c r="W123" s="498">
        <v>7018348.6200000001</v>
      </c>
      <c r="X123" s="528">
        <v>0</v>
      </c>
      <c r="Y123" s="59">
        <v>0</v>
      </c>
      <c r="Z123" s="59">
        <v>4642201.84</v>
      </c>
      <c r="AA123" s="59">
        <v>123486238.53</v>
      </c>
      <c r="AB123" s="59">
        <v>30587155.940000001</v>
      </c>
      <c r="AF123" s="59"/>
      <c r="AG123" s="59"/>
    </row>
    <row r="124" spans="2:60">
      <c r="B124" s="652"/>
      <c r="C124" s="522"/>
      <c r="D124" s="682"/>
      <c r="E124" s="518" t="s">
        <v>125</v>
      </c>
      <c r="F124" s="519">
        <v>0.06</v>
      </c>
      <c r="G124" s="520">
        <f t="shared" si="8"/>
        <v>6444066.9500000002</v>
      </c>
      <c r="H124" s="520">
        <f t="shared" si="9"/>
        <v>0</v>
      </c>
      <c r="I124" s="521">
        <f t="shared" si="10"/>
        <v>6444066.9500000002</v>
      </c>
      <c r="J124" s="378"/>
      <c r="K124" s="378"/>
      <c r="L124" s="378"/>
      <c r="M124" s="378"/>
      <c r="N124" s="378"/>
      <c r="O124" s="378"/>
      <c r="P124" s="515">
        <v>7017.74</v>
      </c>
      <c r="Q124" s="378"/>
      <c r="R124" s="375">
        <v>518137.49</v>
      </c>
      <c r="S124" s="375"/>
      <c r="T124" s="59">
        <v>778821.98</v>
      </c>
      <c r="V124" s="498">
        <v>1723949.46</v>
      </c>
      <c r="X124" s="498">
        <v>666182.54</v>
      </c>
      <c r="Y124" s="59">
        <v>0</v>
      </c>
      <c r="Z124" s="59">
        <v>231938.7</v>
      </c>
      <c r="AA124" s="528">
        <v>0</v>
      </c>
      <c r="AB124" s="59">
        <v>2490338.38</v>
      </c>
      <c r="AD124" s="59">
        <v>18601.939999999999</v>
      </c>
      <c r="AF124" s="59">
        <v>4539.3599999999997</v>
      </c>
      <c r="AG124" s="59"/>
      <c r="AH124" s="527">
        <v>4539.3599999999997</v>
      </c>
    </row>
    <row r="125" spans="2:60">
      <c r="B125" s="653" t="s">
        <v>170</v>
      </c>
      <c r="C125" s="522"/>
      <c r="D125" s="680" t="s">
        <v>169</v>
      </c>
      <c r="E125" s="518" t="s">
        <v>123</v>
      </c>
      <c r="F125" s="519">
        <v>0.13</v>
      </c>
      <c r="G125" s="520">
        <f t="shared" si="8"/>
        <v>-1513274.34</v>
      </c>
      <c r="H125" s="520">
        <f t="shared" si="9"/>
        <v>0</v>
      </c>
      <c r="I125" s="521">
        <f t="shared" si="10"/>
        <v>-1513274.34</v>
      </c>
      <c r="J125" s="378"/>
      <c r="K125" s="378"/>
      <c r="L125" s="378"/>
      <c r="M125" s="378"/>
      <c r="N125" s="378"/>
      <c r="O125" s="378"/>
      <c r="P125" s="515"/>
      <c r="Q125" s="378"/>
      <c r="R125" s="375"/>
      <c r="S125" s="375"/>
      <c r="X125" s="526"/>
      <c r="AA125" s="533"/>
      <c r="AF125" s="59"/>
      <c r="AG125" s="59"/>
      <c r="AH125" s="534"/>
      <c r="AU125" s="59">
        <v>-1513274.34</v>
      </c>
      <c r="BC125" s="61">
        <v>0</v>
      </c>
    </row>
    <row r="126" spans="2:60">
      <c r="B126" s="653"/>
      <c r="C126" s="522"/>
      <c r="D126" s="681"/>
      <c r="E126" s="518" t="s">
        <v>124</v>
      </c>
      <c r="F126" s="519">
        <v>0.09</v>
      </c>
      <c r="G126" s="520">
        <f t="shared" si="8"/>
        <v>72899335.969999999</v>
      </c>
      <c r="H126" s="520">
        <f t="shared" si="9"/>
        <v>24770642.199999999</v>
      </c>
      <c r="I126" s="521">
        <f t="shared" si="10"/>
        <v>48128693.770000003</v>
      </c>
      <c r="J126" s="378"/>
      <c r="K126" s="378"/>
      <c r="L126" s="378"/>
      <c r="M126" s="378"/>
      <c r="N126" s="378"/>
      <c r="O126" s="378"/>
      <c r="P126" s="515"/>
      <c r="Q126" s="378"/>
      <c r="R126" s="375"/>
      <c r="S126" s="375"/>
      <c r="X126" s="526"/>
      <c r="AA126" s="533"/>
      <c r="AF126" s="59"/>
      <c r="AG126" s="59"/>
      <c r="AH126" s="534"/>
      <c r="AJ126" s="61">
        <v>18348623.850000001</v>
      </c>
      <c r="AN126" s="61">
        <v>14020628.18</v>
      </c>
      <c r="AP126" s="61">
        <v>10281794.01</v>
      </c>
      <c r="AU126" s="59">
        <v>21100917.440000001</v>
      </c>
      <c r="AX126" s="59">
        <v>15596330.279999999</v>
      </c>
      <c r="BC126" s="61">
        <v>9147372.4900000002</v>
      </c>
      <c r="BD126" s="61">
        <v>9174311.9199999999</v>
      </c>
    </row>
    <row r="127" spans="2:60">
      <c r="B127" s="653"/>
      <c r="C127" s="516"/>
      <c r="D127" s="682"/>
      <c r="E127" s="518" t="s">
        <v>125</v>
      </c>
      <c r="F127" s="519">
        <v>0.06</v>
      </c>
      <c r="G127" s="520">
        <f t="shared" si="8"/>
        <v>400794.47</v>
      </c>
      <c r="H127" s="520">
        <f t="shared" si="9"/>
        <v>0</v>
      </c>
      <c r="I127" s="521">
        <f t="shared" si="10"/>
        <v>400794.47</v>
      </c>
      <c r="J127" s="378"/>
      <c r="K127" s="378"/>
      <c r="L127" s="378"/>
      <c r="M127" s="378"/>
      <c r="N127" s="378"/>
      <c r="O127" s="378"/>
      <c r="P127" s="515"/>
      <c r="Q127" s="378"/>
      <c r="R127" s="375"/>
      <c r="S127" s="375"/>
      <c r="X127" s="526"/>
      <c r="AA127" s="533"/>
      <c r="AF127" s="59"/>
      <c r="AG127" s="59"/>
      <c r="AH127" s="534"/>
      <c r="AJ127" s="61">
        <v>345547.05</v>
      </c>
      <c r="AU127" s="59">
        <v>55247.42</v>
      </c>
    </row>
    <row r="128" spans="2:60">
      <c r="B128" s="652" t="s">
        <v>171</v>
      </c>
      <c r="C128" s="516"/>
      <c r="D128" s="680" t="s">
        <v>172</v>
      </c>
      <c r="E128" s="518" t="s">
        <v>123</v>
      </c>
      <c r="F128" s="519">
        <v>0.13</v>
      </c>
      <c r="G128" s="520">
        <f t="shared" si="8"/>
        <v>176747338.18000001</v>
      </c>
      <c r="H128" s="520">
        <f t="shared" si="9"/>
        <v>0</v>
      </c>
      <c r="I128" s="521">
        <f t="shared" si="10"/>
        <v>176747338.18000001</v>
      </c>
      <c r="J128" s="378"/>
      <c r="K128" s="378"/>
      <c r="L128" s="378"/>
      <c r="M128" s="378">
        <v>28318584.079999998</v>
      </c>
      <c r="N128" s="378"/>
      <c r="O128" s="378">
        <v>-28318584.079999998</v>
      </c>
      <c r="P128" s="515"/>
      <c r="Q128" s="378"/>
      <c r="R128" s="375">
        <v>39108696.32</v>
      </c>
      <c r="S128" s="375">
        <v>0</v>
      </c>
      <c r="X128" s="59">
        <v>0</v>
      </c>
      <c r="Y128" s="59">
        <v>0</v>
      </c>
      <c r="AB128" s="59">
        <v>2976804.12</v>
      </c>
      <c r="AD128" s="59">
        <v>39570177.719999999</v>
      </c>
      <c r="AF128" s="59">
        <v>54390444.060000002</v>
      </c>
      <c r="AG128" s="59"/>
      <c r="AJ128" s="61">
        <v>2851012.95</v>
      </c>
      <c r="AL128" s="61">
        <v>696886.27</v>
      </c>
      <c r="AP128" s="61">
        <v>66672.009999999995</v>
      </c>
      <c r="AR128" s="61">
        <v>0.01</v>
      </c>
      <c r="AU128" s="59">
        <v>36954094.25</v>
      </c>
      <c r="BG128" s="61">
        <v>132550.47</v>
      </c>
    </row>
    <row r="129" spans="2:60">
      <c r="B129" s="652"/>
      <c r="C129" s="522"/>
      <c r="D129" s="681"/>
      <c r="E129" s="518" t="s">
        <v>124</v>
      </c>
      <c r="F129" s="519">
        <v>0.09</v>
      </c>
      <c r="G129" s="520">
        <f t="shared" si="8"/>
        <v>132317772.91</v>
      </c>
      <c r="H129" s="520">
        <f t="shared" si="9"/>
        <v>14192660.550000001</v>
      </c>
      <c r="I129" s="521">
        <f t="shared" si="10"/>
        <v>118125112.36</v>
      </c>
      <c r="J129" s="378"/>
      <c r="K129" s="378"/>
      <c r="L129" s="378"/>
      <c r="M129" s="378"/>
      <c r="N129" s="378">
        <v>7063866.4699999997</v>
      </c>
      <c r="O129" s="378"/>
      <c r="P129" s="515"/>
      <c r="Q129" s="378"/>
      <c r="R129" s="375"/>
      <c r="S129" s="375">
        <v>0</v>
      </c>
      <c r="X129" s="59">
        <v>6100499.0899999999</v>
      </c>
      <c r="Y129" s="59">
        <v>0</v>
      </c>
      <c r="Z129" s="59">
        <v>15885002.1</v>
      </c>
      <c r="AB129" s="59">
        <v>11631800.57</v>
      </c>
      <c r="AC129" s="59">
        <v>7339449.54</v>
      </c>
      <c r="AD129" s="59">
        <v>36082593.950000003</v>
      </c>
      <c r="AE129" s="59">
        <v>4192660.55</v>
      </c>
      <c r="AF129" s="59">
        <v>9325949.4000000004</v>
      </c>
      <c r="AG129" s="59"/>
      <c r="AH129" s="527">
        <v>4504692.22</v>
      </c>
      <c r="AJ129" s="61">
        <v>23490397.52</v>
      </c>
      <c r="AL129" s="61">
        <v>7862042.9100000001</v>
      </c>
      <c r="AN129" s="61">
        <v>4075.59</v>
      </c>
      <c r="AO129" s="61">
        <v>2660550.46</v>
      </c>
      <c r="AP129" s="61">
        <v>99683.09</v>
      </c>
      <c r="AR129" s="61">
        <v>10220041.85</v>
      </c>
      <c r="AW129" s="59">
        <v>47128.15</v>
      </c>
    </row>
    <row r="130" spans="2:60">
      <c r="B130" s="652"/>
      <c r="C130" s="529"/>
      <c r="D130" s="682"/>
      <c r="E130" s="518" t="s">
        <v>125</v>
      </c>
      <c r="F130" s="519">
        <v>0.06</v>
      </c>
      <c r="G130" s="520">
        <f t="shared" si="8"/>
        <v>20804766.390000001</v>
      </c>
      <c r="H130" s="520">
        <f t="shared" si="9"/>
        <v>25877358.510000002</v>
      </c>
      <c r="I130" s="521">
        <f t="shared" si="10"/>
        <v>-5072592.12</v>
      </c>
      <c r="J130" s="378"/>
      <c r="K130" s="378"/>
      <c r="L130" s="378">
        <v>41777.82</v>
      </c>
      <c r="M130" s="378">
        <v>10283018.9</v>
      </c>
      <c r="N130" s="378">
        <v>47337.04</v>
      </c>
      <c r="O130" s="378"/>
      <c r="P130" s="515">
        <v>583584.29</v>
      </c>
      <c r="Q130" s="378"/>
      <c r="R130" s="375">
        <v>529883.84</v>
      </c>
      <c r="S130" s="375">
        <v>0</v>
      </c>
      <c r="V130" s="498">
        <v>321372.71999999997</v>
      </c>
      <c r="X130" s="498">
        <v>934950.44</v>
      </c>
      <c r="Y130" s="59">
        <v>0</v>
      </c>
      <c r="Z130" s="59">
        <v>1871562.73</v>
      </c>
      <c r="AB130" s="59">
        <v>1055250.8600000001</v>
      </c>
      <c r="AD130" s="59">
        <v>7580367.8899999997</v>
      </c>
      <c r="AE130" s="59">
        <v>15594339.609999999</v>
      </c>
      <c r="AF130" s="59">
        <v>845149.27</v>
      </c>
      <c r="AG130" s="59"/>
      <c r="AH130" s="527">
        <v>916065.1</v>
      </c>
      <c r="AJ130" s="61">
        <v>1422276.13</v>
      </c>
      <c r="AL130" s="61">
        <v>1216705.5</v>
      </c>
      <c r="AN130" s="61">
        <v>314995.01</v>
      </c>
      <c r="AP130" s="61">
        <v>460522.82</v>
      </c>
      <c r="AR130" s="61">
        <v>791082.23</v>
      </c>
      <c r="AU130" s="59">
        <v>888377.3</v>
      </c>
      <c r="AW130" s="59">
        <v>178778.41</v>
      </c>
      <c r="AY130" s="61">
        <v>151921.10999999999</v>
      </c>
      <c r="BC130" s="61">
        <v>307671.06</v>
      </c>
      <c r="BG130" s="61">
        <v>345134.82</v>
      </c>
    </row>
    <row r="131" spans="2:60">
      <c r="B131" s="652" t="s">
        <v>171</v>
      </c>
      <c r="C131" s="516"/>
      <c r="D131" s="680" t="s">
        <v>173</v>
      </c>
      <c r="E131" s="518" t="s">
        <v>123</v>
      </c>
      <c r="F131" s="519">
        <v>0.13</v>
      </c>
      <c r="G131" s="520">
        <f t="shared" si="8"/>
        <v>0</v>
      </c>
      <c r="H131" s="520">
        <f t="shared" si="9"/>
        <v>108274336.3</v>
      </c>
      <c r="I131" s="521">
        <f t="shared" si="10"/>
        <v>-108274336.3</v>
      </c>
      <c r="J131" s="378"/>
      <c r="K131" s="378"/>
      <c r="L131" s="378"/>
      <c r="M131" s="378"/>
      <c r="N131" s="378"/>
      <c r="O131" s="378"/>
      <c r="P131" s="515"/>
      <c r="Q131" s="378"/>
      <c r="R131" s="375"/>
      <c r="S131" s="375"/>
      <c r="X131" s="59"/>
      <c r="Y131" s="59">
        <v>0</v>
      </c>
      <c r="AC131" s="59">
        <v>10274336.279999999</v>
      </c>
      <c r="AF131" s="59"/>
      <c r="AG131" s="59">
        <v>38539823.030000001</v>
      </c>
      <c r="AK131" s="61">
        <v>59460176.990000002</v>
      </c>
    </row>
    <row r="132" spans="2:60">
      <c r="B132" s="652"/>
      <c r="C132" s="522"/>
      <c r="D132" s="681"/>
      <c r="E132" s="518" t="s">
        <v>124</v>
      </c>
      <c r="F132" s="519">
        <v>0.09</v>
      </c>
      <c r="G132" s="520">
        <f t="shared" si="8"/>
        <v>0</v>
      </c>
      <c r="H132" s="520">
        <f t="shared" si="9"/>
        <v>92342110.090000004</v>
      </c>
      <c r="I132" s="521">
        <f t="shared" si="10"/>
        <v>-92342110.090000004</v>
      </c>
      <c r="J132" s="378"/>
      <c r="K132" s="378"/>
      <c r="L132" s="378"/>
      <c r="M132" s="378"/>
      <c r="N132" s="378"/>
      <c r="O132" s="378"/>
      <c r="P132" s="515"/>
      <c r="Q132" s="378"/>
      <c r="R132" s="375"/>
      <c r="S132" s="375"/>
      <c r="X132" s="59"/>
      <c r="Y132" s="59">
        <v>0</v>
      </c>
      <c r="AC132" s="59">
        <v>40697384.950000003</v>
      </c>
      <c r="AF132" s="59"/>
      <c r="AG132" s="59">
        <v>5979049.6100000003</v>
      </c>
      <c r="AK132" s="61">
        <v>18433143.420000002</v>
      </c>
      <c r="AV132" s="59">
        <v>91743.12</v>
      </c>
      <c r="BD132" s="61">
        <v>27140788.989999998</v>
      </c>
    </row>
    <row r="133" spans="2:60">
      <c r="B133" s="652"/>
      <c r="C133" s="529"/>
      <c r="D133" s="682"/>
      <c r="E133" s="518" t="s">
        <v>125</v>
      </c>
      <c r="F133" s="519">
        <v>0.06</v>
      </c>
      <c r="G133" s="520">
        <f t="shared" si="8"/>
        <v>0</v>
      </c>
      <c r="H133" s="520">
        <f t="shared" si="9"/>
        <v>0</v>
      </c>
      <c r="I133" s="521">
        <f t="shared" si="10"/>
        <v>0</v>
      </c>
      <c r="J133" s="378"/>
      <c r="K133" s="378"/>
      <c r="L133" s="378"/>
      <c r="M133" s="378"/>
      <c r="N133" s="378"/>
      <c r="O133" s="378"/>
      <c r="P133" s="515"/>
      <c r="Q133" s="378"/>
      <c r="R133" s="375"/>
      <c r="S133" s="375"/>
      <c r="Y133" s="59">
        <v>0</v>
      </c>
      <c r="AF133" s="59"/>
      <c r="AG133" s="59"/>
      <c r="AK133" s="61">
        <v>0</v>
      </c>
    </row>
    <row r="134" spans="2:60">
      <c r="B134" s="652" t="s">
        <v>126</v>
      </c>
      <c r="C134" s="516" t="s">
        <v>174</v>
      </c>
      <c r="D134" s="680" t="s">
        <v>175</v>
      </c>
      <c r="E134" s="518" t="s">
        <v>123</v>
      </c>
      <c r="F134" s="519">
        <v>0.13</v>
      </c>
      <c r="G134" s="520">
        <f t="shared" si="8"/>
        <v>0</v>
      </c>
      <c r="H134" s="520">
        <f t="shared" si="9"/>
        <v>0</v>
      </c>
      <c r="I134" s="521">
        <f t="shared" si="10"/>
        <v>0</v>
      </c>
      <c r="J134" s="378"/>
      <c r="K134" s="378"/>
      <c r="L134" s="378"/>
      <c r="M134" s="378"/>
      <c r="N134" s="378"/>
      <c r="O134" s="378"/>
      <c r="P134" s="515"/>
      <c r="Q134" s="378"/>
      <c r="R134" s="375"/>
      <c r="S134" s="375"/>
      <c r="W134" s="498">
        <v>0</v>
      </c>
      <c r="X134" s="59">
        <v>0</v>
      </c>
      <c r="Y134" s="59">
        <v>0</v>
      </c>
      <c r="AF134" s="59"/>
      <c r="AG134" s="59"/>
    </row>
    <row r="135" spans="2:60">
      <c r="B135" s="652"/>
      <c r="C135" s="522" t="s">
        <v>174</v>
      </c>
      <c r="D135" s="681"/>
      <c r="E135" s="518" t="s">
        <v>124</v>
      </c>
      <c r="F135" s="519">
        <v>0.09</v>
      </c>
      <c r="G135" s="520">
        <f t="shared" si="8"/>
        <v>0</v>
      </c>
      <c r="H135" s="520">
        <f t="shared" si="9"/>
        <v>0</v>
      </c>
      <c r="I135" s="521">
        <f t="shared" si="10"/>
        <v>0</v>
      </c>
      <c r="J135" s="378"/>
      <c r="K135" s="378"/>
      <c r="L135" s="378"/>
      <c r="M135" s="378"/>
      <c r="N135" s="378"/>
      <c r="O135" s="378"/>
      <c r="P135" s="515"/>
      <c r="Q135" s="378"/>
      <c r="R135" s="375"/>
      <c r="S135" s="375"/>
      <c r="W135" s="498">
        <v>0</v>
      </c>
      <c r="X135" s="59">
        <v>0</v>
      </c>
      <c r="Y135" s="59">
        <v>0</v>
      </c>
      <c r="AF135" s="59"/>
      <c r="AG135" s="59"/>
    </row>
    <row r="136" spans="2:60">
      <c r="B136" s="652"/>
      <c r="C136" s="529" t="s">
        <v>174</v>
      </c>
      <c r="D136" s="682"/>
      <c r="E136" s="518" t="s">
        <v>125</v>
      </c>
      <c r="F136" s="519">
        <v>0.06</v>
      </c>
      <c r="G136" s="520">
        <f t="shared" si="8"/>
        <v>143576.26999999999</v>
      </c>
      <c r="H136" s="520">
        <f t="shared" si="9"/>
        <v>143576.26999999999</v>
      </c>
      <c r="I136" s="521">
        <f t="shared" si="10"/>
        <v>0</v>
      </c>
      <c r="J136" s="378"/>
      <c r="K136" s="378"/>
      <c r="L136" s="378"/>
      <c r="M136" s="378"/>
      <c r="N136" s="378"/>
      <c r="O136" s="378"/>
      <c r="P136" s="515"/>
      <c r="Q136" s="378"/>
      <c r="R136" s="375"/>
      <c r="S136" s="375"/>
      <c r="W136" s="498">
        <v>0</v>
      </c>
      <c r="X136" s="498">
        <v>72304.649999999994</v>
      </c>
      <c r="Y136" s="59">
        <v>0</v>
      </c>
      <c r="Z136" s="59">
        <v>14099.79</v>
      </c>
      <c r="AA136" s="59">
        <v>14099.79</v>
      </c>
      <c r="AB136" s="59">
        <v>29717.88</v>
      </c>
      <c r="AC136" s="59">
        <v>29717.88</v>
      </c>
      <c r="AD136" s="59">
        <v>27453.95</v>
      </c>
      <c r="AE136" s="59">
        <v>27453.95</v>
      </c>
      <c r="AF136" s="59"/>
      <c r="AG136" s="59"/>
      <c r="AI136" s="527">
        <v>72304.649999999994</v>
      </c>
    </row>
    <row r="137" spans="2:60">
      <c r="B137" s="652" t="s">
        <v>126</v>
      </c>
      <c r="C137" s="516" t="s">
        <v>176</v>
      </c>
      <c r="D137" s="680" t="s">
        <v>177</v>
      </c>
      <c r="E137" s="518" t="s">
        <v>123</v>
      </c>
      <c r="F137" s="519">
        <v>0.13</v>
      </c>
      <c r="G137" s="520">
        <f t="shared" si="8"/>
        <v>962254598.78162503</v>
      </c>
      <c r="H137" s="520">
        <f t="shared" si="9"/>
        <v>0</v>
      </c>
      <c r="I137" s="521">
        <f t="shared" si="10"/>
        <v>962254598.78162503</v>
      </c>
      <c r="J137" s="378"/>
      <c r="K137" s="378"/>
      <c r="L137" s="378"/>
      <c r="M137" s="378"/>
      <c r="N137" s="378"/>
      <c r="O137" s="378"/>
      <c r="P137" s="515"/>
      <c r="Q137" s="378"/>
      <c r="R137" s="375"/>
      <c r="S137" s="375"/>
      <c r="W137" s="498">
        <v>0</v>
      </c>
      <c r="X137" s="59">
        <v>0</v>
      </c>
      <c r="Y137" s="59">
        <v>0</v>
      </c>
      <c r="AF137" s="59"/>
      <c r="AG137" s="59"/>
      <c r="AY137" s="61">
        <v>249062.3</v>
      </c>
      <c r="BC137" s="61">
        <v>110913794.83</v>
      </c>
      <c r="BG137" s="61">
        <v>851091741.65162504</v>
      </c>
    </row>
    <row r="138" spans="2:60">
      <c r="B138" s="652"/>
      <c r="C138" s="522" t="s">
        <v>176</v>
      </c>
      <c r="D138" s="681"/>
      <c r="E138" s="518" t="s">
        <v>124</v>
      </c>
      <c r="F138" s="519">
        <v>0.09</v>
      </c>
      <c r="G138" s="520">
        <f t="shared" ref="G138:G201" si="11">SUM(J138,L138,N138,P138,R138,T138,V138,X138,Z138,AB138,AD138,AF138,AH138,AJ138,AL138,AN138,AP138,AR138,AU138,AW138,AY138,BC138,BG138)</f>
        <v>28452548.449999999</v>
      </c>
      <c r="H138" s="520">
        <f t="shared" ref="H138:H201" si="12">SUM(K138,M138,O138,Q138,S138,U138,W138,Y138,AA138,AC138,AE138,AG138,AI138,AK138,AM138,AO138,AQ138,AS138,AV138,AX138,AZ138,BD138,BH138)</f>
        <v>0</v>
      </c>
      <c r="I138" s="521">
        <f t="shared" si="10"/>
        <v>28452548.449999999</v>
      </c>
      <c r="J138" s="378"/>
      <c r="K138" s="378"/>
      <c r="L138" s="378"/>
      <c r="M138" s="378"/>
      <c r="N138" s="378"/>
      <c r="O138" s="378"/>
      <c r="P138" s="515"/>
      <c r="Q138" s="378"/>
      <c r="R138" s="375"/>
      <c r="S138" s="375"/>
      <c r="W138" s="498">
        <v>0</v>
      </c>
      <c r="X138" s="59">
        <v>0</v>
      </c>
      <c r="Y138" s="59">
        <v>0</v>
      </c>
      <c r="AB138" s="59" t="s">
        <v>178</v>
      </c>
      <c r="AF138" s="59"/>
      <c r="AG138" s="59"/>
      <c r="BC138" s="61">
        <v>12144431.34</v>
      </c>
      <c r="BG138" s="61">
        <v>16308117.109999999</v>
      </c>
    </row>
    <row r="139" spans="2:60">
      <c r="B139" s="652"/>
      <c r="C139" s="529" t="s">
        <v>176</v>
      </c>
      <c r="D139" s="682"/>
      <c r="E139" s="518" t="s">
        <v>125</v>
      </c>
      <c r="F139" s="519">
        <v>0.06</v>
      </c>
      <c r="G139" s="520">
        <f t="shared" si="11"/>
        <v>33890296.936202802</v>
      </c>
      <c r="H139" s="520">
        <f t="shared" si="12"/>
        <v>308592.62</v>
      </c>
      <c r="I139" s="521">
        <f t="shared" si="10"/>
        <v>33581704.316202797</v>
      </c>
      <c r="J139" s="378"/>
      <c r="K139" s="378"/>
      <c r="L139" s="378"/>
      <c r="M139" s="378"/>
      <c r="N139" s="378"/>
      <c r="O139" s="378"/>
      <c r="P139" s="515"/>
      <c r="Q139" s="378"/>
      <c r="R139" s="375"/>
      <c r="S139" s="375"/>
      <c r="W139" s="498">
        <v>0</v>
      </c>
      <c r="X139" s="498">
        <v>54928.4</v>
      </c>
      <c r="Y139" s="59">
        <v>0</v>
      </c>
      <c r="Z139" s="59">
        <v>14099.79</v>
      </c>
      <c r="AA139" s="59">
        <v>14099.79</v>
      </c>
      <c r="AB139" s="59">
        <v>29717.88</v>
      </c>
      <c r="AC139" s="59">
        <v>29717.88</v>
      </c>
      <c r="AF139" s="59"/>
      <c r="AG139" s="59"/>
      <c r="AQ139" s="61">
        <v>54928.4</v>
      </c>
      <c r="AY139" s="61">
        <v>217547.67</v>
      </c>
      <c r="AZ139" s="61">
        <v>148752.97</v>
      </c>
      <c r="BC139" s="61">
        <v>133010.35</v>
      </c>
      <c r="BD139" s="61">
        <v>30546.79</v>
      </c>
      <c r="BG139" s="61">
        <v>33440992.846202798</v>
      </c>
      <c r="BH139" s="61">
        <v>30546.79</v>
      </c>
    </row>
    <row r="140" spans="2:60">
      <c r="B140" s="652" t="s">
        <v>126</v>
      </c>
      <c r="C140" s="516" t="s">
        <v>179</v>
      </c>
      <c r="D140" s="680" t="s">
        <v>180</v>
      </c>
      <c r="E140" s="518" t="s">
        <v>123</v>
      </c>
      <c r="F140" s="519">
        <v>0.13</v>
      </c>
      <c r="G140" s="520">
        <f t="shared" si="11"/>
        <v>0</v>
      </c>
      <c r="H140" s="520">
        <f t="shared" si="12"/>
        <v>0</v>
      </c>
      <c r="I140" s="521">
        <f t="shared" si="10"/>
        <v>0</v>
      </c>
      <c r="J140" s="378"/>
      <c r="K140" s="378"/>
      <c r="L140" s="378"/>
      <c r="M140" s="378"/>
      <c r="N140" s="378"/>
      <c r="O140" s="378"/>
      <c r="P140" s="515"/>
      <c r="Q140" s="378"/>
      <c r="R140" s="375"/>
      <c r="S140" s="375"/>
      <c r="W140" s="498">
        <v>0</v>
      </c>
      <c r="X140" s="59"/>
      <c r="AF140" s="59"/>
      <c r="AG140" s="59"/>
    </row>
    <row r="141" spans="2:60">
      <c r="B141" s="652"/>
      <c r="C141" s="522" t="s">
        <v>179</v>
      </c>
      <c r="D141" s="681"/>
      <c r="E141" s="518" t="s">
        <v>124</v>
      </c>
      <c r="F141" s="519">
        <v>0.09</v>
      </c>
      <c r="G141" s="520">
        <f t="shared" si="11"/>
        <v>0</v>
      </c>
      <c r="H141" s="520">
        <f t="shared" si="12"/>
        <v>0</v>
      </c>
      <c r="I141" s="521">
        <f t="shared" si="10"/>
        <v>0</v>
      </c>
      <c r="J141" s="378"/>
      <c r="K141" s="378"/>
      <c r="L141" s="378"/>
      <c r="M141" s="378"/>
      <c r="N141" s="378"/>
      <c r="O141" s="378"/>
      <c r="P141" s="515"/>
      <c r="Q141" s="378"/>
      <c r="R141" s="375"/>
      <c r="S141" s="375"/>
      <c r="W141" s="498">
        <v>0</v>
      </c>
      <c r="X141" s="59"/>
      <c r="AB141" s="59" t="s">
        <v>178</v>
      </c>
      <c r="AF141" s="59"/>
      <c r="AG141" s="59"/>
    </row>
    <row r="142" spans="2:60">
      <c r="B142" s="652"/>
      <c r="C142" s="529" t="s">
        <v>179</v>
      </c>
      <c r="D142" s="682"/>
      <c r="E142" s="518" t="s">
        <v>125</v>
      </c>
      <c r="F142" s="519">
        <v>0.06</v>
      </c>
      <c r="G142" s="520">
        <f t="shared" si="11"/>
        <v>43817.67</v>
      </c>
      <c r="H142" s="520">
        <f t="shared" si="12"/>
        <v>43817.67</v>
      </c>
      <c r="I142" s="521">
        <f t="shared" si="10"/>
        <v>0</v>
      </c>
      <c r="J142" s="378"/>
      <c r="K142" s="378"/>
      <c r="L142" s="378"/>
      <c r="M142" s="378"/>
      <c r="N142" s="378"/>
      <c r="O142" s="378"/>
      <c r="P142" s="515"/>
      <c r="Q142" s="378"/>
      <c r="R142" s="375"/>
      <c r="S142" s="375"/>
      <c r="W142" s="498">
        <v>0</v>
      </c>
      <c r="Z142" s="59">
        <v>14099.79</v>
      </c>
      <c r="AA142" s="59">
        <v>14099.79</v>
      </c>
      <c r="AB142" s="59">
        <v>29717.88</v>
      </c>
      <c r="AC142" s="59">
        <v>29717.88</v>
      </c>
      <c r="AF142" s="59"/>
      <c r="AG142" s="59"/>
    </row>
    <row r="143" spans="2:60">
      <c r="B143" s="535" t="s">
        <v>181</v>
      </c>
      <c r="C143" s="121"/>
      <c r="D143" s="523" t="s">
        <v>182</v>
      </c>
      <c r="E143" s="518" t="s">
        <v>123</v>
      </c>
      <c r="F143" s="519">
        <v>0.13</v>
      </c>
      <c r="G143" s="520">
        <f t="shared" si="11"/>
        <v>460101961.27999997</v>
      </c>
      <c r="H143" s="520">
        <f t="shared" si="12"/>
        <v>517908785.88999999</v>
      </c>
      <c r="I143" s="521">
        <f t="shared" si="10"/>
        <v>-57806824.609999999</v>
      </c>
      <c r="J143" s="378"/>
      <c r="K143" s="378"/>
      <c r="L143" s="378">
        <v>124437172.79000001</v>
      </c>
      <c r="M143" s="513">
        <v>113016977.76000001</v>
      </c>
      <c r="N143" s="378">
        <v>118132800.77</v>
      </c>
      <c r="O143" s="378">
        <v>97935084.400000006</v>
      </c>
      <c r="P143" s="536">
        <v>187663063.66999999</v>
      </c>
      <c r="Q143" s="378">
        <v>170746433.28</v>
      </c>
      <c r="R143" s="381">
        <v>1802868.16</v>
      </c>
      <c r="S143" s="375">
        <v>50623658.600000001</v>
      </c>
      <c r="T143" s="59">
        <v>4281795.62</v>
      </c>
      <c r="U143" s="59">
        <v>2975548.58</v>
      </c>
      <c r="V143" s="498">
        <v>7863.1300000005904</v>
      </c>
      <c r="W143" s="498">
        <f>10734978.07+31725663.72</f>
        <v>42460641.789999999</v>
      </c>
      <c r="X143" s="59"/>
      <c r="Z143" s="59">
        <v>1042108.81</v>
      </c>
      <c r="AA143" s="59">
        <v>31243211.690000001</v>
      </c>
      <c r="AB143" s="59">
        <f>21741403.03+21437.16</f>
        <v>21762840.190000001</v>
      </c>
      <c r="AC143" s="59">
        <f>8634868.74+21437.16</f>
        <v>8656305.9000000004</v>
      </c>
      <c r="AD143" s="59">
        <v>1120973.3</v>
      </c>
      <c r="AE143" s="59">
        <v>250923.89</v>
      </c>
      <c r="AF143" s="59"/>
      <c r="AG143" s="59"/>
      <c r="AH143" s="527">
        <v>-149525.16</v>
      </c>
    </row>
    <row r="144" spans="2:60">
      <c r="B144" s="537" t="s">
        <v>183</v>
      </c>
      <c r="C144" s="538" t="s">
        <v>184</v>
      </c>
      <c r="D144" s="517"/>
      <c r="E144" s="518" t="s">
        <v>125</v>
      </c>
      <c r="F144" s="519">
        <v>0.06</v>
      </c>
      <c r="G144" s="520">
        <f t="shared" si="11"/>
        <v>4015138.5</v>
      </c>
      <c r="H144" s="520">
        <f t="shared" si="12"/>
        <v>0</v>
      </c>
      <c r="I144" s="521">
        <f t="shared" si="10"/>
        <v>4015138.5</v>
      </c>
      <c r="J144" s="539"/>
      <c r="K144" s="539"/>
      <c r="L144" s="539"/>
      <c r="M144" s="540"/>
      <c r="N144" s="539"/>
      <c r="O144" s="539"/>
      <c r="P144" s="541"/>
      <c r="Q144" s="539"/>
      <c r="R144" s="542"/>
      <c r="S144" s="543"/>
      <c r="V144" s="498">
        <v>4015138.5</v>
      </c>
      <c r="AF144" s="59"/>
      <c r="AG144" s="59"/>
    </row>
    <row r="145" spans="2:59">
      <c r="B145" s="537" t="s">
        <v>185</v>
      </c>
      <c r="C145" s="538">
        <v>2450</v>
      </c>
      <c r="D145" s="517"/>
      <c r="E145" s="518" t="s">
        <v>125</v>
      </c>
      <c r="F145" s="519">
        <v>0.06</v>
      </c>
      <c r="G145" s="520">
        <f t="shared" si="11"/>
        <v>3514315.64</v>
      </c>
      <c r="H145" s="520">
        <f t="shared" si="12"/>
        <v>925268.39</v>
      </c>
      <c r="I145" s="521">
        <f t="shared" si="10"/>
        <v>2589047.25</v>
      </c>
      <c r="J145" s="539"/>
      <c r="K145" s="539"/>
      <c r="L145" s="539"/>
      <c r="M145" s="540"/>
      <c r="N145" s="539"/>
      <c r="O145" s="539"/>
      <c r="P145" s="541"/>
      <c r="Q145" s="539"/>
      <c r="R145" s="542"/>
      <c r="S145" s="543"/>
      <c r="V145" s="498">
        <v>2589047.25</v>
      </c>
      <c r="W145" s="498">
        <v>0</v>
      </c>
      <c r="X145" s="498">
        <v>463103.22</v>
      </c>
      <c r="Y145" s="498">
        <v>463103.22</v>
      </c>
      <c r="Z145" s="59">
        <v>462165.17</v>
      </c>
      <c r="AA145" s="59">
        <v>462165.17</v>
      </c>
      <c r="AF145" s="59"/>
      <c r="AG145" s="59"/>
    </row>
    <row r="146" spans="2:59" customFormat="1" ht="14.1" customHeight="1">
      <c r="B146" s="652" t="s">
        <v>186</v>
      </c>
      <c r="C146" s="121"/>
      <c r="D146" s="523"/>
      <c r="E146" s="518" t="s">
        <v>125</v>
      </c>
      <c r="F146" s="519">
        <v>0.06</v>
      </c>
      <c r="G146" s="520">
        <f t="shared" si="11"/>
        <v>3259698.68</v>
      </c>
      <c r="H146" s="520">
        <f t="shared" si="12"/>
        <v>3785734.9</v>
      </c>
      <c r="I146" s="521">
        <f t="shared" si="10"/>
        <v>-526036.21999999904</v>
      </c>
      <c r="J146" s="539"/>
      <c r="K146" s="539"/>
      <c r="L146" s="539"/>
      <c r="M146" s="540"/>
      <c r="N146" s="539"/>
      <c r="O146" s="539"/>
      <c r="P146" s="541"/>
      <c r="Q146" s="539"/>
      <c r="R146" s="542">
        <v>360218.95</v>
      </c>
      <c r="S146" s="543">
        <v>488120.76</v>
      </c>
      <c r="T146" s="59"/>
      <c r="U146" s="59"/>
      <c r="V146" s="498">
        <v>360218.95</v>
      </c>
      <c r="W146" s="498">
        <v>0</v>
      </c>
      <c r="X146" s="498">
        <v>802671.78</v>
      </c>
      <c r="Y146" s="59">
        <v>0</v>
      </c>
      <c r="Z146" s="59">
        <v>360218.95</v>
      </c>
      <c r="AA146" s="59">
        <v>1203358.5</v>
      </c>
      <c r="AB146" s="59">
        <v>360218.95</v>
      </c>
      <c r="AC146" s="59">
        <v>442452.83</v>
      </c>
      <c r="AD146" s="59">
        <v>835963.65</v>
      </c>
      <c r="AE146" s="59">
        <v>666090.56999999995</v>
      </c>
      <c r="AF146" s="59">
        <v>180187.45</v>
      </c>
      <c r="AG146" s="59">
        <v>985712.24</v>
      </c>
      <c r="AH146" s="59"/>
      <c r="AI146" s="59"/>
      <c r="AS146" s="59"/>
      <c r="AT146" s="59"/>
      <c r="AU146" s="59"/>
      <c r="AV146" s="59"/>
      <c r="AW146" s="59"/>
      <c r="AX146" s="59"/>
    </row>
    <row r="147" spans="2:59" customFormat="1">
      <c r="B147" s="654"/>
      <c r="C147" s="538"/>
      <c r="D147" s="517"/>
      <c r="E147" s="518" t="s">
        <v>123</v>
      </c>
      <c r="F147" s="519">
        <v>0.13</v>
      </c>
      <c r="G147" s="520">
        <f t="shared" si="11"/>
        <v>4431463.13</v>
      </c>
      <c r="H147" s="520">
        <f t="shared" si="12"/>
        <v>6872618.1600000001</v>
      </c>
      <c r="I147" s="521">
        <f t="shared" si="10"/>
        <v>-2441155.0299999998</v>
      </c>
      <c r="J147" s="539"/>
      <c r="K147" s="539"/>
      <c r="L147" s="539"/>
      <c r="M147" s="540"/>
      <c r="N147" s="539"/>
      <c r="O147" s="539"/>
      <c r="P147" s="541"/>
      <c r="Q147" s="539"/>
      <c r="R147" s="542">
        <v>10583.33</v>
      </c>
      <c r="S147" s="543">
        <v>0</v>
      </c>
      <c r="T147" s="59"/>
      <c r="U147" s="59"/>
      <c r="V147" s="498"/>
      <c r="W147" s="498"/>
      <c r="X147" s="498">
        <v>575382.01</v>
      </c>
      <c r="Y147" s="59">
        <v>0</v>
      </c>
      <c r="Z147" s="59">
        <v>997620.2</v>
      </c>
      <c r="AA147" s="59">
        <v>398230.09</v>
      </c>
      <c r="AB147" s="59">
        <v>2367164.46</v>
      </c>
      <c r="AC147" s="59">
        <v>3283893.81</v>
      </c>
      <c r="AD147" s="59"/>
      <c r="AE147" s="59">
        <v>929203.54</v>
      </c>
      <c r="AF147" s="59">
        <v>480713.13</v>
      </c>
      <c r="AG147" s="59">
        <v>2261290.7200000002</v>
      </c>
      <c r="AH147" s="59"/>
      <c r="AI147" s="59"/>
      <c r="AS147" s="59"/>
      <c r="AT147" s="59"/>
      <c r="AU147" s="59"/>
      <c r="AV147" s="59"/>
      <c r="AW147" s="59"/>
      <c r="AX147" s="59"/>
    </row>
    <row r="148" spans="2:59" customFormat="1" ht="14.1" customHeight="1">
      <c r="B148" s="655"/>
      <c r="C148" s="121"/>
      <c r="D148" s="523"/>
      <c r="E148" s="518" t="s">
        <v>124</v>
      </c>
      <c r="F148" s="519">
        <v>0.09</v>
      </c>
      <c r="G148" s="520">
        <f t="shared" si="11"/>
        <v>1670642.21</v>
      </c>
      <c r="H148" s="520">
        <f t="shared" si="12"/>
        <v>957798.17</v>
      </c>
      <c r="I148" s="521">
        <f t="shared" si="10"/>
        <v>712844.04</v>
      </c>
      <c r="J148" s="539"/>
      <c r="K148" s="539"/>
      <c r="L148" s="539"/>
      <c r="M148" s="540"/>
      <c r="N148" s="539"/>
      <c r="O148" s="539"/>
      <c r="P148" s="541"/>
      <c r="Q148" s="539"/>
      <c r="R148" s="542"/>
      <c r="S148" s="543"/>
      <c r="T148" s="59"/>
      <c r="U148" s="59"/>
      <c r="V148" s="498"/>
      <c r="W148" s="498"/>
      <c r="X148" s="498"/>
      <c r="Y148" s="59"/>
      <c r="Z148" s="59">
        <v>712844.04</v>
      </c>
      <c r="AA148" s="59"/>
      <c r="AB148" s="59">
        <v>957798.17</v>
      </c>
      <c r="AC148" s="59">
        <v>957798.17</v>
      </c>
      <c r="AD148" s="59"/>
      <c r="AE148" s="59"/>
      <c r="AF148" s="59"/>
      <c r="AG148" s="59"/>
      <c r="AH148" s="59"/>
      <c r="AI148" s="59"/>
      <c r="AS148" s="59"/>
      <c r="AT148" s="59"/>
      <c r="AU148" s="59"/>
      <c r="AV148" s="59"/>
      <c r="AW148" s="59"/>
      <c r="AX148" s="59"/>
    </row>
    <row r="149" spans="2:59" customFormat="1">
      <c r="B149" s="656" t="s">
        <v>187</v>
      </c>
      <c r="C149" s="545" t="s">
        <v>188</v>
      </c>
      <c r="D149" s="546"/>
      <c r="E149" s="547" t="s">
        <v>123</v>
      </c>
      <c r="F149" s="548">
        <v>0.13</v>
      </c>
      <c r="G149" s="520">
        <f t="shared" si="11"/>
        <v>0</v>
      </c>
      <c r="H149" s="520">
        <f t="shared" si="12"/>
        <v>0</v>
      </c>
      <c r="I149" s="521">
        <f t="shared" si="10"/>
        <v>0</v>
      </c>
      <c r="J149" s="539"/>
      <c r="K149" s="539"/>
      <c r="L149" s="539"/>
      <c r="M149" s="540"/>
      <c r="N149" s="539"/>
      <c r="O149" s="539"/>
      <c r="P149" s="541"/>
      <c r="Q149" s="539"/>
      <c r="R149" s="542"/>
      <c r="S149" s="542"/>
      <c r="T149" s="59"/>
      <c r="U149" s="59"/>
      <c r="V149" s="498"/>
      <c r="W149" s="498"/>
      <c r="X149" s="498"/>
      <c r="Y149" s="59"/>
      <c r="Z149" s="59"/>
      <c r="AA149" s="59"/>
      <c r="AB149" s="59"/>
      <c r="AC149" s="59"/>
      <c r="AD149" s="59"/>
      <c r="AE149" s="59">
        <v>0</v>
      </c>
      <c r="AF149" s="59"/>
      <c r="AG149" s="59"/>
      <c r="AH149" s="59"/>
      <c r="AI149" s="59"/>
      <c r="AS149" s="59"/>
      <c r="AT149" s="59"/>
      <c r="AU149" s="59"/>
      <c r="AV149" s="59"/>
      <c r="AW149" s="59"/>
      <c r="AX149" s="59"/>
    </row>
    <row r="150" spans="2:59" customFormat="1">
      <c r="B150" s="653"/>
      <c r="C150" s="121" t="s">
        <v>188</v>
      </c>
      <c r="D150" s="523"/>
      <c r="E150" s="518" t="s">
        <v>124</v>
      </c>
      <c r="F150" s="519">
        <v>0.09</v>
      </c>
      <c r="G150" s="520">
        <f t="shared" si="11"/>
        <v>11854991.439999999</v>
      </c>
      <c r="H150" s="520">
        <f t="shared" si="12"/>
        <v>0</v>
      </c>
      <c r="I150" s="521">
        <f t="shared" si="10"/>
        <v>11854991.439999999</v>
      </c>
      <c r="J150" s="549"/>
      <c r="K150" s="539"/>
      <c r="L150" s="539"/>
      <c r="M150" s="540"/>
      <c r="N150" s="539"/>
      <c r="O150" s="550"/>
      <c r="P150" s="536"/>
      <c r="Q150" s="378"/>
      <c r="R150" s="381">
        <v>11714285.689999999</v>
      </c>
      <c r="S150" s="375">
        <v>0</v>
      </c>
      <c r="T150" s="375"/>
      <c r="U150" s="375"/>
      <c r="V150" s="551"/>
      <c r="W150" s="552"/>
      <c r="X150" s="498"/>
      <c r="Y150" s="553"/>
      <c r="Z150" s="553"/>
      <c r="AA150" s="553"/>
      <c r="AB150" s="59">
        <v>329128.44</v>
      </c>
      <c r="AC150" s="59"/>
      <c r="AD150" s="59"/>
      <c r="AE150" s="59"/>
      <c r="AF150" s="59"/>
      <c r="AG150" s="59"/>
      <c r="AH150" s="59"/>
      <c r="AI150" s="59"/>
      <c r="AN150">
        <v>711665.66</v>
      </c>
      <c r="AP150">
        <v>-1084400.27</v>
      </c>
      <c r="AS150" s="59"/>
      <c r="AT150" s="59"/>
      <c r="AU150" s="59">
        <v>184311.92</v>
      </c>
      <c r="AV150" s="59"/>
      <c r="AW150" s="59"/>
      <c r="AX150" s="59"/>
    </row>
    <row r="151" spans="2:59" customFormat="1">
      <c r="B151" s="653"/>
      <c r="C151" s="121" t="s">
        <v>188</v>
      </c>
      <c r="D151" s="523"/>
      <c r="E151" s="554" t="s">
        <v>125</v>
      </c>
      <c r="F151" s="555">
        <v>0.06</v>
      </c>
      <c r="G151" s="520">
        <f t="shared" si="11"/>
        <v>2327056.9700000002</v>
      </c>
      <c r="H151" s="520">
        <f t="shared" si="12"/>
        <v>1049424.1299999999</v>
      </c>
      <c r="I151" s="521">
        <f t="shared" si="10"/>
        <v>1277632.8400000001</v>
      </c>
      <c r="J151" s="539"/>
      <c r="K151" s="539"/>
      <c r="L151" s="539"/>
      <c r="M151" s="540"/>
      <c r="N151" s="539"/>
      <c r="O151" s="539"/>
      <c r="P151" s="556"/>
      <c r="Q151" s="557"/>
      <c r="R151" s="558"/>
      <c r="S151" s="559"/>
      <c r="T151" s="59"/>
      <c r="U151" s="59"/>
      <c r="V151" s="498">
        <v>102475.29</v>
      </c>
      <c r="W151" s="498"/>
      <c r="X151" s="59">
        <v>66730.210000000006</v>
      </c>
      <c r="Y151" s="59">
        <v>66730.210000000006</v>
      </c>
      <c r="Z151" s="59">
        <v>50759.24</v>
      </c>
      <c r="AA151" s="59">
        <v>50759.24</v>
      </c>
      <c r="AB151" s="59">
        <f>90757.28+106984.35+1084400.27</f>
        <v>1282141.8999999999</v>
      </c>
      <c r="AC151" s="59">
        <v>106984.35</v>
      </c>
      <c r="AD151" s="59">
        <v>175712.49</v>
      </c>
      <c r="AE151" s="59">
        <v>175712.49</v>
      </c>
      <c r="AF151" s="59"/>
      <c r="AG151" s="59"/>
      <c r="AH151" s="560">
        <v>453133.28</v>
      </c>
      <c r="AI151" s="527">
        <v>453133.28</v>
      </c>
      <c r="AS151" s="59"/>
      <c r="AT151" s="59"/>
      <c r="AU151" s="59"/>
      <c r="AV151" s="59"/>
      <c r="AW151" s="59">
        <v>59075.94</v>
      </c>
      <c r="AX151" s="59">
        <v>59075.94</v>
      </c>
      <c r="AY151">
        <v>137028.62</v>
      </c>
      <c r="AZ151">
        <v>137028.62</v>
      </c>
    </row>
    <row r="152" spans="2:59" customFormat="1" ht="13.5" customHeight="1">
      <c r="B152" s="532" t="s">
        <v>189</v>
      </c>
      <c r="C152" s="538"/>
      <c r="D152" s="517"/>
      <c r="E152" s="518" t="s">
        <v>125</v>
      </c>
      <c r="F152" s="519">
        <v>0.06</v>
      </c>
      <c r="G152" s="520">
        <f t="shared" si="11"/>
        <v>432137.39</v>
      </c>
      <c r="H152" s="520">
        <f t="shared" si="12"/>
        <v>0</v>
      </c>
      <c r="I152" s="521">
        <f t="shared" si="10"/>
        <v>432137.39</v>
      </c>
      <c r="J152" s="539"/>
      <c r="K152" s="539"/>
      <c r="L152" s="539"/>
      <c r="M152" s="540"/>
      <c r="N152" s="539"/>
      <c r="O152" s="539"/>
      <c r="P152" s="541"/>
      <c r="Q152" s="539"/>
      <c r="R152" s="542">
        <v>15104.44</v>
      </c>
      <c r="S152" s="543">
        <v>0</v>
      </c>
      <c r="T152" s="59">
        <v>367756</v>
      </c>
      <c r="U152" s="59"/>
      <c r="V152" s="498"/>
      <c r="W152" s="498"/>
      <c r="X152" s="59"/>
      <c r="Y152" s="59"/>
      <c r="Z152" s="59"/>
      <c r="AA152" s="59"/>
      <c r="AB152" s="59"/>
      <c r="AC152" s="59"/>
      <c r="AD152" s="59">
        <v>49276.95</v>
      </c>
      <c r="AE152" s="59"/>
      <c r="AF152" s="59"/>
      <c r="AG152" s="59"/>
      <c r="AH152" s="59"/>
      <c r="AI152" s="59"/>
      <c r="AS152" s="59"/>
      <c r="AT152" s="59"/>
      <c r="AU152" s="59"/>
      <c r="AV152" s="59"/>
      <c r="AW152" s="59"/>
      <c r="AX152" s="59"/>
    </row>
    <row r="153" spans="2:59" customFormat="1">
      <c r="B153" s="653" t="s">
        <v>190</v>
      </c>
      <c r="C153" s="538"/>
      <c r="D153" s="677" t="s">
        <v>191</v>
      </c>
      <c r="E153" s="547" t="s">
        <v>123</v>
      </c>
      <c r="F153" s="548">
        <v>0.13</v>
      </c>
      <c r="G153" s="520">
        <f t="shared" si="11"/>
        <v>0</v>
      </c>
      <c r="H153" s="520">
        <f t="shared" si="12"/>
        <v>0</v>
      </c>
      <c r="I153" s="521">
        <f t="shared" ref="I153:I179" si="13">G153-H153</f>
        <v>0</v>
      </c>
      <c r="J153" s="539"/>
      <c r="K153" s="539"/>
      <c r="L153" s="539"/>
      <c r="M153" s="540"/>
      <c r="N153" s="539"/>
      <c r="O153" s="539"/>
      <c r="P153" s="541"/>
      <c r="Q153" s="539"/>
      <c r="R153" s="542"/>
      <c r="S153" s="543"/>
      <c r="T153" s="59"/>
      <c r="U153" s="59"/>
      <c r="V153" s="498"/>
      <c r="W153" s="498"/>
      <c r="X153" s="59"/>
      <c r="Y153" s="59"/>
      <c r="Z153" s="59">
        <v>341843.4</v>
      </c>
      <c r="AA153" s="59">
        <v>0</v>
      </c>
      <c r="AB153" s="59"/>
      <c r="AC153" s="59"/>
      <c r="AD153" s="59">
        <v>30368.240000000002</v>
      </c>
      <c r="AE153" s="59">
        <v>0</v>
      </c>
      <c r="AF153" s="59"/>
      <c r="AG153" s="59"/>
      <c r="AH153" s="59"/>
      <c r="AI153" s="59"/>
      <c r="AJ153">
        <v>-372211.64</v>
      </c>
      <c r="AS153" s="59"/>
      <c r="AT153" s="59"/>
      <c r="AU153" s="59"/>
      <c r="AV153" s="59"/>
      <c r="AW153" s="59"/>
      <c r="AX153" s="59"/>
    </row>
    <row r="154" spans="2:59" customFormat="1">
      <c r="B154" s="657"/>
      <c r="C154" s="121"/>
      <c r="D154" s="678"/>
      <c r="E154" s="518" t="s">
        <v>124</v>
      </c>
      <c r="F154" s="519">
        <v>0.09</v>
      </c>
      <c r="G154" s="520">
        <f t="shared" si="11"/>
        <v>3264116.18</v>
      </c>
      <c r="H154" s="520">
        <f t="shared" si="12"/>
        <v>3109166.81</v>
      </c>
      <c r="I154" s="521">
        <f t="shared" si="13"/>
        <v>154949.37</v>
      </c>
      <c r="J154" s="539"/>
      <c r="K154" s="539"/>
      <c r="L154" s="539"/>
      <c r="M154" s="540"/>
      <c r="N154" s="539"/>
      <c r="O154" s="539"/>
      <c r="P154" s="541"/>
      <c r="Q154" s="539"/>
      <c r="R154" s="542"/>
      <c r="S154" s="543"/>
      <c r="T154" s="59"/>
      <c r="U154" s="59"/>
      <c r="V154" s="498"/>
      <c r="W154" s="498"/>
      <c r="X154" s="59"/>
      <c r="Y154" s="59"/>
      <c r="Z154" s="59">
        <v>0</v>
      </c>
      <c r="AA154" s="59">
        <v>701064.99</v>
      </c>
      <c r="AB154" s="59"/>
      <c r="AC154" s="59"/>
      <c r="AD154" s="59">
        <v>1354159.85</v>
      </c>
      <c r="AE154" s="59">
        <v>0</v>
      </c>
      <c r="AF154" s="59"/>
      <c r="AG154" s="59">
        <v>799082.57</v>
      </c>
      <c r="AH154" s="59"/>
      <c r="AI154" s="59"/>
      <c r="AJ154">
        <v>1111642.49</v>
      </c>
      <c r="AN154">
        <v>244755.25</v>
      </c>
      <c r="AR154">
        <v>3505.33</v>
      </c>
      <c r="AS154" s="59">
        <v>953579.9</v>
      </c>
      <c r="AT154" s="59"/>
      <c r="AU154" s="59"/>
      <c r="AV154" s="59"/>
      <c r="AW154" s="59"/>
      <c r="AX154" s="59"/>
      <c r="AZ154">
        <v>655439.35</v>
      </c>
      <c r="BC154">
        <v>550053.26</v>
      </c>
    </row>
    <row r="155" spans="2:59" customFormat="1">
      <c r="B155" s="532" t="s">
        <v>171</v>
      </c>
      <c r="C155" s="530"/>
      <c r="D155" s="524" t="s">
        <v>192</v>
      </c>
      <c r="E155" s="518" t="s">
        <v>124</v>
      </c>
      <c r="F155" s="519">
        <v>0.09</v>
      </c>
      <c r="G155" s="520">
        <f t="shared" si="11"/>
        <v>458715.6</v>
      </c>
      <c r="H155" s="520">
        <f t="shared" si="12"/>
        <v>458715.6</v>
      </c>
      <c r="I155" s="521">
        <f t="shared" si="13"/>
        <v>0</v>
      </c>
      <c r="J155" s="539"/>
      <c r="K155" s="539"/>
      <c r="L155" s="539"/>
      <c r="M155" s="540"/>
      <c r="N155" s="539"/>
      <c r="O155" s="539"/>
      <c r="P155" s="541"/>
      <c r="Q155" s="539"/>
      <c r="R155" s="542"/>
      <c r="S155" s="543"/>
      <c r="T155" s="59"/>
      <c r="U155" s="59"/>
      <c r="V155" s="498"/>
      <c r="W155" s="498"/>
      <c r="X155" s="59"/>
      <c r="Y155" s="59"/>
      <c r="Z155" s="59">
        <v>458715.6</v>
      </c>
      <c r="AA155" s="59">
        <v>458715.6</v>
      </c>
      <c r="AB155" s="59"/>
      <c r="AC155" s="59"/>
      <c r="AD155" s="59"/>
      <c r="AE155" s="59"/>
      <c r="AF155" s="59"/>
      <c r="AG155" s="59"/>
      <c r="AH155" s="59"/>
      <c r="AI155" s="59"/>
      <c r="AS155" s="59"/>
      <c r="AT155" s="59"/>
      <c r="AU155" s="59"/>
      <c r="AV155" s="59"/>
      <c r="AW155" s="59"/>
      <c r="AX155" s="59"/>
    </row>
    <row r="156" spans="2:59" customFormat="1">
      <c r="B156" s="656" t="s">
        <v>171</v>
      </c>
      <c r="C156" s="667" t="s">
        <v>49</v>
      </c>
      <c r="D156" s="680" t="s">
        <v>193</v>
      </c>
      <c r="E156" s="518" t="s">
        <v>123</v>
      </c>
      <c r="F156" s="519">
        <v>0.13</v>
      </c>
      <c r="G156" s="520">
        <f t="shared" si="11"/>
        <v>53743240.369999997</v>
      </c>
      <c r="H156" s="520">
        <f t="shared" si="12"/>
        <v>3815226.34</v>
      </c>
      <c r="I156" s="521">
        <f t="shared" si="13"/>
        <v>49928014.030000001</v>
      </c>
      <c r="J156" s="539"/>
      <c r="K156" s="539"/>
      <c r="L156" s="539"/>
      <c r="M156" s="540"/>
      <c r="N156" s="539"/>
      <c r="O156" s="539"/>
      <c r="P156" s="541"/>
      <c r="Q156" s="539"/>
      <c r="R156" s="542"/>
      <c r="S156" s="543"/>
      <c r="T156" s="59"/>
      <c r="U156" s="59"/>
      <c r="V156" s="498"/>
      <c r="W156" s="498"/>
      <c r="X156" s="59"/>
      <c r="Y156" s="59"/>
      <c r="Z156" s="59"/>
      <c r="AA156" s="59"/>
      <c r="AB156" s="59">
        <v>37177758.189999998</v>
      </c>
      <c r="AC156" s="59"/>
      <c r="AD156" s="59">
        <v>14129820.949999999</v>
      </c>
      <c r="AE156" s="59">
        <v>3815226.34</v>
      </c>
      <c r="AF156" s="59">
        <v>1338797.3899999999</v>
      </c>
      <c r="AG156" s="59"/>
      <c r="AH156" s="527">
        <v>1094494.9099999999</v>
      </c>
      <c r="AI156" s="59"/>
      <c r="AS156" s="59"/>
      <c r="AT156" s="59"/>
      <c r="AU156" s="59"/>
      <c r="AV156" s="59"/>
      <c r="AW156" s="59"/>
      <c r="AX156" s="59"/>
      <c r="AY156">
        <v>2368.9299999999998</v>
      </c>
    </row>
    <row r="157" spans="2:59" customFormat="1" ht="15.6" customHeight="1">
      <c r="B157" s="653"/>
      <c r="C157" s="672"/>
      <c r="D157" s="683"/>
      <c r="E157" s="518" t="s">
        <v>124</v>
      </c>
      <c r="F157" s="519">
        <v>0.09</v>
      </c>
      <c r="G157" s="520">
        <f t="shared" si="11"/>
        <v>278617943</v>
      </c>
      <c r="H157" s="520">
        <f t="shared" si="12"/>
        <v>257429532.72999999</v>
      </c>
      <c r="I157" s="521">
        <f t="shared" si="13"/>
        <v>21188410.27</v>
      </c>
      <c r="J157" s="539"/>
      <c r="K157" s="539"/>
      <c r="L157" s="539"/>
      <c r="M157" s="540"/>
      <c r="N157" s="539"/>
      <c r="O157" s="539"/>
      <c r="P157" s="541"/>
      <c r="Q157" s="539"/>
      <c r="R157" s="542"/>
      <c r="S157" s="543"/>
      <c r="T157" s="59"/>
      <c r="U157" s="59"/>
      <c r="V157" s="498"/>
      <c r="W157" s="498"/>
      <c r="X157" s="59"/>
      <c r="Y157" s="59"/>
      <c r="Z157" s="59">
        <v>0</v>
      </c>
      <c r="AA157" s="59">
        <v>90265486.709999993</v>
      </c>
      <c r="AB157" s="59">
        <v>175901223.38999999</v>
      </c>
      <c r="AC157" s="59">
        <v>60176991.140000001</v>
      </c>
      <c r="AD157" s="59">
        <v>98626553.209999993</v>
      </c>
      <c r="AE157" s="59"/>
      <c r="AF157" s="59"/>
      <c r="AG157" s="59">
        <v>90265486.709999993</v>
      </c>
      <c r="AH157" s="527">
        <v>1581031.78</v>
      </c>
      <c r="AI157" s="59"/>
      <c r="AK157">
        <v>16721568.17</v>
      </c>
      <c r="AN157">
        <v>1682140.57</v>
      </c>
      <c r="AP157">
        <v>818443.6</v>
      </c>
      <c r="AS157" s="59"/>
      <c r="AT157" s="59"/>
      <c r="AU157" s="59"/>
      <c r="AV157" s="59"/>
      <c r="AW157" s="59"/>
      <c r="AX157" s="59"/>
      <c r="BG157">
        <v>8550.4500000000007</v>
      </c>
    </row>
    <row r="158" spans="2:59" customFormat="1" ht="18" customHeight="1">
      <c r="B158" s="657"/>
      <c r="C158" s="669"/>
      <c r="D158" s="682"/>
      <c r="E158" s="518" t="s">
        <v>125</v>
      </c>
      <c r="F158" s="519">
        <v>0.06</v>
      </c>
      <c r="G158" s="520">
        <f t="shared" si="11"/>
        <v>40007490.600000001</v>
      </c>
      <c r="H158" s="520">
        <f t="shared" si="12"/>
        <v>48684492.490000002</v>
      </c>
      <c r="I158" s="521">
        <f t="shared" si="13"/>
        <v>-8677001.8900000006</v>
      </c>
      <c r="J158" s="539"/>
      <c r="K158" s="539"/>
      <c r="L158" s="539"/>
      <c r="M158" s="540"/>
      <c r="N158" s="539"/>
      <c r="O158" s="539"/>
      <c r="P158" s="541"/>
      <c r="Q158" s="539"/>
      <c r="R158" s="542"/>
      <c r="S158" s="543"/>
      <c r="T158" s="59"/>
      <c r="U158" s="59"/>
      <c r="V158" s="498"/>
      <c r="W158" s="498"/>
      <c r="X158" s="59"/>
      <c r="Y158" s="59"/>
      <c r="Z158" s="59"/>
      <c r="AA158" s="59"/>
      <c r="AB158" s="59">
        <v>15391666.630000001</v>
      </c>
      <c r="AC158" s="59"/>
      <c r="AD158" s="59">
        <v>19566918.699999999</v>
      </c>
      <c r="AE158" s="59">
        <v>10235701.83</v>
      </c>
      <c r="AF158" s="59">
        <v>3512169.91</v>
      </c>
      <c r="AG158" s="59"/>
      <c r="AH158" s="59"/>
      <c r="AI158" s="59"/>
      <c r="AJ158">
        <v>113147.34</v>
      </c>
      <c r="AK158">
        <v>38448790.659999996</v>
      </c>
      <c r="AL158">
        <v>127925.52</v>
      </c>
      <c r="AN158">
        <v>166416.76</v>
      </c>
      <c r="AP158">
        <v>354020.81</v>
      </c>
      <c r="AR158">
        <v>306302.33</v>
      </c>
      <c r="AS158" s="59"/>
      <c r="AT158" s="59"/>
      <c r="AU158" s="59">
        <v>115804.66</v>
      </c>
      <c r="AV158" s="59"/>
      <c r="AW158" s="59">
        <v>353117.94</v>
      </c>
      <c r="AX158" s="59"/>
    </row>
    <row r="159" spans="2:59" customFormat="1" ht="18" customHeight="1">
      <c r="B159" s="656" t="s">
        <v>171</v>
      </c>
      <c r="C159" s="668" t="s">
        <v>194</v>
      </c>
      <c r="D159" s="680" t="s">
        <v>193</v>
      </c>
      <c r="E159" s="518" t="s">
        <v>123</v>
      </c>
      <c r="F159" s="519">
        <v>0.13</v>
      </c>
      <c r="G159" s="520">
        <f t="shared" si="11"/>
        <v>0</v>
      </c>
      <c r="H159" s="520">
        <f t="shared" si="12"/>
        <v>22937085.670000002</v>
      </c>
      <c r="I159" s="521">
        <f t="shared" si="13"/>
        <v>-22937085.670000002</v>
      </c>
      <c r="J159" s="539"/>
      <c r="K159" s="539"/>
      <c r="L159" s="539"/>
      <c r="M159" s="540"/>
      <c r="N159" s="539"/>
      <c r="O159" s="539"/>
      <c r="P159" s="541"/>
      <c r="Q159" s="539"/>
      <c r="R159" s="542"/>
      <c r="S159" s="543"/>
      <c r="T159" s="59"/>
      <c r="U159" s="59"/>
      <c r="V159" s="498"/>
      <c r="W159" s="498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K159">
        <v>22937085.670000002</v>
      </c>
      <c r="AS159" s="59"/>
      <c r="AT159" s="59"/>
      <c r="AU159" s="59"/>
      <c r="AV159" s="59"/>
      <c r="AW159" s="59"/>
      <c r="AX159" s="59"/>
    </row>
    <row r="160" spans="2:59" customFormat="1" ht="18" customHeight="1">
      <c r="B160" s="653"/>
      <c r="C160" s="668"/>
      <c r="D160" s="683"/>
      <c r="E160" s="518" t="s">
        <v>124</v>
      </c>
      <c r="F160" s="519">
        <v>0.09</v>
      </c>
      <c r="G160" s="520">
        <f t="shared" si="11"/>
        <v>0</v>
      </c>
      <c r="H160" s="520">
        <f t="shared" si="12"/>
        <v>21524605.219999999</v>
      </c>
      <c r="I160" s="521">
        <f t="shared" si="13"/>
        <v>-21524605.219999999</v>
      </c>
      <c r="J160" s="539"/>
      <c r="K160" s="539"/>
      <c r="L160" s="539"/>
      <c r="M160" s="540"/>
      <c r="N160" s="539"/>
      <c r="O160" s="539"/>
      <c r="P160" s="541"/>
      <c r="Q160" s="539"/>
      <c r="R160" s="542"/>
      <c r="S160" s="543"/>
      <c r="T160" s="59"/>
      <c r="U160" s="59"/>
      <c r="V160" s="498"/>
      <c r="W160" s="498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K160">
        <v>21524605.219999999</v>
      </c>
      <c r="AS160" s="59"/>
      <c r="AT160" s="59"/>
      <c r="AU160" s="59"/>
      <c r="AV160" s="59"/>
      <c r="AW160" s="59"/>
      <c r="AX160" s="59"/>
    </row>
    <row r="161" spans="2:60" customFormat="1" ht="18" customHeight="1">
      <c r="B161" s="657"/>
      <c r="C161" s="668"/>
      <c r="D161" s="682"/>
      <c r="E161" s="518" t="s">
        <v>125</v>
      </c>
      <c r="F161" s="519">
        <v>0.06</v>
      </c>
      <c r="G161" s="520">
        <f t="shared" si="11"/>
        <v>0</v>
      </c>
      <c r="H161" s="520">
        <f t="shared" si="12"/>
        <v>0</v>
      </c>
      <c r="I161" s="521">
        <f t="shared" si="13"/>
        <v>0</v>
      </c>
      <c r="J161" s="539"/>
      <c r="K161" s="539"/>
      <c r="L161" s="539"/>
      <c r="M161" s="540"/>
      <c r="N161" s="539"/>
      <c r="O161" s="539"/>
      <c r="P161" s="541"/>
      <c r="Q161" s="539"/>
      <c r="R161" s="542"/>
      <c r="S161" s="543"/>
      <c r="T161" s="59"/>
      <c r="U161" s="59"/>
      <c r="V161" s="498"/>
      <c r="W161" s="498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S161" s="59"/>
      <c r="AT161" s="59"/>
      <c r="AU161" s="59"/>
      <c r="AV161" s="59"/>
      <c r="AW161" s="59"/>
      <c r="AX161" s="59"/>
    </row>
    <row r="162" spans="2:60">
      <c r="B162" s="652" t="s">
        <v>126</v>
      </c>
      <c r="C162" s="516">
        <v>2365</v>
      </c>
      <c r="D162" s="680" t="s">
        <v>195</v>
      </c>
      <c r="E162" s="518" t="s">
        <v>123</v>
      </c>
      <c r="F162" s="519">
        <v>0.13</v>
      </c>
      <c r="G162" s="520">
        <f t="shared" si="11"/>
        <v>0</v>
      </c>
      <c r="H162" s="520">
        <f t="shared" si="12"/>
        <v>0</v>
      </c>
      <c r="I162" s="521">
        <f t="shared" si="13"/>
        <v>0</v>
      </c>
      <c r="J162" s="378"/>
      <c r="K162" s="378"/>
      <c r="L162" s="378"/>
      <c r="M162" s="378"/>
      <c r="N162" s="378"/>
      <c r="O162" s="378"/>
      <c r="P162" s="515"/>
      <c r="Q162" s="378"/>
      <c r="R162" s="375"/>
      <c r="S162" s="375"/>
      <c r="W162" s="498">
        <v>0</v>
      </c>
      <c r="X162" s="59"/>
      <c r="AF162" s="59"/>
      <c r="AG162" s="59"/>
    </row>
    <row r="163" spans="2:60">
      <c r="B163" s="652"/>
      <c r="C163" s="516">
        <v>2365</v>
      </c>
      <c r="D163" s="683"/>
      <c r="E163" s="518" t="s">
        <v>124</v>
      </c>
      <c r="F163" s="519">
        <v>0.09</v>
      </c>
      <c r="G163" s="520">
        <f t="shared" si="11"/>
        <v>11841818.289999999</v>
      </c>
      <c r="H163" s="520">
        <f t="shared" si="12"/>
        <v>11841818.289999999</v>
      </c>
      <c r="I163" s="521">
        <f t="shared" si="13"/>
        <v>0</v>
      </c>
      <c r="J163" s="378"/>
      <c r="K163" s="378"/>
      <c r="L163" s="378"/>
      <c r="M163" s="378"/>
      <c r="N163" s="378"/>
      <c r="O163" s="378"/>
      <c r="P163" s="515"/>
      <c r="Q163" s="378"/>
      <c r="R163" s="375"/>
      <c r="S163" s="375"/>
      <c r="W163" s="498">
        <v>0</v>
      </c>
      <c r="X163" s="59"/>
      <c r="AB163" s="59" t="s">
        <v>178</v>
      </c>
      <c r="AF163" s="59"/>
      <c r="AG163" s="59"/>
      <c r="AL163" s="61">
        <v>11841818.289999999</v>
      </c>
      <c r="AM163" s="61">
        <v>11841818.289999999</v>
      </c>
    </row>
    <row r="164" spans="2:60">
      <c r="B164" s="652"/>
      <c r="C164" s="516">
        <v>2365</v>
      </c>
      <c r="D164" s="682"/>
      <c r="E164" s="518" t="s">
        <v>125</v>
      </c>
      <c r="F164" s="519">
        <v>0.06</v>
      </c>
      <c r="G164" s="520">
        <f t="shared" si="11"/>
        <v>741019.91</v>
      </c>
      <c r="H164" s="520">
        <f t="shared" si="12"/>
        <v>727982.92</v>
      </c>
      <c r="I164" s="521">
        <f t="shared" si="13"/>
        <v>13036.9900000001</v>
      </c>
      <c r="J164" s="378"/>
      <c r="K164" s="378"/>
      <c r="L164" s="378"/>
      <c r="M164" s="378"/>
      <c r="N164" s="378"/>
      <c r="O164" s="378"/>
      <c r="P164" s="515"/>
      <c r="Q164" s="378"/>
      <c r="R164" s="375"/>
      <c r="S164" s="375"/>
      <c r="W164" s="498">
        <v>0</v>
      </c>
      <c r="Z164" s="59">
        <v>28199.58</v>
      </c>
      <c r="AA164" s="59">
        <v>28199.58</v>
      </c>
      <c r="AB164" s="59">
        <v>59435.74</v>
      </c>
      <c r="AC164" s="59">
        <v>59435.74</v>
      </c>
      <c r="AF164" s="59"/>
      <c r="AG164" s="59"/>
      <c r="AJ164" s="61">
        <v>118867.92</v>
      </c>
      <c r="AK164" s="61">
        <v>640347.6</v>
      </c>
      <c r="AL164" s="61">
        <v>534516.67000000004</v>
      </c>
    </row>
    <row r="165" spans="2:60">
      <c r="B165" s="652" t="s">
        <v>126</v>
      </c>
      <c r="C165" s="516">
        <v>3316</v>
      </c>
      <c r="D165" s="680" t="s">
        <v>196</v>
      </c>
      <c r="E165" s="518" t="s">
        <v>123</v>
      </c>
      <c r="F165" s="519">
        <v>0.13</v>
      </c>
      <c r="G165" s="520">
        <f t="shared" si="11"/>
        <v>0</v>
      </c>
      <c r="H165" s="520">
        <f t="shared" si="12"/>
        <v>0</v>
      </c>
      <c r="I165" s="521">
        <f t="shared" si="13"/>
        <v>0</v>
      </c>
      <c r="J165" s="378"/>
      <c r="K165" s="378"/>
      <c r="L165" s="378"/>
      <c r="M165" s="378"/>
      <c r="N165" s="378"/>
      <c r="O165" s="378"/>
      <c r="P165" s="515"/>
      <c r="Q165" s="378"/>
      <c r="R165" s="375"/>
      <c r="S165" s="375"/>
      <c r="W165" s="498">
        <v>0</v>
      </c>
      <c r="X165" s="59"/>
      <c r="AF165" s="59"/>
      <c r="AG165" s="59"/>
    </row>
    <row r="166" spans="2:60">
      <c r="B166" s="652"/>
      <c r="C166" s="516">
        <v>3316</v>
      </c>
      <c r="D166" s="683"/>
      <c r="E166" s="518" t="s">
        <v>124</v>
      </c>
      <c r="F166" s="519">
        <v>0.09</v>
      </c>
      <c r="G166" s="520">
        <f t="shared" si="11"/>
        <v>0</v>
      </c>
      <c r="H166" s="520">
        <f t="shared" si="12"/>
        <v>0</v>
      </c>
      <c r="I166" s="521">
        <f t="shared" si="13"/>
        <v>0</v>
      </c>
      <c r="J166" s="378"/>
      <c r="K166" s="378"/>
      <c r="L166" s="378"/>
      <c r="M166" s="378"/>
      <c r="N166" s="378"/>
      <c r="O166" s="378"/>
      <c r="P166" s="515"/>
      <c r="Q166" s="378"/>
      <c r="R166" s="375"/>
      <c r="S166" s="375"/>
      <c r="W166" s="498">
        <v>0</v>
      </c>
      <c r="X166" s="59"/>
      <c r="AB166" s="59" t="s">
        <v>178</v>
      </c>
      <c r="AF166" s="59"/>
      <c r="AG166" s="59"/>
    </row>
    <row r="167" spans="2:60" ht="12.95" customHeight="1">
      <c r="B167" s="652"/>
      <c r="C167" s="516">
        <v>3316</v>
      </c>
      <c r="D167" s="682"/>
      <c r="E167" s="518" t="s">
        <v>125</v>
      </c>
      <c r="F167" s="519">
        <v>0.06</v>
      </c>
      <c r="G167" s="520">
        <f t="shared" si="11"/>
        <v>5881282.5199999996</v>
      </c>
      <c r="H167" s="520">
        <f t="shared" si="12"/>
        <v>5261984.83</v>
      </c>
      <c r="I167" s="521">
        <f t="shared" si="13"/>
        <v>619297.68999999901</v>
      </c>
      <c r="J167" s="378"/>
      <c r="K167" s="378"/>
      <c r="L167" s="378"/>
      <c r="M167" s="378"/>
      <c r="N167" s="378"/>
      <c r="O167" s="378"/>
      <c r="P167" s="515"/>
      <c r="Q167" s="378"/>
      <c r="R167" s="375"/>
      <c r="S167" s="375"/>
      <c r="W167" s="498">
        <v>0</v>
      </c>
      <c r="Z167" s="59">
        <v>33839.49</v>
      </c>
      <c r="AA167" s="59">
        <v>33839.49</v>
      </c>
      <c r="AB167" s="59">
        <v>458115.35</v>
      </c>
      <c r="AC167" s="59">
        <v>71322.899999999994</v>
      </c>
      <c r="AD167" s="59">
        <v>117141.73</v>
      </c>
      <c r="AE167" s="59">
        <v>117141.73</v>
      </c>
      <c r="AF167" s="59"/>
      <c r="AG167" s="59"/>
      <c r="AH167" s="560">
        <v>456112.42</v>
      </c>
      <c r="AI167" s="560">
        <v>456112.42</v>
      </c>
      <c r="AJ167" s="61">
        <v>239467.5</v>
      </c>
      <c r="AK167" s="61">
        <v>192945.49</v>
      </c>
      <c r="AL167" s="61">
        <v>109532.01</v>
      </c>
      <c r="AM167" s="61">
        <v>109532.01</v>
      </c>
      <c r="AN167" s="61">
        <v>475782.12</v>
      </c>
      <c r="AO167" s="61">
        <v>50945.05</v>
      </c>
      <c r="AP167" s="61">
        <v>42922.29</v>
      </c>
      <c r="AQ167" s="61">
        <v>476236.75</v>
      </c>
      <c r="AR167" s="61">
        <v>2218663.42</v>
      </c>
      <c r="AS167" s="59">
        <v>2218663.42</v>
      </c>
      <c r="AU167" s="59">
        <v>85445.65</v>
      </c>
      <c r="AV167" s="59">
        <v>85445.65</v>
      </c>
      <c r="AW167" s="59">
        <v>42964.45</v>
      </c>
      <c r="AX167" s="59">
        <v>42964.45</v>
      </c>
      <c r="AY167" s="61">
        <v>884248.22</v>
      </c>
      <c r="AZ167" s="61">
        <v>1309085.29</v>
      </c>
      <c r="BC167" s="61">
        <v>48875.09</v>
      </c>
      <c r="BD167" s="61">
        <v>48875.09</v>
      </c>
      <c r="BG167" s="61">
        <v>668172.78</v>
      </c>
      <c r="BH167" s="61">
        <v>48875.09</v>
      </c>
    </row>
    <row r="168" spans="2:60">
      <c r="B168" s="652" t="s">
        <v>171</v>
      </c>
      <c r="C168" s="516"/>
      <c r="D168" s="680" t="s">
        <v>197</v>
      </c>
      <c r="E168" s="518" t="s">
        <v>123</v>
      </c>
      <c r="F168" s="519">
        <v>0.13</v>
      </c>
      <c r="G168" s="520">
        <f t="shared" si="11"/>
        <v>2854513.27</v>
      </c>
      <c r="H168" s="520">
        <f t="shared" si="12"/>
        <v>2854513.27</v>
      </c>
      <c r="I168" s="521">
        <f t="shared" si="13"/>
        <v>0</v>
      </c>
      <c r="J168" s="539"/>
      <c r="K168" s="539"/>
      <c r="L168" s="539"/>
      <c r="M168" s="539"/>
      <c r="N168" s="539"/>
      <c r="O168" s="539"/>
      <c r="P168" s="562"/>
      <c r="Q168" s="539"/>
      <c r="R168" s="543"/>
      <c r="S168" s="543"/>
      <c r="AB168" s="59">
        <v>2854513.27</v>
      </c>
      <c r="AE168" s="59">
        <v>2854513.27</v>
      </c>
      <c r="AF168" s="59"/>
      <c r="AG168" s="59"/>
    </row>
    <row r="169" spans="2:60">
      <c r="B169" s="652"/>
      <c r="C169" s="516"/>
      <c r="D169" s="683"/>
      <c r="E169" s="518" t="s">
        <v>124</v>
      </c>
      <c r="F169" s="519">
        <v>0.09</v>
      </c>
      <c r="G169" s="520">
        <f t="shared" si="11"/>
        <v>845504.59</v>
      </c>
      <c r="H169" s="520">
        <f t="shared" si="12"/>
        <v>845504.58</v>
      </c>
      <c r="I169" s="521">
        <f t="shared" si="13"/>
        <v>1.00000000093132E-2</v>
      </c>
      <c r="J169" s="539"/>
      <c r="K169" s="539"/>
      <c r="L169" s="539"/>
      <c r="M169" s="539"/>
      <c r="N169" s="539"/>
      <c r="O169" s="539"/>
      <c r="P169" s="562"/>
      <c r="Q169" s="539"/>
      <c r="R169" s="543"/>
      <c r="S169" s="543"/>
      <c r="AB169" s="59">
        <v>845504.59</v>
      </c>
      <c r="AF169" s="59"/>
      <c r="AG169" s="59">
        <v>422752.29</v>
      </c>
      <c r="AX169" s="59">
        <v>422752.29</v>
      </c>
    </row>
    <row r="170" spans="2:60">
      <c r="B170" s="652"/>
      <c r="C170" s="516"/>
      <c r="D170" s="682"/>
      <c r="E170" s="518" t="s">
        <v>125</v>
      </c>
      <c r="F170" s="519">
        <v>0.06</v>
      </c>
      <c r="G170" s="520">
        <f t="shared" si="11"/>
        <v>434716.98</v>
      </c>
      <c r="H170" s="520">
        <f t="shared" si="12"/>
        <v>434716.98</v>
      </c>
      <c r="I170" s="521">
        <f t="shared" si="13"/>
        <v>0</v>
      </c>
      <c r="J170" s="539"/>
      <c r="K170" s="539"/>
      <c r="L170" s="539"/>
      <c r="M170" s="539"/>
      <c r="N170" s="539"/>
      <c r="O170" s="539"/>
      <c r="P170" s="562"/>
      <c r="Q170" s="539"/>
      <c r="R170" s="543"/>
      <c r="S170" s="543"/>
      <c r="AB170" s="59">
        <v>434716.98</v>
      </c>
      <c r="AF170" s="59"/>
      <c r="AG170" s="59"/>
      <c r="AX170" s="59">
        <v>434716.98</v>
      </c>
    </row>
    <row r="171" spans="2:60">
      <c r="B171" s="652" t="s">
        <v>171</v>
      </c>
      <c r="C171" s="516">
        <v>3009</v>
      </c>
      <c r="D171" s="680" t="s">
        <v>198</v>
      </c>
      <c r="E171" s="518" t="s">
        <v>123</v>
      </c>
      <c r="F171" s="519">
        <v>0.13</v>
      </c>
      <c r="G171" s="520">
        <f t="shared" si="11"/>
        <v>38522730.079999998</v>
      </c>
      <c r="H171" s="520">
        <f t="shared" si="12"/>
        <v>30438792.399999999</v>
      </c>
      <c r="I171" s="521">
        <f t="shared" si="13"/>
        <v>8083937.6799999997</v>
      </c>
      <c r="J171" s="539"/>
      <c r="K171" s="539"/>
      <c r="L171" s="539"/>
      <c r="M171" s="539"/>
      <c r="N171" s="539"/>
      <c r="O171" s="539"/>
      <c r="P171" s="562"/>
      <c r="Q171" s="539"/>
      <c r="R171" s="543"/>
      <c r="S171" s="543"/>
      <c r="AC171" s="59">
        <v>10182908.84</v>
      </c>
      <c r="AD171" s="59">
        <v>38522730.079999998</v>
      </c>
      <c r="AE171" s="59">
        <v>-10182908.84</v>
      </c>
      <c r="AF171" s="59"/>
      <c r="AG171" s="59"/>
      <c r="AK171" s="61">
        <v>30438792.399999999</v>
      </c>
    </row>
    <row r="172" spans="2:60">
      <c r="B172" s="652"/>
      <c r="C172" s="516">
        <v>3009</v>
      </c>
      <c r="D172" s="683"/>
      <c r="E172" s="518" t="s">
        <v>124</v>
      </c>
      <c r="F172" s="519">
        <v>0.09</v>
      </c>
      <c r="G172" s="520">
        <f t="shared" si="11"/>
        <v>0</v>
      </c>
      <c r="H172" s="520">
        <f t="shared" si="12"/>
        <v>0</v>
      </c>
      <c r="I172" s="521">
        <f t="shared" si="13"/>
        <v>0</v>
      </c>
      <c r="J172" s="539"/>
      <c r="K172" s="539"/>
      <c r="L172" s="539"/>
      <c r="M172" s="539"/>
      <c r="N172" s="539"/>
      <c r="O172" s="539"/>
      <c r="P172" s="562"/>
      <c r="Q172" s="539"/>
      <c r="R172" s="543"/>
      <c r="S172" s="543"/>
      <c r="AF172" s="59"/>
      <c r="AG172" s="59"/>
    </row>
    <row r="173" spans="2:60">
      <c r="B173" s="652"/>
      <c r="C173" s="516">
        <v>3009</v>
      </c>
      <c r="D173" s="682"/>
      <c r="E173" s="518" t="s">
        <v>125</v>
      </c>
      <c r="F173" s="519">
        <v>0.06</v>
      </c>
      <c r="G173" s="520">
        <f t="shared" si="11"/>
        <v>0</v>
      </c>
      <c r="H173" s="520">
        <f t="shared" si="12"/>
        <v>0</v>
      </c>
      <c r="I173" s="521">
        <f t="shared" si="13"/>
        <v>0</v>
      </c>
      <c r="J173" s="539"/>
      <c r="K173" s="539"/>
      <c r="L173" s="539"/>
      <c r="M173" s="539"/>
      <c r="N173" s="539"/>
      <c r="O173" s="539"/>
      <c r="P173" s="562"/>
      <c r="Q173" s="539"/>
      <c r="R173" s="543"/>
      <c r="S173" s="543"/>
      <c r="AF173" s="59"/>
      <c r="AG173" s="59"/>
    </row>
    <row r="174" spans="2:60">
      <c r="B174" s="652" t="s">
        <v>126</v>
      </c>
      <c r="C174" s="516">
        <v>1000</v>
      </c>
      <c r="D174" s="680" t="s">
        <v>199</v>
      </c>
      <c r="E174" s="518" t="s">
        <v>123</v>
      </c>
      <c r="F174" s="519">
        <v>0.13</v>
      </c>
      <c r="G174" s="520">
        <f t="shared" si="11"/>
        <v>0</v>
      </c>
      <c r="H174" s="520">
        <f t="shared" si="12"/>
        <v>0</v>
      </c>
      <c r="I174" s="521">
        <f t="shared" si="13"/>
        <v>0</v>
      </c>
      <c r="J174" s="539"/>
      <c r="K174" s="539"/>
      <c r="L174" s="539"/>
      <c r="M174" s="539"/>
      <c r="N174" s="539"/>
      <c r="O174" s="539"/>
      <c r="P174" s="562"/>
      <c r="Q174" s="539"/>
      <c r="R174" s="543"/>
      <c r="S174" s="543"/>
      <c r="AF174" s="59"/>
      <c r="AG174" s="59"/>
    </row>
    <row r="175" spans="2:60">
      <c r="B175" s="652"/>
      <c r="C175" s="516">
        <v>1000</v>
      </c>
      <c r="D175" s="683"/>
      <c r="E175" s="518" t="s">
        <v>124</v>
      </c>
      <c r="F175" s="519">
        <v>0.09</v>
      </c>
      <c r="G175" s="520">
        <f t="shared" si="11"/>
        <v>104768.17</v>
      </c>
      <c r="H175" s="520">
        <f t="shared" si="12"/>
        <v>104768.17</v>
      </c>
      <c r="I175" s="521">
        <f t="shared" si="13"/>
        <v>0</v>
      </c>
      <c r="J175" s="539"/>
      <c r="K175" s="539"/>
      <c r="L175" s="539"/>
      <c r="M175" s="539"/>
      <c r="N175" s="539"/>
      <c r="O175" s="539"/>
      <c r="P175" s="562"/>
      <c r="Q175" s="539"/>
      <c r="R175" s="543"/>
      <c r="S175" s="543"/>
      <c r="AD175" s="59">
        <v>104768.17</v>
      </c>
      <c r="AE175" s="59">
        <v>104768.17</v>
      </c>
      <c r="AF175" s="59"/>
      <c r="AG175" s="59"/>
    </row>
    <row r="176" spans="2:60">
      <c r="B176" s="652"/>
      <c r="C176" s="516">
        <v>1000</v>
      </c>
      <c r="D176" s="682"/>
      <c r="E176" s="518" t="s">
        <v>125</v>
      </c>
      <c r="F176" s="519">
        <v>0.06</v>
      </c>
      <c r="G176" s="520">
        <f t="shared" si="11"/>
        <v>0</v>
      </c>
      <c r="H176" s="520">
        <f t="shared" si="12"/>
        <v>0</v>
      </c>
      <c r="I176" s="521">
        <f t="shared" si="13"/>
        <v>0</v>
      </c>
      <c r="J176" s="539"/>
      <c r="K176" s="539"/>
      <c r="L176" s="539"/>
      <c r="M176" s="539"/>
      <c r="N176" s="539"/>
      <c r="O176" s="539"/>
      <c r="P176" s="562"/>
      <c r="Q176" s="539"/>
      <c r="R176" s="543"/>
      <c r="S176" s="543"/>
      <c r="AF176" s="59"/>
      <c r="AG176" s="59"/>
    </row>
    <row r="177" spans="2:60">
      <c r="B177" s="652" t="s">
        <v>126</v>
      </c>
      <c r="C177" s="516">
        <v>2060</v>
      </c>
      <c r="D177" s="680" t="s">
        <v>200</v>
      </c>
      <c r="E177" s="518" t="s">
        <v>123</v>
      </c>
      <c r="F177" s="519">
        <v>0.13</v>
      </c>
      <c r="G177" s="520">
        <f t="shared" si="11"/>
        <v>0</v>
      </c>
      <c r="H177" s="520">
        <f t="shared" si="12"/>
        <v>0</v>
      </c>
      <c r="I177" s="521">
        <f t="shared" si="13"/>
        <v>0</v>
      </c>
      <c r="J177" s="539"/>
      <c r="K177" s="539"/>
      <c r="L177" s="539"/>
      <c r="M177" s="539"/>
      <c r="N177" s="539"/>
      <c r="O177" s="539"/>
      <c r="P177" s="562"/>
      <c r="Q177" s="539"/>
      <c r="R177" s="543"/>
      <c r="S177" s="543"/>
      <c r="AF177" s="59"/>
      <c r="AG177" s="59"/>
    </row>
    <row r="178" spans="2:60">
      <c r="B178" s="652"/>
      <c r="C178" s="516">
        <v>2060</v>
      </c>
      <c r="D178" s="683"/>
      <c r="E178" s="518" t="s">
        <v>124</v>
      </c>
      <c r="F178" s="519">
        <v>0.09</v>
      </c>
      <c r="G178" s="520">
        <f t="shared" si="11"/>
        <v>11215366.77</v>
      </c>
      <c r="H178" s="520">
        <f t="shared" si="12"/>
        <v>11215366.77</v>
      </c>
      <c r="I178" s="521">
        <f t="shared" si="13"/>
        <v>0</v>
      </c>
      <c r="J178" s="539"/>
      <c r="K178" s="539"/>
      <c r="L178" s="539"/>
      <c r="M178" s="539"/>
      <c r="N178" s="539"/>
      <c r="O178" s="539"/>
      <c r="P178" s="562"/>
      <c r="Q178" s="539"/>
      <c r="R178" s="543"/>
      <c r="S178" s="543"/>
      <c r="AD178" s="59">
        <v>4693173.04</v>
      </c>
      <c r="AE178" s="59">
        <v>4693173.04</v>
      </c>
      <c r="AF178" s="59"/>
      <c r="AG178" s="59"/>
      <c r="BG178" s="61">
        <v>6522193.7300000004</v>
      </c>
      <c r="BH178" s="61">
        <v>6522193.7300000004</v>
      </c>
    </row>
    <row r="179" spans="2:60">
      <c r="B179" s="652"/>
      <c r="C179" s="516">
        <v>2060</v>
      </c>
      <c r="D179" s="682"/>
      <c r="E179" s="518" t="s">
        <v>125</v>
      </c>
      <c r="F179" s="519">
        <v>0.06</v>
      </c>
      <c r="G179" s="520">
        <f t="shared" si="11"/>
        <v>608226.82999999996</v>
      </c>
      <c r="H179" s="520">
        <f t="shared" si="12"/>
        <v>608226.82999999996</v>
      </c>
      <c r="I179" s="521">
        <f t="shared" si="13"/>
        <v>0</v>
      </c>
      <c r="J179" s="539"/>
      <c r="K179" s="539"/>
      <c r="L179" s="539"/>
      <c r="M179" s="539"/>
      <c r="N179" s="539"/>
      <c r="O179" s="539"/>
      <c r="P179" s="562"/>
      <c r="Q179" s="539"/>
      <c r="R179" s="543"/>
      <c r="S179" s="543"/>
      <c r="AD179" s="59">
        <v>99974.74</v>
      </c>
      <c r="AE179" s="59">
        <v>99974.74</v>
      </c>
      <c r="AF179" s="59"/>
      <c r="AG179" s="59"/>
      <c r="BG179" s="61">
        <v>508252.09</v>
      </c>
      <c r="BH179" s="61">
        <v>508252.09</v>
      </c>
    </row>
    <row r="180" spans="2:60">
      <c r="B180" s="652" t="s">
        <v>126</v>
      </c>
      <c r="C180" s="516">
        <v>1000</v>
      </c>
      <c r="D180" s="680" t="s">
        <v>200</v>
      </c>
      <c r="E180" s="518" t="s">
        <v>123</v>
      </c>
      <c r="F180" s="519">
        <v>0.13</v>
      </c>
      <c r="G180" s="520">
        <f t="shared" si="11"/>
        <v>0</v>
      </c>
      <c r="H180" s="520">
        <f t="shared" si="12"/>
        <v>0</v>
      </c>
      <c r="I180" s="521"/>
      <c r="J180" s="539"/>
      <c r="K180" s="539"/>
      <c r="L180" s="539"/>
      <c r="M180" s="539"/>
      <c r="N180" s="539"/>
      <c r="O180" s="539"/>
      <c r="P180" s="562"/>
      <c r="Q180" s="539"/>
      <c r="R180" s="543"/>
      <c r="S180" s="543"/>
      <c r="AF180" s="59"/>
      <c r="AG180" s="59"/>
    </row>
    <row r="181" spans="2:60">
      <c r="B181" s="652"/>
      <c r="C181" s="516">
        <v>1000</v>
      </c>
      <c r="D181" s="683"/>
      <c r="E181" s="518" t="s">
        <v>124</v>
      </c>
      <c r="F181" s="519">
        <v>0.09</v>
      </c>
      <c r="G181" s="520">
        <f t="shared" si="11"/>
        <v>10823032.560000001</v>
      </c>
      <c r="H181" s="520">
        <f t="shared" si="12"/>
        <v>10823032.560000001</v>
      </c>
      <c r="I181" s="521"/>
      <c r="J181" s="539"/>
      <c r="K181" s="539"/>
      <c r="L181" s="539"/>
      <c r="M181" s="539"/>
      <c r="N181" s="539"/>
      <c r="O181" s="539"/>
      <c r="P181" s="562"/>
      <c r="Q181" s="539"/>
      <c r="R181" s="543"/>
      <c r="S181" s="543"/>
      <c r="AF181" s="59"/>
      <c r="AG181" s="59"/>
      <c r="BG181" s="61">
        <v>10823032.560000001</v>
      </c>
      <c r="BH181" s="61">
        <v>10823032.560000001</v>
      </c>
    </row>
    <row r="182" spans="2:60">
      <c r="B182" s="652"/>
      <c r="C182" s="516">
        <v>1000</v>
      </c>
      <c r="D182" s="682"/>
      <c r="E182" s="518" t="s">
        <v>125</v>
      </c>
      <c r="F182" s="519">
        <v>0.06</v>
      </c>
      <c r="G182" s="520">
        <f t="shared" si="11"/>
        <v>843564.88</v>
      </c>
      <c r="H182" s="520">
        <f t="shared" si="12"/>
        <v>843564.88</v>
      </c>
      <c r="I182" s="521"/>
      <c r="J182" s="539"/>
      <c r="K182" s="539"/>
      <c r="L182" s="539"/>
      <c r="M182" s="539"/>
      <c r="N182" s="539"/>
      <c r="O182" s="539"/>
      <c r="P182" s="562"/>
      <c r="Q182" s="539"/>
      <c r="R182" s="543"/>
      <c r="S182" s="543"/>
      <c r="AF182" s="59"/>
      <c r="AG182" s="59"/>
      <c r="BG182" s="61">
        <v>843564.88</v>
      </c>
      <c r="BH182" s="61">
        <v>843564.88</v>
      </c>
    </row>
    <row r="183" spans="2:60">
      <c r="B183" s="652" t="s">
        <v>126</v>
      </c>
      <c r="C183" s="516">
        <v>2260</v>
      </c>
      <c r="D183" s="680" t="s">
        <v>200</v>
      </c>
      <c r="E183" s="518" t="s">
        <v>123</v>
      </c>
      <c r="F183" s="519">
        <v>0.13</v>
      </c>
      <c r="G183" s="520">
        <f t="shared" si="11"/>
        <v>0</v>
      </c>
      <c r="H183" s="520">
        <f t="shared" si="12"/>
        <v>0</v>
      </c>
      <c r="I183" s="521"/>
      <c r="J183" s="539"/>
      <c r="K183" s="539"/>
      <c r="L183" s="539"/>
      <c r="M183" s="539"/>
      <c r="N183" s="539"/>
      <c r="O183" s="539"/>
      <c r="P183" s="562"/>
      <c r="Q183" s="539"/>
      <c r="R183" s="543"/>
      <c r="S183" s="543"/>
      <c r="AF183" s="59"/>
      <c r="AG183" s="59"/>
    </row>
    <row r="184" spans="2:60">
      <c r="B184" s="652"/>
      <c r="C184" s="516">
        <v>2260</v>
      </c>
      <c r="D184" s="683"/>
      <c r="E184" s="518" t="s">
        <v>124</v>
      </c>
      <c r="F184" s="519">
        <v>0.09</v>
      </c>
      <c r="G184" s="520">
        <f t="shared" si="11"/>
        <v>4824387.34</v>
      </c>
      <c r="H184" s="520">
        <f t="shared" si="12"/>
        <v>4824387.34</v>
      </c>
      <c r="I184" s="521"/>
      <c r="J184" s="539"/>
      <c r="K184" s="539"/>
      <c r="L184" s="539"/>
      <c r="M184" s="539"/>
      <c r="N184" s="539"/>
      <c r="O184" s="539"/>
      <c r="P184" s="562"/>
      <c r="Q184" s="539"/>
      <c r="R184" s="543"/>
      <c r="S184" s="543"/>
      <c r="AF184" s="59"/>
      <c r="AG184" s="59"/>
      <c r="BG184" s="61">
        <v>4824387.34</v>
      </c>
      <c r="BH184" s="61">
        <v>4824387.34</v>
      </c>
    </row>
    <row r="185" spans="2:60">
      <c r="B185" s="652"/>
      <c r="C185" s="516">
        <v>2260</v>
      </c>
      <c r="D185" s="682"/>
      <c r="E185" s="518" t="s">
        <v>125</v>
      </c>
      <c r="F185" s="519">
        <v>0.06</v>
      </c>
      <c r="G185" s="520">
        <f t="shared" si="11"/>
        <v>508252.09</v>
      </c>
      <c r="H185" s="520">
        <f t="shared" si="12"/>
        <v>508252.09</v>
      </c>
      <c r="I185" s="521"/>
      <c r="J185" s="539"/>
      <c r="K185" s="539"/>
      <c r="L185" s="539"/>
      <c r="M185" s="539"/>
      <c r="N185" s="539"/>
      <c r="O185" s="539"/>
      <c r="P185" s="562"/>
      <c r="Q185" s="539"/>
      <c r="R185" s="543"/>
      <c r="S185" s="543"/>
      <c r="AF185" s="59"/>
      <c r="AG185" s="59"/>
      <c r="BG185" s="61">
        <v>508252.09</v>
      </c>
      <c r="BH185" s="61">
        <v>508252.09</v>
      </c>
    </row>
    <row r="186" spans="2:60">
      <c r="B186" s="652" t="s">
        <v>201</v>
      </c>
      <c r="C186" s="516"/>
      <c r="D186" s="680" t="s">
        <v>202</v>
      </c>
      <c r="E186" s="518" t="s">
        <v>123</v>
      </c>
      <c r="F186" s="519">
        <v>0.13</v>
      </c>
      <c r="G186" s="520">
        <f t="shared" si="11"/>
        <v>727950.78</v>
      </c>
      <c r="H186" s="520">
        <f t="shared" si="12"/>
        <v>74584.14</v>
      </c>
      <c r="I186" s="521">
        <f t="shared" ref="I186:I203" si="14">G186-H186</f>
        <v>653366.64</v>
      </c>
      <c r="J186" s="539"/>
      <c r="K186" s="539"/>
      <c r="L186" s="539"/>
      <c r="M186" s="539"/>
      <c r="N186" s="539"/>
      <c r="O186" s="539"/>
      <c r="P186" s="562"/>
      <c r="Q186" s="539"/>
      <c r="R186" s="543"/>
      <c r="S186" s="543"/>
      <c r="AD186" s="59">
        <v>704831.86</v>
      </c>
      <c r="AE186" s="59">
        <v>74584.14</v>
      </c>
      <c r="AF186" s="59"/>
      <c r="AG186" s="59"/>
      <c r="AL186" s="61">
        <v>23118.92</v>
      </c>
    </row>
    <row r="187" spans="2:60">
      <c r="B187" s="652"/>
      <c r="C187" s="516"/>
      <c r="D187" s="683"/>
      <c r="E187" s="518" t="s">
        <v>124</v>
      </c>
      <c r="F187" s="519">
        <v>0.09</v>
      </c>
      <c r="G187" s="520">
        <f t="shared" si="11"/>
        <v>1394.51</v>
      </c>
      <c r="H187" s="520">
        <f t="shared" si="12"/>
        <v>0</v>
      </c>
      <c r="I187" s="521">
        <f t="shared" si="14"/>
        <v>1394.51</v>
      </c>
      <c r="J187" s="539"/>
      <c r="K187" s="539"/>
      <c r="L187" s="539"/>
      <c r="M187" s="539"/>
      <c r="N187" s="539"/>
      <c r="O187" s="539"/>
      <c r="P187" s="562"/>
      <c r="Q187" s="539"/>
      <c r="R187" s="543"/>
      <c r="S187" s="543"/>
      <c r="AD187" s="59">
        <v>0</v>
      </c>
      <c r="AE187" s="59">
        <v>0</v>
      </c>
      <c r="AF187" s="59"/>
      <c r="AG187" s="59"/>
      <c r="AL187" s="61">
        <v>1394.51</v>
      </c>
    </row>
    <row r="188" spans="2:60">
      <c r="B188" s="652"/>
      <c r="C188" s="516"/>
      <c r="D188" s="682"/>
      <c r="E188" s="518" t="s">
        <v>125</v>
      </c>
      <c r="F188" s="519">
        <v>0.06</v>
      </c>
      <c r="G188" s="520">
        <f t="shared" si="11"/>
        <v>0</v>
      </c>
      <c r="H188" s="520">
        <f t="shared" si="12"/>
        <v>0</v>
      </c>
      <c r="I188" s="521">
        <f t="shared" si="14"/>
        <v>0</v>
      </c>
      <c r="J188" s="539"/>
      <c r="K188" s="539"/>
      <c r="L188" s="539"/>
      <c r="M188" s="539"/>
      <c r="N188" s="539"/>
      <c r="O188" s="539"/>
      <c r="P188" s="562"/>
      <c r="Q188" s="539"/>
      <c r="R188" s="543"/>
      <c r="S188" s="543"/>
      <c r="AF188" s="59"/>
      <c r="AG188" s="59"/>
    </row>
    <row r="189" spans="2:60">
      <c r="B189" s="658"/>
      <c r="C189" s="516">
        <v>2056</v>
      </c>
      <c r="D189" s="680" t="s">
        <v>203</v>
      </c>
      <c r="E189" s="518" t="s">
        <v>123</v>
      </c>
      <c r="F189" s="519">
        <v>0.13</v>
      </c>
      <c r="G189" s="520">
        <f t="shared" si="11"/>
        <v>0</v>
      </c>
      <c r="H189" s="520">
        <f t="shared" si="12"/>
        <v>0</v>
      </c>
      <c r="I189" s="521">
        <f t="shared" si="14"/>
        <v>0</v>
      </c>
      <c r="J189" s="539"/>
      <c r="K189" s="539"/>
      <c r="L189" s="539"/>
      <c r="M189" s="539"/>
      <c r="N189" s="539"/>
      <c r="O189" s="539"/>
      <c r="P189" s="562"/>
      <c r="Q189" s="539"/>
      <c r="R189" s="543"/>
      <c r="S189" s="543"/>
      <c r="AF189" s="59"/>
      <c r="AG189" s="59"/>
    </row>
    <row r="190" spans="2:60">
      <c r="B190" s="659"/>
      <c r="C190" s="516">
        <v>2056</v>
      </c>
      <c r="D190" s="684"/>
      <c r="E190" s="518" t="s">
        <v>124</v>
      </c>
      <c r="F190" s="519">
        <v>0.09</v>
      </c>
      <c r="G190" s="520">
        <f t="shared" si="11"/>
        <v>0</v>
      </c>
      <c r="H190" s="520">
        <f t="shared" si="12"/>
        <v>0</v>
      </c>
      <c r="I190" s="521">
        <f t="shared" si="14"/>
        <v>0</v>
      </c>
      <c r="J190" s="539"/>
      <c r="K190" s="539"/>
      <c r="L190" s="539"/>
      <c r="M190" s="539"/>
      <c r="N190" s="539"/>
      <c r="O190" s="539"/>
      <c r="P190" s="562"/>
      <c r="Q190" s="539"/>
      <c r="R190" s="543"/>
      <c r="S190" s="543"/>
      <c r="AF190" s="59"/>
      <c r="AG190" s="59"/>
    </row>
    <row r="191" spans="2:60">
      <c r="B191" s="660"/>
      <c r="C191" s="516">
        <v>2056</v>
      </c>
      <c r="D191" s="685"/>
      <c r="E191" s="518" t="s">
        <v>125</v>
      </c>
      <c r="F191" s="519">
        <v>0.06</v>
      </c>
      <c r="G191" s="520">
        <f t="shared" si="11"/>
        <v>8639006.4299999997</v>
      </c>
      <c r="H191" s="520">
        <f t="shared" si="12"/>
        <v>7869485.8099999996</v>
      </c>
      <c r="I191" s="521">
        <f t="shared" si="14"/>
        <v>769520.62</v>
      </c>
      <c r="J191" s="539"/>
      <c r="K191" s="539"/>
      <c r="L191" s="539"/>
      <c r="M191" s="539"/>
      <c r="N191" s="539"/>
      <c r="O191" s="539"/>
      <c r="P191" s="562"/>
      <c r="Q191" s="539"/>
      <c r="R191" s="543"/>
      <c r="S191" s="543"/>
      <c r="AF191" s="59"/>
      <c r="AG191" s="59"/>
      <c r="AH191" s="560">
        <v>570140.38</v>
      </c>
      <c r="AI191" s="560">
        <v>570140.38</v>
      </c>
      <c r="AJ191" s="61">
        <v>241181.97</v>
      </c>
      <c r="AK191" s="61">
        <v>241181.97</v>
      </c>
      <c r="AL191" s="61">
        <v>211393.76</v>
      </c>
      <c r="AM191" s="61">
        <v>136915.10999999999</v>
      </c>
      <c r="AN191" s="61">
        <v>231511.42</v>
      </c>
      <c r="AO191" s="61">
        <v>63681.23</v>
      </c>
      <c r="AP191" s="61">
        <v>2137189.5499999998</v>
      </c>
      <c r="AQ191" s="61">
        <v>1645739.52</v>
      </c>
      <c r="AR191" s="61">
        <v>3752837.21</v>
      </c>
      <c r="AS191" s="59">
        <v>3752837.21</v>
      </c>
      <c r="AU191" s="59">
        <v>532428.81999999995</v>
      </c>
      <c r="AV191" s="59">
        <v>106807.07</v>
      </c>
      <c r="AW191" s="59">
        <v>53705.41</v>
      </c>
      <c r="AX191" s="59">
        <v>53705.41</v>
      </c>
      <c r="AY191" s="61">
        <v>331801.03999999998</v>
      </c>
      <c r="AZ191" s="61">
        <v>176982.38</v>
      </c>
      <c r="BC191" s="61">
        <v>479961.52</v>
      </c>
      <c r="BD191" s="61">
        <v>61093.599999999999</v>
      </c>
      <c r="BG191" s="61">
        <v>96855.35</v>
      </c>
      <c r="BH191" s="61">
        <v>1060401.93</v>
      </c>
    </row>
    <row r="192" spans="2:60">
      <c r="B192" s="661"/>
      <c r="C192" s="622" t="s">
        <v>204</v>
      </c>
      <c r="D192" s="686" t="s">
        <v>205</v>
      </c>
      <c r="E192" s="518" t="s">
        <v>123</v>
      </c>
      <c r="F192" s="519">
        <v>0.13</v>
      </c>
      <c r="G192" s="520">
        <f t="shared" si="11"/>
        <v>0</v>
      </c>
      <c r="H192" s="520">
        <f t="shared" si="12"/>
        <v>0</v>
      </c>
      <c r="I192" s="521">
        <f t="shared" si="14"/>
        <v>0</v>
      </c>
      <c r="J192" s="539"/>
      <c r="K192" s="539"/>
      <c r="L192" s="539"/>
      <c r="M192" s="539"/>
      <c r="N192" s="539"/>
      <c r="O192" s="539"/>
      <c r="P192" s="562"/>
      <c r="Q192" s="539"/>
      <c r="R192" s="543"/>
      <c r="S192" s="543"/>
      <c r="AF192" s="59"/>
      <c r="AG192" s="59"/>
      <c r="AH192" s="560"/>
      <c r="AI192" s="560"/>
    </row>
    <row r="193" spans="2:60">
      <c r="B193" s="661"/>
      <c r="C193" s="622" t="s">
        <v>204</v>
      </c>
      <c r="D193" s="686"/>
      <c r="E193" s="518" t="s">
        <v>124</v>
      </c>
      <c r="F193" s="519">
        <v>0.09</v>
      </c>
      <c r="G193" s="520">
        <f t="shared" si="11"/>
        <v>0</v>
      </c>
      <c r="H193" s="520">
        <f t="shared" si="12"/>
        <v>0</v>
      </c>
      <c r="I193" s="521">
        <f t="shared" si="14"/>
        <v>0</v>
      </c>
      <c r="J193" s="539"/>
      <c r="K193" s="539"/>
      <c r="L193" s="539"/>
      <c r="M193" s="539"/>
      <c r="N193" s="539"/>
      <c r="O193" s="539"/>
      <c r="P193" s="562"/>
      <c r="Q193" s="539"/>
      <c r="R193" s="543"/>
      <c r="S193" s="543"/>
      <c r="AF193" s="59"/>
      <c r="AG193" s="59"/>
      <c r="AH193" s="560"/>
      <c r="AI193" s="560"/>
    </row>
    <row r="194" spans="2:60">
      <c r="B194" s="661"/>
      <c r="C194" s="622" t="s">
        <v>204</v>
      </c>
      <c r="D194" s="686"/>
      <c r="E194" s="518" t="s">
        <v>125</v>
      </c>
      <c r="F194" s="519">
        <v>0.06</v>
      </c>
      <c r="G194" s="520">
        <f t="shared" si="11"/>
        <v>3967951.11</v>
      </c>
      <c r="H194" s="520">
        <f t="shared" si="12"/>
        <v>3967951.11</v>
      </c>
      <c r="I194" s="521">
        <f t="shared" si="14"/>
        <v>0</v>
      </c>
      <c r="J194" s="539"/>
      <c r="K194" s="539"/>
      <c r="L194" s="539"/>
      <c r="M194" s="539"/>
      <c r="N194" s="539"/>
      <c r="O194" s="539"/>
      <c r="P194" s="562"/>
      <c r="Q194" s="539"/>
      <c r="R194" s="543"/>
      <c r="S194" s="543"/>
      <c r="AF194" s="59"/>
      <c r="AG194" s="59"/>
      <c r="AH194" s="560"/>
      <c r="AI194" s="560"/>
      <c r="AN194" s="61">
        <v>1001775.95</v>
      </c>
      <c r="AO194" s="61">
        <v>63681.23</v>
      </c>
      <c r="AP194" s="61">
        <v>65445.21</v>
      </c>
      <c r="AQ194" s="61">
        <v>65445.21</v>
      </c>
      <c r="AR194" s="61">
        <v>1474702.22</v>
      </c>
      <c r="AS194" s="59">
        <v>1003004.11</v>
      </c>
      <c r="AU194" s="59">
        <v>106807.07</v>
      </c>
      <c r="AV194" s="59">
        <v>106807.07</v>
      </c>
      <c r="AW194" s="59">
        <v>341441.26</v>
      </c>
      <c r="AX194" s="59">
        <v>53705.41</v>
      </c>
      <c r="AY194" s="61">
        <v>855592.2</v>
      </c>
      <c r="AZ194" s="61">
        <v>1615026.16</v>
      </c>
      <c r="BC194" s="61">
        <v>61093.599999999999</v>
      </c>
      <c r="BD194" s="61">
        <v>61093.599999999999</v>
      </c>
      <c r="BG194" s="61">
        <v>61093.599999999999</v>
      </c>
      <c r="BH194" s="61">
        <v>999188.32</v>
      </c>
    </row>
    <row r="195" spans="2:60" s="495" customFormat="1">
      <c r="B195" s="662"/>
      <c r="C195" s="623" t="s">
        <v>206</v>
      </c>
      <c r="D195" s="687" t="s">
        <v>207</v>
      </c>
      <c r="E195" s="563" t="s">
        <v>123</v>
      </c>
      <c r="F195" s="564">
        <v>0.13</v>
      </c>
      <c r="G195" s="520">
        <f t="shared" si="11"/>
        <v>0</v>
      </c>
      <c r="H195" s="520">
        <f t="shared" si="12"/>
        <v>0</v>
      </c>
      <c r="I195" s="565">
        <f t="shared" si="14"/>
        <v>0</v>
      </c>
      <c r="J195" s="566"/>
      <c r="K195" s="566"/>
      <c r="L195" s="566"/>
      <c r="M195" s="566"/>
      <c r="N195" s="566"/>
      <c r="O195" s="566"/>
      <c r="P195" s="567"/>
      <c r="Q195" s="566"/>
      <c r="R195" s="568"/>
      <c r="S195" s="568"/>
      <c r="T195" s="569"/>
      <c r="U195" s="569"/>
      <c r="V195" s="570"/>
      <c r="W195" s="570"/>
      <c r="X195" s="570"/>
      <c r="Y195" s="569"/>
      <c r="Z195" s="569"/>
      <c r="AA195" s="569"/>
      <c r="AB195" s="569"/>
      <c r="AC195" s="569"/>
      <c r="AD195" s="569"/>
      <c r="AE195" s="569"/>
      <c r="AF195" s="569"/>
      <c r="AG195" s="569"/>
      <c r="AH195" s="571"/>
      <c r="AI195" s="571"/>
      <c r="AS195" s="569"/>
      <c r="AT195" s="569"/>
      <c r="AU195" s="569"/>
      <c r="AV195" s="569"/>
      <c r="AW195" s="569"/>
      <c r="AX195" s="569"/>
    </row>
    <row r="196" spans="2:60" s="495" customFormat="1">
      <c r="B196" s="662"/>
      <c r="C196" s="623" t="s">
        <v>206</v>
      </c>
      <c r="D196" s="688"/>
      <c r="E196" s="563" t="s">
        <v>124</v>
      </c>
      <c r="F196" s="564">
        <v>0.09</v>
      </c>
      <c r="G196" s="520">
        <f t="shared" si="11"/>
        <v>0</v>
      </c>
      <c r="H196" s="520">
        <f t="shared" si="12"/>
        <v>0</v>
      </c>
      <c r="I196" s="565">
        <f t="shared" si="14"/>
        <v>0</v>
      </c>
      <c r="J196" s="566"/>
      <c r="K196" s="566"/>
      <c r="L196" s="566"/>
      <c r="M196" s="566"/>
      <c r="N196" s="566"/>
      <c r="O196" s="566"/>
      <c r="P196" s="567"/>
      <c r="Q196" s="566"/>
      <c r="R196" s="568"/>
      <c r="S196" s="568"/>
      <c r="T196" s="569"/>
      <c r="U196" s="569"/>
      <c r="V196" s="570"/>
      <c r="W196" s="570"/>
      <c r="X196" s="570"/>
      <c r="Y196" s="569"/>
      <c r="Z196" s="569"/>
      <c r="AA196" s="569"/>
      <c r="AB196" s="569"/>
      <c r="AC196" s="569"/>
      <c r="AD196" s="569"/>
      <c r="AE196" s="569"/>
      <c r="AF196" s="569"/>
      <c r="AG196" s="569"/>
      <c r="AH196" s="571"/>
      <c r="AI196" s="571"/>
      <c r="AS196" s="569"/>
      <c r="AT196" s="569"/>
      <c r="AU196" s="569"/>
      <c r="AV196" s="569"/>
      <c r="AW196" s="569"/>
      <c r="AX196" s="569"/>
    </row>
    <row r="197" spans="2:60" s="495" customFormat="1">
      <c r="B197" s="662"/>
      <c r="C197" s="623" t="s">
        <v>206</v>
      </c>
      <c r="D197" s="689"/>
      <c r="E197" s="563" t="s">
        <v>125</v>
      </c>
      <c r="F197" s="564">
        <v>0.06</v>
      </c>
      <c r="G197" s="520">
        <f t="shared" si="11"/>
        <v>930017.53</v>
      </c>
      <c r="H197" s="520">
        <f t="shared" si="12"/>
        <v>930017.53</v>
      </c>
      <c r="I197" s="565">
        <f t="shared" si="14"/>
        <v>0</v>
      </c>
      <c r="J197" s="566"/>
      <c r="K197" s="566"/>
      <c r="L197" s="566"/>
      <c r="M197" s="566"/>
      <c r="N197" s="566"/>
      <c r="O197" s="566"/>
      <c r="P197" s="567"/>
      <c r="Q197" s="566"/>
      <c r="R197" s="568"/>
      <c r="S197" s="568"/>
      <c r="T197" s="569"/>
      <c r="U197" s="569"/>
      <c r="V197" s="570"/>
      <c r="W197" s="570"/>
      <c r="X197" s="570"/>
      <c r="Y197" s="569"/>
      <c r="Z197" s="569"/>
      <c r="AA197" s="569"/>
      <c r="AB197" s="569"/>
      <c r="AC197" s="569"/>
      <c r="AD197" s="569"/>
      <c r="AE197" s="569"/>
      <c r="AF197" s="569"/>
      <c r="AG197" s="569"/>
      <c r="AH197" s="571"/>
      <c r="AI197" s="571"/>
      <c r="AN197" s="495">
        <v>930017.53</v>
      </c>
      <c r="AO197" s="495">
        <v>26477.58</v>
      </c>
      <c r="AS197" s="569"/>
      <c r="AT197" s="569"/>
      <c r="AU197" s="569"/>
      <c r="AV197" s="569"/>
      <c r="AW197" s="569"/>
      <c r="AX197" s="569"/>
      <c r="AZ197" s="495">
        <v>903539.95</v>
      </c>
    </row>
    <row r="198" spans="2:60">
      <c r="B198" s="661"/>
      <c r="C198" s="622" t="s">
        <v>208</v>
      </c>
      <c r="D198" s="690" t="s">
        <v>209</v>
      </c>
      <c r="E198" s="518" t="s">
        <v>123</v>
      </c>
      <c r="F198" s="519">
        <v>0.13</v>
      </c>
      <c r="G198" s="520">
        <f t="shared" si="11"/>
        <v>0</v>
      </c>
      <c r="H198" s="520">
        <f t="shared" si="12"/>
        <v>0</v>
      </c>
      <c r="I198" s="521">
        <f t="shared" si="14"/>
        <v>0</v>
      </c>
      <c r="J198" s="539"/>
      <c r="K198" s="539"/>
      <c r="L198" s="539"/>
      <c r="M198" s="539"/>
      <c r="N198" s="539"/>
      <c r="O198" s="539"/>
      <c r="P198" s="562"/>
      <c r="Q198" s="539"/>
      <c r="R198" s="543"/>
      <c r="S198" s="543"/>
      <c r="AF198" s="59"/>
      <c r="AG198" s="59"/>
      <c r="AH198" s="560"/>
      <c r="AI198" s="560"/>
    </row>
    <row r="199" spans="2:60">
      <c r="B199" s="661"/>
      <c r="C199" s="622" t="s">
        <v>208</v>
      </c>
      <c r="D199" s="684"/>
      <c r="E199" s="518" t="s">
        <v>124</v>
      </c>
      <c r="F199" s="519">
        <v>0.09</v>
      </c>
      <c r="G199" s="520">
        <f t="shared" si="11"/>
        <v>0</v>
      </c>
      <c r="H199" s="520">
        <f t="shared" si="12"/>
        <v>0</v>
      </c>
      <c r="I199" s="521">
        <f t="shared" si="14"/>
        <v>0</v>
      </c>
      <c r="J199" s="539"/>
      <c r="K199" s="539"/>
      <c r="L199" s="539"/>
      <c r="M199" s="539"/>
      <c r="N199" s="539"/>
      <c r="O199" s="539"/>
      <c r="P199" s="562"/>
      <c r="Q199" s="539"/>
      <c r="R199" s="543"/>
      <c r="S199" s="543"/>
      <c r="AF199" s="59"/>
      <c r="AG199" s="59"/>
      <c r="AH199" s="560"/>
      <c r="AI199" s="560"/>
    </row>
    <row r="200" spans="2:60" ht="12.95" customHeight="1">
      <c r="B200" s="661"/>
      <c r="C200" s="622" t="s">
        <v>208</v>
      </c>
      <c r="D200" s="685"/>
      <c r="E200" s="518" t="s">
        <v>125</v>
      </c>
      <c r="F200" s="519">
        <v>0.06</v>
      </c>
      <c r="G200" s="520">
        <f t="shared" si="11"/>
        <v>1542125.14</v>
      </c>
      <c r="H200" s="520">
        <f t="shared" si="12"/>
        <v>1542125.14</v>
      </c>
      <c r="I200" s="521">
        <f t="shared" si="14"/>
        <v>0</v>
      </c>
      <c r="J200" s="539"/>
      <c r="K200" s="539"/>
      <c r="L200" s="539"/>
      <c r="M200" s="539"/>
      <c r="N200" s="539"/>
      <c r="O200" s="539"/>
      <c r="P200" s="562"/>
      <c r="Q200" s="539"/>
      <c r="R200" s="543"/>
      <c r="S200" s="543"/>
      <c r="AF200" s="59"/>
      <c r="AG200" s="59"/>
      <c r="AH200" s="560"/>
      <c r="AI200" s="560"/>
      <c r="AN200" s="61">
        <v>63681.23</v>
      </c>
      <c r="AO200" s="61">
        <v>63681.23</v>
      </c>
      <c r="AP200" s="61">
        <v>65445.21</v>
      </c>
      <c r="AQ200" s="61">
        <v>65445.21</v>
      </c>
      <c r="AR200" s="61">
        <v>83192.789999999994</v>
      </c>
      <c r="AS200" s="59">
        <v>83192.789999999994</v>
      </c>
      <c r="AU200" s="59">
        <v>106807.07</v>
      </c>
      <c r="AV200" s="59">
        <v>106807.07</v>
      </c>
      <c r="AW200" s="59">
        <v>53705.41</v>
      </c>
      <c r="AX200" s="59">
        <v>53705.41</v>
      </c>
      <c r="AY200" s="61">
        <v>1047106.23</v>
      </c>
      <c r="AZ200" s="61">
        <v>1047106.23</v>
      </c>
      <c r="BC200" s="61">
        <v>61093.599999999999</v>
      </c>
      <c r="BD200" s="61">
        <v>61093.599999999999</v>
      </c>
      <c r="BG200" s="61">
        <v>61093.599999999999</v>
      </c>
      <c r="BH200" s="61">
        <v>61093.599999999999</v>
      </c>
    </row>
    <row r="201" spans="2:60">
      <c r="B201" s="661"/>
      <c r="C201" s="622" t="s">
        <v>210</v>
      </c>
      <c r="D201" s="690" t="s">
        <v>211</v>
      </c>
      <c r="E201" s="518" t="s">
        <v>123</v>
      </c>
      <c r="F201" s="519">
        <v>0.13</v>
      </c>
      <c r="G201" s="520">
        <f t="shared" si="11"/>
        <v>0</v>
      </c>
      <c r="H201" s="520">
        <f t="shared" si="12"/>
        <v>0</v>
      </c>
      <c r="I201" s="521">
        <f t="shared" si="14"/>
        <v>0</v>
      </c>
      <c r="J201" s="539"/>
      <c r="K201" s="539"/>
      <c r="L201" s="539"/>
      <c r="M201" s="539"/>
      <c r="N201" s="539"/>
      <c r="O201" s="539"/>
      <c r="P201" s="562"/>
      <c r="Q201" s="539"/>
      <c r="R201" s="543"/>
      <c r="S201" s="543"/>
      <c r="AF201" s="59"/>
      <c r="AG201" s="59"/>
      <c r="AH201" s="560"/>
      <c r="AI201" s="560"/>
    </row>
    <row r="202" spans="2:60">
      <c r="B202" s="661"/>
      <c r="C202" s="622" t="s">
        <v>210</v>
      </c>
      <c r="D202" s="684"/>
      <c r="E202" s="518" t="s">
        <v>124</v>
      </c>
      <c r="F202" s="519">
        <v>0.09</v>
      </c>
      <c r="G202" s="520">
        <f t="shared" ref="G202:G265" si="15">SUM(J202,L202,N202,P202,R202,T202,V202,X202,Z202,AB202,AD202,AF202,AH202,AJ202,AL202,AN202,AP202,AR202,AU202,AW202,AY202,BC202,BG202)</f>
        <v>0</v>
      </c>
      <c r="H202" s="520">
        <f t="shared" ref="H202:H265" si="16">SUM(K202,M202,O202,Q202,S202,U202,W202,Y202,AA202,AC202,AE202,AG202,AI202,AK202,AM202,AO202,AQ202,AS202,AV202,AX202,AZ202,BD202,BH202)</f>
        <v>0</v>
      </c>
      <c r="I202" s="521">
        <f t="shared" si="14"/>
        <v>0</v>
      </c>
      <c r="J202" s="539"/>
      <c r="K202" s="539"/>
      <c r="L202" s="539"/>
      <c r="M202" s="539"/>
      <c r="N202" s="539"/>
      <c r="O202" s="539"/>
      <c r="P202" s="562"/>
      <c r="Q202" s="539"/>
      <c r="R202" s="543"/>
      <c r="S202" s="543"/>
      <c r="AF202" s="59"/>
      <c r="AG202" s="59"/>
      <c r="AH202" s="560"/>
      <c r="AI202" s="560"/>
    </row>
    <row r="203" spans="2:60">
      <c r="B203" s="661"/>
      <c r="C203" s="622" t="s">
        <v>210</v>
      </c>
      <c r="D203" s="685"/>
      <c r="E203" s="518" t="s">
        <v>125</v>
      </c>
      <c r="F203" s="519">
        <v>0.06</v>
      </c>
      <c r="G203" s="520">
        <f t="shared" si="15"/>
        <v>1033483.74</v>
      </c>
      <c r="H203" s="520">
        <f t="shared" si="16"/>
        <v>1033483.74</v>
      </c>
      <c r="I203" s="521">
        <f t="shared" si="14"/>
        <v>0</v>
      </c>
      <c r="J203" s="539"/>
      <c r="K203" s="539"/>
      <c r="L203" s="539"/>
      <c r="M203" s="539"/>
      <c r="N203" s="539"/>
      <c r="O203" s="539"/>
      <c r="P203" s="562"/>
      <c r="Q203" s="539"/>
      <c r="R203" s="543"/>
      <c r="S203" s="543"/>
      <c r="AF203" s="59"/>
      <c r="AG203" s="59"/>
      <c r="AH203" s="560"/>
      <c r="AI203" s="560"/>
      <c r="AN203" s="61">
        <v>50944.98</v>
      </c>
      <c r="AO203" s="61">
        <v>50944.98</v>
      </c>
      <c r="AP203" s="61">
        <v>590167.62</v>
      </c>
      <c r="AQ203" s="61">
        <v>52356.18</v>
      </c>
      <c r="AR203" s="61">
        <v>66554.22</v>
      </c>
      <c r="AS203" s="59">
        <v>66554.22</v>
      </c>
      <c r="AU203" s="59">
        <v>85445.66</v>
      </c>
      <c r="AV203" s="59">
        <v>85445.66</v>
      </c>
      <c r="AW203" s="59">
        <v>42964.32</v>
      </c>
      <c r="AX203" s="59">
        <v>42964.32</v>
      </c>
      <c r="AY203" s="61">
        <v>99657.18</v>
      </c>
      <c r="AZ203" s="61">
        <v>99657.18</v>
      </c>
      <c r="BC203" s="61">
        <v>48874.879999999997</v>
      </c>
      <c r="BD203" s="61">
        <v>48874.879999999997</v>
      </c>
      <c r="BG203" s="61">
        <v>48874.879999999997</v>
      </c>
      <c r="BH203" s="61">
        <v>586686.31999999995</v>
      </c>
    </row>
    <row r="204" spans="2:60">
      <c r="B204" s="661"/>
      <c r="C204" s="622" t="s">
        <v>212</v>
      </c>
      <c r="D204" s="690" t="s">
        <v>213</v>
      </c>
      <c r="E204" s="518" t="s">
        <v>123</v>
      </c>
      <c r="F204" s="519">
        <v>0.13</v>
      </c>
      <c r="G204" s="520">
        <f t="shared" si="15"/>
        <v>287990593.012743</v>
      </c>
      <c r="H204" s="520">
        <f t="shared" si="16"/>
        <v>0</v>
      </c>
      <c r="I204" s="521"/>
      <c r="J204" s="539"/>
      <c r="K204" s="539"/>
      <c r="L204" s="539"/>
      <c r="M204" s="539"/>
      <c r="N204" s="539"/>
      <c r="O204" s="539"/>
      <c r="P204" s="562"/>
      <c r="Q204" s="539"/>
      <c r="R204" s="543"/>
      <c r="S204" s="543"/>
      <c r="AF204" s="59"/>
      <c r="AG204" s="59"/>
      <c r="AH204" s="560"/>
      <c r="AI204" s="560"/>
      <c r="BC204" s="61">
        <v>83833095.810000002</v>
      </c>
      <c r="BG204" s="61">
        <v>204157497.20274299</v>
      </c>
    </row>
    <row r="205" spans="2:60">
      <c r="B205" s="661"/>
      <c r="C205" s="622" t="s">
        <v>212</v>
      </c>
      <c r="D205" s="684"/>
      <c r="E205" s="518" t="s">
        <v>124</v>
      </c>
      <c r="F205" s="519">
        <v>0.09</v>
      </c>
      <c r="G205" s="520">
        <f t="shared" si="15"/>
        <v>118094498.37</v>
      </c>
      <c r="H205" s="520">
        <f t="shared" si="16"/>
        <v>0</v>
      </c>
      <c r="I205" s="521"/>
      <c r="J205" s="539"/>
      <c r="K205" s="539"/>
      <c r="L205" s="539"/>
      <c r="M205" s="539"/>
      <c r="N205" s="539"/>
      <c r="O205" s="539"/>
      <c r="P205" s="562"/>
      <c r="Q205" s="539"/>
      <c r="R205" s="543"/>
      <c r="S205" s="543"/>
      <c r="AF205" s="59"/>
      <c r="AG205" s="59"/>
      <c r="AH205" s="560"/>
      <c r="AI205" s="560"/>
      <c r="BC205" s="61">
        <v>42233055.869999997</v>
      </c>
      <c r="BG205" s="61">
        <v>75861442.5</v>
      </c>
    </row>
    <row r="206" spans="2:60">
      <c r="B206" s="661"/>
      <c r="C206" s="622" t="s">
        <v>212</v>
      </c>
      <c r="D206" s="685"/>
      <c r="E206" s="518" t="s">
        <v>125</v>
      </c>
      <c r="F206" s="519">
        <v>0.06</v>
      </c>
      <c r="G206" s="520">
        <f t="shared" si="15"/>
        <v>25668628.870000001</v>
      </c>
      <c r="H206" s="520">
        <f t="shared" si="16"/>
        <v>97749.759999999995</v>
      </c>
      <c r="I206" s="521"/>
      <c r="J206" s="539"/>
      <c r="K206" s="539"/>
      <c r="L206" s="539"/>
      <c r="M206" s="539"/>
      <c r="N206" s="539"/>
      <c r="O206" s="539"/>
      <c r="P206" s="562"/>
      <c r="Q206" s="539"/>
      <c r="R206" s="543"/>
      <c r="S206" s="543"/>
      <c r="AF206" s="59"/>
      <c r="AG206" s="59"/>
      <c r="AH206" s="560"/>
      <c r="AI206" s="560"/>
      <c r="BC206" s="61">
        <v>1318470.0900000001</v>
      </c>
      <c r="BD206" s="61">
        <v>48874.879999999997</v>
      </c>
      <c r="BG206" s="61">
        <v>24350158.780000001</v>
      </c>
      <c r="BH206" s="61">
        <v>48874.879999999997</v>
      </c>
    </row>
    <row r="207" spans="2:60">
      <c r="B207" s="661"/>
      <c r="C207" s="622" t="s">
        <v>212</v>
      </c>
      <c r="D207" s="690" t="s">
        <v>214</v>
      </c>
      <c r="E207" s="518" t="s">
        <v>123</v>
      </c>
      <c r="F207" s="519">
        <v>0.13</v>
      </c>
      <c r="G207" s="520">
        <f t="shared" si="15"/>
        <v>40438155.659999996</v>
      </c>
      <c r="H207" s="520">
        <f t="shared" si="16"/>
        <v>0</v>
      </c>
      <c r="I207" s="521">
        <f t="shared" ref="I207:I225" si="17">G207-H207</f>
        <v>40438155.659999996</v>
      </c>
      <c r="J207" s="539"/>
      <c r="K207" s="539"/>
      <c r="L207" s="539"/>
      <c r="M207" s="539"/>
      <c r="N207" s="539"/>
      <c r="O207" s="539"/>
      <c r="P207" s="562"/>
      <c r="Q207" s="539"/>
      <c r="R207" s="543"/>
      <c r="S207" s="543"/>
      <c r="AF207" s="59"/>
      <c r="AG207" s="59"/>
      <c r="AH207" s="560"/>
      <c r="AI207" s="560"/>
      <c r="AW207" s="59">
        <v>7281581.8799999999</v>
      </c>
      <c r="AX207" s="59">
        <v>7281581.8799999999</v>
      </c>
      <c r="AY207" s="61">
        <v>33156573.780000001</v>
      </c>
      <c r="AZ207" s="61">
        <v>-7281581.8799999999</v>
      </c>
    </row>
    <row r="208" spans="2:60">
      <c r="B208" s="661"/>
      <c r="C208" s="622" t="s">
        <v>212</v>
      </c>
      <c r="D208" s="684"/>
      <c r="E208" s="518" t="s">
        <v>124</v>
      </c>
      <c r="F208" s="519">
        <v>0.09</v>
      </c>
      <c r="G208" s="520">
        <f t="shared" si="15"/>
        <v>45365755.369999997</v>
      </c>
      <c r="H208" s="520">
        <f t="shared" si="16"/>
        <v>61719178.109999999</v>
      </c>
      <c r="I208" s="521">
        <f t="shared" si="17"/>
        <v>-16353422.74</v>
      </c>
      <c r="J208" s="539"/>
      <c r="K208" s="539"/>
      <c r="L208" s="539"/>
      <c r="M208" s="539"/>
      <c r="N208" s="539"/>
      <c r="O208" s="539"/>
      <c r="P208" s="562"/>
      <c r="Q208" s="539"/>
      <c r="R208" s="543"/>
      <c r="S208" s="543"/>
      <c r="AF208" s="59"/>
      <c r="AG208" s="59"/>
      <c r="AH208" s="560"/>
      <c r="AI208" s="560"/>
      <c r="AW208" s="59">
        <v>28522969.809999999</v>
      </c>
      <c r="AY208" s="61">
        <v>16842785.559999999</v>
      </c>
      <c r="AZ208" s="61">
        <v>61719178.109999999</v>
      </c>
    </row>
    <row r="209" spans="2:60">
      <c r="B209" s="661"/>
      <c r="C209" s="622" t="s">
        <v>212</v>
      </c>
      <c r="D209" s="685"/>
      <c r="E209" s="518" t="s">
        <v>125</v>
      </c>
      <c r="F209" s="519">
        <v>0.06</v>
      </c>
      <c r="G209" s="520">
        <f t="shared" si="15"/>
        <v>39408586.5</v>
      </c>
      <c r="H209" s="520">
        <f t="shared" si="16"/>
        <v>36780396.68</v>
      </c>
      <c r="I209" s="521">
        <f t="shared" si="17"/>
        <v>2628189.8200000101</v>
      </c>
      <c r="J209" s="539"/>
      <c r="K209" s="539"/>
      <c r="L209" s="539"/>
      <c r="M209" s="539"/>
      <c r="N209" s="539"/>
      <c r="O209" s="539"/>
      <c r="P209" s="562"/>
      <c r="Q209" s="539"/>
      <c r="R209" s="543"/>
      <c r="S209" s="543"/>
      <c r="AF209" s="59"/>
      <c r="AG209" s="59"/>
      <c r="AH209" s="560"/>
      <c r="AI209" s="560"/>
      <c r="AN209" s="61">
        <v>50944.98</v>
      </c>
      <c r="AO209" s="61">
        <v>50944.98</v>
      </c>
      <c r="AP209" s="61">
        <v>711732.84</v>
      </c>
      <c r="AQ209" s="61">
        <v>52356.18</v>
      </c>
      <c r="AR209" s="61">
        <v>66554.22</v>
      </c>
      <c r="AS209" s="59">
        <v>66554.22</v>
      </c>
      <c r="AW209" s="59">
        <v>35762736.560000002</v>
      </c>
      <c r="AX209" s="59">
        <v>8768586</v>
      </c>
      <c r="AY209" s="61">
        <v>2767743.02</v>
      </c>
      <c r="AZ209" s="61">
        <v>27841955.300000001</v>
      </c>
      <c r="BC209" s="61">
        <v>48874.879999999997</v>
      </c>
    </row>
    <row r="210" spans="2:60">
      <c r="B210" s="661"/>
      <c r="C210" s="516" t="s">
        <v>215</v>
      </c>
      <c r="D210" s="690" t="s">
        <v>216</v>
      </c>
      <c r="E210" s="518" t="s">
        <v>123</v>
      </c>
      <c r="F210" s="519">
        <v>0.13</v>
      </c>
      <c r="G210" s="520">
        <f t="shared" si="15"/>
        <v>0</v>
      </c>
      <c r="H210" s="520">
        <f t="shared" si="16"/>
        <v>0</v>
      </c>
      <c r="I210" s="521">
        <f t="shared" si="17"/>
        <v>0</v>
      </c>
      <c r="J210" s="539"/>
      <c r="K210" s="539"/>
      <c r="L210" s="539"/>
      <c r="M210" s="539"/>
      <c r="N210" s="539"/>
      <c r="O210" s="539"/>
      <c r="P210" s="562"/>
      <c r="Q210" s="539"/>
      <c r="R210" s="543"/>
      <c r="S210" s="543"/>
      <c r="AF210" s="59"/>
      <c r="AG210" s="59"/>
      <c r="AH210" s="560"/>
      <c r="AI210" s="560"/>
    </row>
    <row r="211" spans="2:60">
      <c r="B211" s="661"/>
      <c r="C211" s="516" t="s">
        <v>215</v>
      </c>
      <c r="D211" s="684"/>
      <c r="E211" s="518" t="s">
        <v>124</v>
      </c>
      <c r="F211" s="519">
        <v>0.09</v>
      </c>
      <c r="G211" s="520">
        <f t="shared" si="15"/>
        <v>0</v>
      </c>
      <c r="H211" s="520">
        <f t="shared" si="16"/>
        <v>0</v>
      </c>
      <c r="I211" s="521">
        <f t="shared" si="17"/>
        <v>0</v>
      </c>
      <c r="J211" s="539"/>
      <c r="K211" s="539"/>
      <c r="L211" s="539"/>
      <c r="M211" s="539"/>
      <c r="N211" s="539"/>
      <c r="O211" s="539"/>
      <c r="P211" s="562"/>
      <c r="Q211" s="539"/>
      <c r="R211" s="543"/>
      <c r="S211" s="543"/>
      <c r="AF211" s="59"/>
      <c r="AG211" s="59"/>
      <c r="AH211" s="560"/>
      <c r="AI211" s="560"/>
    </row>
    <row r="212" spans="2:60">
      <c r="B212" s="661"/>
      <c r="C212" s="516" t="s">
        <v>215</v>
      </c>
      <c r="D212" s="685"/>
      <c r="E212" s="518" t="s">
        <v>125</v>
      </c>
      <c r="F212" s="519">
        <v>0.06</v>
      </c>
      <c r="G212" s="520">
        <f t="shared" si="15"/>
        <v>521497.58</v>
      </c>
      <c r="H212" s="520">
        <f t="shared" si="16"/>
        <v>521497.58</v>
      </c>
      <c r="I212" s="521">
        <f t="shared" si="17"/>
        <v>0</v>
      </c>
      <c r="J212" s="539"/>
      <c r="K212" s="539"/>
      <c r="L212" s="539"/>
      <c r="M212" s="539"/>
      <c r="N212" s="539"/>
      <c r="O212" s="539"/>
      <c r="P212" s="562"/>
      <c r="Q212" s="539"/>
      <c r="R212" s="543"/>
      <c r="S212" s="543"/>
      <c r="AF212" s="59"/>
      <c r="AG212" s="59"/>
      <c r="AH212" s="560"/>
      <c r="AI212" s="560"/>
      <c r="AN212" s="61">
        <v>63681.23</v>
      </c>
      <c r="AO212" s="61">
        <v>63681.23</v>
      </c>
      <c r="AP212" s="61">
        <v>65445.21</v>
      </c>
      <c r="AQ212" s="61">
        <v>65445.21</v>
      </c>
      <c r="AR212" s="61">
        <v>66554.22</v>
      </c>
      <c r="AS212" s="59">
        <v>66554.22</v>
      </c>
      <c r="AU212" s="59">
        <v>85445.66</v>
      </c>
      <c r="AV212" s="59">
        <v>85445.66</v>
      </c>
      <c r="AW212" s="59">
        <v>42964.32</v>
      </c>
      <c r="AX212" s="59">
        <v>42964.32</v>
      </c>
      <c r="AY212" s="61">
        <v>99657.18</v>
      </c>
      <c r="AZ212" s="61">
        <v>99657.18</v>
      </c>
      <c r="BC212" s="61">
        <v>48874.879999999997</v>
      </c>
      <c r="BD212" s="61">
        <v>48874.879999999997</v>
      </c>
      <c r="BG212" s="61">
        <v>48874.879999999997</v>
      </c>
      <c r="BH212" s="61">
        <v>48874.879999999997</v>
      </c>
    </row>
    <row r="213" spans="2:60">
      <c r="B213" s="663"/>
      <c r="C213" s="516">
        <v>4303</v>
      </c>
      <c r="D213" s="684" t="s">
        <v>217</v>
      </c>
      <c r="E213" s="518" t="s">
        <v>123</v>
      </c>
      <c r="F213" s="519">
        <v>0.13</v>
      </c>
      <c r="G213" s="520">
        <f t="shared" si="15"/>
        <v>0</v>
      </c>
      <c r="H213" s="520">
        <f t="shared" si="16"/>
        <v>0</v>
      </c>
      <c r="I213" s="521">
        <f t="shared" si="17"/>
        <v>0</v>
      </c>
      <c r="J213" s="539"/>
      <c r="K213" s="539"/>
      <c r="L213" s="539"/>
      <c r="M213" s="539"/>
      <c r="N213" s="539"/>
      <c r="O213" s="539"/>
      <c r="P213" s="562"/>
      <c r="Q213" s="539"/>
      <c r="R213" s="543"/>
      <c r="S213" s="543"/>
      <c r="AF213" s="59"/>
      <c r="AG213" s="59"/>
      <c r="AH213" s="560"/>
      <c r="AI213" s="560"/>
    </row>
    <row r="214" spans="2:60">
      <c r="B214" s="664"/>
      <c r="C214" s="516">
        <v>4303</v>
      </c>
      <c r="D214" s="684"/>
      <c r="E214" s="518" t="s">
        <v>124</v>
      </c>
      <c r="F214" s="519">
        <v>0.09</v>
      </c>
      <c r="G214" s="520">
        <f t="shared" si="15"/>
        <v>0</v>
      </c>
      <c r="H214" s="520">
        <f t="shared" si="16"/>
        <v>0</v>
      </c>
      <c r="I214" s="521">
        <f t="shared" si="17"/>
        <v>0</v>
      </c>
      <c r="J214" s="539"/>
      <c r="K214" s="539"/>
      <c r="L214" s="539"/>
      <c r="M214" s="539"/>
      <c r="N214" s="539"/>
      <c r="O214" s="539"/>
      <c r="P214" s="562"/>
      <c r="Q214" s="539"/>
      <c r="R214" s="543"/>
      <c r="S214" s="543"/>
      <c r="AF214" s="59"/>
      <c r="AG214" s="59"/>
      <c r="AH214" s="560"/>
      <c r="AI214" s="560"/>
    </row>
    <row r="215" spans="2:60" ht="12.95" customHeight="1">
      <c r="B215" s="665"/>
      <c r="C215" s="516">
        <v>4303</v>
      </c>
      <c r="D215" s="684"/>
      <c r="E215" s="518" t="s">
        <v>125</v>
      </c>
      <c r="F215" s="519">
        <v>0.06</v>
      </c>
      <c r="G215" s="520">
        <f t="shared" si="15"/>
        <v>197102.3</v>
      </c>
      <c r="H215" s="520">
        <f t="shared" si="16"/>
        <v>115169.62</v>
      </c>
      <c r="I215" s="521">
        <f t="shared" si="17"/>
        <v>81932.679999999993</v>
      </c>
      <c r="J215" s="539"/>
      <c r="K215" s="539"/>
      <c r="L215" s="539"/>
      <c r="M215" s="539"/>
      <c r="N215" s="539"/>
      <c r="O215" s="539"/>
      <c r="P215" s="562"/>
      <c r="Q215" s="539"/>
      <c r="R215" s="543"/>
      <c r="S215" s="543"/>
      <c r="AF215" s="59"/>
      <c r="AG215" s="59"/>
      <c r="AH215" s="560"/>
      <c r="AI215" s="560"/>
      <c r="AR215" s="61">
        <v>37402.410000000003</v>
      </c>
      <c r="AU215" s="59">
        <v>44530.27</v>
      </c>
      <c r="AW215" s="59">
        <v>23418.25</v>
      </c>
      <c r="AX215" s="59">
        <v>23418.25</v>
      </c>
      <c r="AY215" s="61">
        <v>91751.37</v>
      </c>
      <c r="AZ215" s="61">
        <v>91751.37</v>
      </c>
    </row>
    <row r="216" spans="2:60">
      <c r="B216" s="661"/>
      <c r="C216" s="522">
        <v>4302</v>
      </c>
      <c r="D216" s="690" t="s">
        <v>218</v>
      </c>
      <c r="E216" s="518" t="s">
        <v>123</v>
      </c>
      <c r="F216" s="519">
        <v>0.13</v>
      </c>
      <c r="G216" s="520">
        <f t="shared" si="15"/>
        <v>0</v>
      </c>
      <c r="H216" s="520">
        <f t="shared" si="16"/>
        <v>0</v>
      </c>
      <c r="I216" s="521">
        <f t="shared" si="17"/>
        <v>0</v>
      </c>
      <c r="J216" s="539"/>
      <c r="K216" s="539"/>
      <c r="L216" s="539"/>
      <c r="M216" s="539"/>
      <c r="N216" s="539"/>
      <c r="O216" s="539"/>
      <c r="P216" s="562"/>
      <c r="Q216" s="539"/>
      <c r="R216" s="543"/>
      <c r="S216" s="543"/>
      <c r="AF216" s="59"/>
      <c r="AG216" s="59"/>
      <c r="AH216" s="560"/>
      <c r="AI216" s="560"/>
    </row>
    <row r="217" spans="2:60">
      <c r="B217" s="661"/>
      <c r="C217" s="522">
        <v>4302</v>
      </c>
      <c r="D217" s="684"/>
      <c r="E217" s="518" t="s">
        <v>124</v>
      </c>
      <c r="F217" s="519">
        <v>0.09</v>
      </c>
      <c r="G217" s="520">
        <f t="shared" si="15"/>
        <v>0</v>
      </c>
      <c r="H217" s="520">
        <f t="shared" si="16"/>
        <v>0</v>
      </c>
      <c r="I217" s="521">
        <f t="shared" si="17"/>
        <v>0</v>
      </c>
      <c r="J217" s="539"/>
      <c r="K217" s="539"/>
      <c r="L217" s="539"/>
      <c r="M217" s="539"/>
      <c r="N217" s="539"/>
      <c r="O217" s="539"/>
      <c r="P217" s="562"/>
      <c r="Q217" s="539"/>
      <c r="R217" s="543"/>
      <c r="S217" s="543"/>
      <c r="AF217" s="59"/>
      <c r="AG217" s="59"/>
      <c r="AH217" s="560"/>
      <c r="AI217" s="560"/>
    </row>
    <row r="218" spans="2:60">
      <c r="B218" s="661"/>
      <c r="C218" s="522">
        <v>4302</v>
      </c>
      <c r="D218" s="685"/>
      <c r="E218" s="518" t="s">
        <v>125</v>
      </c>
      <c r="F218" s="519">
        <v>0.06</v>
      </c>
      <c r="G218" s="520">
        <f t="shared" si="15"/>
        <v>1063369.8700000001</v>
      </c>
      <c r="H218" s="520">
        <f t="shared" si="16"/>
        <v>1063369.8700000001</v>
      </c>
      <c r="I218" s="521">
        <f t="shared" si="17"/>
        <v>0</v>
      </c>
      <c r="J218" s="539"/>
      <c r="K218" s="539"/>
      <c r="L218" s="539"/>
      <c r="M218" s="539"/>
      <c r="N218" s="539"/>
      <c r="O218" s="539"/>
      <c r="P218" s="562"/>
      <c r="Q218" s="539"/>
      <c r="R218" s="543"/>
      <c r="S218" s="543"/>
      <c r="AF218" s="59"/>
      <c r="AG218" s="59"/>
      <c r="AH218" s="560"/>
      <c r="AI218" s="560"/>
      <c r="AN218" s="61">
        <v>63681.23</v>
      </c>
      <c r="AO218" s="61">
        <v>63681.23</v>
      </c>
      <c r="AP218" s="61">
        <v>65445.21</v>
      </c>
      <c r="AQ218" s="61">
        <v>65445.21</v>
      </c>
      <c r="AR218" s="61">
        <v>526972.28</v>
      </c>
      <c r="AS218" s="59">
        <v>526972.28</v>
      </c>
      <c r="AU218" s="59">
        <v>106807.07</v>
      </c>
      <c r="AV218" s="59">
        <v>106807.07</v>
      </c>
      <c r="AW218" s="59">
        <v>53705.41</v>
      </c>
      <c r="AX218" s="59">
        <v>53705.41</v>
      </c>
      <c r="AY218" s="61">
        <v>124571.47</v>
      </c>
      <c r="AZ218" s="61">
        <v>124571.47</v>
      </c>
      <c r="BC218" s="61">
        <v>61093.599999999999</v>
      </c>
      <c r="BD218" s="61">
        <v>61093.599999999999</v>
      </c>
      <c r="BG218" s="61">
        <v>61093.599999999999</v>
      </c>
      <c r="BH218" s="61">
        <v>61093.599999999999</v>
      </c>
    </row>
    <row r="219" spans="2:60">
      <c r="B219" s="663"/>
      <c r="C219" s="522">
        <v>4312</v>
      </c>
      <c r="D219" s="690" t="s">
        <v>219</v>
      </c>
      <c r="E219" s="518" t="s">
        <v>123</v>
      </c>
      <c r="F219" s="519">
        <v>0.13</v>
      </c>
      <c r="G219" s="520">
        <f t="shared" si="15"/>
        <v>0</v>
      </c>
      <c r="H219" s="520">
        <f t="shared" si="16"/>
        <v>0</v>
      </c>
      <c r="I219" s="521">
        <f t="shared" si="17"/>
        <v>0</v>
      </c>
      <c r="J219" s="539"/>
      <c r="K219" s="539"/>
      <c r="L219" s="539"/>
      <c r="M219" s="539"/>
      <c r="N219" s="539"/>
      <c r="O219" s="539"/>
      <c r="P219" s="562"/>
      <c r="Q219" s="539"/>
      <c r="R219" s="543"/>
      <c r="S219" s="543"/>
      <c r="AF219" s="59"/>
      <c r="AG219" s="59"/>
      <c r="AH219" s="560"/>
      <c r="AI219" s="560"/>
    </row>
    <row r="220" spans="2:60">
      <c r="B220" s="664"/>
      <c r="C220" s="522">
        <v>4312</v>
      </c>
      <c r="D220" s="684"/>
      <c r="E220" s="518" t="s">
        <v>124</v>
      </c>
      <c r="F220" s="519">
        <v>0.09</v>
      </c>
      <c r="G220" s="520">
        <f t="shared" si="15"/>
        <v>0</v>
      </c>
      <c r="H220" s="520">
        <f t="shared" si="16"/>
        <v>0</v>
      </c>
      <c r="I220" s="521">
        <f t="shared" si="17"/>
        <v>0</v>
      </c>
      <c r="J220" s="539"/>
      <c r="K220" s="539"/>
      <c r="L220" s="539"/>
      <c r="M220" s="539"/>
      <c r="N220" s="539"/>
      <c r="O220" s="539"/>
      <c r="P220" s="562"/>
      <c r="Q220" s="539"/>
      <c r="R220" s="543"/>
      <c r="S220" s="543"/>
      <c r="AF220" s="59"/>
      <c r="AG220" s="59"/>
      <c r="AH220" s="560"/>
      <c r="AI220" s="560"/>
    </row>
    <row r="221" spans="2:60">
      <c r="B221" s="665"/>
      <c r="C221" s="522">
        <v>4312</v>
      </c>
      <c r="D221" s="685"/>
      <c r="E221" s="518" t="s">
        <v>125</v>
      </c>
      <c r="F221" s="519">
        <v>0.06</v>
      </c>
      <c r="G221" s="520">
        <f t="shared" si="15"/>
        <v>619590.38</v>
      </c>
      <c r="H221" s="520">
        <f t="shared" si="16"/>
        <v>967643.57</v>
      </c>
      <c r="I221" s="521">
        <f t="shared" si="17"/>
        <v>-348053.19</v>
      </c>
      <c r="J221" s="539"/>
      <c r="K221" s="539"/>
      <c r="L221" s="539"/>
      <c r="M221" s="539"/>
      <c r="N221" s="539"/>
      <c r="O221" s="539"/>
      <c r="P221" s="562"/>
      <c r="Q221" s="539"/>
      <c r="R221" s="543"/>
      <c r="S221" s="543"/>
      <c r="AF221" s="59"/>
      <c r="AG221" s="59"/>
      <c r="AH221" s="560"/>
      <c r="AI221" s="560"/>
      <c r="AN221" s="61">
        <v>63681.23</v>
      </c>
      <c r="AO221" s="61">
        <v>63681.23</v>
      </c>
      <c r="AP221" s="61">
        <v>65445.21</v>
      </c>
      <c r="AQ221" s="61">
        <v>65445.21</v>
      </c>
      <c r="AR221" s="61">
        <v>83192.789999999994</v>
      </c>
      <c r="AS221" s="59">
        <v>83192.789999999994</v>
      </c>
      <c r="AU221" s="59">
        <v>106807.07</v>
      </c>
      <c r="AV221" s="59">
        <v>106807.07</v>
      </c>
      <c r="AW221" s="59">
        <v>53705.41</v>
      </c>
      <c r="AX221" s="59">
        <v>53705.41</v>
      </c>
      <c r="AY221" s="61">
        <v>124571.47</v>
      </c>
      <c r="AZ221" s="61">
        <v>124571.47</v>
      </c>
      <c r="BC221" s="61">
        <v>61093.599999999999</v>
      </c>
      <c r="BD221" s="61">
        <v>61093.599999999999</v>
      </c>
      <c r="BG221" s="61">
        <v>61093.599999999999</v>
      </c>
      <c r="BH221" s="61">
        <v>409146.79</v>
      </c>
    </row>
    <row r="222" spans="2:60">
      <c r="B222" s="663"/>
      <c r="C222" s="522">
        <v>4313</v>
      </c>
      <c r="D222" s="690" t="s">
        <v>220</v>
      </c>
      <c r="E222" s="518" t="s">
        <v>123</v>
      </c>
      <c r="F222" s="519">
        <v>0.13</v>
      </c>
      <c r="G222" s="520">
        <f t="shared" si="15"/>
        <v>0</v>
      </c>
      <c r="H222" s="520">
        <f t="shared" si="16"/>
        <v>0</v>
      </c>
      <c r="I222" s="521">
        <f t="shared" si="17"/>
        <v>0</v>
      </c>
      <c r="J222" s="539"/>
      <c r="K222" s="539"/>
      <c r="L222" s="539"/>
      <c r="M222" s="539"/>
      <c r="N222" s="539"/>
      <c r="O222" s="539"/>
      <c r="P222" s="562"/>
      <c r="Q222" s="539"/>
      <c r="R222" s="543"/>
      <c r="S222" s="543"/>
      <c r="AF222" s="59"/>
      <c r="AG222" s="59"/>
      <c r="AH222" s="560"/>
      <c r="AI222" s="560"/>
    </row>
    <row r="223" spans="2:60">
      <c r="B223" s="664"/>
      <c r="C223" s="522">
        <v>4313</v>
      </c>
      <c r="D223" s="684"/>
      <c r="E223" s="518" t="s">
        <v>124</v>
      </c>
      <c r="F223" s="519">
        <v>0.09</v>
      </c>
      <c r="G223" s="520">
        <f t="shared" si="15"/>
        <v>0</v>
      </c>
      <c r="H223" s="520">
        <f t="shared" si="16"/>
        <v>0</v>
      </c>
      <c r="I223" s="521">
        <f t="shared" si="17"/>
        <v>0</v>
      </c>
      <c r="J223" s="539"/>
      <c r="K223" s="539"/>
      <c r="L223" s="539"/>
      <c r="M223" s="539"/>
      <c r="N223" s="539"/>
      <c r="O223" s="539"/>
      <c r="P223" s="562"/>
      <c r="Q223" s="539"/>
      <c r="R223" s="543"/>
      <c r="S223" s="543"/>
      <c r="AF223" s="59"/>
      <c r="AG223" s="59"/>
      <c r="AH223" s="560"/>
      <c r="AI223" s="560"/>
    </row>
    <row r="224" spans="2:60">
      <c r="B224" s="665"/>
      <c r="C224" s="522">
        <v>4313</v>
      </c>
      <c r="D224" s="685"/>
      <c r="E224" s="518" t="s">
        <v>125</v>
      </c>
      <c r="F224" s="519">
        <v>0.06</v>
      </c>
      <c r="G224" s="520">
        <f t="shared" si="15"/>
        <v>414864.21</v>
      </c>
      <c r="H224" s="520">
        <f t="shared" si="16"/>
        <v>414864.21</v>
      </c>
      <c r="I224" s="521">
        <f t="shared" si="17"/>
        <v>0</v>
      </c>
      <c r="J224" s="539"/>
      <c r="K224" s="539"/>
      <c r="L224" s="539"/>
      <c r="M224" s="539"/>
      <c r="N224" s="539"/>
      <c r="O224" s="539"/>
      <c r="P224" s="562"/>
      <c r="Q224" s="539"/>
      <c r="R224" s="543"/>
      <c r="S224" s="543"/>
      <c r="AF224" s="59"/>
      <c r="AG224" s="59"/>
      <c r="AH224" s="560"/>
      <c r="AI224" s="560"/>
      <c r="AN224" s="61">
        <v>82785.600000000006</v>
      </c>
      <c r="AO224" s="61">
        <v>82785.600000000006</v>
      </c>
      <c r="AP224" s="61">
        <v>85078.78</v>
      </c>
      <c r="AQ224" s="61">
        <v>85078.78</v>
      </c>
      <c r="AR224" s="61">
        <v>108150.63</v>
      </c>
      <c r="AS224" s="59">
        <v>108150.63</v>
      </c>
      <c r="AU224" s="59">
        <v>138849.20000000001</v>
      </c>
      <c r="AV224" s="59">
        <v>138849.20000000001</v>
      </c>
    </row>
    <row r="225" spans="2:60">
      <c r="B225" s="663"/>
      <c r="C225" s="522">
        <v>4313</v>
      </c>
      <c r="D225" s="690" t="s">
        <v>221</v>
      </c>
      <c r="E225" s="518" t="s">
        <v>123</v>
      </c>
      <c r="F225" s="519">
        <v>0.13</v>
      </c>
      <c r="G225" s="520">
        <f t="shared" si="15"/>
        <v>0</v>
      </c>
      <c r="H225" s="520">
        <f t="shared" si="16"/>
        <v>0</v>
      </c>
      <c r="I225" s="521">
        <f t="shared" si="17"/>
        <v>0</v>
      </c>
      <c r="J225" s="539"/>
      <c r="K225" s="539"/>
      <c r="L225" s="539"/>
      <c r="M225" s="539"/>
      <c r="N225" s="539"/>
      <c r="O225" s="539"/>
      <c r="P225" s="562"/>
      <c r="Q225" s="539"/>
      <c r="R225" s="543"/>
      <c r="S225" s="543"/>
      <c r="AF225" s="59"/>
      <c r="AG225" s="59"/>
      <c r="AH225" s="560"/>
      <c r="AI225" s="560"/>
    </row>
    <row r="226" spans="2:60">
      <c r="B226" s="664"/>
      <c r="C226" s="522">
        <v>4313</v>
      </c>
      <c r="D226" s="684"/>
      <c r="E226" s="518" t="s">
        <v>124</v>
      </c>
      <c r="F226" s="519">
        <v>0.09</v>
      </c>
      <c r="G226" s="520">
        <f t="shared" si="15"/>
        <v>0</v>
      </c>
      <c r="H226" s="520">
        <f t="shared" si="16"/>
        <v>0</v>
      </c>
      <c r="I226" s="521">
        <f t="shared" ref="I226:I287" si="18">G226-H226</f>
        <v>0</v>
      </c>
      <c r="J226" s="539"/>
      <c r="K226" s="539"/>
      <c r="L226" s="539"/>
      <c r="M226" s="539"/>
      <c r="N226" s="539"/>
      <c r="O226" s="539"/>
      <c r="P226" s="562"/>
      <c r="Q226" s="539"/>
      <c r="R226" s="543"/>
      <c r="S226" s="543"/>
      <c r="AF226" s="59"/>
      <c r="AG226" s="59"/>
      <c r="AH226" s="560"/>
      <c r="AI226" s="560"/>
    </row>
    <row r="227" spans="2:60">
      <c r="B227" s="665"/>
      <c r="C227" s="522">
        <v>4313</v>
      </c>
      <c r="D227" s="685"/>
      <c r="E227" s="518" t="s">
        <v>125</v>
      </c>
      <c r="F227" s="519">
        <v>0.06</v>
      </c>
      <c r="G227" s="520">
        <f t="shared" si="15"/>
        <v>627969.51</v>
      </c>
      <c r="H227" s="520">
        <f t="shared" si="16"/>
        <v>627969.51</v>
      </c>
      <c r="I227" s="521">
        <f t="shared" si="18"/>
        <v>0</v>
      </c>
      <c r="J227" s="539"/>
      <c r="K227" s="539"/>
      <c r="L227" s="539"/>
      <c r="M227" s="539"/>
      <c r="N227" s="539"/>
      <c r="O227" s="539"/>
      <c r="P227" s="562"/>
      <c r="Q227" s="539"/>
      <c r="R227" s="543"/>
      <c r="S227" s="543"/>
      <c r="AF227" s="59"/>
      <c r="AG227" s="59"/>
      <c r="AH227" s="560"/>
      <c r="AI227" s="560"/>
      <c r="AP227" s="61">
        <v>387598.25</v>
      </c>
      <c r="AW227" s="59">
        <v>42964.32</v>
      </c>
      <c r="AX227" s="59">
        <v>42964.32</v>
      </c>
      <c r="AY227" s="61">
        <v>99657.18</v>
      </c>
      <c r="AZ227" s="61">
        <v>99657.18</v>
      </c>
      <c r="BC227" s="61">
        <v>48874.879999999997</v>
      </c>
      <c r="BD227" s="61">
        <v>48874.879999999997</v>
      </c>
      <c r="BG227" s="61">
        <v>48874.879999999997</v>
      </c>
      <c r="BH227" s="61">
        <v>436473.13</v>
      </c>
    </row>
    <row r="228" spans="2:60">
      <c r="B228" s="663"/>
      <c r="C228" s="522" t="s">
        <v>222</v>
      </c>
      <c r="D228" s="690" t="s">
        <v>223</v>
      </c>
      <c r="E228" s="518" t="s">
        <v>123</v>
      </c>
      <c r="F228" s="519">
        <v>0.13</v>
      </c>
      <c r="G228" s="520">
        <f t="shared" si="15"/>
        <v>13862939.039999999</v>
      </c>
      <c r="H228" s="520">
        <f t="shared" si="16"/>
        <v>0</v>
      </c>
      <c r="I228" s="521">
        <f t="shared" si="18"/>
        <v>13862939.039999999</v>
      </c>
      <c r="J228" s="539"/>
      <c r="K228" s="539"/>
      <c r="L228" s="539"/>
      <c r="M228" s="539"/>
      <c r="N228" s="539"/>
      <c r="O228" s="539"/>
      <c r="P228" s="562"/>
      <c r="Q228" s="539"/>
      <c r="R228" s="543"/>
      <c r="S228" s="543"/>
      <c r="AF228" s="59"/>
      <c r="AG228" s="59"/>
      <c r="AH228" s="560"/>
      <c r="AI228" s="560"/>
      <c r="AN228" s="61">
        <v>13862939.039999999</v>
      </c>
    </row>
    <row r="229" spans="2:60">
      <c r="B229" s="664"/>
      <c r="C229" s="522" t="s">
        <v>222</v>
      </c>
      <c r="D229" s="684"/>
      <c r="E229" s="518" t="s">
        <v>124</v>
      </c>
      <c r="F229" s="519">
        <v>0.09</v>
      </c>
      <c r="G229" s="520">
        <f t="shared" si="15"/>
        <v>60938348.189999998</v>
      </c>
      <c r="H229" s="520">
        <f t="shared" si="16"/>
        <v>0</v>
      </c>
      <c r="I229" s="521">
        <f t="shared" si="18"/>
        <v>60938348.189999998</v>
      </c>
      <c r="J229" s="539"/>
      <c r="K229" s="539"/>
      <c r="L229" s="539"/>
      <c r="M229" s="539"/>
      <c r="N229" s="539"/>
      <c r="O229" s="539"/>
      <c r="P229" s="562"/>
      <c r="Q229" s="539"/>
      <c r="R229" s="543"/>
      <c r="S229" s="543"/>
      <c r="AF229" s="59"/>
      <c r="AG229" s="59"/>
      <c r="AH229" s="560"/>
      <c r="AI229" s="560"/>
      <c r="AN229" s="61">
        <v>59701282.649999999</v>
      </c>
      <c r="AP229" s="61">
        <v>1237065.54</v>
      </c>
    </row>
    <row r="230" spans="2:60">
      <c r="B230" s="665"/>
      <c r="C230" s="522" t="s">
        <v>222</v>
      </c>
      <c r="D230" s="685"/>
      <c r="E230" s="518" t="s">
        <v>125</v>
      </c>
      <c r="F230" s="519">
        <v>0.06</v>
      </c>
      <c r="G230" s="520">
        <f t="shared" si="15"/>
        <v>28896222.789999999</v>
      </c>
      <c r="H230" s="520">
        <f t="shared" si="16"/>
        <v>0</v>
      </c>
      <c r="I230" s="521">
        <f t="shared" si="18"/>
        <v>28896222.789999999</v>
      </c>
      <c r="J230" s="539"/>
      <c r="K230" s="539"/>
      <c r="L230" s="539"/>
      <c r="M230" s="539"/>
      <c r="N230" s="539"/>
      <c r="O230" s="539"/>
      <c r="P230" s="562"/>
      <c r="Q230" s="539"/>
      <c r="R230" s="543"/>
      <c r="S230" s="543"/>
      <c r="AF230" s="59"/>
      <c r="AG230" s="59"/>
      <c r="AH230" s="560"/>
      <c r="AI230" s="560"/>
      <c r="AN230" s="61">
        <v>30103795.41</v>
      </c>
      <c r="AP230" s="61">
        <v>-1237065.54</v>
      </c>
      <c r="AY230" s="61">
        <v>29492.92</v>
      </c>
    </row>
    <row r="231" spans="2:60">
      <c r="B231" s="663"/>
      <c r="C231" s="667" t="s">
        <v>224</v>
      </c>
      <c r="D231" s="690" t="s">
        <v>225</v>
      </c>
      <c r="E231" s="518" t="s">
        <v>123</v>
      </c>
      <c r="F231" s="519">
        <v>0.13</v>
      </c>
      <c r="G231" s="520">
        <f t="shared" si="15"/>
        <v>344454101.56999999</v>
      </c>
      <c r="H231" s="520">
        <f t="shared" si="16"/>
        <v>0</v>
      </c>
      <c r="I231" s="521">
        <f t="shared" si="18"/>
        <v>344454101.56999999</v>
      </c>
      <c r="J231" s="539"/>
      <c r="K231" s="539"/>
      <c r="L231" s="539"/>
      <c r="M231" s="539"/>
      <c r="N231" s="539"/>
      <c r="O231" s="539"/>
      <c r="P231" s="562"/>
      <c r="Q231" s="539"/>
      <c r="R231" s="543"/>
      <c r="S231" s="543"/>
      <c r="AF231" s="59"/>
      <c r="AG231" s="59"/>
      <c r="AH231" s="560"/>
      <c r="AI231" s="560"/>
      <c r="AY231" s="61">
        <v>10730530.060000001</v>
      </c>
      <c r="BC231" s="61">
        <v>42643146.039999999</v>
      </c>
      <c r="BG231" s="61">
        <v>291080425.47000003</v>
      </c>
    </row>
    <row r="232" spans="2:60">
      <c r="B232" s="664"/>
      <c r="C232" s="668"/>
      <c r="D232" s="684"/>
      <c r="E232" s="518" t="s">
        <v>124</v>
      </c>
      <c r="F232" s="519">
        <v>0.09</v>
      </c>
      <c r="G232" s="520">
        <f t="shared" si="15"/>
        <v>368395430.50999999</v>
      </c>
      <c r="H232" s="520">
        <f t="shared" si="16"/>
        <v>0</v>
      </c>
      <c r="I232" s="521">
        <f t="shared" si="18"/>
        <v>368395430.50999999</v>
      </c>
      <c r="J232" s="539"/>
      <c r="K232" s="539"/>
      <c r="L232" s="539"/>
      <c r="M232" s="539"/>
      <c r="N232" s="539"/>
      <c r="O232" s="539"/>
      <c r="P232" s="562"/>
      <c r="Q232" s="539"/>
      <c r="R232" s="543"/>
      <c r="S232" s="543"/>
      <c r="AF232" s="59"/>
      <c r="AG232" s="59"/>
      <c r="AH232" s="560"/>
      <c r="AI232" s="560"/>
      <c r="AR232" s="61">
        <v>5933274.54</v>
      </c>
      <c r="AU232" s="59">
        <v>28486890.07</v>
      </c>
      <c r="AW232" s="59">
        <v>83790076.120000005</v>
      </c>
      <c r="AY232" s="61">
        <v>18500234.940000001</v>
      </c>
      <c r="BC232" s="61">
        <v>93940976.489999995</v>
      </c>
      <c r="BG232" s="61">
        <v>137743978.34999999</v>
      </c>
    </row>
    <row r="233" spans="2:60">
      <c r="B233" s="665"/>
      <c r="C233" s="669"/>
      <c r="D233" s="685"/>
      <c r="E233" s="518" t="s">
        <v>125</v>
      </c>
      <c r="F233" s="519">
        <v>0.06</v>
      </c>
      <c r="G233" s="520">
        <f t="shared" si="15"/>
        <v>0</v>
      </c>
      <c r="H233" s="520">
        <f t="shared" si="16"/>
        <v>0</v>
      </c>
      <c r="I233" s="521">
        <f t="shared" si="18"/>
        <v>0</v>
      </c>
      <c r="J233" s="539"/>
      <c r="K233" s="539"/>
      <c r="L233" s="539"/>
      <c r="M233" s="539"/>
      <c r="N233" s="539"/>
      <c r="O233" s="539"/>
      <c r="P233" s="562"/>
      <c r="Q233" s="539"/>
      <c r="R233" s="543"/>
      <c r="S233" s="543"/>
      <c r="AF233" s="59"/>
      <c r="AG233" s="59"/>
      <c r="AH233" s="560"/>
      <c r="AI233" s="560"/>
      <c r="AN233" s="61">
        <v>380184.62</v>
      </c>
      <c r="AP233" s="61">
        <v>457720.72</v>
      </c>
      <c r="AR233" s="61">
        <v>3316943.87</v>
      </c>
      <c r="AU233" s="59">
        <v>17554955.43</v>
      </c>
      <c r="AW233" s="59">
        <v>-21709804.640000001</v>
      </c>
    </row>
    <row r="234" spans="2:60">
      <c r="B234" s="663"/>
      <c r="C234" s="667" t="s">
        <v>226</v>
      </c>
      <c r="D234" s="690" t="s">
        <v>169</v>
      </c>
      <c r="E234" s="518" t="s">
        <v>123</v>
      </c>
      <c r="F234" s="519">
        <v>0.13</v>
      </c>
      <c r="G234" s="520">
        <f t="shared" si="15"/>
        <v>0</v>
      </c>
      <c r="H234" s="520">
        <f t="shared" si="16"/>
        <v>42903859.369999997</v>
      </c>
      <c r="I234" s="521">
        <f t="shared" si="18"/>
        <v>-42903859.369999997</v>
      </c>
      <c r="J234" s="539"/>
      <c r="K234" s="539"/>
      <c r="L234" s="539"/>
      <c r="M234" s="539"/>
      <c r="N234" s="539"/>
      <c r="O234" s="539"/>
      <c r="P234" s="562"/>
      <c r="Q234" s="539"/>
      <c r="R234" s="543"/>
      <c r="S234" s="543"/>
      <c r="AF234" s="59"/>
      <c r="AG234" s="59"/>
      <c r="AH234" s="560"/>
      <c r="AI234" s="560"/>
      <c r="AO234" s="61">
        <v>31866297.739999998</v>
      </c>
      <c r="AQ234" s="61">
        <v>11037561.630000001</v>
      </c>
    </row>
    <row r="235" spans="2:60">
      <c r="B235" s="664"/>
      <c r="C235" s="668"/>
      <c r="D235" s="684"/>
      <c r="E235" s="518" t="s">
        <v>124</v>
      </c>
      <c r="F235" s="519">
        <v>0.09</v>
      </c>
      <c r="G235" s="520">
        <f t="shared" si="15"/>
        <v>0</v>
      </c>
      <c r="H235" s="520">
        <f t="shared" si="16"/>
        <v>0</v>
      </c>
      <c r="I235" s="521">
        <f t="shared" si="18"/>
        <v>0</v>
      </c>
      <c r="J235" s="539"/>
      <c r="K235" s="539"/>
      <c r="L235" s="539"/>
      <c r="M235" s="539"/>
      <c r="N235" s="539"/>
      <c r="O235" s="539"/>
      <c r="P235" s="562"/>
      <c r="Q235" s="539"/>
      <c r="R235" s="543"/>
      <c r="S235" s="543"/>
      <c r="AF235" s="59"/>
      <c r="AG235" s="59"/>
      <c r="AH235" s="560"/>
      <c r="AI235" s="560"/>
    </row>
    <row r="236" spans="2:60">
      <c r="B236" s="665"/>
      <c r="C236" s="669"/>
      <c r="D236" s="685"/>
      <c r="E236" s="518" t="s">
        <v>125</v>
      </c>
      <c r="F236" s="519">
        <v>0.06</v>
      </c>
      <c r="G236" s="520">
        <f t="shared" si="15"/>
        <v>0</v>
      </c>
      <c r="H236" s="520">
        <f t="shared" si="16"/>
        <v>0</v>
      </c>
      <c r="I236" s="521">
        <f t="shared" si="18"/>
        <v>0</v>
      </c>
      <c r="J236" s="539"/>
      <c r="K236" s="539"/>
      <c r="L236" s="539"/>
      <c r="M236" s="539"/>
      <c r="N236" s="539"/>
      <c r="O236" s="539"/>
      <c r="P236" s="562"/>
      <c r="Q236" s="539"/>
      <c r="R236" s="543"/>
      <c r="S236" s="543"/>
      <c r="AF236" s="59"/>
      <c r="AG236" s="59"/>
      <c r="AH236" s="560"/>
      <c r="AI236" s="560"/>
    </row>
    <row r="237" spans="2:60">
      <c r="B237" s="663"/>
      <c r="C237" s="667" t="s">
        <v>227</v>
      </c>
      <c r="D237" s="690" t="s">
        <v>228</v>
      </c>
      <c r="E237" s="518" t="s">
        <v>123</v>
      </c>
      <c r="F237" s="519">
        <v>0.13</v>
      </c>
      <c r="G237" s="520">
        <f t="shared" si="15"/>
        <v>0</v>
      </c>
      <c r="H237" s="520">
        <f t="shared" si="16"/>
        <v>406495.29</v>
      </c>
      <c r="I237" s="521">
        <f t="shared" si="18"/>
        <v>-406495.29</v>
      </c>
      <c r="J237" s="539"/>
      <c r="K237" s="539"/>
      <c r="L237" s="539"/>
      <c r="M237" s="539"/>
      <c r="N237" s="539"/>
      <c r="O237" s="539"/>
      <c r="P237" s="562"/>
      <c r="Q237" s="539"/>
      <c r="R237" s="543"/>
      <c r="S237" s="543"/>
      <c r="AF237" s="59"/>
      <c r="AG237" s="59"/>
      <c r="AH237" s="560"/>
      <c r="AI237" s="560"/>
      <c r="AO237" s="61">
        <v>406495.29</v>
      </c>
    </row>
    <row r="238" spans="2:60">
      <c r="B238" s="664"/>
      <c r="C238" s="668"/>
      <c r="D238" s="684"/>
      <c r="E238" s="518" t="s">
        <v>124</v>
      </c>
      <c r="F238" s="519">
        <v>0.09</v>
      </c>
      <c r="G238" s="520">
        <f t="shared" si="15"/>
        <v>0</v>
      </c>
      <c r="H238" s="520">
        <f t="shared" si="16"/>
        <v>42514.5</v>
      </c>
      <c r="I238" s="521">
        <f t="shared" si="18"/>
        <v>-42514.5</v>
      </c>
      <c r="J238" s="539"/>
      <c r="K238" s="539"/>
      <c r="L238" s="539"/>
      <c r="M238" s="539"/>
      <c r="N238" s="539"/>
      <c r="O238" s="539"/>
      <c r="P238" s="562"/>
      <c r="Q238" s="539"/>
      <c r="R238" s="543"/>
      <c r="S238" s="543"/>
      <c r="AF238" s="59"/>
      <c r="AG238" s="59"/>
      <c r="AH238" s="560"/>
      <c r="AI238" s="560"/>
      <c r="AO238" s="61">
        <v>42514.5</v>
      </c>
    </row>
    <row r="239" spans="2:60">
      <c r="B239" s="665"/>
      <c r="C239" s="669"/>
      <c r="D239" s="685"/>
      <c r="E239" s="518" t="s">
        <v>125</v>
      </c>
      <c r="F239" s="519">
        <v>0.06</v>
      </c>
      <c r="G239" s="520">
        <f t="shared" si="15"/>
        <v>0</v>
      </c>
      <c r="H239" s="520">
        <f t="shared" si="16"/>
        <v>0</v>
      </c>
      <c r="I239" s="521">
        <f t="shared" si="18"/>
        <v>0</v>
      </c>
      <c r="J239" s="539"/>
      <c r="K239" s="539"/>
      <c r="L239" s="539"/>
      <c r="M239" s="539"/>
      <c r="N239" s="539"/>
      <c r="O239" s="539"/>
      <c r="P239" s="562"/>
      <c r="Q239" s="539"/>
      <c r="R239" s="543"/>
      <c r="S239" s="543"/>
      <c r="AF239" s="59"/>
      <c r="AG239" s="59"/>
      <c r="AH239" s="560"/>
      <c r="AI239" s="560"/>
    </row>
    <row r="240" spans="2:60">
      <c r="B240" s="663"/>
      <c r="C240" s="522">
        <v>2365</v>
      </c>
      <c r="D240" s="690" t="s">
        <v>195</v>
      </c>
      <c r="E240" s="518" t="s">
        <v>123</v>
      </c>
      <c r="F240" s="519">
        <v>0.13</v>
      </c>
      <c r="G240" s="520">
        <f t="shared" si="15"/>
        <v>0</v>
      </c>
      <c r="H240" s="520">
        <f t="shared" si="16"/>
        <v>0</v>
      </c>
      <c r="I240" s="521">
        <f t="shared" si="18"/>
        <v>0</v>
      </c>
      <c r="J240" s="539"/>
      <c r="K240" s="539"/>
      <c r="L240" s="539"/>
      <c r="M240" s="539"/>
      <c r="N240" s="539"/>
      <c r="O240" s="539"/>
      <c r="P240" s="562"/>
      <c r="Q240" s="539"/>
      <c r="R240" s="543"/>
      <c r="S240" s="543"/>
      <c r="AF240" s="59"/>
      <c r="AG240" s="59"/>
      <c r="AH240" s="560"/>
      <c r="AI240" s="560"/>
    </row>
    <row r="241" spans="2:60">
      <c r="B241" s="664"/>
      <c r="C241" s="522">
        <v>2365</v>
      </c>
      <c r="D241" s="684"/>
      <c r="E241" s="518" t="s">
        <v>124</v>
      </c>
      <c r="F241" s="519">
        <v>0.09</v>
      </c>
      <c r="G241" s="520">
        <f t="shared" si="15"/>
        <v>0</v>
      </c>
      <c r="H241" s="520">
        <f t="shared" si="16"/>
        <v>0</v>
      </c>
      <c r="I241" s="521">
        <f t="shared" si="18"/>
        <v>0</v>
      </c>
      <c r="J241" s="539"/>
      <c r="K241" s="539"/>
      <c r="L241" s="539"/>
      <c r="M241" s="539"/>
      <c r="N241" s="539"/>
      <c r="O241" s="539"/>
      <c r="P241" s="562"/>
      <c r="Q241" s="539"/>
      <c r="R241" s="543"/>
      <c r="S241" s="543"/>
      <c r="AF241" s="59"/>
      <c r="AG241" s="59"/>
      <c r="AH241" s="560"/>
      <c r="AI241" s="560"/>
    </row>
    <row r="242" spans="2:60">
      <c r="B242" s="665"/>
      <c r="C242" s="522">
        <v>2365</v>
      </c>
      <c r="D242" s="685"/>
      <c r="E242" s="518" t="s">
        <v>125</v>
      </c>
      <c r="F242" s="519">
        <v>0.06</v>
      </c>
      <c r="G242" s="520">
        <f t="shared" si="15"/>
        <v>0</v>
      </c>
      <c r="H242" s="520">
        <f t="shared" si="16"/>
        <v>13036.99</v>
      </c>
      <c r="I242" s="521">
        <f t="shared" si="18"/>
        <v>-13036.99</v>
      </c>
      <c r="J242" s="539"/>
      <c r="K242" s="539"/>
      <c r="L242" s="539"/>
      <c r="M242" s="539"/>
      <c r="N242" s="539"/>
      <c r="O242" s="539"/>
      <c r="P242" s="562"/>
      <c r="Q242" s="539"/>
      <c r="R242" s="543"/>
      <c r="S242" s="543"/>
      <c r="AF242" s="59"/>
      <c r="AG242" s="59"/>
      <c r="AH242" s="560"/>
      <c r="AI242" s="560"/>
      <c r="AO242" s="61">
        <v>13036.99</v>
      </c>
    </row>
    <row r="243" spans="2:60">
      <c r="B243" s="663"/>
      <c r="C243" s="667" t="s">
        <v>229</v>
      </c>
      <c r="D243" s="690" t="s">
        <v>230</v>
      </c>
      <c r="E243" s="518" t="s">
        <v>123</v>
      </c>
      <c r="F243" s="519">
        <v>0.13</v>
      </c>
      <c r="G243" s="520">
        <f t="shared" si="15"/>
        <v>0</v>
      </c>
      <c r="H243" s="520">
        <f t="shared" si="16"/>
        <v>1249415.93</v>
      </c>
      <c r="I243" s="521">
        <f t="shared" si="18"/>
        <v>-1249415.93</v>
      </c>
      <c r="J243" s="539"/>
      <c r="K243" s="539"/>
      <c r="L243" s="539"/>
      <c r="M243" s="539"/>
      <c r="N243" s="539"/>
      <c r="O243" s="539"/>
      <c r="P243" s="562"/>
      <c r="Q243" s="539"/>
      <c r="R243" s="543"/>
      <c r="S243" s="543"/>
      <c r="AF243" s="59"/>
      <c r="AG243" s="59"/>
      <c r="AH243" s="560"/>
      <c r="AI243" s="560"/>
      <c r="AO243" s="61">
        <v>1249415.93</v>
      </c>
    </row>
    <row r="244" spans="2:60">
      <c r="B244" s="664"/>
      <c r="C244" s="668"/>
      <c r="D244" s="684"/>
      <c r="E244" s="518" t="s">
        <v>124</v>
      </c>
      <c r="F244" s="519">
        <v>0.09</v>
      </c>
      <c r="G244" s="520">
        <f t="shared" si="15"/>
        <v>0</v>
      </c>
      <c r="H244" s="520">
        <f t="shared" si="16"/>
        <v>0</v>
      </c>
      <c r="I244" s="521">
        <f t="shared" si="18"/>
        <v>0</v>
      </c>
      <c r="J244" s="539"/>
      <c r="K244" s="539"/>
      <c r="L244" s="539"/>
      <c r="M244" s="539"/>
      <c r="N244" s="539"/>
      <c r="O244" s="539"/>
      <c r="P244" s="562"/>
      <c r="Q244" s="539"/>
      <c r="R244" s="543"/>
      <c r="S244" s="543"/>
      <c r="AF244" s="59"/>
      <c r="AG244" s="59"/>
      <c r="AH244" s="560"/>
      <c r="AI244" s="560"/>
    </row>
    <row r="245" spans="2:60">
      <c r="B245" s="665"/>
      <c r="C245" s="669"/>
      <c r="D245" s="685"/>
      <c r="E245" s="518" t="s">
        <v>125</v>
      </c>
      <c r="F245" s="519">
        <v>0.06</v>
      </c>
      <c r="G245" s="520">
        <f t="shared" si="15"/>
        <v>0</v>
      </c>
      <c r="H245" s="520">
        <f t="shared" si="16"/>
        <v>0</v>
      </c>
      <c r="I245" s="521">
        <f t="shared" si="18"/>
        <v>0</v>
      </c>
      <c r="J245" s="539"/>
      <c r="K245" s="539"/>
      <c r="L245" s="539"/>
      <c r="M245" s="539"/>
      <c r="N245" s="539"/>
      <c r="O245" s="539"/>
      <c r="P245" s="562"/>
      <c r="Q245" s="539"/>
      <c r="R245" s="543"/>
      <c r="S245" s="543"/>
      <c r="AF245" s="59"/>
      <c r="AG245" s="59"/>
      <c r="AH245" s="560"/>
      <c r="AI245" s="560"/>
    </row>
    <row r="246" spans="2:60">
      <c r="B246" s="663"/>
      <c r="C246" s="561">
        <v>4306</v>
      </c>
      <c r="D246" s="690" t="s">
        <v>216</v>
      </c>
      <c r="E246" s="518" t="s">
        <v>123</v>
      </c>
      <c r="F246" s="519">
        <v>0.13</v>
      </c>
      <c r="G246" s="520">
        <f t="shared" si="15"/>
        <v>0</v>
      </c>
      <c r="H246" s="520">
        <f t="shared" si="16"/>
        <v>0</v>
      </c>
      <c r="I246" s="521">
        <f t="shared" si="18"/>
        <v>0</v>
      </c>
      <c r="J246" s="539"/>
      <c r="K246" s="539"/>
      <c r="L246" s="539"/>
      <c r="M246" s="539"/>
      <c r="N246" s="539"/>
      <c r="O246" s="539"/>
      <c r="P246" s="562"/>
      <c r="Q246" s="539"/>
      <c r="R246" s="543"/>
      <c r="S246" s="543"/>
      <c r="AF246" s="59"/>
      <c r="AG246" s="59"/>
      <c r="AH246" s="560"/>
      <c r="AI246" s="560"/>
    </row>
    <row r="247" spans="2:60">
      <c r="B247" s="664"/>
      <c r="C247" s="561">
        <v>4306</v>
      </c>
      <c r="D247" s="684"/>
      <c r="E247" s="518" t="s">
        <v>124</v>
      </c>
      <c r="F247" s="519">
        <v>0.09</v>
      </c>
      <c r="G247" s="520">
        <f t="shared" si="15"/>
        <v>0</v>
      </c>
      <c r="H247" s="520">
        <f t="shared" si="16"/>
        <v>0</v>
      </c>
      <c r="I247" s="521">
        <f t="shared" si="18"/>
        <v>0</v>
      </c>
      <c r="J247" s="539"/>
      <c r="K247" s="539"/>
      <c r="L247" s="539"/>
      <c r="M247" s="539"/>
      <c r="N247" s="539"/>
      <c r="O247" s="539"/>
      <c r="P247" s="562"/>
      <c r="Q247" s="539"/>
      <c r="R247" s="543"/>
      <c r="S247" s="543"/>
      <c r="AF247" s="59"/>
      <c r="AG247" s="59"/>
      <c r="AH247" s="560"/>
      <c r="AI247" s="560"/>
    </row>
    <row r="248" spans="2:60" ht="14.1" customHeight="1">
      <c r="B248" s="664"/>
      <c r="C248" s="525">
        <v>4306</v>
      </c>
      <c r="D248" s="684"/>
      <c r="E248" s="518" t="s">
        <v>125</v>
      </c>
      <c r="F248" s="519">
        <v>0.06</v>
      </c>
      <c r="G248" s="520">
        <f t="shared" si="15"/>
        <v>787275.75</v>
      </c>
      <c r="H248" s="520">
        <f t="shared" si="16"/>
        <v>392371.14</v>
      </c>
      <c r="I248" s="521">
        <f t="shared" si="18"/>
        <v>394904.61</v>
      </c>
      <c r="J248" s="539"/>
      <c r="K248" s="539"/>
      <c r="L248" s="539"/>
      <c r="M248" s="539"/>
      <c r="N248" s="539"/>
      <c r="O248" s="539"/>
      <c r="P248" s="562"/>
      <c r="Q248" s="539"/>
      <c r="R248" s="543"/>
      <c r="S248" s="543"/>
      <c r="AF248" s="59"/>
      <c r="AG248" s="59"/>
      <c r="AH248" s="560"/>
      <c r="AI248" s="560"/>
      <c r="AP248" s="61">
        <v>443779.49</v>
      </c>
      <c r="AR248" s="61">
        <v>66554.22</v>
      </c>
      <c r="AS248" s="59">
        <v>66554.22</v>
      </c>
      <c r="AU248" s="59">
        <v>85445.66</v>
      </c>
      <c r="AV248" s="59">
        <v>85445.66</v>
      </c>
      <c r="AW248" s="59">
        <v>42964.32</v>
      </c>
      <c r="AX248" s="59">
        <v>42964.32</v>
      </c>
      <c r="AY248" s="61">
        <v>99657.18</v>
      </c>
      <c r="AZ248" s="61">
        <v>99657.18</v>
      </c>
      <c r="BC248" s="61">
        <v>48874.879999999997</v>
      </c>
      <c r="BD248" s="61">
        <v>48874.879999999997</v>
      </c>
      <c r="BH248" s="61">
        <v>48874.879999999997</v>
      </c>
    </row>
    <row r="249" spans="2:60" ht="17.100000000000001" customHeight="1">
      <c r="B249" s="663"/>
      <c r="C249" s="525">
        <v>3399</v>
      </c>
      <c r="D249" s="690" t="s">
        <v>231</v>
      </c>
      <c r="E249" s="518" t="s">
        <v>123</v>
      </c>
      <c r="F249" s="519">
        <v>0.13</v>
      </c>
      <c r="G249" s="520">
        <f t="shared" si="15"/>
        <v>0</v>
      </c>
      <c r="H249" s="520">
        <f t="shared" si="16"/>
        <v>0</v>
      </c>
      <c r="I249" s="521">
        <f t="shared" si="18"/>
        <v>0</v>
      </c>
      <c r="J249" s="539"/>
      <c r="K249" s="539"/>
      <c r="L249" s="539"/>
      <c r="M249" s="539"/>
      <c r="N249" s="539"/>
      <c r="O249" s="539"/>
      <c r="P249" s="562"/>
      <c r="Q249" s="539"/>
      <c r="R249" s="543"/>
      <c r="S249" s="543"/>
      <c r="AF249" s="59"/>
      <c r="AG249" s="59"/>
      <c r="AH249" s="560"/>
      <c r="AI249" s="560"/>
    </row>
    <row r="250" spans="2:60" ht="17.100000000000001" customHeight="1">
      <c r="B250" s="664"/>
      <c r="C250" s="525">
        <v>3399</v>
      </c>
      <c r="D250" s="684"/>
      <c r="E250" s="518" t="s">
        <v>124</v>
      </c>
      <c r="F250" s="519">
        <v>0.09</v>
      </c>
      <c r="G250" s="520">
        <f t="shared" si="15"/>
        <v>0</v>
      </c>
      <c r="H250" s="520">
        <f t="shared" si="16"/>
        <v>0</v>
      </c>
      <c r="I250" s="521">
        <f t="shared" si="18"/>
        <v>0</v>
      </c>
      <c r="J250" s="539"/>
      <c r="K250" s="539"/>
      <c r="L250" s="539"/>
      <c r="M250" s="539"/>
      <c r="N250" s="539"/>
      <c r="O250" s="539"/>
      <c r="P250" s="562"/>
      <c r="Q250" s="539"/>
      <c r="R250" s="543"/>
      <c r="S250" s="543"/>
      <c r="AF250" s="59"/>
      <c r="AG250" s="59"/>
      <c r="AH250" s="560"/>
      <c r="AI250" s="560"/>
    </row>
    <row r="251" spans="2:60" ht="17.100000000000001" customHeight="1">
      <c r="B251" s="664"/>
      <c r="C251" s="525">
        <v>3399</v>
      </c>
      <c r="D251" s="684"/>
      <c r="E251" s="518" t="s">
        <v>125</v>
      </c>
      <c r="F251" s="519">
        <v>0.06</v>
      </c>
      <c r="G251" s="520">
        <f t="shared" si="15"/>
        <v>318603.57</v>
      </c>
      <c r="H251" s="520">
        <f t="shared" si="16"/>
        <v>0</v>
      </c>
      <c r="I251" s="521">
        <f t="shared" si="18"/>
        <v>318603.57</v>
      </c>
      <c r="J251" s="539"/>
      <c r="K251" s="539"/>
      <c r="L251" s="539"/>
      <c r="M251" s="539"/>
      <c r="N251" s="539"/>
      <c r="O251" s="539"/>
      <c r="P251" s="562"/>
      <c r="Q251" s="539"/>
      <c r="R251" s="543"/>
      <c r="S251" s="543"/>
      <c r="AF251" s="59"/>
      <c r="AG251" s="59"/>
      <c r="AH251" s="560"/>
      <c r="AI251" s="560"/>
      <c r="AP251" s="61">
        <v>291401.82</v>
      </c>
      <c r="AR251" s="61">
        <v>27201.75</v>
      </c>
    </row>
    <row r="252" spans="2:60" ht="17.100000000000001" customHeight="1">
      <c r="B252" s="663"/>
      <c r="C252" s="525">
        <v>3403</v>
      </c>
      <c r="D252" s="690" t="s">
        <v>232</v>
      </c>
      <c r="E252" s="518" t="s">
        <v>123</v>
      </c>
      <c r="F252" s="519">
        <v>0.13</v>
      </c>
      <c r="G252" s="520">
        <f t="shared" si="15"/>
        <v>0</v>
      </c>
      <c r="H252" s="520">
        <f t="shared" si="16"/>
        <v>0</v>
      </c>
      <c r="I252" s="521">
        <f t="shared" si="18"/>
        <v>0</v>
      </c>
      <c r="J252" s="539"/>
      <c r="K252" s="539"/>
      <c r="L252" s="539"/>
      <c r="M252" s="539"/>
      <c r="N252" s="539"/>
      <c r="O252" s="539"/>
      <c r="P252" s="562"/>
      <c r="Q252" s="539"/>
      <c r="R252" s="543"/>
      <c r="S252" s="543"/>
      <c r="AF252" s="59"/>
      <c r="AG252" s="59"/>
      <c r="AH252" s="560"/>
      <c r="AI252" s="560"/>
    </row>
    <row r="253" spans="2:60" ht="17.100000000000001" customHeight="1">
      <c r="B253" s="664"/>
      <c r="C253" s="525">
        <v>3403</v>
      </c>
      <c r="D253" s="684"/>
      <c r="E253" s="518" t="s">
        <v>124</v>
      </c>
      <c r="F253" s="519">
        <v>0.09</v>
      </c>
      <c r="G253" s="520">
        <f t="shared" si="15"/>
        <v>0</v>
      </c>
      <c r="H253" s="520">
        <f t="shared" si="16"/>
        <v>0</v>
      </c>
      <c r="I253" s="521">
        <f t="shared" si="18"/>
        <v>0</v>
      </c>
      <c r="J253" s="539"/>
      <c r="K253" s="539"/>
      <c r="L253" s="539"/>
      <c r="M253" s="539"/>
      <c r="N253" s="539"/>
      <c r="O253" s="539"/>
      <c r="P253" s="562"/>
      <c r="Q253" s="539"/>
      <c r="R253" s="543"/>
      <c r="S253" s="543"/>
      <c r="AF253" s="59"/>
      <c r="AG253" s="59"/>
      <c r="AH253" s="560"/>
      <c r="AI253" s="560"/>
    </row>
    <row r="254" spans="2:60" ht="17.100000000000001" customHeight="1">
      <c r="B254" s="664"/>
      <c r="C254" s="525">
        <v>3403</v>
      </c>
      <c r="D254" s="684"/>
      <c r="E254" s="518" t="s">
        <v>125</v>
      </c>
      <c r="F254" s="519">
        <v>0.06</v>
      </c>
      <c r="G254" s="520">
        <f t="shared" si="15"/>
        <v>591360.48</v>
      </c>
      <c r="H254" s="520">
        <f t="shared" si="16"/>
        <v>591360.48</v>
      </c>
      <c r="I254" s="521">
        <f t="shared" si="18"/>
        <v>0</v>
      </c>
      <c r="J254" s="539"/>
      <c r="K254" s="539"/>
      <c r="L254" s="539"/>
      <c r="M254" s="539"/>
      <c r="N254" s="539"/>
      <c r="O254" s="539"/>
      <c r="P254" s="562"/>
      <c r="Q254" s="539"/>
      <c r="R254" s="543"/>
      <c r="S254" s="543"/>
      <c r="AF254" s="59"/>
      <c r="AG254" s="59"/>
      <c r="AH254" s="560"/>
      <c r="AI254" s="560"/>
      <c r="AP254" s="61">
        <v>291401.82</v>
      </c>
      <c r="AR254" s="61">
        <v>27201.75</v>
      </c>
      <c r="AU254" s="59">
        <v>32385.65</v>
      </c>
      <c r="AW254" s="59">
        <v>42964.32</v>
      </c>
      <c r="AX254" s="59">
        <v>42964.32</v>
      </c>
      <c r="AY254" s="61">
        <v>99657.18</v>
      </c>
      <c r="AZ254" s="61">
        <v>99657.18</v>
      </c>
      <c r="BC254" s="61">
        <v>48874.879999999997</v>
      </c>
      <c r="BD254" s="61">
        <v>48874.879999999997</v>
      </c>
      <c r="BG254" s="61">
        <v>48874.879999999997</v>
      </c>
      <c r="BH254" s="61">
        <v>399864.1</v>
      </c>
    </row>
    <row r="255" spans="2:60" ht="17.100000000000001" customHeight="1">
      <c r="B255" s="663"/>
      <c r="C255" s="525">
        <v>3398</v>
      </c>
      <c r="D255" s="690" t="s">
        <v>233</v>
      </c>
      <c r="E255" s="518" t="s">
        <v>123</v>
      </c>
      <c r="F255" s="519">
        <v>0.13</v>
      </c>
      <c r="G255" s="520">
        <f t="shared" si="15"/>
        <v>0</v>
      </c>
      <c r="H255" s="520">
        <f t="shared" si="16"/>
        <v>0</v>
      </c>
      <c r="I255" s="521">
        <f t="shared" si="18"/>
        <v>0</v>
      </c>
      <c r="J255" s="539"/>
      <c r="K255" s="539"/>
      <c r="L255" s="539"/>
      <c r="M255" s="539"/>
      <c r="N255" s="539"/>
      <c r="O255" s="539"/>
      <c r="P255" s="562"/>
      <c r="Q255" s="539"/>
      <c r="R255" s="543"/>
      <c r="S255" s="543"/>
      <c r="AF255" s="59"/>
      <c r="AG255" s="59"/>
      <c r="AH255" s="560"/>
      <c r="AI255" s="560"/>
    </row>
    <row r="256" spans="2:60" ht="17.100000000000001" customHeight="1">
      <c r="B256" s="664"/>
      <c r="C256" s="525">
        <v>3398</v>
      </c>
      <c r="D256" s="684"/>
      <c r="E256" s="518" t="s">
        <v>124</v>
      </c>
      <c r="F256" s="519">
        <v>0.09</v>
      </c>
      <c r="G256" s="520">
        <f t="shared" si="15"/>
        <v>0</v>
      </c>
      <c r="H256" s="520">
        <f t="shared" si="16"/>
        <v>0</v>
      </c>
      <c r="I256" s="521">
        <f t="shared" si="18"/>
        <v>0</v>
      </c>
      <c r="J256" s="539"/>
      <c r="K256" s="539"/>
      <c r="L256" s="539"/>
      <c r="M256" s="539"/>
      <c r="N256" s="539"/>
      <c r="O256" s="539"/>
      <c r="P256" s="562"/>
      <c r="Q256" s="539"/>
      <c r="R256" s="543"/>
      <c r="S256" s="543"/>
      <c r="AF256" s="59"/>
      <c r="AG256" s="59"/>
      <c r="AH256" s="560"/>
      <c r="AI256" s="560"/>
    </row>
    <row r="257" spans="2:60" ht="17.100000000000001" customHeight="1">
      <c r="B257" s="664"/>
      <c r="C257" s="525">
        <v>3398</v>
      </c>
      <c r="D257" s="684"/>
      <c r="E257" s="518" t="s">
        <v>125</v>
      </c>
      <c r="F257" s="519">
        <v>0.06</v>
      </c>
      <c r="G257" s="520">
        <f t="shared" si="15"/>
        <v>591360.48</v>
      </c>
      <c r="H257" s="520">
        <f t="shared" si="16"/>
        <v>591360.48</v>
      </c>
      <c r="I257" s="521">
        <f t="shared" si="18"/>
        <v>0</v>
      </c>
      <c r="J257" s="539"/>
      <c r="K257" s="539"/>
      <c r="L257" s="539"/>
      <c r="M257" s="539"/>
      <c r="N257" s="539"/>
      <c r="O257" s="539"/>
      <c r="P257" s="562"/>
      <c r="Q257" s="539"/>
      <c r="R257" s="543"/>
      <c r="S257" s="543"/>
      <c r="AF257" s="59"/>
      <c r="AG257" s="59"/>
      <c r="AH257" s="560"/>
      <c r="AI257" s="560"/>
      <c r="AP257" s="61">
        <v>291401.82</v>
      </c>
      <c r="AR257" s="61">
        <v>27201.75</v>
      </c>
      <c r="AU257" s="59">
        <v>32385.65</v>
      </c>
      <c r="AW257" s="59">
        <v>42964.32</v>
      </c>
      <c r="AX257" s="59">
        <v>42964.32</v>
      </c>
      <c r="AY257" s="61">
        <v>99657.18</v>
      </c>
      <c r="AZ257" s="61">
        <v>99657.18</v>
      </c>
      <c r="BC257" s="61">
        <v>48874.879999999997</v>
      </c>
      <c r="BD257" s="61">
        <v>48874.879999999997</v>
      </c>
      <c r="BG257" s="61">
        <v>48874.879999999997</v>
      </c>
      <c r="BH257" s="61">
        <v>399864.1</v>
      </c>
    </row>
    <row r="258" spans="2:60" ht="17.100000000000001" customHeight="1">
      <c r="B258" s="663"/>
      <c r="C258" s="525">
        <v>3401</v>
      </c>
      <c r="D258" s="690" t="s">
        <v>234</v>
      </c>
      <c r="E258" s="518" t="s">
        <v>123</v>
      </c>
      <c r="F258" s="519">
        <v>0.13</v>
      </c>
      <c r="G258" s="520">
        <f t="shared" si="15"/>
        <v>0</v>
      </c>
      <c r="H258" s="520">
        <f t="shared" si="16"/>
        <v>0</v>
      </c>
      <c r="I258" s="521">
        <f t="shared" si="18"/>
        <v>0</v>
      </c>
      <c r="J258" s="539"/>
      <c r="K258" s="539"/>
      <c r="L258" s="539"/>
      <c r="M258" s="539"/>
      <c r="N258" s="539"/>
      <c r="O258" s="539"/>
      <c r="P258" s="562"/>
      <c r="Q258" s="539"/>
      <c r="R258" s="543"/>
      <c r="S258" s="543"/>
      <c r="AF258" s="59"/>
      <c r="AG258" s="59"/>
      <c r="AH258" s="560"/>
      <c r="AI258" s="560"/>
    </row>
    <row r="259" spans="2:60" ht="17.100000000000001" customHeight="1">
      <c r="B259" s="664"/>
      <c r="C259" s="525">
        <v>3401</v>
      </c>
      <c r="D259" s="684"/>
      <c r="E259" s="518" t="s">
        <v>124</v>
      </c>
      <c r="F259" s="519">
        <v>0.09</v>
      </c>
      <c r="G259" s="520">
        <f t="shared" si="15"/>
        <v>0</v>
      </c>
      <c r="H259" s="520">
        <f t="shared" si="16"/>
        <v>0</v>
      </c>
      <c r="I259" s="521">
        <f t="shared" si="18"/>
        <v>0</v>
      </c>
      <c r="J259" s="539"/>
      <c r="K259" s="539"/>
      <c r="L259" s="539"/>
      <c r="M259" s="539"/>
      <c r="N259" s="539"/>
      <c r="O259" s="539"/>
      <c r="P259" s="562"/>
      <c r="Q259" s="539"/>
      <c r="R259" s="543"/>
      <c r="S259" s="543"/>
      <c r="AF259" s="59"/>
      <c r="AG259" s="59"/>
      <c r="AH259" s="560"/>
      <c r="AI259" s="560"/>
    </row>
    <row r="260" spans="2:60" ht="17.100000000000001" customHeight="1">
      <c r="B260" s="664"/>
      <c r="C260" s="525">
        <v>3401</v>
      </c>
      <c r="D260" s="684"/>
      <c r="E260" s="518" t="s">
        <v>125</v>
      </c>
      <c r="F260" s="519">
        <v>0.06</v>
      </c>
      <c r="G260" s="520">
        <f t="shared" si="15"/>
        <v>377841.91</v>
      </c>
      <c r="H260" s="520">
        <f t="shared" si="16"/>
        <v>26852.69</v>
      </c>
      <c r="I260" s="521">
        <f t="shared" si="18"/>
        <v>350989.22</v>
      </c>
      <c r="J260" s="539"/>
      <c r="K260" s="539"/>
      <c r="L260" s="539"/>
      <c r="M260" s="539"/>
      <c r="N260" s="539"/>
      <c r="O260" s="539"/>
      <c r="P260" s="562"/>
      <c r="Q260" s="539"/>
      <c r="R260" s="543"/>
      <c r="S260" s="543"/>
      <c r="AF260" s="59"/>
      <c r="AG260" s="59"/>
      <c r="AH260" s="560"/>
      <c r="AI260" s="560"/>
      <c r="AP260" s="61">
        <v>291401.82</v>
      </c>
      <c r="AR260" s="61">
        <v>27201.75</v>
      </c>
      <c r="AU260" s="59">
        <v>32385.65</v>
      </c>
      <c r="AW260" s="59">
        <v>26852.69</v>
      </c>
      <c r="AX260" s="59">
        <v>26852.69</v>
      </c>
    </row>
    <row r="261" spans="2:60" ht="17.100000000000001" customHeight="1">
      <c r="B261" s="663"/>
      <c r="C261" s="525">
        <v>3402</v>
      </c>
      <c r="D261" s="690" t="s">
        <v>235</v>
      </c>
      <c r="E261" s="518" t="s">
        <v>123</v>
      </c>
      <c r="F261" s="519">
        <v>0.13</v>
      </c>
      <c r="G261" s="520">
        <f t="shared" si="15"/>
        <v>0</v>
      </c>
      <c r="H261" s="520">
        <f t="shared" si="16"/>
        <v>0</v>
      </c>
      <c r="I261" s="521">
        <f t="shared" si="18"/>
        <v>0</v>
      </c>
      <c r="J261" s="539"/>
      <c r="K261" s="539"/>
      <c r="L261" s="539"/>
      <c r="M261" s="539"/>
      <c r="N261" s="539"/>
      <c r="O261" s="539"/>
      <c r="P261" s="562"/>
      <c r="Q261" s="539"/>
      <c r="R261" s="543"/>
      <c r="S261" s="543"/>
      <c r="AF261" s="59"/>
      <c r="AG261" s="59"/>
      <c r="AH261" s="560"/>
      <c r="AI261" s="560"/>
    </row>
    <row r="262" spans="2:60" ht="17.100000000000001" customHeight="1">
      <c r="B262" s="664"/>
      <c r="C262" s="525">
        <v>3402</v>
      </c>
      <c r="D262" s="684"/>
      <c r="E262" s="518" t="s">
        <v>124</v>
      </c>
      <c r="F262" s="519">
        <v>0.09</v>
      </c>
      <c r="G262" s="520">
        <f t="shared" si="15"/>
        <v>0</v>
      </c>
      <c r="H262" s="520">
        <f t="shared" si="16"/>
        <v>0</v>
      </c>
      <c r="I262" s="521">
        <f t="shared" si="18"/>
        <v>0</v>
      </c>
      <c r="J262" s="539"/>
      <c r="K262" s="539"/>
      <c r="L262" s="539"/>
      <c r="M262" s="539"/>
      <c r="N262" s="539"/>
      <c r="O262" s="539"/>
      <c r="P262" s="562"/>
      <c r="Q262" s="539"/>
      <c r="R262" s="543"/>
      <c r="S262" s="543"/>
      <c r="AF262" s="59"/>
      <c r="AG262" s="59"/>
      <c r="AH262" s="560"/>
      <c r="AI262" s="560"/>
    </row>
    <row r="263" spans="2:60" ht="17.100000000000001" customHeight="1">
      <c r="B263" s="664"/>
      <c r="C263" s="525">
        <v>3402</v>
      </c>
      <c r="D263" s="684"/>
      <c r="E263" s="518" t="s">
        <v>125</v>
      </c>
      <c r="F263" s="519">
        <v>0.06</v>
      </c>
      <c r="G263" s="520">
        <f t="shared" si="15"/>
        <v>591360.48</v>
      </c>
      <c r="H263" s="520">
        <f t="shared" si="16"/>
        <v>591360.48</v>
      </c>
      <c r="I263" s="521">
        <f t="shared" si="18"/>
        <v>0</v>
      </c>
      <c r="J263" s="539"/>
      <c r="K263" s="539"/>
      <c r="L263" s="539"/>
      <c r="M263" s="539"/>
      <c r="N263" s="539"/>
      <c r="O263" s="539"/>
      <c r="P263" s="562"/>
      <c r="Q263" s="539"/>
      <c r="R263" s="543"/>
      <c r="S263" s="543"/>
      <c r="AF263" s="59"/>
      <c r="AG263" s="59"/>
      <c r="AH263" s="560"/>
      <c r="AI263" s="560"/>
      <c r="AP263" s="61">
        <v>291401.82</v>
      </c>
      <c r="AR263" s="61">
        <v>27201.75</v>
      </c>
      <c r="AU263" s="59">
        <v>32385.65</v>
      </c>
      <c r="AW263" s="59">
        <v>42964.32</v>
      </c>
      <c r="AX263" s="59">
        <v>42964.32</v>
      </c>
      <c r="AY263" s="61">
        <v>99657.18</v>
      </c>
      <c r="AZ263" s="61">
        <v>99657.18</v>
      </c>
      <c r="BC263" s="61">
        <v>48874.879999999997</v>
      </c>
      <c r="BD263" s="61">
        <v>48874.879999999997</v>
      </c>
      <c r="BG263" s="61">
        <v>48874.879999999997</v>
      </c>
      <c r="BH263" s="61">
        <v>399864.1</v>
      </c>
    </row>
    <row r="264" spans="2:60" ht="17.100000000000001" customHeight="1">
      <c r="B264" s="663"/>
      <c r="C264" s="525">
        <v>4317</v>
      </c>
      <c r="D264" s="690" t="s">
        <v>236</v>
      </c>
      <c r="E264" s="518" t="s">
        <v>123</v>
      </c>
      <c r="F264" s="519">
        <v>0.13</v>
      </c>
      <c r="G264" s="520">
        <f t="shared" si="15"/>
        <v>0</v>
      </c>
      <c r="H264" s="520">
        <f t="shared" si="16"/>
        <v>0</v>
      </c>
      <c r="I264" s="521">
        <f t="shared" si="18"/>
        <v>0</v>
      </c>
      <c r="J264" s="539"/>
      <c r="K264" s="539"/>
      <c r="L264" s="539"/>
      <c r="M264" s="539"/>
      <c r="N264" s="539"/>
      <c r="O264" s="539"/>
      <c r="P264" s="562"/>
      <c r="Q264" s="539"/>
      <c r="R264" s="543"/>
      <c r="S264" s="543"/>
      <c r="AF264" s="59"/>
      <c r="AG264" s="59"/>
      <c r="AH264" s="560"/>
      <c r="AI264" s="560"/>
    </row>
    <row r="265" spans="2:60" ht="17.100000000000001" customHeight="1">
      <c r="B265" s="664"/>
      <c r="C265" s="525">
        <v>4317</v>
      </c>
      <c r="D265" s="684"/>
      <c r="E265" s="518" t="s">
        <v>124</v>
      </c>
      <c r="F265" s="519">
        <v>0.09</v>
      </c>
      <c r="G265" s="520">
        <f t="shared" si="15"/>
        <v>0</v>
      </c>
      <c r="H265" s="520">
        <f t="shared" si="16"/>
        <v>0</v>
      </c>
      <c r="I265" s="521">
        <f t="shared" si="18"/>
        <v>0</v>
      </c>
      <c r="J265" s="539"/>
      <c r="K265" s="539"/>
      <c r="L265" s="539"/>
      <c r="M265" s="539"/>
      <c r="N265" s="539"/>
      <c r="O265" s="539"/>
      <c r="P265" s="562"/>
      <c r="Q265" s="539"/>
      <c r="R265" s="543"/>
      <c r="S265" s="543"/>
      <c r="AF265" s="59"/>
      <c r="AG265" s="59"/>
      <c r="AH265" s="560"/>
      <c r="AI265" s="560"/>
    </row>
    <row r="266" spans="2:60" ht="17.100000000000001" customHeight="1">
      <c r="B266" s="664"/>
      <c r="C266" s="525">
        <v>4317</v>
      </c>
      <c r="D266" s="684"/>
      <c r="E266" s="518" t="s">
        <v>125</v>
      </c>
      <c r="F266" s="519">
        <v>0.06</v>
      </c>
      <c r="G266" s="520">
        <f t="shared" ref="G266:G329" si="19">SUM(J266,L266,N266,P266,R266,T266,V266,X266,Z266,AB266,AD266,AF266,AH266,AJ266,AL266,AN266,AP266,AR266,AU266,AW266,AY266,BC266,BG266)</f>
        <v>221133.01</v>
      </c>
      <c r="H266" s="520">
        <f t="shared" ref="H266:H329" si="20">SUM(K266,M266,O266,Q266,S266,U266,W266,Y266,AA266,AC266,AE266,AG266,AI266,AK266,AM266,AO266,AQ266,AS266,AV266,AX266,AZ266,BD266,BH266)</f>
        <v>221133.01</v>
      </c>
      <c r="I266" s="521">
        <f t="shared" si="18"/>
        <v>0</v>
      </c>
      <c r="J266" s="539"/>
      <c r="K266" s="539"/>
      <c r="L266" s="539"/>
      <c r="M266" s="539"/>
      <c r="N266" s="539"/>
      <c r="O266" s="539"/>
      <c r="P266" s="562"/>
      <c r="Q266" s="539"/>
      <c r="R266" s="543"/>
      <c r="S266" s="543"/>
      <c r="AF266" s="59"/>
      <c r="AG266" s="59"/>
      <c r="AH266" s="560"/>
      <c r="AI266" s="560"/>
      <c r="AP266" s="61">
        <v>165567.75</v>
      </c>
      <c r="BC266" s="61">
        <v>25763.51</v>
      </c>
      <c r="BD266" s="61">
        <v>29801.75</v>
      </c>
      <c r="BG266" s="61">
        <v>29801.75</v>
      </c>
      <c r="BH266" s="61">
        <v>191331.26</v>
      </c>
    </row>
    <row r="267" spans="2:60" ht="17.100000000000001" customHeight="1">
      <c r="B267" s="663"/>
      <c r="C267" s="525">
        <v>4316</v>
      </c>
      <c r="D267" s="690" t="s">
        <v>237</v>
      </c>
      <c r="E267" s="518" t="s">
        <v>123</v>
      </c>
      <c r="F267" s="519">
        <v>0.13</v>
      </c>
      <c r="G267" s="520">
        <f t="shared" si="19"/>
        <v>0</v>
      </c>
      <c r="H267" s="520">
        <f t="shared" si="20"/>
        <v>0</v>
      </c>
      <c r="I267" s="521">
        <f t="shared" si="18"/>
        <v>0</v>
      </c>
      <c r="J267" s="539"/>
      <c r="K267" s="539"/>
      <c r="L267" s="539"/>
      <c r="M267" s="539"/>
      <c r="N267" s="539"/>
      <c r="O267" s="539"/>
      <c r="P267" s="562"/>
      <c r="Q267" s="539"/>
      <c r="R267" s="543"/>
      <c r="S267" s="543"/>
      <c r="AF267" s="59"/>
      <c r="AG267" s="59"/>
      <c r="AH267" s="560"/>
      <c r="AI267" s="560"/>
    </row>
    <row r="268" spans="2:60" ht="17.100000000000001" customHeight="1">
      <c r="B268" s="664"/>
      <c r="C268" s="525">
        <v>4316</v>
      </c>
      <c r="D268" s="684"/>
      <c r="E268" s="518" t="s">
        <v>124</v>
      </c>
      <c r="F268" s="519">
        <v>0.09</v>
      </c>
      <c r="G268" s="520">
        <f t="shared" si="19"/>
        <v>0</v>
      </c>
      <c r="H268" s="520">
        <f t="shared" si="20"/>
        <v>0</v>
      </c>
      <c r="I268" s="521">
        <f t="shared" si="18"/>
        <v>0</v>
      </c>
      <c r="J268" s="539"/>
      <c r="K268" s="539"/>
      <c r="L268" s="539"/>
      <c r="M268" s="539"/>
      <c r="N268" s="539"/>
      <c r="O268" s="539"/>
      <c r="P268" s="562"/>
      <c r="Q268" s="539"/>
      <c r="R268" s="543"/>
      <c r="S268" s="543"/>
      <c r="AF268" s="59"/>
      <c r="AG268" s="59"/>
      <c r="AH268" s="560"/>
      <c r="AI268" s="560"/>
    </row>
    <row r="269" spans="2:60" ht="17.100000000000001" customHeight="1">
      <c r="B269" s="664"/>
      <c r="C269" s="525">
        <v>4316</v>
      </c>
      <c r="D269" s="684"/>
      <c r="E269" s="518" t="s">
        <v>125</v>
      </c>
      <c r="F269" s="519">
        <v>0.06</v>
      </c>
      <c r="G269" s="520">
        <f t="shared" si="19"/>
        <v>471287.07</v>
      </c>
      <c r="H269" s="520">
        <f t="shared" si="20"/>
        <v>471287.06</v>
      </c>
      <c r="I269" s="521">
        <f t="shared" si="18"/>
        <v>9.9999999511055596E-3</v>
      </c>
      <c r="J269" s="539"/>
      <c r="K269" s="539"/>
      <c r="L269" s="539"/>
      <c r="M269" s="539"/>
      <c r="N269" s="539"/>
      <c r="O269" s="539"/>
      <c r="P269" s="562"/>
      <c r="Q269" s="539"/>
      <c r="R269" s="543"/>
      <c r="S269" s="543"/>
      <c r="AF269" s="59"/>
      <c r="AG269" s="59"/>
      <c r="AH269" s="560"/>
      <c r="AI269" s="560"/>
      <c r="AP269" s="61">
        <v>227777.19</v>
      </c>
      <c r="AR269" s="61">
        <v>30934.63</v>
      </c>
      <c r="AY269" s="61">
        <v>155804.76999999999</v>
      </c>
      <c r="AZ269" s="61">
        <v>416173.87</v>
      </c>
      <c r="BC269" s="61">
        <v>28385.24</v>
      </c>
      <c r="BD269" s="61">
        <v>26727.95</v>
      </c>
      <c r="BG269" s="61">
        <v>28385.24</v>
      </c>
      <c r="BH269" s="61">
        <v>28385.24</v>
      </c>
    </row>
    <row r="270" spans="2:60" ht="17.100000000000001" customHeight="1">
      <c r="B270" s="663"/>
      <c r="C270" s="525">
        <v>4315</v>
      </c>
      <c r="D270" s="690" t="s">
        <v>238</v>
      </c>
      <c r="E270" s="518" t="s">
        <v>123</v>
      </c>
      <c r="F270" s="519">
        <v>0.13</v>
      </c>
      <c r="G270" s="520">
        <f t="shared" si="19"/>
        <v>0</v>
      </c>
      <c r="H270" s="520">
        <f t="shared" si="20"/>
        <v>0</v>
      </c>
      <c r="I270" s="521">
        <f t="shared" si="18"/>
        <v>0</v>
      </c>
      <c r="J270" s="539"/>
      <c r="K270" s="539"/>
      <c r="L270" s="539"/>
      <c r="M270" s="539"/>
      <c r="N270" s="539"/>
      <c r="O270" s="539"/>
      <c r="P270" s="562"/>
      <c r="Q270" s="539"/>
      <c r="R270" s="543"/>
      <c r="S270" s="543"/>
      <c r="AF270" s="59"/>
      <c r="AG270" s="59"/>
      <c r="AH270" s="560"/>
      <c r="AI270" s="560"/>
    </row>
    <row r="271" spans="2:60" ht="17.100000000000001" customHeight="1">
      <c r="B271" s="664"/>
      <c r="C271" s="525">
        <v>4315</v>
      </c>
      <c r="D271" s="684"/>
      <c r="E271" s="518" t="s">
        <v>124</v>
      </c>
      <c r="F271" s="519">
        <v>0.09</v>
      </c>
      <c r="G271" s="520">
        <f t="shared" si="19"/>
        <v>0</v>
      </c>
      <c r="H271" s="520">
        <f t="shared" si="20"/>
        <v>0</v>
      </c>
      <c r="I271" s="521">
        <f t="shared" si="18"/>
        <v>0</v>
      </c>
      <c r="J271" s="539"/>
      <c r="K271" s="539"/>
      <c r="L271" s="539"/>
      <c r="M271" s="539"/>
      <c r="N271" s="539"/>
      <c r="O271" s="539"/>
      <c r="P271" s="562"/>
      <c r="Q271" s="539"/>
      <c r="R271" s="543"/>
      <c r="S271" s="543"/>
      <c r="AF271" s="59"/>
      <c r="AG271" s="59"/>
      <c r="AH271" s="560"/>
      <c r="AI271" s="560"/>
    </row>
    <row r="272" spans="2:60" ht="17.100000000000001" customHeight="1">
      <c r="B272" s="664"/>
      <c r="C272" s="525">
        <v>4315</v>
      </c>
      <c r="D272" s="684"/>
      <c r="E272" s="518" t="s">
        <v>125</v>
      </c>
      <c r="F272" s="519">
        <v>0.06</v>
      </c>
      <c r="G272" s="520">
        <f t="shared" si="19"/>
        <v>471287.06</v>
      </c>
      <c r="H272" s="520">
        <f t="shared" si="20"/>
        <v>471287.05</v>
      </c>
      <c r="I272" s="521">
        <f t="shared" si="18"/>
        <v>9.9999999511055596E-3</v>
      </c>
      <c r="J272" s="539"/>
      <c r="K272" s="539"/>
      <c r="L272" s="539"/>
      <c r="M272" s="539"/>
      <c r="N272" s="539"/>
      <c r="O272" s="539"/>
      <c r="P272" s="562"/>
      <c r="Q272" s="539"/>
      <c r="R272" s="543"/>
      <c r="S272" s="543"/>
      <c r="AF272" s="59"/>
      <c r="AG272" s="59"/>
      <c r="AH272" s="560"/>
      <c r="AI272" s="560"/>
      <c r="AP272" s="61">
        <v>227777.2</v>
      </c>
      <c r="AR272" s="61">
        <v>30934.61</v>
      </c>
      <c r="AY272" s="61">
        <v>155804.76999999999</v>
      </c>
      <c r="AZ272" s="61">
        <v>416173.86</v>
      </c>
      <c r="BC272" s="61">
        <v>28385.24</v>
      </c>
      <c r="BD272" s="61">
        <v>26727.95</v>
      </c>
      <c r="BG272" s="61">
        <v>28385.24</v>
      </c>
      <c r="BH272" s="61">
        <v>28385.24</v>
      </c>
    </row>
    <row r="273" spans="2:60" ht="17.100000000000001" customHeight="1">
      <c r="B273" s="661"/>
      <c r="C273" s="561">
        <v>4670</v>
      </c>
      <c r="D273" s="686" t="s">
        <v>239</v>
      </c>
      <c r="E273" s="518" t="s">
        <v>123</v>
      </c>
      <c r="F273" s="519">
        <v>0.13</v>
      </c>
      <c r="G273" s="520">
        <f t="shared" si="19"/>
        <v>0</v>
      </c>
      <c r="H273" s="520">
        <f t="shared" si="20"/>
        <v>0</v>
      </c>
      <c r="I273" s="521">
        <f t="shared" si="18"/>
        <v>0</v>
      </c>
      <c r="J273" s="539"/>
      <c r="K273" s="539"/>
      <c r="L273" s="539"/>
      <c r="M273" s="539"/>
      <c r="N273" s="539"/>
      <c r="O273" s="539"/>
      <c r="P273" s="562"/>
      <c r="Q273" s="539"/>
      <c r="R273" s="543"/>
      <c r="S273" s="543"/>
      <c r="AF273" s="59"/>
      <c r="AG273" s="59"/>
      <c r="AH273" s="560"/>
      <c r="AI273" s="560"/>
    </row>
    <row r="274" spans="2:60" ht="17.100000000000001" customHeight="1">
      <c r="B274" s="661"/>
      <c r="C274" s="561">
        <v>4670</v>
      </c>
      <c r="D274" s="686"/>
      <c r="E274" s="518" t="s">
        <v>124</v>
      </c>
      <c r="F274" s="519">
        <v>0.09</v>
      </c>
      <c r="G274" s="520">
        <f t="shared" si="19"/>
        <v>0</v>
      </c>
      <c r="H274" s="520">
        <f t="shared" si="20"/>
        <v>0</v>
      </c>
      <c r="I274" s="521">
        <f t="shared" si="18"/>
        <v>0</v>
      </c>
      <c r="J274" s="539"/>
      <c r="K274" s="539"/>
      <c r="L274" s="539"/>
      <c r="M274" s="539"/>
      <c r="N274" s="539"/>
      <c r="O274" s="539"/>
      <c r="P274" s="562"/>
      <c r="Q274" s="539"/>
      <c r="R274" s="543"/>
      <c r="S274" s="543"/>
      <c r="AF274" s="59"/>
      <c r="AG274" s="59"/>
      <c r="AH274" s="560"/>
      <c r="AI274" s="560"/>
    </row>
    <row r="275" spans="2:60" ht="17.100000000000001" customHeight="1">
      <c r="B275" s="663"/>
      <c r="C275" s="525">
        <v>4670</v>
      </c>
      <c r="D275" s="690"/>
      <c r="E275" s="518" t="s">
        <v>125</v>
      </c>
      <c r="F275" s="519">
        <v>0.06</v>
      </c>
      <c r="G275" s="520">
        <f t="shared" si="19"/>
        <v>591385.41</v>
      </c>
      <c r="H275" s="520">
        <f t="shared" si="20"/>
        <v>494555.87</v>
      </c>
      <c r="I275" s="521">
        <f t="shared" si="18"/>
        <v>96829.539999999906</v>
      </c>
      <c r="J275" s="539"/>
      <c r="K275" s="539"/>
      <c r="L275" s="539"/>
      <c r="M275" s="539"/>
      <c r="N275" s="539"/>
      <c r="O275" s="539"/>
      <c r="P275" s="562"/>
      <c r="Q275" s="539"/>
      <c r="R275" s="543"/>
      <c r="S275" s="543"/>
      <c r="AF275" s="59"/>
      <c r="AG275" s="59"/>
      <c r="AH275" s="560"/>
      <c r="AI275" s="560"/>
      <c r="AR275" s="61">
        <v>538758.72</v>
      </c>
      <c r="AS275" s="59">
        <v>494555.87</v>
      </c>
      <c r="AU275" s="59">
        <v>52626.69</v>
      </c>
    </row>
    <row r="276" spans="2:60" ht="17.100000000000001" customHeight="1">
      <c r="B276" s="663"/>
      <c r="C276" s="525">
        <v>4690</v>
      </c>
      <c r="D276" s="690" t="s">
        <v>240</v>
      </c>
      <c r="E276" s="518" t="s">
        <v>123</v>
      </c>
      <c r="F276" s="519">
        <v>0.13</v>
      </c>
      <c r="G276" s="520">
        <f t="shared" si="19"/>
        <v>0</v>
      </c>
      <c r="H276" s="520">
        <f t="shared" si="20"/>
        <v>0</v>
      </c>
      <c r="I276" s="521">
        <f t="shared" si="18"/>
        <v>0</v>
      </c>
      <c r="J276" s="539"/>
      <c r="K276" s="539"/>
      <c r="L276" s="539"/>
      <c r="M276" s="539"/>
      <c r="N276" s="539"/>
      <c r="O276" s="539"/>
      <c r="P276" s="562"/>
      <c r="Q276" s="539"/>
      <c r="R276" s="543"/>
      <c r="S276" s="543"/>
      <c r="AF276" s="59"/>
      <c r="AG276" s="59"/>
      <c r="AH276" s="560"/>
      <c r="AI276" s="560"/>
    </row>
    <row r="277" spans="2:60" ht="17.100000000000001" customHeight="1">
      <c r="B277" s="664"/>
      <c r="C277" s="525">
        <v>4690</v>
      </c>
      <c r="D277" s="684"/>
      <c r="E277" s="518" t="s">
        <v>124</v>
      </c>
      <c r="F277" s="519">
        <v>0.09</v>
      </c>
      <c r="G277" s="520">
        <f t="shared" si="19"/>
        <v>0</v>
      </c>
      <c r="H277" s="520">
        <f t="shared" si="20"/>
        <v>0</v>
      </c>
      <c r="I277" s="521">
        <f t="shared" si="18"/>
        <v>0</v>
      </c>
      <c r="J277" s="539"/>
      <c r="K277" s="539"/>
      <c r="L277" s="539"/>
      <c r="M277" s="539"/>
      <c r="N277" s="539"/>
      <c r="O277" s="539"/>
      <c r="P277" s="562"/>
      <c r="Q277" s="539"/>
      <c r="R277" s="543"/>
      <c r="S277" s="543"/>
      <c r="AF277" s="59"/>
      <c r="AG277" s="59"/>
      <c r="AH277" s="560"/>
      <c r="AI277" s="560"/>
    </row>
    <row r="278" spans="2:60" ht="17.100000000000001" customHeight="1">
      <c r="B278" s="664"/>
      <c r="C278" s="525">
        <v>4690</v>
      </c>
      <c r="D278" s="684"/>
      <c r="E278" s="518" t="s">
        <v>125</v>
      </c>
      <c r="F278" s="519">
        <v>0.06</v>
      </c>
      <c r="G278" s="520">
        <f t="shared" si="19"/>
        <v>735667.81</v>
      </c>
      <c r="H278" s="520">
        <f t="shared" si="20"/>
        <v>104699.65</v>
      </c>
      <c r="I278" s="521">
        <f t="shared" si="18"/>
        <v>630968.16</v>
      </c>
      <c r="J278" s="539"/>
      <c r="K278" s="539"/>
      <c r="L278" s="539"/>
      <c r="M278" s="539"/>
      <c r="N278" s="539"/>
      <c r="O278" s="539"/>
      <c r="P278" s="562"/>
      <c r="Q278" s="539"/>
      <c r="R278" s="543"/>
      <c r="S278" s="543"/>
      <c r="AF278" s="59"/>
      <c r="AG278" s="59"/>
      <c r="AH278" s="560"/>
      <c r="AI278" s="560"/>
      <c r="AP278" s="61">
        <v>556483.9</v>
      </c>
      <c r="AR278" s="61">
        <v>34002.19</v>
      </c>
      <c r="AU278" s="59">
        <v>40482.07</v>
      </c>
      <c r="AW278" s="59">
        <v>21289.32</v>
      </c>
      <c r="AX278" s="59">
        <v>21289.32</v>
      </c>
      <c r="AY278" s="61">
        <v>83410.33</v>
      </c>
      <c r="AZ278" s="61">
        <v>83410.33</v>
      </c>
    </row>
    <row r="279" spans="2:60" ht="17.100000000000001" customHeight="1">
      <c r="B279" s="663"/>
      <c r="C279" s="525">
        <v>4312</v>
      </c>
      <c r="D279" s="690" t="s">
        <v>241</v>
      </c>
      <c r="E279" s="518" t="s">
        <v>123</v>
      </c>
      <c r="F279" s="519">
        <v>0.13</v>
      </c>
      <c r="G279" s="520">
        <f t="shared" si="19"/>
        <v>0</v>
      </c>
      <c r="H279" s="520">
        <f t="shared" si="20"/>
        <v>0</v>
      </c>
      <c r="I279" s="521">
        <f t="shared" si="18"/>
        <v>0</v>
      </c>
      <c r="J279" s="539"/>
      <c r="K279" s="539"/>
      <c r="L279" s="539"/>
      <c r="M279" s="539"/>
      <c r="N279" s="539"/>
      <c r="O279" s="539"/>
      <c r="P279" s="562"/>
      <c r="Q279" s="539"/>
      <c r="R279" s="543"/>
      <c r="S279" s="543"/>
      <c r="AF279" s="59"/>
      <c r="AG279" s="59"/>
      <c r="AH279" s="560"/>
      <c r="AI279" s="560"/>
    </row>
    <row r="280" spans="2:60" ht="17.100000000000001" customHeight="1">
      <c r="B280" s="664"/>
      <c r="C280" s="525">
        <v>4312</v>
      </c>
      <c r="D280" s="684"/>
      <c r="E280" s="518" t="s">
        <v>124</v>
      </c>
      <c r="F280" s="519">
        <v>0.09</v>
      </c>
      <c r="G280" s="520">
        <f t="shared" si="19"/>
        <v>0</v>
      </c>
      <c r="H280" s="520">
        <f t="shared" si="20"/>
        <v>0</v>
      </c>
      <c r="I280" s="521">
        <f t="shared" si="18"/>
        <v>0</v>
      </c>
      <c r="J280" s="539"/>
      <c r="K280" s="539"/>
      <c r="L280" s="539"/>
      <c r="M280" s="539"/>
      <c r="N280" s="539"/>
      <c r="O280" s="539"/>
      <c r="P280" s="562"/>
      <c r="Q280" s="539"/>
      <c r="R280" s="543"/>
      <c r="S280" s="543"/>
      <c r="AF280" s="59"/>
      <c r="AG280" s="59"/>
      <c r="AH280" s="560"/>
      <c r="AI280" s="560"/>
    </row>
    <row r="281" spans="2:60" ht="17.100000000000001" customHeight="1">
      <c r="B281" s="664"/>
      <c r="C281" s="525">
        <v>4312</v>
      </c>
      <c r="D281" s="684"/>
      <c r="E281" s="518" t="s">
        <v>125</v>
      </c>
      <c r="F281" s="519">
        <v>0.06</v>
      </c>
      <c r="G281" s="520">
        <f t="shared" si="19"/>
        <v>348053.19</v>
      </c>
      <c r="H281" s="520">
        <f t="shared" si="20"/>
        <v>0</v>
      </c>
      <c r="I281" s="521">
        <f t="shared" si="18"/>
        <v>348053.19</v>
      </c>
      <c r="J281" s="539"/>
      <c r="K281" s="539"/>
      <c r="L281" s="539"/>
      <c r="M281" s="539"/>
      <c r="N281" s="539"/>
      <c r="O281" s="539"/>
      <c r="P281" s="562"/>
      <c r="Q281" s="539"/>
      <c r="R281" s="543"/>
      <c r="S281" s="543"/>
      <c r="AF281" s="59"/>
      <c r="AG281" s="59"/>
      <c r="AH281" s="560"/>
      <c r="AI281" s="560"/>
      <c r="AP281" s="61">
        <v>348053.19</v>
      </c>
    </row>
    <row r="282" spans="2:60" ht="17.100000000000001" customHeight="1">
      <c r="B282" s="663"/>
      <c r="C282" s="525">
        <v>4318</v>
      </c>
      <c r="D282" s="690" t="s">
        <v>242</v>
      </c>
      <c r="E282" s="518" t="s">
        <v>123</v>
      </c>
      <c r="F282" s="519">
        <v>0.13</v>
      </c>
      <c r="G282" s="520">
        <f t="shared" si="19"/>
        <v>0</v>
      </c>
      <c r="H282" s="520">
        <f t="shared" si="20"/>
        <v>0</v>
      </c>
      <c r="I282" s="521">
        <f t="shared" si="18"/>
        <v>0</v>
      </c>
      <c r="J282" s="539"/>
      <c r="K282" s="539"/>
      <c r="L282" s="539"/>
      <c r="M282" s="539"/>
      <c r="N282" s="539"/>
      <c r="O282" s="539"/>
      <c r="P282" s="562"/>
      <c r="Q282" s="539"/>
      <c r="R282" s="543"/>
      <c r="S282" s="543"/>
      <c r="AF282" s="59"/>
      <c r="AG282" s="59"/>
      <c r="AH282" s="560"/>
      <c r="AI282" s="560"/>
    </row>
    <row r="283" spans="2:60" ht="17.100000000000001" customHeight="1">
      <c r="B283" s="664"/>
      <c r="C283" s="525">
        <v>4318</v>
      </c>
      <c r="D283" s="684"/>
      <c r="E283" s="518" t="s">
        <v>124</v>
      </c>
      <c r="F283" s="519">
        <v>0.09</v>
      </c>
      <c r="G283" s="520">
        <f t="shared" si="19"/>
        <v>0</v>
      </c>
      <c r="H283" s="520">
        <f t="shared" si="20"/>
        <v>0</v>
      </c>
      <c r="I283" s="521">
        <f t="shared" si="18"/>
        <v>0</v>
      </c>
      <c r="J283" s="539"/>
      <c r="K283" s="539"/>
      <c r="L283" s="539"/>
      <c r="M283" s="539"/>
      <c r="N283" s="539"/>
      <c r="O283" s="539"/>
      <c r="P283" s="562"/>
      <c r="Q283" s="539"/>
      <c r="R283" s="543"/>
      <c r="S283" s="543"/>
      <c r="AF283" s="59"/>
      <c r="AG283" s="59"/>
      <c r="AH283" s="560"/>
      <c r="AI283" s="560"/>
    </row>
    <row r="284" spans="2:60" ht="17.100000000000001" customHeight="1">
      <c r="B284" s="664"/>
      <c r="C284" s="525">
        <v>4318</v>
      </c>
      <c r="D284" s="684"/>
      <c r="E284" s="518" t="s">
        <v>125</v>
      </c>
      <c r="F284" s="519">
        <v>0.06</v>
      </c>
      <c r="G284" s="520">
        <f t="shared" si="19"/>
        <v>643691.72</v>
      </c>
      <c r="H284" s="520">
        <f t="shared" si="20"/>
        <v>643691.72</v>
      </c>
      <c r="I284" s="521">
        <f t="shared" si="18"/>
        <v>0</v>
      </c>
      <c r="J284" s="539"/>
      <c r="K284" s="539"/>
      <c r="L284" s="539"/>
      <c r="M284" s="539"/>
      <c r="N284" s="539"/>
      <c r="O284" s="539"/>
      <c r="P284" s="562"/>
      <c r="Q284" s="539"/>
      <c r="R284" s="543"/>
      <c r="S284" s="543"/>
      <c r="AF284" s="59"/>
      <c r="AG284" s="59"/>
      <c r="AH284" s="560"/>
      <c r="AI284" s="560"/>
      <c r="AP284" s="61">
        <v>411608.05</v>
      </c>
      <c r="AR284" s="61">
        <v>34002.19</v>
      </c>
      <c r="AU284" s="59">
        <v>40482.07</v>
      </c>
      <c r="AW284" s="59">
        <v>21289.32</v>
      </c>
      <c r="AX284" s="59">
        <v>21289.32</v>
      </c>
      <c r="AY284" s="61">
        <v>83410.33</v>
      </c>
      <c r="AZ284" s="61">
        <v>83410.33</v>
      </c>
      <c r="BC284" s="61">
        <v>26449.88</v>
      </c>
      <c r="BD284" s="61">
        <v>26449.88</v>
      </c>
      <c r="BG284" s="61">
        <v>26449.88</v>
      </c>
      <c r="BH284" s="61">
        <v>512542.19</v>
      </c>
    </row>
    <row r="285" spans="2:60" ht="17.100000000000001" customHeight="1">
      <c r="B285" s="663"/>
      <c r="C285" s="525">
        <v>4650</v>
      </c>
      <c r="D285" s="690" t="s">
        <v>243</v>
      </c>
      <c r="E285" s="518" t="s">
        <v>123</v>
      </c>
      <c r="F285" s="519">
        <v>0.13</v>
      </c>
      <c r="G285" s="520">
        <f t="shared" si="19"/>
        <v>0</v>
      </c>
      <c r="H285" s="520">
        <f t="shared" si="20"/>
        <v>0</v>
      </c>
      <c r="I285" s="521">
        <f t="shared" si="18"/>
        <v>0</v>
      </c>
      <c r="J285" s="539"/>
      <c r="K285" s="539"/>
      <c r="L285" s="539"/>
      <c r="M285" s="539"/>
      <c r="N285" s="539"/>
      <c r="O285" s="539"/>
      <c r="P285" s="562"/>
      <c r="Q285" s="539"/>
      <c r="R285" s="543"/>
      <c r="S285" s="543"/>
      <c r="AF285" s="59"/>
      <c r="AG285" s="59"/>
      <c r="AH285" s="560"/>
      <c r="AI285" s="560"/>
    </row>
    <row r="286" spans="2:60" ht="17.100000000000001" customHeight="1">
      <c r="B286" s="664"/>
      <c r="C286" s="525">
        <v>4650</v>
      </c>
      <c r="D286" s="684"/>
      <c r="E286" s="518" t="s">
        <v>124</v>
      </c>
      <c r="F286" s="519">
        <v>0.09</v>
      </c>
      <c r="G286" s="520">
        <f t="shared" si="19"/>
        <v>0</v>
      </c>
      <c r="H286" s="520">
        <f t="shared" si="20"/>
        <v>0</v>
      </c>
      <c r="I286" s="521">
        <f t="shared" si="18"/>
        <v>0</v>
      </c>
      <c r="J286" s="539"/>
      <c r="K286" s="539"/>
      <c r="L286" s="539"/>
      <c r="M286" s="539"/>
      <c r="N286" s="539"/>
      <c r="O286" s="539"/>
      <c r="P286" s="562"/>
      <c r="Q286" s="539"/>
      <c r="R286" s="543"/>
      <c r="S286" s="543"/>
      <c r="AF286" s="59"/>
      <c r="AG286" s="59"/>
      <c r="AH286" s="560"/>
      <c r="AI286" s="560"/>
    </row>
    <row r="287" spans="2:60" ht="17.100000000000001" customHeight="1">
      <c r="B287" s="664"/>
      <c r="C287" s="525">
        <v>4650</v>
      </c>
      <c r="D287" s="684"/>
      <c r="E287" s="518" t="s">
        <v>125</v>
      </c>
      <c r="F287" s="519">
        <v>0.06</v>
      </c>
      <c r="G287" s="520">
        <f t="shared" si="19"/>
        <v>261256.85</v>
      </c>
      <c r="H287" s="520">
        <f t="shared" si="20"/>
        <v>261256.85</v>
      </c>
      <c r="I287" s="521">
        <f t="shared" si="18"/>
        <v>0</v>
      </c>
      <c r="J287" s="539"/>
      <c r="K287" s="539"/>
      <c r="L287" s="539"/>
      <c r="M287" s="539"/>
      <c r="N287" s="539"/>
      <c r="O287" s="539"/>
      <c r="P287" s="562"/>
      <c r="Q287" s="539"/>
      <c r="R287" s="543"/>
      <c r="S287" s="543"/>
      <c r="AF287" s="59"/>
      <c r="AG287" s="59"/>
      <c r="AH287" s="560"/>
      <c r="AI287" s="560"/>
      <c r="AP287" s="61">
        <v>25979.69</v>
      </c>
      <c r="AQ287" s="61">
        <v>25979.69</v>
      </c>
      <c r="AR287" s="61">
        <v>39352.480000000003</v>
      </c>
      <c r="AS287" s="59">
        <v>39352.480000000003</v>
      </c>
      <c r="AU287" s="59">
        <v>53060.01</v>
      </c>
      <c r="AV287" s="59">
        <v>53060.01</v>
      </c>
      <c r="AW287" s="59">
        <v>32416.09</v>
      </c>
      <c r="AX287" s="59">
        <v>32416.09</v>
      </c>
      <c r="AY287" s="61">
        <v>41161.14</v>
      </c>
      <c r="AZ287" s="61">
        <v>41161.14</v>
      </c>
      <c r="BC287" s="61">
        <v>34643.72</v>
      </c>
      <c r="BD287" s="61">
        <v>34643.72</v>
      </c>
      <c r="BG287" s="61">
        <v>34643.72</v>
      </c>
      <c r="BH287" s="61">
        <v>34643.72</v>
      </c>
    </row>
    <row r="288" spans="2:60" ht="17.100000000000001" customHeight="1">
      <c r="B288" s="663"/>
      <c r="C288" s="525" t="s">
        <v>244</v>
      </c>
      <c r="D288" s="690" t="s">
        <v>180</v>
      </c>
      <c r="E288" s="518" t="s">
        <v>123</v>
      </c>
      <c r="F288" s="519">
        <v>0.13</v>
      </c>
      <c r="G288" s="520">
        <f t="shared" si="19"/>
        <v>1908534044.02</v>
      </c>
      <c r="H288" s="520">
        <f t="shared" si="20"/>
        <v>0</v>
      </c>
      <c r="I288" s="521"/>
      <c r="J288" s="539"/>
      <c r="K288" s="539"/>
      <c r="L288" s="539"/>
      <c r="M288" s="539"/>
      <c r="N288" s="539"/>
      <c r="O288" s="539"/>
      <c r="P288" s="562"/>
      <c r="Q288" s="539"/>
      <c r="R288" s="543"/>
      <c r="S288" s="543"/>
      <c r="AF288" s="59"/>
      <c r="AG288" s="59"/>
      <c r="AH288" s="560"/>
      <c r="AI288" s="560"/>
      <c r="BC288" s="61">
        <v>1341450437.49</v>
      </c>
      <c r="BG288" s="61">
        <v>567083606.52999997</v>
      </c>
    </row>
    <row r="289" spans="2:60" ht="17.100000000000001" customHeight="1">
      <c r="B289" s="664"/>
      <c r="C289" s="525" t="s">
        <v>244</v>
      </c>
      <c r="D289" s="684"/>
      <c r="E289" s="518" t="s">
        <v>124</v>
      </c>
      <c r="F289" s="519">
        <v>0.09</v>
      </c>
      <c r="G289" s="520">
        <f t="shared" si="19"/>
        <v>218769789.34</v>
      </c>
      <c r="H289" s="520">
        <f t="shared" si="20"/>
        <v>212477064.21000001</v>
      </c>
      <c r="I289" s="521"/>
      <c r="J289" s="539"/>
      <c r="K289" s="539"/>
      <c r="L289" s="539"/>
      <c r="M289" s="539"/>
      <c r="N289" s="539"/>
      <c r="O289" s="539"/>
      <c r="P289" s="562"/>
      <c r="Q289" s="539"/>
      <c r="R289" s="543"/>
      <c r="S289" s="543"/>
      <c r="AF289" s="59"/>
      <c r="AG289" s="59"/>
      <c r="AH289" s="560"/>
      <c r="AI289" s="560"/>
      <c r="AY289" s="61">
        <v>7373785.4900000002</v>
      </c>
      <c r="AZ289" s="61">
        <v>18348623.850000001</v>
      </c>
      <c r="BC289" s="61">
        <v>13706538.630000001</v>
      </c>
      <c r="BD289" s="61">
        <v>8166241.6799999997</v>
      </c>
      <c r="BG289" s="61">
        <v>197689465.22</v>
      </c>
      <c r="BH289" s="61">
        <v>185962198.68000001</v>
      </c>
    </row>
    <row r="290" spans="2:60" ht="17.100000000000001" customHeight="1">
      <c r="B290" s="664"/>
      <c r="C290" s="525" t="s">
        <v>244</v>
      </c>
      <c r="D290" s="684"/>
      <c r="E290" s="518" t="s">
        <v>125</v>
      </c>
      <c r="F290" s="519">
        <v>0.06</v>
      </c>
      <c r="G290" s="520">
        <f t="shared" si="19"/>
        <v>24521972.609999999</v>
      </c>
      <c r="H290" s="520">
        <f t="shared" si="20"/>
        <v>477907.7</v>
      </c>
      <c r="I290" s="521"/>
      <c r="J290" s="539"/>
      <c r="K290" s="539"/>
      <c r="L290" s="539"/>
      <c r="M290" s="539"/>
      <c r="N290" s="539"/>
      <c r="O290" s="539"/>
      <c r="P290" s="562"/>
      <c r="Q290" s="539"/>
      <c r="R290" s="543"/>
      <c r="S290" s="543"/>
      <c r="AF290" s="59"/>
      <c r="AG290" s="59"/>
      <c r="AH290" s="560"/>
      <c r="AI290" s="560"/>
      <c r="AW290" s="59">
        <v>26852.69</v>
      </c>
      <c r="AX290" s="59">
        <v>26852.69</v>
      </c>
      <c r="AY290" s="61">
        <v>266488.78000000003</v>
      </c>
      <c r="AZ290" s="61">
        <v>203681.36</v>
      </c>
      <c r="BC290" s="61">
        <v>154019.44</v>
      </c>
      <c r="BD290" s="61">
        <v>216826.86</v>
      </c>
      <c r="BG290" s="61">
        <v>24074611.699999999</v>
      </c>
      <c r="BH290" s="61">
        <v>30546.79</v>
      </c>
    </row>
    <row r="291" spans="2:60" ht="17.100000000000001" customHeight="1">
      <c r="B291" s="663"/>
      <c r="C291" s="667" t="s">
        <v>245</v>
      </c>
      <c r="D291" s="690" t="s">
        <v>246</v>
      </c>
      <c r="E291" s="518" t="s">
        <v>123</v>
      </c>
      <c r="F291" s="519">
        <v>0.13</v>
      </c>
      <c r="G291" s="520">
        <f t="shared" si="19"/>
        <v>31560.73</v>
      </c>
      <c r="H291" s="520">
        <f t="shared" si="20"/>
        <v>31560.73</v>
      </c>
      <c r="I291" s="521">
        <f>G291-H291</f>
        <v>0</v>
      </c>
      <c r="J291" s="539"/>
      <c r="K291" s="539"/>
      <c r="L291" s="539"/>
      <c r="M291" s="539"/>
      <c r="N291" s="539"/>
      <c r="O291" s="539"/>
      <c r="P291" s="562"/>
      <c r="Q291" s="539"/>
      <c r="R291" s="543"/>
      <c r="S291" s="543"/>
      <c r="AF291" s="59"/>
      <c r="AG291" s="59"/>
      <c r="AH291" s="560"/>
      <c r="AI291" s="560"/>
      <c r="AP291" s="61">
        <v>31560.73</v>
      </c>
      <c r="AQ291" s="61">
        <v>31560.73</v>
      </c>
    </row>
    <row r="292" spans="2:60" ht="17.100000000000001" customHeight="1">
      <c r="B292" s="664"/>
      <c r="C292" s="668"/>
      <c r="D292" s="684"/>
      <c r="E292" s="518" t="s">
        <v>124</v>
      </c>
      <c r="F292" s="519">
        <v>0.09</v>
      </c>
      <c r="G292" s="520">
        <f t="shared" si="19"/>
        <v>0</v>
      </c>
      <c r="H292" s="520">
        <f t="shared" si="20"/>
        <v>0</v>
      </c>
      <c r="I292" s="521">
        <f>G292-H292</f>
        <v>0</v>
      </c>
      <c r="J292" s="539"/>
      <c r="K292" s="539"/>
      <c r="L292" s="539"/>
      <c r="M292" s="539"/>
      <c r="N292" s="539"/>
      <c r="O292" s="539"/>
      <c r="P292" s="562"/>
      <c r="Q292" s="539"/>
      <c r="R292" s="543"/>
      <c r="S292" s="543"/>
      <c r="AF292" s="59"/>
      <c r="AG292" s="59"/>
      <c r="AH292" s="560"/>
      <c r="AI292" s="560"/>
    </row>
    <row r="293" spans="2:60" ht="17.100000000000001" customHeight="1">
      <c r="B293" s="664"/>
      <c r="C293" s="668"/>
      <c r="D293" s="684"/>
      <c r="E293" s="518" t="s">
        <v>125</v>
      </c>
      <c r="F293" s="519">
        <v>0.06</v>
      </c>
      <c r="G293" s="520">
        <f t="shared" si="19"/>
        <v>0</v>
      </c>
      <c r="H293" s="520">
        <f t="shared" si="20"/>
        <v>0</v>
      </c>
      <c r="I293" s="521">
        <f t="shared" ref="I293:I314" si="21">G293-H293</f>
        <v>0</v>
      </c>
      <c r="J293" s="539"/>
      <c r="K293" s="539"/>
      <c r="L293" s="539"/>
      <c r="M293" s="539"/>
      <c r="N293" s="539"/>
      <c r="O293" s="539"/>
      <c r="P293" s="562"/>
      <c r="Q293" s="539"/>
      <c r="R293" s="543"/>
      <c r="S293" s="543"/>
      <c r="AF293" s="59"/>
      <c r="AG293" s="59"/>
      <c r="AH293" s="560"/>
      <c r="AI293" s="560"/>
    </row>
    <row r="294" spans="2:60" ht="17.100000000000001" customHeight="1">
      <c r="B294" s="663"/>
      <c r="C294" s="667" t="s">
        <v>247</v>
      </c>
      <c r="D294" s="690" t="s">
        <v>248</v>
      </c>
      <c r="E294" s="518" t="s">
        <v>123</v>
      </c>
      <c r="F294" s="519">
        <v>0.13</v>
      </c>
      <c r="G294" s="520">
        <f t="shared" si="19"/>
        <v>9276.3700000000008</v>
      </c>
      <c r="H294" s="520">
        <f t="shared" si="20"/>
        <v>9276.3700000000008</v>
      </c>
      <c r="I294" s="521">
        <f t="shared" si="21"/>
        <v>0</v>
      </c>
      <c r="J294" s="539"/>
      <c r="K294" s="539"/>
      <c r="L294" s="539"/>
      <c r="M294" s="539"/>
      <c r="N294" s="539"/>
      <c r="O294" s="539"/>
      <c r="P294" s="562"/>
      <c r="Q294" s="539"/>
      <c r="R294" s="543"/>
      <c r="S294" s="543"/>
      <c r="AF294" s="59"/>
      <c r="AG294" s="59"/>
      <c r="AH294" s="560"/>
      <c r="AI294" s="560"/>
      <c r="AP294" s="61">
        <v>9276.3700000000008</v>
      </c>
      <c r="AQ294" s="61">
        <v>9276.3700000000008</v>
      </c>
    </row>
    <row r="295" spans="2:60" ht="17.100000000000001" customHeight="1">
      <c r="B295" s="664"/>
      <c r="C295" s="668"/>
      <c r="D295" s="684"/>
      <c r="E295" s="518" t="s">
        <v>124</v>
      </c>
      <c r="F295" s="519">
        <v>0.09</v>
      </c>
      <c r="G295" s="520">
        <f t="shared" si="19"/>
        <v>0</v>
      </c>
      <c r="H295" s="520">
        <f t="shared" si="20"/>
        <v>0</v>
      </c>
      <c r="I295" s="521">
        <f t="shared" si="21"/>
        <v>0</v>
      </c>
      <c r="J295" s="539"/>
      <c r="K295" s="539"/>
      <c r="L295" s="539"/>
      <c r="M295" s="539"/>
      <c r="N295" s="539"/>
      <c r="O295" s="539"/>
      <c r="P295" s="562"/>
      <c r="Q295" s="539"/>
      <c r="R295" s="543"/>
      <c r="S295" s="543"/>
      <c r="AF295" s="59"/>
      <c r="AG295" s="59"/>
      <c r="AH295" s="560"/>
      <c r="AI295" s="560"/>
    </row>
    <row r="296" spans="2:60" ht="17.100000000000001" customHeight="1">
      <c r="B296" s="664"/>
      <c r="C296" s="668"/>
      <c r="D296" s="684"/>
      <c r="E296" s="518" t="s">
        <v>125</v>
      </c>
      <c r="F296" s="519">
        <v>0.06</v>
      </c>
      <c r="G296" s="520">
        <f t="shared" si="19"/>
        <v>0</v>
      </c>
      <c r="H296" s="520">
        <f t="shared" si="20"/>
        <v>0</v>
      </c>
      <c r="I296" s="521">
        <f t="shared" si="21"/>
        <v>0</v>
      </c>
      <c r="J296" s="539"/>
      <c r="K296" s="539"/>
      <c r="L296" s="539"/>
      <c r="M296" s="539"/>
      <c r="N296" s="539"/>
      <c r="O296" s="539"/>
      <c r="P296" s="562"/>
      <c r="Q296" s="539"/>
      <c r="R296" s="543"/>
      <c r="S296" s="543"/>
      <c r="AF296" s="59"/>
      <c r="AG296" s="59"/>
      <c r="AH296" s="560"/>
      <c r="AI296" s="560"/>
    </row>
    <row r="297" spans="2:60" ht="17.100000000000001" customHeight="1">
      <c r="B297" s="663"/>
      <c r="C297" s="667" t="s">
        <v>165</v>
      </c>
      <c r="D297" s="690" t="s">
        <v>249</v>
      </c>
      <c r="E297" s="518" t="s">
        <v>123</v>
      </c>
      <c r="F297" s="519">
        <v>0.13</v>
      </c>
      <c r="G297" s="520">
        <f t="shared" si="19"/>
        <v>0</v>
      </c>
      <c r="H297" s="520">
        <f t="shared" si="20"/>
        <v>20353982.300000001</v>
      </c>
      <c r="I297" s="521">
        <f t="shared" si="21"/>
        <v>-20353982.300000001</v>
      </c>
      <c r="J297" s="539"/>
      <c r="K297" s="539"/>
      <c r="L297" s="539"/>
      <c r="M297" s="539"/>
      <c r="N297" s="539"/>
      <c r="O297" s="539"/>
      <c r="P297" s="562"/>
      <c r="Q297" s="539"/>
      <c r="R297" s="543"/>
      <c r="S297" s="543"/>
      <c r="AF297" s="59"/>
      <c r="AG297" s="59"/>
      <c r="AH297" s="560"/>
      <c r="AI297" s="560"/>
      <c r="AS297" s="59">
        <v>20353982.300000001</v>
      </c>
    </row>
    <row r="298" spans="2:60" ht="17.100000000000001" customHeight="1">
      <c r="B298" s="664"/>
      <c r="C298" s="668"/>
      <c r="D298" s="684"/>
      <c r="E298" s="518" t="s">
        <v>124</v>
      </c>
      <c r="F298" s="519">
        <v>0.09</v>
      </c>
      <c r="G298" s="520">
        <f t="shared" si="19"/>
        <v>0</v>
      </c>
      <c r="H298" s="520">
        <f t="shared" si="20"/>
        <v>0</v>
      </c>
      <c r="I298" s="521">
        <f t="shared" si="21"/>
        <v>0</v>
      </c>
      <c r="J298" s="539"/>
      <c r="K298" s="539"/>
      <c r="L298" s="539"/>
      <c r="M298" s="539"/>
      <c r="N298" s="539"/>
      <c r="O298" s="539"/>
      <c r="P298" s="562"/>
      <c r="Q298" s="539"/>
      <c r="R298" s="543"/>
      <c r="S298" s="543"/>
      <c r="AF298" s="59"/>
      <c r="AG298" s="59"/>
      <c r="AH298" s="560"/>
      <c r="AI298" s="560"/>
    </row>
    <row r="299" spans="2:60" ht="17.100000000000001" customHeight="1">
      <c r="B299" s="664"/>
      <c r="C299" s="668"/>
      <c r="D299" s="684"/>
      <c r="E299" s="518" t="s">
        <v>125</v>
      </c>
      <c r="F299" s="519">
        <v>0.06</v>
      </c>
      <c r="G299" s="520">
        <f t="shared" si="19"/>
        <v>0</v>
      </c>
      <c r="H299" s="520">
        <f t="shared" si="20"/>
        <v>0</v>
      </c>
      <c r="I299" s="521">
        <f t="shared" si="21"/>
        <v>0</v>
      </c>
      <c r="J299" s="539"/>
      <c r="K299" s="539"/>
      <c r="L299" s="539"/>
      <c r="M299" s="539"/>
      <c r="N299" s="539"/>
      <c r="O299" s="539"/>
      <c r="P299" s="562"/>
      <c r="Q299" s="539"/>
      <c r="R299" s="543"/>
      <c r="S299" s="543"/>
      <c r="AF299" s="59"/>
      <c r="AG299" s="59"/>
      <c r="AH299" s="560"/>
      <c r="AI299" s="560"/>
    </row>
    <row r="300" spans="2:60" ht="17.100000000000001" customHeight="1">
      <c r="B300" s="663"/>
      <c r="C300" s="561">
        <v>3009</v>
      </c>
      <c r="D300" s="690" t="s">
        <v>198</v>
      </c>
      <c r="E300" s="518" t="s">
        <v>123</v>
      </c>
      <c r="F300" s="519">
        <v>0.13</v>
      </c>
      <c r="G300" s="520">
        <f t="shared" si="19"/>
        <v>0</v>
      </c>
      <c r="H300" s="520">
        <f t="shared" si="20"/>
        <v>8083937.6799999997</v>
      </c>
      <c r="I300" s="521">
        <f t="shared" si="21"/>
        <v>-8083937.6799999997</v>
      </c>
      <c r="J300" s="539"/>
      <c r="K300" s="539"/>
      <c r="L300" s="539"/>
      <c r="M300" s="539"/>
      <c r="N300" s="539"/>
      <c r="O300" s="539"/>
      <c r="P300" s="562"/>
      <c r="Q300" s="539"/>
      <c r="R300" s="543"/>
      <c r="S300" s="543"/>
      <c r="AF300" s="59"/>
      <c r="AG300" s="59"/>
      <c r="AH300" s="560"/>
      <c r="AI300" s="560"/>
      <c r="AS300" s="59">
        <v>8083937.6799999997</v>
      </c>
    </row>
    <row r="301" spans="2:60" ht="17.100000000000001" customHeight="1">
      <c r="B301" s="664"/>
      <c r="C301" s="561">
        <v>3009</v>
      </c>
      <c r="D301" s="684"/>
      <c r="E301" s="518" t="s">
        <v>124</v>
      </c>
      <c r="F301" s="519">
        <v>0.09</v>
      </c>
      <c r="G301" s="520">
        <f t="shared" si="19"/>
        <v>0</v>
      </c>
      <c r="H301" s="520">
        <f t="shared" si="20"/>
        <v>0</v>
      </c>
      <c r="I301" s="521">
        <f t="shared" si="21"/>
        <v>0</v>
      </c>
      <c r="J301" s="539"/>
      <c r="K301" s="539"/>
      <c r="L301" s="539"/>
      <c r="M301" s="539"/>
      <c r="N301" s="539"/>
      <c r="O301" s="539"/>
      <c r="P301" s="562"/>
      <c r="Q301" s="539"/>
      <c r="R301" s="543"/>
      <c r="S301" s="543"/>
      <c r="AF301" s="59"/>
      <c r="AG301" s="59"/>
      <c r="AH301" s="560"/>
      <c r="AI301" s="560"/>
    </row>
    <row r="302" spans="2:60" ht="17.100000000000001" customHeight="1">
      <c r="B302" s="664"/>
      <c r="C302" s="525">
        <v>3009</v>
      </c>
      <c r="D302" s="684"/>
      <c r="E302" s="518" t="s">
        <v>125</v>
      </c>
      <c r="F302" s="519">
        <v>0.06</v>
      </c>
      <c r="G302" s="520">
        <f t="shared" si="19"/>
        <v>0</v>
      </c>
      <c r="H302" s="520">
        <f t="shared" si="20"/>
        <v>0</v>
      </c>
      <c r="I302" s="521">
        <f t="shared" si="21"/>
        <v>0</v>
      </c>
      <c r="J302" s="539"/>
      <c r="K302" s="539"/>
      <c r="L302" s="539"/>
      <c r="M302" s="539"/>
      <c r="N302" s="539"/>
      <c r="O302" s="539"/>
      <c r="P302" s="562"/>
      <c r="Q302" s="539"/>
      <c r="R302" s="543"/>
      <c r="S302" s="543"/>
      <c r="AF302" s="59"/>
      <c r="AG302" s="59"/>
      <c r="AH302" s="560"/>
      <c r="AI302" s="560"/>
    </row>
    <row r="303" spans="2:60" ht="17.100000000000001" customHeight="1">
      <c r="B303" s="661"/>
      <c r="C303" s="561" t="s">
        <v>250</v>
      </c>
      <c r="D303" s="686" t="s">
        <v>251</v>
      </c>
      <c r="E303" s="518" t="s">
        <v>123</v>
      </c>
      <c r="F303" s="519">
        <v>0.13</v>
      </c>
      <c r="G303" s="520">
        <f t="shared" si="19"/>
        <v>0</v>
      </c>
      <c r="H303" s="520">
        <f t="shared" si="20"/>
        <v>0</v>
      </c>
      <c r="I303" s="521">
        <f t="shared" si="21"/>
        <v>0</v>
      </c>
      <c r="J303" s="539"/>
      <c r="K303" s="539"/>
      <c r="L303" s="539"/>
      <c r="M303" s="539"/>
      <c r="N303" s="539"/>
      <c r="O303" s="539"/>
      <c r="P303" s="562"/>
      <c r="Q303" s="539"/>
      <c r="R303" s="543"/>
      <c r="S303" s="543"/>
      <c r="AF303" s="59"/>
      <c r="AG303" s="59"/>
      <c r="AH303" s="560"/>
      <c r="AI303" s="560"/>
    </row>
    <row r="304" spans="2:60" ht="17.100000000000001" customHeight="1">
      <c r="B304" s="661"/>
      <c r="C304" s="561" t="s">
        <v>250</v>
      </c>
      <c r="D304" s="686"/>
      <c r="E304" s="518" t="s">
        <v>124</v>
      </c>
      <c r="F304" s="519">
        <v>0.09</v>
      </c>
      <c r="G304" s="520">
        <f t="shared" si="19"/>
        <v>0</v>
      </c>
      <c r="H304" s="520">
        <f t="shared" si="20"/>
        <v>0</v>
      </c>
      <c r="I304" s="521">
        <f t="shared" si="21"/>
        <v>0</v>
      </c>
      <c r="J304" s="539"/>
      <c r="K304" s="539"/>
      <c r="L304" s="539"/>
      <c r="M304" s="539"/>
      <c r="N304" s="539"/>
      <c r="O304" s="539"/>
      <c r="P304" s="562"/>
      <c r="Q304" s="539"/>
      <c r="R304" s="543"/>
      <c r="S304" s="543"/>
      <c r="AF304" s="59"/>
      <c r="AG304" s="59"/>
      <c r="AH304" s="560"/>
      <c r="AI304" s="560"/>
    </row>
    <row r="305" spans="2:60" ht="17.100000000000001" customHeight="1">
      <c r="B305" s="663"/>
      <c r="C305" s="525" t="s">
        <v>250</v>
      </c>
      <c r="D305" s="690"/>
      <c r="E305" s="518" t="s">
        <v>125</v>
      </c>
      <c r="F305" s="519">
        <v>0.06</v>
      </c>
      <c r="G305" s="520">
        <f t="shared" si="19"/>
        <v>694084.77</v>
      </c>
      <c r="H305" s="520">
        <f t="shared" si="20"/>
        <v>694084.77</v>
      </c>
      <c r="I305" s="521">
        <f t="shared" si="21"/>
        <v>0</v>
      </c>
      <c r="J305" s="539"/>
      <c r="K305" s="539"/>
      <c r="L305" s="539"/>
      <c r="M305" s="539"/>
      <c r="N305" s="539"/>
      <c r="O305" s="539"/>
      <c r="P305" s="562"/>
      <c r="Q305" s="539"/>
      <c r="R305" s="543"/>
      <c r="S305" s="543"/>
      <c r="AF305" s="59"/>
      <c r="AG305" s="59"/>
      <c r="AH305" s="560"/>
      <c r="AI305" s="560"/>
      <c r="AR305" s="61">
        <v>646298.75</v>
      </c>
      <c r="AS305" s="59">
        <v>646298.75</v>
      </c>
      <c r="BG305" s="61">
        <v>47786.02</v>
      </c>
      <c r="BH305" s="61">
        <v>47786.02</v>
      </c>
    </row>
    <row r="306" spans="2:60" ht="17.100000000000001" customHeight="1">
      <c r="B306" s="663"/>
      <c r="C306" s="525">
        <v>4470</v>
      </c>
      <c r="D306" s="690" t="s">
        <v>252</v>
      </c>
      <c r="E306" s="518" t="s">
        <v>123</v>
      </c>
      <c r="F306" s="519">
        <v>0.13</v>
      </c>
      <c r="G306" s="520">
        <f t="shared" si="19"/>
        <v>0</v>
      </c>
      <c r="H306" s="520">
        <f t="shared" si="20"/>
        <v>323827.43</v>
      </c>
      <c r="I306" s="521">
        <f t="shared" si="21"/>
        <v>-323827.43</v>
      </c>
      <c r="J306" s="539"/>
      <c r="K306" s="539"/>
      <c r="L306" s="539"/>
      <c r="M306" s="539"/>
      <c r="N306" s="539"/>
      <c r="O306" s="539"/>
      <c r="P306" s="562"/>
      <c r="Q306" s="539"/>
      <c r="R306" s="543"/>
      <c r="S306" s="543"/>
      <c r="AF306" s="59"/>
      <c r="AG306" s="59"/>
      <c r="AH306" s="560"/>
      <c r="AI306" s="560"/>
      <c r="AQ306" s="61">
        <v>323827.43</v>
      </c>
    </row>
    <row r="307" spans="2:60" ht="17.100000000000001" customHeight="1">
      <c r="B307" s="664"/>
      <c r="C307" s="525">
        <v>4470</v>
      </c>
      <c r="D307" s="684"/>
      <c r="E307" s="518" t="s">
        <v>124</v>
      </c>
      <c r="F307" s="519">
        <v>0.09</v>
      </c>
      <c r="G307" s="520">
        <f t="shared" si="19"/>
        <v>0</v>
      </c>
      <c r="H307" s="520">
        <f t="shared" si="20"/>
        <v>401414.45</v>
      </c>
      <c r="I307" s="521">
        <f t="shared" si="21"/>
        <v>-401414.45</v>
      </c>
      <c r="J307" s="539"/>
      <c r="K307" s="539"/>
      <c r="L307" s="539"/>
      <c r="M307" s="539"/>
      <c r="N307" s="539"/>
      <c r="O307" s="539"/>
      <c r="P307" s="562"/>
      <c r="Q307" s="539"/>
      <c r="R307" s="543"/>
      <c r="S307" s="543"/>
      <c r="AF307" s="59"/>
      <c r="AG307" s="59"/>
      <c r="AH307" s="560"/>
      <c r="AI307" s="560"/>
      <c r="AQ307" s="61">
        <v>401414.45</v>
      </c>
    </row>
    <row r="308" spans="2:60" ht="17.100000000000001" customHeight="1">
      <c r="B308" s="664"/>
      <c r="C308" s="525">
        <v>4470</v>
      </c>
      <c r="D308" s="684"/>
      <c r="E308" s="518" t="s">
        <v>125</v>
      </c>
      <c r="F308" s="519">
        <v>0.06</v>
      </c>
      <c r="G308" s="520">
        <f t="shared" si="19"/>
        <v>3697121.72</v>
      </c>
      <c r="H308" s="520">
        <f t="shared" si="20"/>
        <v>0</v>
      </c>
      <c r="I308" s="521">
        <f t="shared" si="21"/>
        <v>3697121.72</v>
      </c>
      <c r="J308" s="539"/>
      <c r="K308" s="539"/>
      <c r="L308" s="539"/>
      <c r="M308" s="539"/>
      <c r="N308" s="539"/>
      <c r="O308" s="539"/>
      <c r="P308" s="562"/>
      <c r="Q308" s="539"/>
      <c r="R308" s="543"/>
      <c r="S308" s="543"/>
      <c r="AF308" s="59"/>
      <c r="AG308" s="59"/>
      <c r="AH308" s="560"/>
      <c r="AI308" s="560"/>
      <c r="BC308" s="61">
        <v>-17888.740000000002</v>
      </c>
      <c r="BG308" s="61">
        <v>3715010.46</v>
      </c>
    </row>
    <row r="309" spans="2:60" ht="17.100000000000001" customHeight="1">
      <c r="B309" s="663"/>
      <c r="C309" s="525">
        <v>4470</v>
      </c>
      <c r="D309" s="690" t="s">
        <v>253</v>
      </c>
      <c r="E309" s="518" t="s">
        <v>123</v>
      </c>
      <c r="F309" s="519">
        <v>0.13</v>
      </c>
      <c r="G309" s="520">
        <f t="shared" si="19"/>
        <v>0</v>
      </c>
      <c r="H309" s="520">
        <f t="shared" si="20"/>
        <v>936294.74</v>
      </c>
      <c r="I309" s="521">
        <f t="shared" si="21"/>
        <v>-936294.74</v>
      </c>
      <c r="J309" s="539"/>
      <c r="K309" s="539"/>
      <c r="L309" s="539"/>
      <c r="M309" s="539"/>
      <c r="N309" s="539"/>
      <c r="O309" s="539"/>
      <c r="P309" s="562"/>
      <c r="Q309" s="539"/>
      <c r="R309" s="543"/>
      <c r="S309" s="543"/>
      <c r="AF309" s="59"/>
      <c r="AG309" s="59"/>
      <c r="AH309" s="560"/>
      <c r="AI309" s="560"/>
      <c r="AQ309" s="61">
        <v>936294.74</v>
      </c>
    </row>
    <row r="310" spans="2:60" ht="15" customHeight="1">
      <c r="B310" s="664"/>
      <c r="C310" s="525">
        <v>4470</v>
      </c>
      <c r="D310" s="684"/>
      <c r="E310" s="518" t="s">
        <v>124</v>
      </c>
      <c r="F310" s="519">
        <v>0.09</v>
      </c>
      <c r="G310" s="520">
        <f t="shared" si="19"/>
        <v>0</v>
      </c>
      <c r="H310" s="520">
        <f t="shared" si="20"/>
        <v>1455981.28</v>
      </c>
      <c r="I310" s="521">
        <f t="shared" si="21"/>
        <v>-1455981.28</v>
      </c>
      <c r="J310" s="539"/>
      <c r="K310" s="539"/>
      <c r="L310" s="539"/>
      <c r="M310" s="539"/>
      <c r="N310" s="539"/>
      <c r="O310" s="539"/>
      <c r="P310" s="562"/>
      <c r="Q310" s="539"/>
      <c r="R310" s="543"/>
      <c r="S310" s="543"/>
      <c r="AF310" s="59"/>
      <c r="AG310" s="59"/>
      <c r="AH310" s="560"/>
      <c r="AI310" s="560"/>
      <c r="AQ310" s="61">
        <v>1455981.28</v>
      </c>
    </row>
    <row r="311" spans="2:60" ht="17.100000000000001" customHeight="1">
      <c r="B311" s="664"/>
      <c r="C311" s="525">
        <v>4470</v>
      </c>
      <c r="D311" s="684"/>
      <c r="E311" s="518" t="s">
        <v>125</v>
      </c>
      <c r="F311" s="519">
        <v>0.06</v>
      </c>
      <c r="G311" s="520">
        <f t="shared" si="19"/>
        <v>0</v>
      </c>
      <c r="H311" s="520">
        <f t="shared" si="20"/>
        <v>0</v>
      </c>
      <c r="I311" s="521">
        <f t="shared" si="21"/>
        <v>0</v>
      </c>
      <c r="J311" s="539"/>
      <c r="K311" s="539"/>
      <c r="L311" s="539"/>
      <c r="M311" s="539"/>
      <c r="N311" s="539"/>
      <c r="O311" s="539"/>
      <c r="P311" s="562"/>
      <c r="Q311" s="539"/>
      <c r="R311" s="543"/>
      <c r="S311" s="543"/>
      <c r="AF311" s="59"/>
      <c r="AG311" s="59"/>
      <c r="AH311" s="560"/>
      <c r="AI311" s="560"/>
    </row>
    <row r="312" spans="2:60" ht="17.100000000000001" customHeight="1">
      <c r="B312" s="663"/>
      <c r="C312" s="525">
        <v>4470</v>
      </c>
      <c r="D312" s="690" t="s">
        <v>254</v>
      </c>
      <c r="E312" s="518" t="s">
        <v>123</v>
      </c>
      <c r="F312" s="519">
        <v>0.13</v>
      </c>
      <c r="G312" s="520">
        <f t="shared" si="19"/>
        <v>0</v>
      </c>
      <c r="H312" s="520">
        <f t="shared" si="20"/>
        <v>18184.68</v>
      </c>
      <c r="I312" s="521">
        <f t="shared" si="21"/>
        <v>-18184.68</v>
      </c>
      <c r="J312" s="539"/>
      <c r="K312" s="539"/>
      <c r="L312" s="539"/>
      <c r="M312" s="539"/>
      <c r="N312" s="539"/>
      <c r="O312" s="539"/>
      <c r="P312" s="562"/>
      <c r="Q312" s="539"/>
      <c r="R312" s="543"/>
      <c r="S312" s="543"/>
      <c r="AF312" s="59"/>
      <c r="AG312" s="59"/>
      <c r="AH312" s="560"/>
      <c r="AI312" s="560"/>
      <c r="AQ312" s="61">
        <v>18184.68</v>
      </c>
    </row>
    <row r="313" spans="2:60" ht="17.100000000000001" customHeight="1">
      <c r="B313" s="664"/>
      <c r="C313" s="525">
        <v>4470</v>
      </c>
      <c r="D313" s="684"/>
      <c r="E313" s="518" t="s">
        <v>124</v>
      </c>
      <c r="F313" s="519">
        <v>0.09</v>
      </c>
      <c r="G313" s="520">
        <f t="shared" si="19"/>
        <v>0</v>
      </c>
      <c r="H313" s="520">
        <f t="shared" si="20"/>
        <v>0</v>
      </c>
      <c r="I313" s="521">
        <f t="shared" si="21"/>
        <v>0</v>
      </c>
      <c r="J313" s="539"/>
      <c r="K313" s="539"/>
      <c r="L313" s="539"/>
      <c r="M313" s="539"/>
      <c r="N313" s="539"/>
      <c r="O313" s="539"/>
      <c r="P313" s="562"/>
      <c r="Q313" s="539"/>
      <c r="R313" s="543"/>
      <c r="S313" s="543"/>
      <c r="AF313" s="59"/>
      <c r="AG313" s="59"/>
      <c r="AH313" s="560"/>
      <c r="AI313" s="560"/>
    </row>
    <row r="314" spans="2:60" ht="17.100000000000001" customHeight="1">
      <c r="B314" s="664"/>
      <c r="C314" s="525">
        <v>4470</v>
      </c>
      <c r="D314" s="684"/>
      <c r="E314" s="518" t="s">
        <v>125</v>
      </c>
      <c r="F314" s="519">
        <v>0.06</v>
      </c>
      <c r="G314" s="520">
        <f t="shared" si="19"/>
        <v>61500</v>
      </c>
      <c r="H314" s="520">
        <f t="shared" si="20"/>
        <v>0</v>
      </c>
      <c r="I314" s="521">
        <f t="shared" si="21"/>
        <v>61500</v>
      </c>
      <c r="J314" s="539"/>
      <c r="K314" s="539"/>
      <c r="L314" s="539"/>
      <c r="M314" s="539"/>
      <c r="N314" s="539"/>
      <c r="O314" s="539"/>
      <c r="P314" s="562"/>
      <c r="Q314" s="539"/>
      <c r="R314" s="543"/>
      <c r="S314" s="543"/>
      <c r="AF314" s="59"/>
      <c r="AG314" s="59"/>
      <c r="AH314" s="560"/>
      <c r="AI314" s="560"/>
      <c r="BG314" s="61">
        <v>61500</v>
      </c>
    </row>
    <row r="315" spans="2:60" ht="17.100000000000001" customHeight="1">
      <c r="B315" s="663"/>
      <c r="C315" s="525">
        <v>1000</v>
      </c>
      <c r="D315" s="690" t="s">
        <v>255</v>
      </c>
      <c r="E315" s="518" t="s">
        <v>123</v>
      </c>
      <c r="F315" s="519">
        <v>0.13</v>
      </c>
      <c r="G315" s="520">
        <f t="shared" si="19"/>
        <v>3421711.52</v>
      </c>
      <c r="H315" s="520">
        <f t="shared" si="20"/>
        <v>3421711.52</v>
      </c>
      <c r="I315" s="521"/>
      <c r="J315" s="539"/>
      <c r="K315" s="539"/>
      <c r="L315" s="539"/>
      <c r="M315" s="539"/>
      <c r="N315" s="539"/>
      <c r="O315" s="539"/>
      <c r="P315" s="562"/>
      <c r="Q315" s="539"/>
      <c r="R315" s="543"/>
      <c r="S315" s="543"/>
      <c r="AF315" s="59"/>
      <c r="AG315" s="59"/>
      <c r="AH315" s="560"/>
      <c r="AI315" s="560"/>
      <c r="BG315" s="61">
        <v>3421711.52</v>
      </c>
      <c r="BH315" s="61">
        <v>3421711.52</v>
      </c>
    </row>
    <row r="316" spans="2:60" ht="17.100000000000001" customHeight="1">
      <c r="B316" s="664"/>
      <c r="C316" s="525">
        <v>1000</v>
      </c>
      <c r="D316" s="684"/>
      <c r="E316" s="518" t="s">
        <v>124</v>
      </c>
      <c r="F316" s="519">
        <v>0.09</v>
      </c>
      <c r="G316" s="520">
        <f t="shared" si="19"/>
        <v>5868900.4000000004</v>
      </c>
      <c r="H316" s="520">
        <f t="shared" si="20"/>
        <v>5868900.4000000004</v>
      </c>
      <c r="I316" s="521"/>
      <c r="J316" s="539"/>
      <c r="K316" s="539"/>
      <c r="L316" s="539"/>
      <c r="M316" s="539"/>
      <c r="N316" s="539"/>
      <c r="O316" s="539"/>
      <c r="P316" s="562"/>
      <c r="Q316" s="539"/>
      <c r="R316" s="543"/>
      <c r="S316" s="543"/>
      <c r="AF316" s="59"/>
      <c r="AG316" s="59"/>
      <c r="AH316" s="560"/>
      <c r="AI316" s="560"/>
      <c r="BG316" s="61">
        <v>5868900.4000000004</v>
      </c>
      <c r="BH316" s="61">
        <v>5868900.4000000004</v>
      </c>
    </row>
    <row r="317" spans="2:60" ht="17.100000000000001" customHeight="1">
      <c r="B317" s="664"/>
      <c r="C317" s="525">
        <v>1000</v>
      </c>
      <c r="D317" s="684"/>
      <c r="E317" s="547" t="s">
        <v>125</v>
      </c>
      <c r="F317" s="548">
        <v>0.06</v>
      </c>
      <c r="G317" s="520">
        <f t="shared" si="19"/>
        <v>2688539.22</v>
      </c>
      <c r="H317" s="520">
        <f t="shared" si="20"/>
        <v>2688539.22</v>
      </c>
      <c r="I317" s="521"/>
      <c r="J317" s="539"/>
      <c r="K317" s="539"/>
      <c r="L317" s="539"/>
      <c r="M317" s="539"/>
      <c r="N317" s="539"/>
      <c r="O317" s="539"/>
      <c r="P317" s="562"/>
      <c r="Q317" s="539"/>
      <c r="R317" s="543"/>
      <c r="S317" s="543"/>
      <c r="AF317" s="59"/>
      <c r="AG317" s="59"/>
      <c r="AH317" s="560"/>
      <c r="AI317" s="560"/>
      <c r="BG317" s="61">
        <v>2688539.22</v>
      </c>
      <c r="BH317" s="61">
        <v>2688539.22</v>
      </c>
    </row>
    <row r="318" spans="2:60" ht="17.100000000000001" customHeight="1">
      <c r="B318" s="663"/>
      <c r="C318" s="525">
        <v>2260</v>
      </c>
      <c r="D318" s="690" t="s">
        <v>255</v>
      </c>
      <c r="E318" s="518" t="s">
        <v>123</v>
      </c>
      <c r="F318" s="519">
        <v>0.13</v>
      </c>
      <c r="G318" s="520">
        <f t="shared" si="19"/>
        <v>9524681.2300000004</v>
      </c>
      <c r="H318" s="520">
        <f t="shared" si="20"/>
        <v>9524681.2300000004</v>
      </c>
      <c r="I318" s="521"/>
      <c r="J318" s="539"/>
      <c r="K318" s="539"/>
      <c r="L318" s="539"/>
      <c r="M318" s="539"/>
      <c r="N318" s="539"/>
      <c r="O318" s="539"/>
      <c r="P318" s="562"/>
      <c r="Q318" s="539"/>
      <c r="R318" s="543"/>
      <c r="S318" s="543"/>
      <c r="AF318" s="59"/>
      <c r="AG318" s="59"/>
      <c r="AH318" s="560"/>
      <c r="AI318" s="560"/>
      <c r="BG318" s="61">
        <v>9524681.2300000004</v>
      </c>
      <c r="BH318" s="61">
        <v>9524681.2300000004</v>
      </c>
    </row>
    <row r="319" spans="2:60" ht="17.100000000000001" customHeight="1">
      <c r="B319" s="664"/>
      <c r="C319" s="525">
        <v>2260</v>
      </c>
      <c r="D319" s="684"/>
      <c r="E319" s="518" t="s">
        <v>124</v>
      </c>
      <c r="F319" s="519">
        <v>0.09</v>
      </c>
      <c r="G319" s="520">
        <f t="shared" si="19"/>
        <v>5713855.8399999999</v>
      </c>
      <c r="H319" s="520">
        <f t="shared" si="20"/>
        <v>5713855.8399999999</v>
      </c>
      <c r="I319" s="521"/>
      <c r="J319" s="539"/>
      <c r="K319" s="539"/>
      <c r="L319" s="539"/>
      <c r="M319" s="539"/>
      <c r="N319" s="539"/>
      <c r="O319" s="539"/>
      <c r="P319" s="562"/>
      <c r="Q319" s="539"/>
      <c r="R319" s="543"/>
      <c r="S319" s="543"/>
      <c r="AF319" s="59"/>
      <c r="AG319" s="59"/>
      <c r="AH319" s="560"/>
      <c r="AI319" s="560"/>
      <c r="BG319" s="61">
        <v>5713855.8399999999</v>
      </c>
      <c r="BH319" s="61">
        <v>5713855.8399999999</v>
      </c>
    </row>
    <row r="320" spans="2:60" ht="17.100000000000001" customHeight="1">
      <c r="B320" s="664"/>
      <c r="C320" s="525">
        <v>2260</v>
      </c>
      <c r="D320" s="684"/>
      <c r="E320" s="547" t="s">
        <v>125</v>
      </c>
      <c r="F320" s="548">
        <v>0.06</v>
      </c>
      <c r="G320" s="520">
        <f t="shared" si="19"/>
        <v>5377078.4100000001</v>
      </c>
      <c r="H320" s="520">
        <f t="shared" si="20"/>
        <v>5377078.4199999999</v>
      </c>
      <c r="I320" s="521"/>
      <c r="J320" s="539"/>
      <c r="K320" s="539"/>
      <c r="L320" s="539"/>
      <c r="M320" s="539"/>
      <c r="N320" s="539"/>
      <c r="O320" s="539"/>
      <c r="P320" s="562"/>
      <c r="Q320" s="539"/>
      <c r="R320" s="543"/>
      <c r="S320" s="543"/>
      <c r="AF320" s="59"/>
      <c r="AG320" s="59"/>
      <c r="AH320" s="560"/>
      <c r="AI320" s="560"/>
      <c r="BG320" s="61">
        <v>5377078.4100000001</v>
      </c>
      <c r="BH320" s="61">
        <v>5377078.4199999999</v>
      </c>
    </row>
    <row r="321" spans="2:60" ht="17.100000000000001" customHeight="1">
      <c r="B321" s="663"/>
      <c r="C321" s="525">
        <v>4470</v>
      </c>
      <c r="D321" s="690" t="s">
        <v>255</v>
      </c>
      <c r="E321" s="518" t="s">
        <v>123</v>
      </c>
      <c r="F321" s="519">
        <v>0.13</v>
      </c>
      <c r="G321" s="520">
        <f t="shared" si="19"/>
        <v>5995164.2199999997</v>
      </c>
      <c r="H321" s="520">
        <f t="shared" si="20"/>
        <v>-18227828.359999999</v>
      </c>
      <c r="I321" s="521"/>
      <c r="J321" s="539"/>
      <c r="K321" s="539"/>
      <c r="L321" s="539"/>
      <c r="M321" s="539"/>
      <c r="N321" s="539"/>
      <c r="O321" s="539"/>
      <c r="P321" s="562"/>
      <c r="Q321" s="539"/>
      <c r="R321" s="543"/>
      <c r="S321" s="543"/>
      <c r="AF321" s="59"/>
      <c r="AG321" s="59"/>
      <c r="AH321" s="560"/>
      <c r="AI321" s="560"/>
      <c r="BD321" s="61">
        <v>-18227828.359999999</v>
      </c>
      <c r="BG321" s="61">
        <v>5995164.2199999997</v>
      </c>
    </row>
    <row r="322" spans="2:60" ht="17.100000000000001" customHeight="1">
      <c r="B322" s="664"/>
      <c r="C322" s="525">
        <v>4470</v>
      </c>
      <c r="D322" s="684"/>
      <c r="E322" s="518" t="s">
        <v>124</v>
      </c>
      <c r="F322" s="519">
        <v>0.09</v>
      </c>
      <c r="G322" s="520">
        <f t="shared" si="19"/>
        <v>747591.74</v>
      </c>
      <c r="H322" s="520">
        <f t="shared" si="20"/>
        <v>-14047247.35</v>
      </c>
      <c r="I322" s="521"/>
      <c r="J322" s="539"/>
      <c r="K322" s="539"/>
      <c r="L322" s="539"/>
      <c r="M322" s="539"/>
      <c r="N322" s="539"/>
      <c r="O322" s="539"/>
      <c r="P322" s="562"/>
      <c r="Q322" s="539"/>
      <c r="R322" s="543"/>
      <c r="S322" s="543"/>
      <c r="AF322" s="59"/>
      <c r="AG322" s="59"/>
      <c r="AH322" s="560"/>
      <c r="AI322" s="560"/>
      <c r="BD322" s="61">
        <v>-14047247.35</v>
      </c>
      <c r="BG322" s="61">
        <v>747591.74</v>
      </c>
    </row>
    <row r="323" spans="2:60" ht="17.100000000000001" customHeight="1">
      <c r="B323" s="664"/>
      <c r="C323" s="525">
        <v>4470</v>
      </c>
      <c r="D323" s="684"/>
      <c r="E323" s="547" t="s">
        <v>125</v>
      </c>
      <c r="F323" s="548">
        <v>0.06</v>
      </c>
      <c r="G323" s="520">
        <f t="shared" si="19"/>
        <v>0</v>
      </c>
      <c r="H323" s="520">
        <f t="shared" si="20"/>
        <v>-309433.96000000002</v>
      </c>
      <c r="I323" s="521"/>
      <c r="J323" s="539"/>
      <c r="K323" s="539"/>
      <c r="L323" s="539"/>
      <c r="M323" s="539"/>
      <c r="N323" s="539"/>
      <c r="O323" s="539"/>
      <c r="P323" s="562"/>
      <c r="Q323" s="539"/>
      <c r="R323" s="543"/>
      <c r="S323" s="543"/>
      <c r="AF323" s="59"/>
      <c r="AG323" s="59"/>
      <c r="AH323" s="560"/>
      <c r="AI323" s="560"/>
      <c r="BD323" s="61">
        <v>-309433.96000000002</v>
      </c>
    </row>
    <row r="324" spans="2:60" ht="17.100000000000001" customHeight="1">
      <c r="B324" s="663"/>
      <c r="C324" s="525">
        <v>4470</v>
      </c>
      <c r="D324" s="690" t="s">
        <v>256</v>
      </c>
      <c r="E324" s="518" t="s">
        <v>123</v>
      </c>
      <c r="F324" s="519">
        <v>0.13</v>
      </c>
      <c r="G324" s="520">
        <f t="shared" si="19"/>
        <v>0</v>
      </c>
      <c r="H324" s="520">
        <f t="shared" si="20"/>
        <v>-2358407.08</v>
      </c>
      <c r="I324" s="521">
        <f t="shared" ref="I324:I329" si="22">G324-H324</f>
        <v>2358407.08</v>
      </c>
      <c r="J324" s="539"/>
      <c r="K324" s="539"/>
      <c r="L324" s="539"/>
      <c r="M324" s="539"/>
      <c r="N324" s="539"/>
      <c r="O324" s="539"/>
      <c r="P324" s="562"/>
      <c r="Q324" s="539"/>
      <c r="R324" s="543"/>
      <c r="S324" s="543"/>
      <c r="AF324" s="59"/>
      <c r="AG324" s="59"/>
      <c r="AH324" s="560"/>
      <c r="AI324" s="560"/>
      <c r="AQ324" s="61">
        <v>13862939.039999999</v>
      </c>
      <c r="BD324" s="61">
        <v>-16221346.119999999</v>
      </c>
    </row>
    <row r="325" spans="2:60" ht="17.100000000000001" customHeight="1">
      <c r="B325" s="664"/>
      <c r="C325" s="525">
        <v>4470</v>
      </c>
      <c r="D325" s="684"/>
      <c r="E325" s="518" t="s">
        <v>124</v>
      </c>
      <c r="F325" s="519">
        <v>0.09</v>
      </c>
      <c r="G325" s="520">
        <f t="shared" si="19"/>
        <v>0</v>
      </c>
      <c r="H325" s="520">
        <f t="shared" si="20"/>
        <v>-1601763.71</v>
      </c>
      <c r="I325" s="521">
        <f t="shared" si="22"/>
        <v>1601763.71</v>
      </c>
      <c r="J325" s="539"/>
      <c r="K325" s="539"/>
      <c r="L325" s="539"/>
      <c r="M325" s="539"/>
      <c r="N325" s="539"/>
      <c r="O325" s="539"/>
      <c r="P325" s="562"/>
      <c r="Q325" s="539"/>
      <c r="R325" s="543"/>
      <c r="S325" s="543"/>
      <c r="AF325" s="59"/>
      <c r="AG325" s="59"/>
      <c r="AH325" s="560"/>
      <c r="AI325" s="560"/>
      <c r="AQ325" s="61">
        <v>64638075.640000001</v>
      </c>
      <c r="BD325" s="61">
        <v>-66239839.350000001</v>
      </c>
    </row>
    <row r="326" spans="2:60" ht="17.100000000000001" customHeight="1">
      <c r="B326" s="664"/>
      <c r="C326" s="525">
        <v>4470</v>
      </c>
      <c r="D326" s="684"/>
      <c r="E326" s="547" t="s">
        <v>125</v>
      </c>
      <c r="F326" s="548">
        <v>0.06</v>
      </c>
      <c r="G326" s="520">
        <f t="shared" si="19"/>
        <v>0</v>
      </c>
      <c r="H326" s="520">
        <f t="shared" si="20"/>
        <v>-475754.73</v>
      </c>
      <c r="I326" s="521">
        <f t="shared" si="22"/>
        <v>475754.73</v>
      </c>
      <c r="J326" s="539"/>
      <c r="K326" s="539"/>
      <c r="L326" s="539"/>
      <c r="M326" s="539"/>
      <c r="N326" s="539"/>
      <c r="O326" s="539"/>
      <c r="P326" s="562"/>
      <c r="Q326" s="539"/>
      <c r="R326" s="543"/>
      <c r="S326" s="543"/>
      <c r="AF326" s="59"/>
      <c r="AG326" s="59"/>
      <c r="AH326" s="560"/>
      <c r="AI326" s="560"/>
      <c r="AQ326" s="61">
        <v>31893380.800000001</v>
      </c>
      <c r="BD326" s="61">
        <v>-32369135.530000001</v>
      </c>
    </row>
    <row r="327" spans="2:60" ht="17.100000000000001" customHeight="1">
      <c r="B327" s="661"/>
      <c r="C327" s="561">
        <v>4470</v>
      </c>
      <c r="D327" s="686" t="s">
        <v>257</v>
      </c>
      <c r="E327" s="518" t="s">
        <v>123</v>
      </c>
      <c r="F327" s="519">
        <v>0.13</v>
      </c>
      <c r="G327" s="520">
        <f t="shared" si="19"/>
        <v>-13862939.039999999</v>
      </c>
      <c r="H327" s="520">
        <f t="shared" si="20"/>
        <v>0</v>
      </c>
      <c r="I327" s="521">
        <f t="shared" si="22"/>
        <v>-13862939.039999999</v>
      </c>
      <c r="J327" s="539"/>
      <c r="K327" s="539"/>
      <c r="L327" s="539"/>
      <c r="M327" s="539"/>
      <c r="N327" s="539"/>
      <c r="O327" s="539"/>
      <c r="P327" s="562"/>
      <c r="Q327" s="539"/>
      <c r="R327" s="543"/>
      <c r="S327" s="543"/>
      <c r="AF327" s="59"/>
      <c r="AG327" s="59"/>
      <c r="AH327" s="560"/>
      <c r="AI327" s="560"/>
      <c r="BC327" s="61">
        <v>-13862939.039999999</v>
      </c>
    </row>
    <row r="328" spans="2:60" ht="17.100000000000001" customHeight="1">
      <c r="B328" s="661"/>
      <c r="C328" s="561">
        <v>4470</v>
      </c>
      <c r="D328" s="686"/>
      <c r="E328" s="518" t="s">
        <v>124</v>
      </c>
      <c r="F328" s="519">
        <v>0.09</v>
      </c>
      <c r="G328" s="520">
        <f t="shared" si="19"/>
        <v>-60938348.189999998</v>
      </c>
      <c r="H328" s="520">
        <f t="shared" si="20"/>
        <v>0</v>
      </c>
      <c r="I328" s="521">
        <f t="shared" si="22"/>
        <v>-60938348.189999998</v>
      </c>
      <c r="J328" s="539"/>
      <c r="K328" s="539"/>
      <c r="L328" s="539"/>
      <c r="M328" s="539"/>
      <c r="N328" s="539"/>
      <c r="O328" s="539"/>
      <c r="P328" s="562"/>
      <c r="Q328" s="539"/>
      <c r="R328" s="543"/>
      <c r="S328" s="543"/>
      <c r="AF328" s="59"/>
      <c r="AG328" s="59"/>
      <c r="AH328" s="560"/>
      <c r="AI328" s="560"/>
      <c r="BC328" s="61">
        <v>-60938348.189999998</v>
      </c>
    </row>
    <row r="329" spans="2:60" ht="17.100000000000001" customHeight="1">
      <c r="B329" s="661"/>
      <c r="C329" s="561">
        <v>4470</v>
      </c>
      <c r="D329" s="686"/>
      <c r="E329" s="547" t="s">
        <v>125</v>
      </c>
      <c r="F329" s="548">
        <v>0.06</v>
      </c>
      <c r="G329" s="520">
        <f t="shared" si="19"/>
        <v>-28896222.789999999</v>
      </c>
      <c r="H329" s="520">
        <f t="shared" si="20"/>
        <v>69622.64</v>
      </c>
      <c r="I329" s="521">
        <f t="shared" si="22"/>
        <v>-28965845.43</v>
      </c>
      <c r="J329" s="539"/>
      <c r="K329" s="539"/>
      <c r="L329" s="539"/>
      <c r="M329" s="539"/>
      <c r="N329" s="539"/>
      <c r="O329" s="539"/>
      <c r="P329" s="562"/>
      <c r="Q329" s="539"/>
      <c r="R329" s="543"/>
      <c r="S329" s="543"/>
      <c r="AF329" s="59"/>
      <c r="AG329" s="59"/>
      <c r="AH329" s="560"/>
      <c r="AI329" s="560"/>
      <c r="AR329" s="61">
        <v>69622.64</v>
      </c>
      <c r="AU329" s="59">
        <v>211089.1</v>
      </c>
      <c r="AV329" s="59">
        <v>69622.64</v>
      </c>
      <c r="BC329" s="61">
        <v>-29176934.530000001</v>
      </c>
    </row>
    <row r="330" spans="2:60" ht="17.100000000000001" customHeight="1">
      <c r="B330" s="661"/>
      <c r="C330" s="561" t="s">
        <v>188</v>
      </c>
      <c r="D330" s="686" t="s">
        <v>258</v>
      </c>
      <c r="E330" s="518" t="s">
        <v>123</v>
      </c>
      <c r="F330" s="519">
        <v>0.13</v>
      </c>
      <c r="G330" s="520">
        <f t="shared" ref="G330:G393" si="23">SUM(J330,L330,N330,P330,R330,T330,V330,X330,Z330,AB330,AD330,AF330,AH330,AJ330,AL330,AN330,AP330,AR330,AU330,AW330,AY330,BC330,BG330)</f>
        <v>0</v>
      </c>
      <c r="H330" s="520">
        <f t="shared" ref="H330:H393" si="24">SUM(K330,M330,O330,Q330,S330,U330,W330,Y330,AA330,AC330,AE330,AG330,AI330,AK330,AM330,AO330,AQ330,AS330,AV330,AX330,AZ330,BD330,BH330)</f>
        <v>0</v>
      </c>
      <c r="I330" s="521"/>
      <c r="J330" s="539"/>
      <c r="K330" s="539"/>
      <c r="L330" s="539"/>
      <c r="M330" s="539"/>
      <c r="N330" s="539"/>
      <c r="O330" s="539"/>
      <c r="P330" s="562"/>
      <c r="Q330" s="539"/>
      <c r="R330" s="543"/>
      <c r="S330" s="543"/>
      <c r="AF330" s="59"/>
      <c r="AG330" s="59"/>
      <c r="AH330" s="560"/>
      <c r="AI330" s="560"/>
    </row>
    <row r="331" spans="2:60" ht="17.100000000000001" customHeight="1">
      <c r="B331" s="661"/>
      <c r="C331" s="561" t="s">
        <v>188</v>
      </c>
      <c r="D331" s="686"/>
      <c r="E331" s="518" t="s">
        <v>124</v>
      </c>
      <c r="F331" s="519">
        <v>0.09</v>
      </c>
      <c r="G331" s="520">
        <f t="shared" si="23"/>
        <v>330744.24</v>
      </c>
      <c r="H331" s="520">
        <f t="shared" si="24"/>
        <v>0</v>
      </c>
      <c r="I331" s="521"/>
      <c r="J331" s="539"/>
      <c r="K331" s="539"/>
      <c r="L331" s="539"/>
      <c r="M331" s="539"/>
      <c r="N331" s="539"/>
      <c r="O331" s="539"/>
      <c r="P331" s="562"/>
      <c r="Q331" s="539"/>
      <c r="R331" s="543"/>
      <c r="S331" s="543"/>
      <c r="AF331" s="59"/>
      <c r="AG331" s="59"/>
      <c r="AH331" s="560"/>
      <c r="AI331" s="560"/>
      <c r="BC331" s="61">
        <v>46077.98</v>
      </c>
      <c r="BG331" s="61">
        <v>284666.26</v>
      </c>
    </row>
    <row r="332" spans="2:60" ht="17.100000000000001" customHeight="1">
      <c r="B332" s="661"/>
      <c r="C332" s="561" t="s">
        <v>188</v>
      </c>
      <c r="D332" s="686"/>
      <c r="E332" s="547" t="s">
        <v>125</v>
      </c>
      <c r="F332" s="548">
        <v>0.06</v>
      </c>
      <c r="G332" s="520">
        <f t="shared" si="23"/>
        <v>0</v>
      </c>
      <c r="H332" s="520">
        <f t="shared" si="24"/>
        <v>0</v>
      </c>
      <c r="I332" s="521"/>
      <c r="J332" s="539"/>
      <c r="K332" s="539"/>
      <c r="L332" s="539"/>
      <c r="M332" s="539"/>
      <c r="N332" s="539"/>
      <c r="O332" s="539"/>
      <c r="P332" s="562"/>
      <c r="Q332" s="539"/>
      <c r="R332" s="543"/>
      <c r="S332" s="543"/>
      <c r="AF332" s="59"/>
      <c r="AG332" s="59"/>
      <c r="AH332" s="560"/>
      <c r="AI332" s="560"/>
    </row>
    <row r="333" spans="2:60" ht="17.100000000000001" customHeight="1">
      <c r="B333" s="661"/>
      <c r="C333" s="561" t="s">
        <v>188</v>
      </c>
      <c r="D333" s="686" t="s">
        <v>259</v>
      </c>
      <c r="E333" s="518" t="s">
        <v>123</v>
      </c>
      <c r="F333" s="519">
        <v>0.13</v>
      </c>
      <c r="G333" s="520">
        <f t="shared" si="23"/>
        <v>0</v>
      </c>
      <c r="H333" s="520">
        <f t="shared" si="24"/>
        <v>0</v>
      </c>
      <c r="I333" s="521"/>
      <c r="J333" s="539"/>
      <c r="K333" s="539"/>
      <c r="L333" s="539"/>
      <c r="M333" s="539"/>
      <c r="N333" s="539"/>
      <c r="O333" s="539"/>
      <c r="P333" s="562"/>
      <c r="Q333" s="539"/>
      <c r="R333" s="543"/>
      <c r="S333" s="543"/>
      <c r="AF333" s="59"/>
      <c r="AG333" s="59"/>
      <c r="AH333" s="560"/>
      <c r="AI333" s="560"/>
    </row>
    <row r="334" spans="2:60" ht="17.100000000000001" customHeight="1">
      <c r="B334" s="661"/>
      <c r="C334" s="561" t="s">
        <v>188</v>
      </c>
      <c r="D334" s="686"/>
      <c r="E334" s="518" t="s">
        <v>124</v>
      </c>
      <c r="F334" s="519">
        <v>0.09</v>
      </c>
      <c r="G334" s="520">
        <f t="shared" si="23"/>
        <v>0</v>
      </c>
      <c r="H334" s="520">
        <f t="shared" si="24"/>
        <v>0</v>
      </c>
      <c r="I334" s="521"/>
      <c r="J334" s="539"/>
      <c r="K334" s="539"/>
      <c r="L334" s="539"/>
      <c r="M334" s="539"/>
      <c r="N334" s="539"/>
      <c r="O334" s="539"/>
      <c r="P334" s="562"/>
      <c r="Q334" s="539"/>
      <c r="R334" s="543"/>
      <c r="S334" s="543"/>
      <c r="AF334" s="59"/>
      <c r="AG334" s="59"/>
      <c r="AH334" s="560"/>
      <c r="AI334" s="560"/>
    </row>
    <row r="335" spans="2:60" ht="17.100000000000001" customHeight="1">
      <c r="B335" s="661"/>
      <c r="C335" s="561" t="s">
        <v>188</v>
      </c>
      <c r="D335" s="686"/>
      <c r="E335" s="547" t="s">
        <v>125</v>
      </c>
      <c r="F335" s="548">
        <v>0.06</v>
      </c>
      <c r="G335" s="520">
        <f t="shared" si="23"/>
        <v>69896.47</v>
      </c>
      <c r="H335" s="520">
        <f t="shared" si="24"/>
        <v>69896.47</v>
      </c>
      <c r="I335" s="521"/>
      <c r="J335" s="539"/>
      <c r="K335" s="539"/>
      <c r="L335" s="539"/>
      <c r="M335" s="539"/>
      <c r="N335" s="539"/>
      <c r="O335" s="539"/>
      <c r="P335" s="562"/>
      <c r="Q335" s="539"/>
      <c r="R335" s="543"/>
      <c r="S335" s="543"/>
      <c r="AF335" s="59"/>
      <c r="AG335" s="59"/>
      <c r="AH335" s="560"/>
      <c r="AI335" s="560"/>
      <c r="BC335" s="61">
        <v>38108.089999999997</v>
      </c>
      <c r="BD335" s="61">
        <v>38108.089999999997</v>
      </c>
      <c r="BG335" s="61">
        <v>31788.38</v>
      </c>
      <c r="BH335" s="61">
        <v>31788.38</v>
      </c>
    </row>
    <row r="336" spans="2:60" ht="17.100000000000001" customHeight="1">
      <c r="B336" s="661"/>
      <c r="C336" s="561" t="s">
        <v>188</v>
      </c>
      <c r="D336" s="686" t="s">
        <v>260</v>
      </c>
      <c r="E336" s="518" t="s">
        <v>123</v>
      </c>
      <c r="F336" s="519">
        <v>0.13</v>
      </c>
      <c r="G336" s="520">
        <f t="shared" si="23"/>
        <v>0</v>
      </c>
      <c r="H336" s="520">
        <f t="shared" si="24"/>
        <v>0</v>
      </c>
      <c r="I336" s="521"/>
      <c r="J336" s="539"/>
      <c r="K336" s="539"/>
      <c r="L336" s="539"/>
      <c r="M336" s="539"/>
      <c r="N336" s="539"/>
      <c r="O336" s="539"/>
      <c r="P336" s="562"/>
      <c r="Q336" s="539"/>
      <c r="R336" s="543"/>
      <c r="S336" s="543"/>
      <c r="AF336" s="59"/>
      <c r="AG336" s="59"/>
      <c r="AH336" s="560"/>
      <c r="AI336" s="560"/>
    </row>
    <row r="337" spans="2:60" ht="17.100000000000001" customHeight="1">
      <c r="B337" s="661"/>
      <c r="C337" s="561" t="s">
        <v>188</v>
      </c>
      <c r="D337" s="686"/>
      <c r="E337" s="518" t="s">
        <v>124</v>
      </c>
      <c r="F337" s="519">
        <v>0.09</v>
      </c>
      <c r="G337" s="520">
        <f t="shared" si="23"/>
        <v>0</v>
      </c>
      <c r="H337" s="520">
        <f t="shared" si="24"/>
        <v>0</v>
      </c>
      <c r="I337" s="521"/>
      <c r="J337" s="539"/>
      <c r="K337" s="539"/>
      <c r="L337" s="539"/>
      <c r="M337" s="539"/>
      <c r="N337" s="539"/>
      <c r="O337" s="539"/>
      <c r="P337" s="562"/>
      <c r="Q337" s="539"/>
      <c r="R337" s="543"/>
      <c r="S337" s="543"/>
      <c r="AF337" s="59"/>
      <c r="AG337" s="59"/>
      <c r="AH337" s="560"/>
      <c r="AI337" s="560"/>
    </row>
    <row r="338" spans="2:60" ht="17.100000000000001" customHeight="1">
      <c r="B338" s="661"/>
      <c r="C338" s="561" t="s">
        <v>188</v>
      </c>
      <c r="D338" s="686"/>
      <c r="E338" s="547" t="s">
        <v>125</v>
      </c>
      <c r="F338" s="548">
        <v>0.06</v>
      </c>
      <c r="G338" s="520">
        <f t="shared" si="23"/>
        <v>132908.68</v>
      </c>
      <c r="H338" s="520">
        <f t="shared" si="24"/>
        <v>132908.68</v>
      </c>
      <c r="I338" s="521"/>
      <c r="J338" s="539"/>
      <c r="K338" s="539"/>
      <c r="L338" s="539"/>
      <c r="M338" s="539"/>
      <c r="N338" s="539"/>
      <c r="O338" s="539"/>
      <c r="P338" s="562"/>
      <c r="Q338" s="539"/>
      <c r="R338" s="543"/>
      <c r="S338" s="543"/>
      <c r="AF338" s="59"/>
      <c r="AG338" s="59"/>
      <c r="AH338" s="560"/>
      <c r="AI338" s="560"/>
      <c r="BC338" s="61">
        <v>67202.960000000006</v>
      </c>
      <c r="BD338" s="61">
        <v>67202.960000000006</v>
      </c>
      <c r="BG338" s="61">
        <v>65705.72</v>
      </c>
      <c r="BH338" s="61">
        <v>65705.72</v>
      </c>
    </row>
    <row r="339" spans="2:60" ht="17.100000000000001" customHeight="1">
      <c r="B339" s="661"/>
      <c r="C339" s="561" t="s">
        <v>188</v>
      </c>
      <c r="D339" s="686" t="s">
        <v>261</v>
      </c>
      <c r="E339" s="518" t="s">
        <v>123</v>
      </c>
      <c r="F339" s="519">
        <v>0.13</v>
      </c>
      <c r="G339" s="520">
        <f t="shared" si="23"/>
        <v>32187895.010000002</v>
      </c>
      <c r="H339" s="520">
        <f t="shared" si="24"/>
        <v>0</v>
      </c>
      <c r="I339" s="521">
        <f>G339-H339</f>
        <v>32187895.010000002</v>
      </c>
      <c r="J339" s="539"/>
      <c r="K339" s="539"/>
      <c r="L339" s="539"/>
      <c r="M339" s="539"/>
      <c r="N339" s="539"/>
      <c r="O339" s="539"/>
      <c r="P339" s="562"/>
      <c r="Q339" s="539"/>
      <c r="R339" s="543"/>
      <c r="S339" s="543"/>
      <c r="AF339" s="59"/>
      <c r="AG339" s="59"/>
      <c r="AH339" s="560"/>
      <c r="AI339" s="560"/>
      <c r="AW339" s="59">
        <v>29964101.949999999</v>
      </c>
      <c r="AY339" s="61">
        <v>86753.01</v>
      </c>
      <c r="BC339" s="61">
        <v>1986089.12</v>
      </c>
      <c r="BG339" s="61">
        <v>150950.93</v>
      </c>
    </row>
    <row r="340" spans="2:60" ht="17.100000000000001" customHeight="1">
      <c r="B340" s="661"/>
      <c r="C340" s="561" t="s">
        <v>188</v>
      </c>
      <c r="D340" s="686"/>
      <c r="E340" s="518" t="s">
        <v>124</v>
      </c>
      <c r="F340" s="519">
        <v>0.09</v>
      </c>
      <c r="G340" s="520">
        <f t="shared" si="23"/>
        <v>11643932.689999999</v>
      </c>
      <c r="H340" s="520">
        <f t="shared" si="24"/>
        <v>0</v>
      </c>
      <c r="I340" s="521">
        <f>G340-H340</f>
        <v>11643932.689999999</v>
      </c>
      <c r="J340" s="539"/>
      <c r="K340" s="539"/>
      <c r="L340" s="539"/>
      <c r="M340" s="539"/>
      <c r="N340" s="539"/>
      <c r="O340" s="539"/>
      <c r="P340" s="562"/>
      <c r="Q340" s="539"/>
      <c r="R340" s="543"/>
      <c r="S340" s="543"/>
      <c r="AF340" s="59"/>
      <c r="AG340" s="59"/>
      <c r="AH340" s="560"/>
      <c r="AI340" s="560"/>
      <c r="AW340" s="59">
        <v>4868846.75</v>
      </c>
      <c r="AY340" s="61">
        <v>2923920.1</v>
      </c>
      <c r="BC340" s="61">
        <v>1805977.59</v>
      </c>
      <c r="BG340" s="61">
        <v>2045188.25</v>
      </c>
    </row>
    <row r="341" spans="2:60" ht="17.100000000000001" customHeight="1">
      <c r="B341" s="661"/>
      <c r="C341" s="561" t="s">
        <v>188</v>
      </c>
      <c r="D341" s="686"/>
      <c r="E341" s="547" t="s">
        <v>125</v>
      </c>
      <c r="F341" s="548">
        <v>0.06</v>
      </c>
      <c r="G341" s="520">
        <f t="shared" si="23"/>
        <v>2149778.14</v>
      </c>
      <c r="H341" s="520">
        <f t="shared" si="24"/>
        <v>0</v>
      </c>
      <c r="I341" s="521">
        <f>G341-H341</f>
        <v>2149778.14</v>
      </c>
      <c r="J341" s="539"/>
      <c r="K341" s="539"/>
      <c r="L341" s="539"/>
      <c r="M341" s="539"/>
      <c r="N341" s="539"/>
      <c r="O341" s="539"/>
      <c r="P341" s="562"/>
      <c r="Q341" s="539"/>
      <c r="R341" s="543"/>
      <c r="S341" s="543"/>
      <c r="AF341" s="59"/>
      <c r="AG341" s="59"/>
      <c r="AH341" s="560"/>
      <c r="AI341" s="560"/>
      <c r="AU341" s="59">
        <v>11216.99</v>
      </c>
      <c r="BG341" s="61">
        <v>2138561.15</v>
      </c>
    </row>
    <row r="342" spans="2:60" ht="17.100000000000001" customHeight="1">
      <c r="B342" s="661"/>
      <c r="C342" s="561" t="s">
        <v>188</v>
      </c>
      <c r="D342" s="686" t="s">
        <v>262</v>
      </c>
      <c r="E342" s="518" t="s">
        <v>123</v>
      </c>
      <c r="F342" s="519">
        <v>0.13</v>
      </c>
      <c r="G342" s="520">
        <f t="shared" si="23"/>
        <v>0</v>
      </c>
      <c r="H342" s="520">
        <f t="shared" si="24"/>
        <v>0</v>
      </c>
      <c r="I342" s="521"/>
      <c r="J342" s="539"/>
      <c r="K342" s="539"/>
      <c r="L342" s="539"/>
      <c r="M342" s="539"/>
      <c r="N342" s="539"/>
      <c r="O342" s="539"/>
      <c r="P342" s="562"/>
      <c r="Q342" s="539"/>
      <c r="R342" s="543"/>
      <c r="S342" s="543"/>
      <c r="AF342" s="59"/>
      <c r="AG342" s="59"/>
      <c r="AH342" s="560"/>
      <c r="AI342" s="560"/>
    </row>
    <row r="343" spans="2:60" ht="17.100000000000001" customHeight="1">
      <c r="B343" s="661"/>
      <c r="C343" s="561" t="s">
        <v>188</v>
      </c>
      <c r="D343" s="686"/>
      <c r="E343" s="518" t="s">
        <v>124</v>
      </c>
      <c r="F343" s="519">
        <v>0.09</v>
      </c>
      <c r="G343" s="520">
        <f t="shared" si="23"/>
        <v>0</v>
      </c>
      <c r="H343" s="520">
        <f t="shared" si="24"/>
        <v>0</v>
      </c>
      <c r="I343" s="521"/>
      <c r="J343" s="539"/>
      <c r="K343" s="539"/>
      <c r="L343" s="539"/>
      <c r="M343" s="539"/>
      <c r="N343" s="539"/>
      <c r="O343" s="539"/>
      <c r="P343" s="562"/>
      <c r="Q343" s="539"/>
      <c r="R343" s="543"/>
      <c r="S343" s="543"/>
      <c r="AF343" s="59"/>
      <c r="AG343" s="59"/>
      <c r="AH343" s="560"/>
      <c r="AI343" s="560"/>
    </row>
    <row r="344" spans="2:60" ht="17.100000000000001" customHeight="1">
      <c r="B344" s="661"/>
      <c r="C344" s="561" t="s">
        <v>188</v>
      </c>
      <c r="D344" s="686"/>
      <c r="E344" s="547" t="s">
        <v>125</v>
      </c>
      <c r="F344" s="548">
        <v>0.06</v>
      </c>
      <c r="G344" s="520">
        <f t="shared" si="23"/>
        <v>26852.69</v>
      </c>
      <c r="H344" s="520">
        <f t="shared" si="24"/>
        <v>26852.69</v>
      </c>
      <c r="I344" s="521"/>
      <c r="J344" s="539"/>
      <c r="K344" s="539"/>
      <c r="L344" s="539"/>
      <c r="M344" s="539"/>
      <c r="N344" s="539"/>
      <c r="O344" s="539"/>
      <c r="P344" s="562"/>
      <c r="Q344" s="539"/>
      <c r="R344" s="543"/>
      <c r="S344" s="543"/>
      <c r="AF344" s="59"/>
      <c r="AG344" s="59"/>
      <c r="AH344" s="560"/>
      <c r="AI344" s="560"/>
      <c r="AW344" s="59">
        <v>26852.69</v>
      </c>
      <c r="AX344" s="59">
        <v>26852.69</v>
      </c>
    </row>
    <row r="345" spans="2:60" ht="17.100000000000001" customHeight="1">
      <c r="B345" s="661"/>
      <c r="C345" s="561" t="s">
        <v>263</v>
      </c>
      <c r="D345" s="686" t="s">
        <v>264</v>
      </c>
      <c r="E345" s="518" t="s">
        <v>123</v>
      </c>
      <c r="F345" s="519">
        <v>0.13</v>
      </c>
      <c r="G345" s="520">
        <f t="shared" si="23"/>
        <v>54415265.950000003</v>
      </c>
      <c r="H345" s="520">
        <f t="shared" si="24"/>
        <v>231646.37</v>
      </c>
      <c r="I345" s="521"/>
      <c r="J345" s="539"/>
      <c r="K345" s="539"/>
      <c r="L345" s="539"/>
      <c r="M345" s="539"/>
      <c r="N345" s="539"/>
      <c r="O345" s="539"/>
      <c r="P345" s="562"/>
      <c r="Q345" s="539"/>
      <c r="R345" s="543"/>
      <c r="S345" s="543"/>
      <c r="AF345" s="59"/>
      <c r="AG345" s="59"/>
      <c r="AH345" s="560"/>
      <c r="AI345" s="560"/>
      <c r="AY345" s="61">
        <v>231646.37</v>
      </c>
      <c r="BC345" s="61">
        <v>11261436.439999999</v>
      </c>
      <c r="BD345" s="61">
        <v>231646.37</v>
      </c>
      <c r="BG345" s="61">
        <v>42922183.140000001</v>
      </c>
    </row>
    <row r="346" spans="2:60" ht="17.100000000000001" customHeight="1">
      <c r="B346" s="661"/>
      <c r="C346" s="561" t="s">
        <v>263</v>
      </c>
      <c r="D346" s="686"/>
      <c r="E346" s="518" t="s">
        <v>124</v>
      </c>
      <c r="F346" s="519">
        <v>0.09</v>
      </c>
      <c r="G346" s="520">
        <f t="shared" si="23"/>
        <v>27259841.579999998</v>
      </c>
      <c r="H346" s="520">
        <f t="shared" si="24"/>
        <v>9802007.3599999994</v>
      </c>
      <c r="I346" s="521"/>
      <c r="J346" s="539"/>
      <c r="K346" s="539"/>
      <c r="L346" s="539"/>
      <c r="M346" s="539"/>
      <c r="N346" s="539"/>
      <c r="O346" s="539"/>
      <c r="P346" s="562"/>
      <c r="Q346" s="539"/>
      <c r="R346" s="543"/>
      <c r="S346" s="543"/>
      <c r="AF346" s="59"/>
      <c r="AG346" s="59"/>
      <c r="AH346" s="560"/>
      <c r="AI346" s="560"/>
      <c r="AW346" s="59">
        <v>180932.39</v>
      </c>
      <c r="AY346" s="61">
        <v>4994559.66</v>
      </c>
      <c r="BC346" s="61">
        <v>4761173.43</v>
      </c>
      <c r="BD346" s="61">
        <v>9802007.3599999994</v>
      </c>
      <c r="BG346" s="61">
        <v>17323176.100000001</v>
      </c>
    </row>
    <row r="347" spans="2:60" ht="17.100000000000001" customHeight="1">
      <c r="B347" s="661"/>
      <c r="C347" s="561" t="s">
        <v>263</v>
      </c>
      <c r="D347" s="686"/>
      <c r="E347" s="547" t="s">
        <v>125</v>
      </c>
      <c r="F347" s="548">
        <v>0.06</v>
      </c>
      <c r="G347" s="520">
        <f t="shared" si="23"/>
        <v>26209592.579999998</v>
      </c>
      <c r="H347" s="520">
        <f t="shared" si="24"/>
        <v>618420.36</v>
      </c>
      <c r="I347" s="521"/>
      <c r="J347" s="539"/>
      <c r="K347" s="539"/>
      <c r="L347" s="539"/>
      <c r="M347" s="539"/>
      <c r="N347" s="539"/>
      <c r="O347" s="539"/>
      <c r="P347" s="562"/>
      <c r="Q347" s="539"/>
      <c r="R347" s="543"/>
      <c r="S347" s="543"/>
      <c r="AF347" s="59"/>
      <c r="AG347" s="59"/>
      <c r="AH347" s="560"/>
      <c r="AI347" s="560"/>
      <c r="AW347" s="59">
        <v>26852.69</v>
      </c>
      <c r="AX347" s="59">
        <v>26852.69</v>
      </c>
      <c r="AY347" s="61">
        <v>345268.42</v>
      </c>
      <c r="AZ347" s="61">
        <v>239339.48</v>
      </c>
      <c r="BC347" s="61">
        <v>215752.46</v>
      </c>
      <c r="BD347" s="61">
        <v>321681.40000000002</v>
      </c>
      <c r="BG347" s="61">
        <v>25621719.010000002</v>
      </c>
      <c r="BH347" s="61">
        <v>30546.79</v>
      </c>
    </row>
    <row r="348" spans="2:60" ht="17.100000000000001" customHeight="1">
      <c r="B348" s="661"/>
      <c r="C348" s="561">
        <v>4307</v>
      </c>
      <c r="D348" s="686" t="s">
        <v>265</v>
      </c>
      <c r="E348" s="518" t="s">
        <v>123</v>
      </c>
      <c r="F348" s="519">
        <v>0.13</v>
      </c>
      <c r="G348" s="520">
        <f t="shared" si="23"/>
        <v>56993246.200000003</v>
      </c>
      <c r="H348" s="520">
        <f t="shared" si="24"/>
        <v>5775979.5899999999</v>
      </c>
      <c r="I348" s="521"/>
      <c r="J348" s="539"/>
      <c r="K348" s="539"/>
      <c r="L348" s="539"/>
      <c r="M348" s="539"/>
      <c r="N348" s="539"/>
      <c r="O348" s="539"/>
      <c r="P348" s="562"/>
      <c r="Q348" s="539"/>
      <c r="R348" s="543"/>
      <c r="S348" s="543"/>
      <c r="AF348" s="59"/>
      <c r="AG348" s="59"/>
      <c r="AH348" s="560"/>
      <c r="AI348" s="560"/>
      <c r="AY348" s="61">
        <v>5779743.0599999996</v>
      </c>
      <c r="BC348" s="61">
        <v>5787501.1399999997</v>
      </c>
      <c r="BD348" s="61">
        <v>5775979.5899999999</v>
      </c>
      <c r="BG348" s="61">
        <v>45426002</v>
      </c>
    </row>
    <row r="349" spans="2:60" ht="17.100000000000001" customHeight="1">
      <c r="B349" s="661"/>
      <c r="C349" s="561">
        <v>4307</v>
      </c>
      <c r="D349" s="686"/>
      <c r="E349" s="518" t="s">
        <v>124</v>
      </c>
      <c r="F349" s="519">
        <v>0.09</v>
      </c>
      <c r="G349" s="520">
        <f t="shared" si="23"/>
        <v>102551294.06999999</v>
      </c>
      <c r="H349" s="520">
        <f t="shared" si="24"/>
        <v>18282290.949999999</v>
      </c>
      <c r="I349" s="521"/>
      <c r="J349" s="539"/>
      <c r="K349" s="539"/>
      <c r="L349" s="539"/>
      <c r="M349" s="539"/>
      <c r="N349" s="539"/>
      <c r="O349" s="539"/>
      <c r="P349" s="562"/>
      <c r="Q349" s="539"/>
      <c r="R349" s="543"/>
      <c r="S349" s="543"/>
      <c r="AF349" s="59"/>
      <c r="AG349" s="59"/>
      <c r="AH349" s="560"/>
      <c r="AI349" s="560"/>
      <c r="AW349" s="59">
        <v>523859.14</v>
      </c>
      <c r="AY349" s="61">
        <v>2226661.73</v>
      </c>
      <c r="BC349" s="61">
        <v>15531770.08</v>
      </c>
      <c r="BD349" s="61">
        <v>18282290.949999999</v>
      </c>
      <c r="BG349" s="61">
        <v>84269003.120000005</v>
      </c>
    </row>
    <row r="350" spans="2:60" ht="17.100000000000001" customHeight="1">
      <c r="B350" s="661"/>
      <c r="C350" s="561">
        <v>4307</v>
      </c>
      <c r="D350" s="686"/>
      <c r="E350" s="547" t="s">
        <v>125</v>
      </c>
      <c r="F350" s="548">
        <v>0.06</v>
      </c>
      <c r="G350" s="520">
        <f t="shared" si="23"/>
        <v>27154205.5</v>
      </c>
      <c r="H350" s="520">
        <f t="shared" si="24"/>
        <v>563841.18000000005</v>
      </c>
      <c r="I350" s="521"/>
      <c r="J350" s="539"/>
      <c r="K350" s="539"/>
      <c r="L350" s="539"/>
      <c r="M350" s="539"/>
      <c r="N350" s="539"/>
      <c r="O350" s="539"/>
      <c r="P350" s="562"/>
      <c r="Q350" s="539"/>
      <c r="R350" s="543"/>
      <c r="S350" s="543"/>
      <c r="AF350" s="59"/>
      <c r="AG350" s="59"/>
      <c r="AH350" s="560"/>
      <c r="AI350" s="560"/>
      <c r="AW350" s="59">
        <v>26852.69</v>
      </c>
      <c r="AX350" s="59">
        <v>26852.69</v>
      </c>
      <c r="AY350" s="61">
        <v>296724.08</v>
      </c>
      <c r="AZ350" s="61">
        <v>239339.48</v>
      </c>
      <c r="BC350" s="61">
        <v>209717.62</v>
      </c>
      <c r="BD350" s="61">
        <v>267102.21999999997</v>
      </c>
      <c r="BG350" s="61">
        <v>26620911.109999999</v>
      </c>
      <c r="BH350" s="61">
        <v>30546.79</v>
      </c>
    </row>
    <row r="351" spans="2:60" ht="17.100000000000001" customHeight="1">
      <c r="B351" s="661"/>
      <c r="C351" s="561">
        <v>1000</v>
      </c>
      <c r="D351" s="686" t="s">
        <v>266</v>
      </c>
      <c r="E351" s="518" t="s">
        <v>123</v>
      </c>
      <c r="F351" s="519">
        <v>0.13</v>
      </c>
      <c r="G351" s="520">
        <f t="shared" si="23"/>
        <v>0</v>
      </c>
      <c r="H351" s="520">
        <f t="shared" si="24"/>
        <v>0</v>
      </c>
      <c r="I351" s="521">
        <f t="shared" ref="I351:I359" si="25">G351-H351</f>
        <v>0</v>
      </c>
      <c r="J351" s="539"/>
      <c r="K351" s="539"/>
      <c r="L351" s="539"/>
      <c r="M351" s="539"/>
      <c r="N351" s="539"/>
      <c r="O351" s="539"/>
      <c r="P351" s="562"/>
      <c r="Q351" s="539"/>
      <c r="R351" s="543"/>
      <c r="S351" s="543"/>
      <c r="AF351" s="59"/>
      <c r="AG351" s="59"/>
      <c r="AH351" s="560"/>
      <c r="AI351" s="560"/>
    </row>
    <row r="352" spans="2:60" ht="17.100000000000001" customHeight="1">
      <c r="B352" s="661"/>
      <c r="C352" s="561">
        <v>1000</v>
      </c>
      <c r="D352" s="686"/>
      <c r="E352" s="518" t="s">
        <v>124</v>
      </c>
      <c r="F352" s="519">
        <v>0.09</v>
      </c>
      <c r="G352" s="520">
        <f t="shared" si="23"/>
        <v>0</v>
      </c>
      <c r="H352" s="520">
        <f t="shared" si="24"/>
        <v>0</v>
      </c>
      <c r="I352" s="521">
        <f t="shared" si="25"/>
        <v>0</v>
      </c>
      <c r="J352" s="539"/>
      <c r="K352" s="539"/>
      <c r="L352" s="539"/>
      <c r="M352" s="539"/>
      <c r="N352" s="539"/>
      <c r="O352" s="539"/>
      <c r="P352" s="562"/>
      <c r="Q352" s="539"/>
      <c r="R352" s="543"/>
      <c r="S352" s="543"/>
      <c r="AF352" s="59"/>
      <c r="AG352" s="59"/>
      <c r="AH352" s="560"/>
      <c r="AI352" s="560"/>
    </row>
    <row r="353" spans="2:60" ht="17.100000000000001" customHeight="1">
      <c r="B353" s="661"/>
      <c r="C353" s="561">
        <v>1000</v>
      </c>
      <c r="D353" s="686"/>
      <c r="E353" s="547" t="s">
        <v>125</v>
      </c>
      <c r="F353" s="548">
        <v>0.06</v>
      </c>
      <c r="G353" s="520">
        <f t="shared" si="23"/>
        <v>326558.77</v>
      </c>
      <c r="H353" s="520">
        <f t="shared" si="24"/>
        <v>326558.77</v>
      </c>
      <c r="I353" s="521">
        <f t="shared" si="25"/>
        <v>0</v>
      </c>
      <c r="J353" s="539"/>
      <c r="K353" s="539"/>
      <c r="L353" s="539"/>
      <c r="M353" s="539"/>
      <c r="N353" s="539"/>
      <c r="O353" s="539"/>
      <c r="P353" s="562"/>
      <c r="Q353" s="539"/>
      <c r="R353" s="543"/>
      <c r="S353" s="543"/>
      <c r="AF353" s="59"/>
      <c r="AG353" s="59"/>
      <c r="AH353" s="560"/>
      <c r="AI353" s="560"/>
      <c r="AU353" s="59">
        <v>326558.77</v>
      </c>
      <c r="AV353" s="59">
        <v>326558.77</v>
      </c>
    </row>
    <row r="354" spans="2:60" ht="17.100000000000001" customHeight="1">
      <c r="B354" s="661"/>
      <c r="C354" s="667" t="s">
        <v>267</v>
      </c>
      <c r="D354" s="686" t="s">
        <v>268</v>
      </c>
      <c r="E354" s="518" t="s">
        <v>123</v>
      </c>
      <c r="F354" s="519">
        <v>0.13</v>
      </c>
      <c r="G354" s="520">
        <f t="shared" si="23"/>
        <v>0</v>
      </c>
      <c r="H354" s="520">
        <f t="shared" si="24"/>
        <v>272201.58</v>
      </c>
      <c r="I354" s="521">
        <f t="shared" si="25"/>
        <v>-272201.58</v>
      </c>
      <c r="J354" s="539"/>
      <c r="K354" s="539"/>
      <c r="L354" s="539"/>
      <c r="M354" s="539"/>
      <c r="N354" s="539"/>
      <c r="O354" s="539"/>
      <c r="P354" s="562"/>
      <c r="Q354" s="539"/>
      <c r="R354" s="543"/>
      <c r="S354" s="543"/>
      <c r="AF354" s="59"/>
      <c r="AG354" s="59"/>
      <c r="AH354" s="560"/>
      <c r="AI354" s="560"/>
      <c r="AT354" s="569">
        <v>272201.58</v>
      </c>
      <c r="AV354" s="59">
        <v>272201.58</v>
      </c>
    </row>
    <row r="355" spans="2:60" ht="17.100000000000001" customHeight="1">
      <c r="B355" s="661"/>
      <c r="C355" s="668"/>
      <c r="D355" s="686"/>
      <c r="E355" s="518" t="s">
        <v>124</v>
      </c>
      <c r="F355" s="519">
        <v>0.09</v>
      </c>
      <c r="G355" s="520">
        <f t="shared" si="23"/>
        <v>0</v>
      </c>
      <c r="H355" s="520">
        <f t="shared" si="24"/>
        <v>132209.64000000001</v>
      </c>
      <c r="I355" s="521">
        <f t="shared" si="25"/>
        <v>-132209.64000000001</v>
      </c>
      <c r="J355" s="539"/>
      <c r="K355" s="539"/>
      <c r="L355" s="539"/>
      <c r="M355" s="539"/>
      <c r="N355" s="539"/>
      <c r="O355" s="539"/>
      <c r="P355" s="562"/>
      <c r="Q355" s="539"/>
      <c r="R355" s="543"/>
      <c r="S355" s="543"/>
      <c r="AF355" s="59"/>
      <c r="AG355" s="59"/>
      <c r="AH355" s="560"/>
      <c r="AI355" s="560"/>
      <c r="AT355" s="569">
        <v>132209.64000000001</v>
      </c>
      <c r="AV355" s="59">
        <v>132209.64000000001</v>
      </c>
    </row>
    <row r="356" spans="2:60" ht="17.100000000000001" customHeight="1">
      <c r="B356" s="661"/>
      <c r="C356" s="669"/>
      <c r="D356" s="686"/>
      <c r="E356" s="547" t="s">
        <v>125</v>
      </c>
      <c r="F356" s="548">
        <v>0.06</v>
      </c>
      <c r="G356" s="520">
        <f t="shared" si="23"/>
        <v>0</v>
      </c>
      <c r="H356" s="520">
        <f t="shared" si="24"/>
        <v>63624.73</v>
      </c>
      <c r="I356" s="521">
        <f t="shared" si="25"/>
        <v>-63624.73</v>
      </c>
      <c r="J356" s="539"/>
      <c r="K356" s="539"/>
      <c r="L356" s="539"/>
      <c r="M356" s="539"/>
      <c r="N356" s="539"/>
      <c r="O356" s="539"/>
      <c r="P356" s="562"/>
      <c r="Q356" s="539"/>
      <c r="R356" s="543"/>
      <c r="S356" s="543"/>
      <c r="AF356" s="59"/>
      <c r="AG356" s="59"/>
      <c r="AH356" s="560"/>
      <c r="AI356" s="560"/>
      <c r="AT356" s="569">
        <v>63624.73</v>
      </c>
      <c r="AV356" s="59">
        <v>63624.73</v>
      </c>
    </row>
    <row r="357" spans="2:60" ht="17.100000000000001" customHeight="1">
      <c r="B357" s="661"/>
      <c r="C357" s="667" t="s">
        <v>225</v>
      </c>
      <c r="D357" s="686" t="s">
        <v>269</v>
      </c>
      <c r="E357" s="518" t="s">
        <v>123</v>
      </c>
      <c r="F357" s="519">
        <v>0.13</v>
      </c>
      <c r="G357" s="520">
        <f t="shared" si="23"/>
        <v>0</v>
      </c>
      <c r="H357" s="520">
        <f t="shared" si="24"/>
        <v>134861504.43000001</v>
      </c>
      <c r="I357" s="521">
        <f t="shared" si="25"/>
        <v>-134861504.43000001</v>
      </c>
      <c r="J357" s="539"/>
      <c r="K357" s="539"/>
      <c r="L357" s="539"/>
      <c r="M357" s="539"/>
      <c r="N357" s="539"/>
      <c r="O357" s="539"/>
      <c r="P357" s="562"/>
      <c r="Q357" s="539"/>
      <c r="R357" s="543"/>
      <c r="S357" s="543"/>
      <c r="AF357" s="59"/>
      <c r="AG357" s="59"/>
      <c r="AH357" s="560"/>
      <c r="AI357" s="560"/>
      <c r="AT357" s="569">
        <v>134861504.43000001</v>
      </c>
      <c r="AV357" s="59">
        <v>134861504.43000001</v>
      </c>
      <c r="BB357" s="495">
        <v>-10674735.220000001</v>
      </c>
    </row>
    <row r="358" spans="2:60" ht="17.100000000000001" customHeight="1">
      <c r="B358" s="661"/>
      <c r="C358" s="668"/>
      <c r="D358" s="686"/>
      <c r="E358" s="518" t="s">
        <v>124</v>
      </c>
      <c r="F358" s="519">
        <v>0.09</v>
      </c>
      <c r="G358" s="520">
        <f t="shared" si="23"/>
        <v>0</v>
      </c>
      <c r="H358" s="520">
        <f t="shared" si="24"/>
        <v>135418807.33000001</v>
      </c>
      <c r="I358" s="521">
        <f t="shared" si="25"/>
        <v>-135418807.33000001</v>
      </c>
      <c r="J358" s="539"/>
      <c r="K358" s="539"/>
      <c r="L358" s="539"/>
      <c r="M358" s="539"/>
      <c r="N358" s="539"/>
      <c r="O358" s="539"/>
      <c r="P358" s="562"/>
      <c r="Q358" s="539"/>
      <c r="R358" s="543"/>
      <c r="S358" s="543"/>
      <c r="AF358" s="59"/>
      <c r="AG358" s="59"/>
      <c r="AH358" s="560"/>
      <c r="AI358" s="560"/>
      <c r="AX358" s="59">
        <v>135418807.33000001</v>
      </c>
    </row>
    <row r="359" spans="2:60" ht="17.100000000000001" customHeight="1">
      <c r="B359" s="661"/>
      <c r="C359" s="669"/>
      <c r="D359" s="686"/>
      <c r="E359" s="547" t="s">
        <v>125</v>
      </c>
      <c r="F359" s="548">
        <v>0.06</v>
      </c>
      <c r="G359" s="520">
        <f t="shared" si="23"/>
        <v>0</v>
      </c>
      <c r="H359" s="520">
        <f t="shared" si="24"/>
        <v>0</v>
      </c>
      <c r="I359" s="521">
        <f t="shared" si="25"/>
        <v>0</v>
      </c>
      <c r="J359" s="539"/>
      <c r="K359" s="539"/>
      <c r="L359" s="539"/>
      <c r="M359" s="539"/>
      <c r="N359" s="539"/>
      <c r="O359" s="539"/>
      <c r="P359" s="562"/>
      <c r="Q359" s="539"/>
      <c r="R359" s="543"/>
      <c r="S359" s="543"/>
      <c r="AF359" s="59"/>
      <c r="AG359" s="59"/>
      <c r="AH359" s="560"/>
      <c r="AI359" s="560"/>
    </row>
    <row r="360" spans="2:60" ht="17.100000000000001" customHeight="1">
      <c r="B360" s="661"/>
      <c r="C360" s="561" t="s">
        <v>270</v>
      </c>
      <c r="D360" s="686" t="s">
        <v>271</v>
      </c>
      <c r="E360" s="518" t="s">
        <v>123</v>
      </c>
      <c r="F360" s="519">
        <v>0.13</v>
      </c>
      <c r="G360" s="520">
        <f t="shared" si="23"/>
        <v>998342605.22000003</v>
      </c>
      <c r="H360" s="520">
        <f t="shared" si="24"/>
        <v>0</v>
      </c>
      <c r="I360" s="521"/>
      <c r="J360" s="539"/>
      <c r="K360" s="539"/>
      <c r="L360" s="539"/>
      <c r="M360" s="539"/>
      <c r="N360" s="539"/>
      <c r="O360" s="539"/>
      <c r="P360" s="562"/>
      <c r="Q360" s="539"/>
      <c r="R360" s="543"/>
      <c r="S360" s="543"/>
      <c r="AF360" s="59"/>
      <c r="AG360" s="59"/>
      <c r="AH360" s="560"/>
      <c r="AI360" s="560"/>
      <c r="BC360" s="61">
        <v>71984121.870000005</v>
      </c>
      <c r="BG360" s="61">
        <v>926358483.35000002</v>
      </c>
    </row>
    <row r="361" spans="2:60" ht="17.100000000000001" customHeight="1">
      <c r="B361" s="661"/>
      <c r="C361" s="561" t="s">
        <v>270</v>
      </c>
      <c r="D361" s="686"/>
      <c r="E361" s="518" t="s">
        <v>124</v>
      </c>
      <c r="F361" s="519">
        <v>0.09</v>
      </c>
      <c r="G361" s="520">
        <f t="shared" si="23"/>
        <v>227267319.00999999</v>
      </c>
      <c r="H361" s="520">
        <f t="shared" si="24"/>
        <v>0</v>
      </c>
      <c r="I361" s="521"/>
      <c r="J361" s="539"/>
      <c r="K361" s="539"/>
      <c r="L361" s="539"/>
      <c r="M361" s="539"/>
      <c r="N361" s="539"/>
      <c r="O361" s="539"/>
      <c r="P361" s="562"/>
      <c r="Q361" s="539"/>
      <c r="R361" s="543"/>
      <c r="S361" s="543"/>
      <c r="AF361" s="59"/>
      <c r="AG361" s="59"/>
      <c r="AH361" s="560"/>
      <c r="AI361" s="560"/>
      <c r="BC361" s="61">
        <v>9589391.6600000001</v>
      </c>
      <c r="BG361" s="61">
        <v>217677927.34999999</v>
      </c>
    </row>
    <row r="362" spans="2:60" ht="17.100000000000001" customHeight="1">
      <c r="B362" s="661"/>
      <c r="C362" s="561" t="s">
        <v>270</v>
      </c>
      <c r="D362" s="686"/>
      <c r="E362" s="547" t="s">
        <v>125</v>
      </c>
      <c r="F362" s="548">
        <v>0.06</v>
      </c>
      <c r="G362" s="520">
        <f t="shared" si="23"/>
        <v>0</v>
      </c>
      <c r="H362" s="520">
        <f t="shared" si="24"/>
        <v>0</v>
      </c>
      <c r="I362" s="521"/>
      <c r="J362" s="539"/>
      <c r="K362" s="539"/>
      <c r="L362" s="539"/>
      <c r="M362" s="539"/>
      <c r="N362" s="539"/>
      <c r="O362" s="539"/>
      <c r="P362" s="562"/>
      <c r="Q362" s="539"/>
      <c r="R362" s="543"/>
      <c r="S362" s="543"/>
      <c r="AF362" s="59"/>
      <c r="AG362" s="59"/>
      <c r="AH362" s="560"/>
      <c r="AI362" s="560"/>
      <c r="AY362" s="61">
        <v>46475.92</v>
      </c>
      <c r="BC362" s="61">
        <v>278388.68</v>
      </c>
      <c r="BD362" s="61">
        <v>30546.79</v>
      </c>
      <c r="BG362" s="61">
        <v>-324864.59999999998</v>
      </c>
      <c r="BH362" s="61">
        <v>-30546.79</v>
      </c>
    </row>
    <row r="363" spans="2:60" ht="17.100000000000001" customHeight="1">
      <c r="B363" s="661"/>
      <c r="C363" s="561">
        <v>1000</v>
      </c>
      <c r="D363" s="686" t="s">
        <v>272</v>
      </c>
      <c r="E363" s="518" t="s">
        <v>123</v>
      </c>
      <c r="F363" s="519">
        <v>0.13</v>
      </c>
      <c r="G363" s="520">
        <f t="shared" si="23"/>
        <v>0</v>
      </c>
      <c r="H363" s="520">
        <f t="shared" si="24"/>
        <v>0</v>
      </c>
      <c r="I363" s="521"/>
      <c r="J363" s="539"/>
      <c r="K363" s="539"/>
      <c r="L363" s="539"/>
      <c r="M363" s="539"/>
      <c r="N363" s="539"/>
      <c r="O363" s="539"/>
      <c r="P363" s="562"/>
      <c r="Q363" s="539"/>
      <c r="R363" s="543"/>
      <c r="S363" s="543"/>
      <c r="AF363" s="59"/>
      <c r="AG363" s="59"/>
      <c r="AH363" s="560"/>
      <c r="AI363" s="560"/>
    </row>
    <row r="364" spans="2:60" ht="17.100000000000001" customHeight="1">
      <c r="B364" s="661"/>
      <c r="C364" s="561">
        <v>1000</v>
      </c>
      <c r="D364" s="686"/>
      <c r="E364" s="518" t="s">
        <v>124</v>
      </c>
      <c r="F364" s="519">
        <v>0.09</v>
      </c>
      <c r="G364" s="520">
        <f t="shared" si="23"/>
        <v>0</v>
      </c>
      <c r="H364" s="520">
        <f t="shared" si="24"/>
        <v>0</v>
      </c>
      <c r="I364" s="521"/>
      <c r="J364" s="539"/>
      <c r="K364" s="539"/>
      <c r="L364" s="539"/>
      <c r="M364" s="539"/>
      <c r="N364" s="539"/>
      <c r="O364" s="539"/>
      <c r="P364" s="562"/>
      <c r="Q364" s="539"/>
      <c r="R364" s="543"/>
      <c r="S364" s="543"/>
      <c r="AF364" s="59"/>
      <c r="AG364" s="59"/>
      <c r="AH364" s="560"/>
      <c r="AI364" s="560"/>
    </row>
    <row r="365" spans="2:60" ht="17.100000000000001" customHeight="1">
      <c r="B365" s="661"/>
      <c r="C365" s="561">
        <v>1000</v>
      </c>
      <c r="D365" s="686"/>
      <c r="E365" s="547" t="s">
        <v>125</v>
      </c>
      <c r="F365" s="548">
        <v>0.06</v>
      </c>
      <c r="G365" s="520">
        <f t="shared" si="23"/>
        <v>2517023.79</v>
      </c>
      <c r="H365" s="520">
        <f t="shared" si="24"/>
        <v>2517023.79</v>
      </c>
      <c r="I365" s="521"/>
      <c r="J365" s="539"/>
      <c r="K365" s="539"/>
      <c r="L365" s="539"/>
      <c r="M365" s="539"/>
      <c r="N365" s="539"/>
      <c r="O365" s="539"/>
      <c r="P365" s="562"/>
      <c r="Q365" s="539"/>
      <c r="R365" s="543"/>
      <c r="S365" s="543"/>
      <c r="AF365" s="59"/>
      <c r="AG365" s="59"/>
      <c r="AH365" s="560"/>
      <c r="AI365" s="560"/>
      <c r="AY365" s="61">
        <v>2517023.79</v>
      </c>
      <c r="AZ365" s="61">
        <v>2517023.79</v>
      </c>
    </row>
    <row r="366" spans="2:60" ht="17.100000000000001" customHeight="1">
      <c r="B366" s="661"/>
      <c r="C366" s="561">
        <v>1000</v>
      </c>
      <c r="D366" s="686" t="s">
        <v>273</v>
      </c>
      <c r="E366" s="518" t="s">
        <v>123</v>
      </c>
      <c r="F366" s="519">
        <v>0.13</v>
      </c>
      <c r="G366" s="520">
        <f t="shared" si="23"/>
        <v>0</v>
      </c>
      <c r="H366" s="520">
        <f t="shared" si="24"/>
        <v>0</v>
      </c>
      <c r="I366" s="521"/>
      <c r="J366" s="539"/>
      <c r="K366" s="539"/>
      <c r="L366" s="539"/>
      <c r="M366" s="539"/>
      <c r="N366" s="539"/>
      <c r="O366" s="539"/>
      <c r="P366" s="562"/>
      <c r="Q366" s="539"/>
      <c r="R366" s="543"/>
      <c r="S366" s="543"/>
      <c r="AF366" s="59"/>
      <c r="AG366" s="59"/>
      <c r="AH366" s="560"/>
      <c r="AI366" s="560"/>
    </row>
    <row r="367" spans="2:60" ht="17.100000000000001" customHeight="1">
      <c r="B367" s="661"/>
      <c r="C367" s="561">
        <v>1000</v>
      </c>
      <c r="D367" s="686"/>
      <c r="E367" s="518" t="s">
        <v>124</v>
      </c>
      <c r="F367" s="519">
        <v>0.09</v>
      </c>
      <c r="G367" s="520">
        <f t="shared" si="23"/>
        <v>0</v>
      </c>
      <c r="H367" s="520">
        <f t="shared" si="24"/>
        <v>0</v>
      </c>
      <c r="I367" s="521"/>
      <c r="J367" s="539"/>
      <c r="K367" s="539"/>
      <c r="L367" s="539"/>
      <c r="M367" s="539"/>
      <c r="N367" s="539"/>
      <c r="O367" s="539"/>
      <c r="P367" s="562"/>
      <c r="Q367" s="539"/>
      <c r="R367" s="543"/>
      <c r="S367" s="543"/>
      <c r="AF367" s="59"/>
      <c r="AG367" s="59"/>
      <c r="AH367" s="560"/>
      <c r="AI367" s="560"/>
    </row>
    <row r="368" spans="2:60" ht="17.100000000000001" customHeight="1">
      <c r="B368" s="661"/>
      <c r="C368" s="561">
        <v>1000</v>
      </c>
      <c r="D368" s="686"/>
      <c r="E368" s="547" t="s">
        <v>125</v>
      </c>
      <c r="F368" s="548">
        <v>0.06</v>
      </c>
      <c r="G368" s="520">
        <f t="shared" si="23"/>
        <v>1736477.51</v>
      </c>
      <c r="H368" s="520">
        <f t="shared" si="24"/>
        <v>1736477.51</v>
      </c>
      <c r="I368" s="521"/>
      <c r="J368" s="539"/>
      <c r="K368" s="539"/>
      <c r="L368" s="539"/>
      <c r="M368" s="539"/>
      <c r="N368" s="539"/>
      <c r="O368" s="539"/>
      <c r="P368" s="562"/>
      <c r="Q368" s="539"/>
      <c r="R368" s="543"/>
      <c r="S368" s="543"/>
      <c r="AF368" s="59"/>
      <c r="AG368" s="59"/>
      <c r="AH368" s="560"/>
      <c r="AI368" s="560"/>
      <c r="BG368" s="61">
        <v>1736477.51</v>
      </c>
      <c r="BH368" s="61">
        <v>1736477.51</v>
      </c>
    </row>
    <row r="369" spans="2:60" ht="17.100000000000001" customHeight="1">
      <c r="B369" s="661"/>
      <c r="C369" s="561">
        <v>1000</v>
      </c>
      <c r="D369" s="686" t="s">
        <v>274</v>
      </c>
      <c r="E369" s="518" t="s">
        <v>123</v>
      </c>
      <c r="F369" s="519">
        <v>0.13</v>
      </c>
      <c r="G369" s="520">
        <f t="shared" si="23"/>
        <v>0</v>
      </c>
      <c r="H369" s="520">
        <f t="shared" si="24"/>
        <v>0</v>
      </c>
      <c r="I369" s="521"/>
      <c r="J369" s="539"/>
      <c r="K369" s="539"/>
      <c r="L369" s="539"/>
      <c r="M369" s="539"/>
      <c r="N369" s="539"/>
      <c r="O369" s="539"/>
      <c r="P369" s="562"/>
      <c r="Q369" s="539"/>
      <c r="R369" s="543"/>
      <c r="S369" s="543"/>
      <c r="AF369" s="59"/>
      <c r="AG369" s="59"/>
      <c r="AH369" s="560"/>
      <c r="AI369" s="560"/>
    </row>
    <row r="370" spans="2:60" ht="17.100000000000001" customHeight="1">
      <c r="B370" s="661"/>
      <c r="C370" s="561">
        <v>1000</v>
      </c>
      <c r="D370" s="686"/>
      <c r="E370" s="518" t="s">
        <v>124</v>
      </c>
      <c r="F370" s="519">
        <v>0.09</v>
      </c>
      <c r="G370" s="520">
        <f t="shared" si="23"/>
        <v>0</v>
      </c>
      <c r="H370" s="520">
        <f t="shared" si="24"/>
        <v>0</v>
      </c>
      <c r="I370" s="521"/>
      <c r="J370" s="539"/>
      <c r="K370" s="539"/>
      <c r="L370" s="539"/>
      <c r="M370" s="539"/>
      <c r="N370" s="539"/>
      <c r="O370" s="539"/>
      <c r="P370" s="562"/>
      <c r="Q370" s="539"/>
      <c r="R370" s="543"/>
      <c r="S370" s="543"/>
      <c r="AF370" s="59"/>
      <c r="AG370" s="59"/>
      <c r="AH370" s="560"/>
      <c r="AI370" s="560"/>
    </row>
    <row r="371" spans="2:60" ht="17.100000000000001" customHeight="1">
      <c r="B371" s="661"/>
      <c r="C371" s="561">
        <v>1000</v>
      </c>
      <c r="D371" s="686"/>
      <c r="E371" s="547" t="s">
        <v>125</v>
      </c>
      <c r="F371" s="548">
        <v>0.06</v>
      </c>
      <c r="G371" s="520">
        <f t="shared" si="23"/>
        <v>74704.100000000006</v>
      </c>
      <c r="H371" s="520">
        <f t="shared" si="24"/>
        <v>74704.100000000006</v>
      </c>
      <c r="I371" s="521"/>
      <c r="J371" s="539"/>
      <c r="K371" s="539"/>
      <c r="L371" s="539"/>
      <c r="M371" s="539"/>
      <c r="N371" s="539"/>
      <c r="O371" s="539"/>
      <c r="P371" s="562"/>
      <c r="Q371" s="539"/>
      <c r="R371" s="543"/>
      <c r="S371" s="543"/>
      <c r="AF371" s="59"/>
      <c r="AG371" s="59"/>
      <c r="AH371" s="560"/>
      <c r="AI371" s="560"/>
      <c r="BG371" s="61">
        <v>74704.100000000006</v>
      </c>
      <c r="BH371" s="61">
        <v>74704.100000000006</v>
      </c>
    </row>
    <row r="372" spans="2:60" ht="17.100000000000001" customHeight="1">
      <c r="B372" s="661"/>
      <c r="C372" s="667" t="s">
        <v>213</v>
      </c>
      <c r="D372" s="686" t="s">
        <v>226</v>
      </c>
      <c r="E372" s="518" t="s">
        <v>123</v>
      </c>
      <c r="F372" s="519">
        <v>0.13</v>
      </c>
      <c r="G372" s="520">
        <f t="shared" si="23"/>
        <v>0</v>
      </c>
      <c r="H372" s="520">
        <f t="shared" si="24"/>
        <v>199488955.77000001</v>
      </c>
      <c r="I372" s="521"/>
      <c r="J372" s="539"/>
      <c r="K372" s="539"/>
      <c r="L372" s="539"/>
      <c r="M372" s="539"/>
      <c r="N372" s="539"/>
      <c r="O372" s="539"/>
      <c r="P372" s="562"/>
      <c r="Q372" s="539"/>
      <c r="R372" s="543"/>
      <c r="S372" s="543"/>
      <c r="AF372" s="59"/>
      <c r="AG372" s="59"/>
      <c r="AH372" s="560"/>
      <c r="AI372" s="560"/>
      <c r="AZ372" s="61">
        <v>199488955.77000001</v>
      </c>
      <c r="BA372" s="495">
        <v>159050800.11000001</v>
      </c>
    </row>
    <row r="373" spans="2:60" ht="17.100000000000001" customHeight="1">
      <c r="B373" s="661"/>
      <c r="C373" s="668"/>
      <c r="D373" s="686"/>
      <c r="E373" s="518" t="s">
        <v>124</v>
      </c>
      <c r="F373" s="519">
        <v>0.09</v>
      </c>
      <c r="G373" s="520">
        <f t="shared" si="23"/>
        <v>0</v>
      </c>
      <c r="H373" s="520">
        <f t="shared" si="24"/>
        <v>0</v>
      </c>
      <c r="I373" s="521"/>
      <c r="J373" s="539"/>
      <c r="K373" s="539"/>
      <c r="L373" s="539"/>
      <c r="M373" s="539"/>
      <c r="N373" s="539"/>
      <c r="O373" s="539"/>
      <c r="P373" s="562"/>
      <c r="Q373" s="539"/>
      <c r="R373" s="543"/>
      <c r="S373" s="543"/>
      <c r="AF373" s="59"/>
      <c r="AG373" s="59"/>
      <c r="AH373" s="560"/>
      <c r="AI373" s="560"/>
    </row>
    <row r="374" spans="2:60" ht="17.100000000000001" customHeight="1">
      <c r="B374" s="661"/>
      <c r="C374" s="669"/>
      <c r="D374" s="686"/>
      <c r="E374" s="547" t="s">
        <v>125</v>
      </c>
      <c r="F374" s="548">
        <v>0.06</v>
      </c>
      <c r="G374" s="520">
        <f t="shared" si="23"/>
        <v>0</v>
      </c>
      <c r="H374" s="520">
        <f t="shared" si="24"/>
        <v>0</v>
      </c>
      <c r="I374" s="521"/>
      <c r="J374" s="539"/>
      <c r="K374" s="539"/>
      <c r="L374" s="539"/>
      <c r="M374" s="539"/>
      <c r="N374" s="539"/>
      <c r="O374" s="539"/>
      <c r="P374" s="562"/>
      <c r="Q374" s="539"/>
      <c r="R374" s="543"/>
      <c r="S374" s="543"/>
      <c r="AF374" s="59"/>
      <c r="AG374" s="59"/>
      <c r="AH374" s="560"/>
      <c r="AI374" s="560"/>
    </row>
    <row r="375" spans="2:60" ht="17.100000000000001" customHeight="1">
      <c r="B375" s="661"/>
      <c r="C375" s="667" t="s">
        <v>269</v>
      </c>
      <c r="D375" s="686" t="s">
        <v>180</v>
      </c>
      <c r="E375" s="518" t="s">
        <v>123</v>
      </c>
      <c r="F375" s="519">
        <v>0.13</v>
      </c>
      <c r="G375" s="520">
        <f t="shared" si="23"/>
        <v>0</v>
      </c>
      <c r="H375" s="520">
        <f t="shared" si="24"/>
        <v>1103206194.6900001</v>
      </c>
      <c r="I375" s="521"/>
      <c r="J375" s="539"/>
      <c r="K375" s="539"/>
      <c r="L375" s="539"/>
      <c r="M375" s="539"/>
      <c r="N375" s="539"/>
      <c r="O375" s="539"/>
      <c r="P375" s="562"/>
      <c r="Q375" s="539"/>
      <c r="R375" s="543"/>
      <c r="S375" s="543"/>
      <c r="AF375" s="59"/>
      <c r="AG375" s="59"/>
      <c r="AH375" s="560"/>
      <c r="AI375" s="560"/>
      <c r="BD375" s="61">
        <v>619735847.59000003</v>
      </c>
      <c r="BH375" s="61">
        <v>483470347.10000002</v>
      </c>
    </row>
    <row r="376" spans="2:60" ht="17.100000000000001" customHeight="1">
      <c r="B376" s="661"/>
      <c r="C376" s="668"/>
      <c r="D376" s="686"/>
      <c r="E376" s="518" t="s">
        <v>124</v>
      </c>
      <c r="F376" s="519">
        <v>0.09</v>
      </c>
      <c r="G376" s="520">
        <f t="shared" si="23"/>
        <v>0</v>
      </c>
      <c r="H376" s="520">
        <f t="shared" si="24"/>
        <v>0</v>
      </c>
      <c r="I376" s="521"/>
      <c r="J376" s="539"/>
      <c r="K376" s="539"/>
      <c r="L376" s="539"/>
      <c r="M376" s="539"/>
      <c r="N376" s="539"/>
      <c r="O376" s="539"/>
      <c r="P376" s="562"/>
      <c r="Q376" s="539"/>
      <c r="R376" s="543"/>
      <c r="S376" s="543"/>
      <c r="AF376" s="59"/>
      <c r="AG376" s="59"/>
      <c r="AH376" s="560"/>
      <c r="AI376" s="560"/>
    </row>
    <row r="377" spans="2:60" ht="17.100000000000001" customHeight="1">
      <c r="B377" s="661"/>
      <c r="C377" s="669"/>
      <c r="D377" s="686"/>
      <c r="E377" s="547" t="s">
        <v>125</v>
      </c>
      <c r="F377" s="548">
        <v>0.06</v>
      </c>
      <c r="G377" s="520">
        <f t="shared" si="23"/>
        <v>0</v>
      </c>
      <c r="H377" s="520">
        <f t="shared" si="24"/>
        <v>0</v>
      </c>
      <c r="I377" s="521"/>
      <c r="J377" s="539"/>
      <c r="K377" s="539"/>
      <c r="L377" s="539"/>
      <c r="M377" s="539"/>
      <c r="N377" s="539"/>
      <c r="O377" s="539"/>
      <c r="P377" s="562"/>
      <c r="Q377" s="539"/>
      <c r="R377" s="543"/>
      <c r="S377" s="543"/>
      <c r="AF377" s="59"/>
      <c r="AG377" s="59"/>
      <c r="AH377" s="560"/>
      <c r="AI377" s="560"/>
    </row>
    <row r="378" spans="2:60" ht="17.100000000000001" customHeight="1">
      <c r="B378" s="661"/>
      <c r="C378" s="667" t="s">
        <v>275</v>
      </c>
      <c r="D378" s="686" t="s">
        <v>180</v>
      </c>
      <c r="E378" s="518" t="s">
        <v>123</v>
      </c>
      <c r="F378" s="519">
        <v>0.13</v>
      </c>
      <c r="G378" s="520">
        <f t="shared" si="23"/>
        <v>0</v>
      </c>
      <c r="H378" s="520">
        <f t="shared" si="24"/>
        <v>798873451.33000004</v>
      </c>
      <c r="I378" s="521"/>
      <c r="J378" s="539"/>
      <c r="K378" s="539"/>
      <c r="L378" s="539"/>
      <c r="M378" s="539"/>
      <c r="N378" s="539"/>
      <c r="O378" s="539"/>
      <c r="P378" s="562"/>
      <c r="Q378" s="539"/>
      <c r="R378" s="543"/>
      <c r="S378" s="543"/>
      <c r="AF378" s="59"/>
      <c r="AG378" s="59"/>
      <c r="AH378" s="560"/>
      <c r="AI378" s="560"/>
      <c r="BD378" s="61">
        <v>443989860.95999998</v>
      </c>
      <c r="BH378" s="61">
        <v>354883590.37</v>
      </c>
    </row>
    <row r="379" spans="2:60" ht="17.100000000000001" customHeight="1">
      <c r="B379" s="661"/>
      <c r="C379" s="668"/>
      <c r="D379" s="686"/>
      <c r="E379" s="518" t="s">
        <v>124</v>
      </c>
      <c r="F379" s="519">
        <v>0.09</v>
      </c>
      <c r="G379" s="520">
        <f t="shared" si="23"/>
        <v>0</v>
      </c>
      <c r="H379" s="520">
        <f t="shared" si="24"/>
        <v>0</v>
      </c>
      <c r="I379" s="521"/>
      <c r="J379" s="539"/>
      <c r="K379" s="539"/>
      <c r="L379" s="539"/>
      <c r="M379" s="539"/>
      <c r="N379" s="539"/>
      <c r="O379" s="539"/>
      <c r="P379" s="562"/>
      <c r="Q379" s="539"/>
      <c r="R379" s="543"/>
      <c r="S379" s="543"/>
      <c r="AF379" s="59"/>
      <c r="AG379" s="59"/>
      <c r="AH379" s="560"/>
      <c r="AI379" s="560"/>
    </row>
    <row r="380" spans="2:60" ht="17.100000000000001" customHeight="1">
      <c r="B380" s="661"/>
      <c r="C380" s="669"/>
      <c r="D380" s="686"/>
      <c r="E380" s="547" t="s">
        <v>125</v>
      </c>
      <c r="F380" s="548">
        <v>0.06</v>
      </c>
      <c r="G380" s="520">
        <f t="shared" si="23"/>
        <v>0</v>
      </c>
      <c r="H380" s="520">
        <f t="shared" si="24"/>
        <v>0</v>
      </c>
      <c r="I380" s="521"/>
      <c r="J380" s="539"/>
      <c r="K380" s="539"/>
      <c r="L380" s="539"/>
      <c r="M380" s="539"/>
      <c r="N380" s="539"/>
      <c r="O380" s="539"/>
      <c r="P380" s="562"/>
      <c r="Q380" s="539"/>
      <c r="R380" s="543"/>
      <c r="S380" s="543"/>
      <c r="AF380" s="59"/>
      <c r="AG380" s="59"/>
      <c r="AH380" s="560"/>
      <c r="AI380" s="560"/>
    </row>
    <row r="381" spans="2:60" ht="17.100000000000001" customHeight="1">
      <c r="B381" s="661"/>
      <c r="C381" s="667" t="s">
        <v>276</v>
      </c>
      <c r="D381" s="686" t="s">
        <v>277</v>
      </c>
      <c r="E381" s="518" t="s">
        <v>123</v>
      </c>
      <c r="F381" s="519">
        <v>0.13</v>
      </c>
      <c r="G381" s="520">
        <f t="shared" si="23"/>
        <v>0</v>
      </c>
      <c r="H381" s="520">
        <f t="shared" si="24"/>
        <v>0</v>
      </c>
      <c r="I381" s="521"/>
      <c r="J381" s="539"/>
      <c r="K381" s="539"/>
      <c r="L381" s="539"/>
      <c r="M381" s="539"/>
      <c r="N381" s="539"/>
      <c r="O381" s="539"/>
      <c r="P381" s="562"/>
      <c r="Q381" s="539"/>
      <c r="R381" s="543"/>
      <c r="S381" s="543"/>
      <c r="AF381" s="59"/>
      <c r="AG381" s="59"/>
      <c r="AH381" s="560"/>
      <c r="AI381" s="560"/>
    </row>
    <row r="382" spans="2:60" ht="17.100000000000001" customHeight="1">
      <c r="B382" s="661"/>
      <c r="C382" s="668"/>
      <c r="D382" s="686"/>
      <c r="E382" s="518" t="s">
        <v>124</v>
      </c>
      <c r="F382" s="519">
        <v>0.09</v>
      </c>
      <c r="G382" s="520">
        <f t="shared" si="23"/>
        <v>0</v>
      </c>
      <c r="H382" s="520">
        <f t="shared" si="24"/>
        <v>13761467.880000001</v>
      </c>
      <c r="I382" s="521"/>
      <c r="J382" s="539"/>
      <c r="K382" s="539"/>
      <c r="L382" s="539"/>
      <c r="M382" s="539"/>
      <c r="N382" s="539"/>
      <c r="O382" s="539"/>
      <c r="P382" s="562"/>
      <c r="Q382" s="539"/>
      <c r="R382" s="543"/>
      <c r="S382" s="543"/>
      <c r="AF382" s="59"/>
      <c r="AG382" s="59"/>
      <c r="AH382" s="560"/>
      <c r="AI382" s="560"/>
      <c r="BD382" s="61">
        <v>13761467.880000001</v>
      </c>
    </row>
    <row r="383" spans="2:60" ht="17.100000000000001" customHeight="1">
      <c r="B383" s="661"/>
      <c r="C383" s="669"/>
      <c r="D383" s="686"/>
      <c r="E383" s="547" t="s">
        <v>125</v>
      </c>
      <c r="F383" s="548">
        <v>0.06</v>
      </c>
      <c r="G383" s="520">
        <f t="shared" si="23"/>
        <v>0</v>
      </c>
      <c r="H383" s="520">
        <f t="shared" si="24"/>
        <v>0</v>
      </c>
      <c r="I383" s="521"/>
      <c r="J383" s="539"/>
      <c r="K383" s="539"/>
      <c r="L383" s="539"/>
      <c r="M383" s="539"/>
      <c r="N383" s="539"/>
      <c r="O383" s="539"/>
      <c r="P383" s="562"/>
      <c r="Q383" s="539"/>
      <c r="R383" s="543"/>
      <c r="S383" s="543"/>
      <c r="AF383" s="59"/>
      <c r="AG383" s="59"/>
      <c r="AH383" s="560"/>
      <c r="AI383" s="560"/>
    </row>
    <row r="384" spans="2:60" ht="17.100000000000001" customHeight="1">
      <c r="B384" s="661"/>
      <c r="C384" s="667" t="s">
        <v>278</v>
      </c>
      <c r="D384" s="686" t="s">
        <v>279</v>
      </c>
      <c r="E384" s="518" t="s">
        <v>123</v>
      </c>
      <c r="F384" s="519">
        <v>0.13</v>
      </c>
      <c r="G384" s="520">
        <f t="shared" si="23"/>
        <v>0</v>
      </c>
      <c r="H384" s="520">
        <f t="shared" si="24"/>
        <v>0</v>
      </c>
      <c r="I384" s="521"/>
      <c r="J384" s="539"/>
      <c r="K384" s="539"/>
      <c r="L384" s="539"/>
      <c r="M384" s="539"/>
      <c r="N384" s="539"/>
      <c r="O384" s="539"/>
      <c r="P384" s="562"/>
      <c r="Q384" s="539"/>
      <c r="R384" s="543"/>
      <c r="S384" s="543"/>
      <c r="AF384" s="59"/>
      <c r="AG384" s="59"/>
      <c r="AH384" s="560"/>
      <c r="AI384" s="560"/>
    </row>
    <row r="385" spans="2:60" ht="17.100000000000001" customHeight="1">
      <c r="B385" s="661"/>
      <c r="C385" s="668"/>
      <c r="D385" s="686"/>
      <c r="E385" s="518" t="s">
        <v>124</v>
      </c>
      <c r="F385" s="519">
        <v>0.09</v>
      </c>
      <c r="G385" s="520">
        <f t="shared" si="23"/>
        <v>0</v>
      </c>
      <c r="H385" s="520">
        <f t="shared" si="24"/>
        <v>0</v>
      </c>
      <c r="I385" s="521"/>
      <c r="J385" s="539"/>
      <c r="K385" s="539"/>
      <c r="L385" s="539"/>
      <c r="M385" s="539"/>
      <c r="N385" s="539"/>
      <c r="O385" s="539"/>
      <c r="P385" s="562"/>
      <c r="Q385" s="539"/>
      <c r="R385" s="543"/>
      <c r="S385" s="543"/>
      <c r="AF385" s="59"/>
      <c r="AG385" s="59"/>
      <c r="AH385" s="560"/>
      <c r="AI385" s="560"/>
      <c r="BA385" s="495">
        <v>395103.89</v>
      </c>
    </row>
    <row r="386" spans="2:60" ht="17.100000000000001" customHeight="1">
      <c r="B386" s="661"/>
      <c r="C386" s="669"/>
      <c r="D386" s="686"/>
      <c r="E386" s="547" t="s">
        <v>125</v>
      </c>
      <c r="F386" s="548">
        <v>0.06</v>
      </c>
      <c r="G386" s="520">
        <f t="shared" si="23"/>
        <v>0</v>
      </c>
      <c r="H386" s="520">
        <f t="shared" si="24"/>
        <v>0</v>
      </c>
      <c r="I386" s="521"/>
      <c r="J386" s="539"/>
      <c r="K386" s="539"/>
      <c r="L386" s="539"/>
      <c r="M386" s="539"/>
      <c r="N386" s="539"/>
      <c r="O386" s="539"/>
      <c r="P386" s="562"/>
      <c r="Q386" s="539"/>
      <c r="R386" s="543"/>
      <c r="S386" s="543"/>
      <c r="AF386" s="59"/>
      <c r="AG386" s="59"/>
      <c r="AH386" s="560"/>
      <c r="AI386" s="560"/>
    </row>
    <row r="387" spans="2:60" ht="17.100000000000001" customHeight="1">
      <c r="B387" s="666"/>
      <c r="C387" s="516" t="s">
        <v>280</v>
      </c>
      <c r="D387" s="690" t="s">
        <v>281</v>
      </c>
      <c r="E387" s="518" t="s">
        <v>123</v>
      </c>
      <c r="F387" s="519">
        <v>0.13</v>
      </c>
      <c r="G387" s="520">
        <f t="shared" si="23"/>
        <v>0</v>
      </c>
      <c r="H387" s="520">
        <f t="shared" si="24"/>
        <v>0</v>
      </c>
      <c r="I387" s="521"/>
      <c r="J387" s="539"/>
      <c r="K387" s="539"/>
      <c r="L387" s="539"/>
      <c r="M387" s="539"/>
      <c r="N387" s="539"/>
      <c r="O387" s="539"/>
      <c r="P387" s="562"/>
      <c r="Q387" s="539"/>
      <c r="R387" s="543"/>
      <c r="S387" s="543"/>
      <c r="AF387" s="59"/>
      <c r="AG387" s="59"/>
      <c r="AH387" s="560"/>
      <c r="AI387" s="560"/>
    </row>
    <row r="388" spans="2:60" ht="17.100000000000001" customHeight="1">
      <c r="B388" s="659"/>
      <c r="C388" s="516" t="s">
        <v>280</v>
      </c>
      <c r="D388" s="684"/>
      <c r="E388" s="518" t="s">
        <v>124</v>
      </c>
      <c r="F388" s="519">
        <v>0.09</v>
      </c>
      <c r="G388" s="520">
        <f t="shared" si="23"/>
        <v>472115</v>
      </c>
      <c r="H388" s="520">
        <f t="shared" si="24"/>
        <v>472115</v>
      </c>
      <c r="I388" s="521"/>
      <c r="J388" s="539"/>
      <c r="K388" s="539"/>
      <c r="L388" s="539"/>
      <c r="M388" s="539"/>
      <c r="N388" s="539"/>
      <c r="O388" s="539"/>
      <c r="P388" s="562"/>
      <c r="Q388" s="539"/>
      <c r="R388" s="543"/>
      <c r="S388" s="543"/>
      <c r="AF388" s="59"/>
      <c r="AG388" s="59"/>
      <c r="AH388" s="560"/>
      <c r="AI388" s="560"/>
      <c r="BG388" s="61">
        <v>472115</v>
      </c>
      <c r="BH388" s="61">
        <v>472115</v>
      </c>
    </row>
    <row r="389" spans="2:60" ht="17.100000000000001" customHeight="1">
      <c r="B389" s="660"/>
      <c r="C389" s="516" t="s">
        <v>280</v>
      </c>
      <c r="D389" s="685"/>
      <c r="E389" s="518" t="s">
        <v>125</v>
      </c>
      <c r="F389" s="519">
        <v>0.06</v>
      </c>
      <c r="G389" s="520">
        <f t="shared" si="23"/>
        <v>0</v>
      </c>
      <c r="H389" s="520">
        <f t="shared" si="24"/>
        <v>0</v>
      </c>
      <c r="I389" s="521"/>
      <c r="J389" s="539"/>
      <c r="K389" s="539"/>
      <c r="L389" s="539"/>
      <c r="M389" s="539"/>
      <c r="N389" s="539"/>
      <c r="O389" s="539"/>
      <c r="P389" s="562"/>
      <c r="Q389" s="539"/>
      <c r="R389" s="543"/>
      <c r="S389" s="543"/>
      <c r="AF389" s="59"/>
      <c r="AG389" s="59"/>
      <c r="AH389" s="560"/>
      <c r="AI389" s="560"/>
    </row>
    <row r="390" spans="2:60" ht="17.100000000000001" customHeight="1">
      <c r="B390" s="666"/>
      <c r="C390" s="516" t="s">
        <v>280</v>
      </c>
      <c r="D390" s="690" t="s">
        <v>282</v>
      </c>
      <c r="E390" s="518" t="s">
        <v>123</v>
      </c>
      <c r="F390" s="519">
        <v>0.13</v>
      </c>
      <c r="G390" s="520">
        <f t="shared" si="23"/>
        <v>0</v>
      </c>
      <c r="H390" s="520">
        <f t="shared" si="24"/>
        <v>0</v>
      </c>
      <c r="I390" s="521"/>
      <c r="J390" s="539"/>
      <c r="K390" s="539"/>
      <c r="L390" s="539"/>
      <c r="M390" s="539"/>
      <c r="N390" s="539"/>
      <c r="O390" s="539"/>
      <c r="P390" s="562"/>
      <c r="Q390" s="539"/>
      <c r="R390" s="543"/>
      <c r="S390" s="543"/>
      <c r="AF390" s="59"/>
      <c r="AG390" s="59"/>
      <c r="AH390" s="560"/>
      <c r="AI390" s="560"/>
    </row>
    <row r="391" spans="2:60" ht="17.100000000000001" customHeight="1">
      <c r="B391" s="659"/>
      <c r="C391" s="516" t="s">
        <v>280</v>
      </c>
      <c r="D391" s="684"/>
      <c r="E391" s="518" t="s">
        <v>124</v>
      </c>
      <c r="F391" s="519">
        <v>0.09</v>
      </c>
      <c r="G391" s="520">
        <f t="shared" si="23"/>
        <v>0</v>
      </c>
      <c r="H391" s="520">
        <f t="shared" si="24"/>
        <v>0</v>
      </c>
      <c r="I391" s="521"/>
      <c r="J391" s="539"/>
      <c r="K391" s="539"/>
      <c r="L391" s="539"/>
      <c r="M391" s="539"/>
      <c r="N391" s="539"/>
      <c r="O391" s="539"/>
      <c r="P391" s="562"/>
      <c r="Q391" s="539"/>
      <c r="R391" s="543"/>
      <c r="S391" s="543"/>
      <c r="AF391" s="59"/>
      <c r="AG391" s="59"/>
      <c r="AH391" s="560"/>
      <c r="AI391" s="560"/>
    </row>
    <row r="392" spans="2:60" ht="17.100000000000001" customHeight="1">
      <c r="B392" s="660"/>
      <c r="C392" s="516" t="s">
        <v>280</v>
      </c>
      <c r="D392" s="685"/>
      <c r="E392" s="518" t="s">
        <v>125</v>
      </c>
      <c r="F392" s="519">
        <v>0.06</v>
      </c>
      <c r="G392" s="520">
        <f t="shared" si="23"/>
        <v>298056.78000000003</v>
      </c>
      <c r="H392" s="520">
        <f t="shared" si="24"/>
        <v>298056.78000000003</v>
      </c>
      <c r="I392" s="521"/>
      <c r="J392" s="539"/>
      <c r="K392" s="539"/>
      <c r="L392" s="539"/>
      <c r="M392" s="539"/>
      <c r="N392" s="539"/>
      <c r="O392" s="539"/>
      <c r="P392" s="562"/>
      <c r="Q392" s="539"/>
      <c r="R392" s="543"/>
      <c r="S392" s="543"/>
      <c r="AF392" s="59"/>
      <c r="AG392" s="59"/>
      <c r="AH392" s="560"/>
      <c r="AI392" s="560"/>
      <c r="BG392" s="61">
        <v>298056.78000000003</v>
      </c>
      <c r="BH392" s="61">
        <v>298056.78000000003</v>
      </c>
    </row>
    <row r="393" spans="2:60">
      <c r="B393" s="666" t="s">
        <v>283</v>
      </c>
      <c r="C393" s="516" t="s">
        <v>284</v>
      </c>
      <c r="D393" s="690" t="s">
        <v>283</v>
      </c>
      <c r="E393" s="518" t="s">
        <v>123</v>
      </c>
      <c r="F393" s="519">
        <v>0.13</v>
      </c>
      <c r="G393" s="520">
        <f t="shared" si="23"/>
        <v>0</v>
      </c>
      <c r="H393" s="520">
        <f t="shared" si="24"/>
        <v>0</v>
      </c>
      <c r="I393" s="521">
        <f t="shared" ref="I393:I401" si="26">G393-H393</f>
        <v>0</v>
      </c>
      <c r="J393" s="539"/>
      <c r="K393" s="539"/>
      <c r="L393" s="539"/>
      <c r="M393" s="539"/>
      <c r="N393" s="539"/>
      <c r="O393" s="539"/>
      <c r="P393" s="562"/>
      <c r="Q393" s="539"/>
      <c r="R393" s="543"/>
      <c r="S393" s="543"/>
      <c r="AF393" s="59"/>
      <c r="AG393" s="59"/>
      <c r="AH393" s="560"/>
      <c r="AI393" s="560"/>
    </row>
    <row r="394" spans="2:60">
      <c r="B394" s="659"/>
      <c r="C394" s="516" t="s">
        <v>284</v>
      </c>
      <c r="D394" s="684"/>
      <c r="E394" s="518" t="s">
        <v>124</v>
      </c>
      <c r="F394" s="519">
        <v>0.09</v>
      </c>
      <c r="G394" s="520">
        <f t="shared" ref="G394:G402" si="27">SUM(J394,L394,N394,P394,R394,T394,V394,X394,Z394,AB394,AD394,AF394,AH394,AJ394,AL394,AN394,AP394,AR394,AU394,AW394,AY394,BC394,BG394)</f>
        <v>0</v>
      </c>
      <c r="H394" s="520">
        <f t="shared" ref="H394:H402" si="28">SUM(K394,M394,O394,Q394,S394,U394,W394,Y394,AA394,AC394,AE394,AG394,AI394,AK394,AM394,AO394,AQ394,AS394,AV394,AX394,AZ394,BD394,BH394)</f>
        <v>0</v>
      </c>
      <c r="I394" s="521">
        <f t="shared" si="26"/>
        <v>0</v>
      </c>
      <c r="J394" s="539"/>
      <c r="K394" s="539"/>
      <c r="L394" s="539"/>
      <c r="M394" s="539"/>
      <c r="N394" s="539"/>
      <c r="O394" s="539"/>
      <c r="P394" s="562"/>
      <c r="Q394" s="539"/>
      <c r="R394" s="543"/>
      <c r="S394" s="543"/>
      <c r="AF394" s="59"/>
      <c r="AG394" s="59"/>
      <c r="AH394" s="560"/>
      <c r="AI394" s="560"/>
    </row>
    <row r="395" spans="2:60">
      <c r="B395" s="660"/>
      <c r="C395" s="516" t="s">
        <v>284</v>
      </c>
      <c r="D395" s="685"/>
      <c r="E395" s="518" t="s">
        <v>125</v>
      </c>
      <c r="F395" s="519">
        <v>0.06</v>
      </c>
      <c r="G395" s="520">
        <f t="shared" si="27"/>
        <v>0</v>
      </c>
      <c r="H395" s="520">
        <f t="shared" si="28"/>
        <v>0</v>
      </c>
      <c r="I395" s="521">
        <f t="shared" si="26"/>
        <v>0</v>
      </c>
      <c r="J395" s="539"/>
      <c r="K395" s="539"/>
      <c r="L395" s="539"/>
      <c r="M395" s="539"/>
      <c r="N395" s="539"/>
      <c r="O395" s="539"/>
      <c r="P395" s="562"/>
      <c r="Q395" s="539"/>
      <c r="R395" s="543"/>
      <c r="S395" s="543"/>
      <c r="AF395" s="59"/>
      <c r="AG395" s="59"/>
      <c r="AH395" s="560"/>
      <c r="AI395" s="560"/>
    </row>
    <row r="396" spans="2:60">
      <c r="B396" s="652" t="s">
        <v>285</v>
      </c>
      <c r="C396" s="516">
        <v>1000</v>
      </c>
      <c r="D396" s="680" t="s">
        <v>285</v>
      </c>
      <c r="E396" s="518" t="s">
        <v>123</v>
      </c>
      <c r="F396" s="519">
        <v>0.13</v>
      </c>
      <c r="G396" s="520">
        <f t="shared" si="27"/>
        <v>3360049.91</v>
      </c>
      <c r="H396" s="520">
        <f t="shared" si="28"/>
        <v>3360049.91</v>
      </c>
      <c r="I396" s="521">
        <f t="shared" si="26"/>
        <v>0</v>
      </c>
      <c r="J396" s="539"/>
      <c r="K396" s="539"/>
      <c r="L396" s="539"/>
      <c r="M396" s="539"/>
      <c r="N396" s="539"/>
      <c r="O396" s="539"/>
      <c r="P396" s="562"/>
      <c r="Q396" s="539"/>
      <c r="R396" s="543"/>
      <c r="S396" s="543"/>
      <c r="AF396" s="59"/>
      <c r="AG396" s="59"/>
      <c r="AR396" s="61">
        <v>3360049.91</v>
      </c>
      <c r="AS396" s="59">
        <v>3360049.91</v>
      </c>
    </row>
    <row r="397" spans="2:60">
      <c r="B397" s="652"/>
      <c r="C397" s="516">
        <v>1000</v>
      </c>
      <c r="D397" s="683"/>
      <c r="E397" s="518" t="s">
        <v>124</v>
      </c>
      <c r="F397" s="519">
        <v>0.09</v>
      </c>
      <c r="G397" s="520">
        <f t="shared" si="27"/>
        <v>0</v>
      </c>
      <c r="H397" s="520">
        <f t="shared" si="28"/>
        <v>0</v>
      </c>
      <c r="I397" s="521">
        <f t="shared" si="26"/>
        <v>0</v>
      </c>
      <c r="J397" s="539"/>
      <c r="K397" s="539"/>
      <c r="L397" s="539"/>
      <c r="M397" s="539"/>
      <c r="N397" s="539"/>
      <c r="O397" s="539"/>
      <c r="P397" s="562"/>
      <c r="Q397" s="539"/>
      <c r="R397" s="543"/>
      <c r="S397" s="543"/>
      <c r="AF397" s="59"/>
      <c r="AG397" s="59"/>
    </row>
    <row r="398" spans="2:60">
      <c r="B398" s="652"/>
      <c r="C398" s="516">
        <v>1000</v>
      </c>
      <c r="D398" s="682"/>
      <c r="E398" s="518" t="s">
        <v>125</v>
      </c>
      <c r="F398" s="519">
        <v>0.06</v>
      </c>
      <c r="G398" s="520">
        <f t="shared" si="27"/>
        <v>441369.98</v>
      </c>
      <c r="H398" s="520">
        <f t="shared" si="28"/>
        <v>441369.98</v>
      </c>
      <c r="I398" s="521">
        <f t="shared" si="26"/>
        <v>0</v>
      </c>
      <c r="J398" s="539"/>
      <c r="K398" s="539"/>
      <c r="L398" s="539"/>
      <c r="M398" s="539"/>
      <c r="N398" s="539"/>
      <c r="O398" s="539"/>
      <c r="P398" s="562"/>
      <c r="Q398" s="539"/>
      <c r="R398" s="543"/>
      <c r="S398" s="543"/>
      <c r="AD398" s="59">
        <v>441369.98</v>
      </c>
      <c r="AE398" s="59">
        <v>441369.98</v>
      </c>
      <c r="AF398" s="59"/>
      <c r="AG398" s="59"/>
    </row>
    <row r="399" spans="2:60" customFormat="1">
      <c r="B399" s="652" t="s">
        <v>286</v>
      </c>
      <c r="C399" s="516">
        <v>2000</v>
      </c>
      <c r="D399" s="680" t="s">
        <v>287</v>
      </c>
      <c r="E399" s="518" t="s">
        <v>123</v>
      </c>
      <c r="F399" s="519">
        <v>0.13</v>
      </c>
      <c r="G399" s="520">
        <f t="shared" si="27"/>
        <v>686797462.01999998</v>
      </c>
      <c r="H399" s="520">
        <f t="shared" si="28"/>
        <v>686797462.01999998</v>
      </c>
      <c r="I399" s="521">
        <f t="shared" si="26"/>
        <v>0</v>
      </c>
      <c r="J399" s="539"/>
      <c r="K399" s="539"/>
      <c r="L399" s="539"/>
      <c r="M399" s="539"/>
      <c r="N399" s="539"/>
      <c r="O399" s="539"/>
      <c r="P399" s="562"/>
      <c r="Q399" s="539"/>
      <c r="R399" s="543"/>
      <c r="S399" s="543"/>
      <c r="T399" s="59"/>
      <c r="U399" s="59"/>
      <c r="V399" s="498"/>
      <c r="W399" s="498"/>
      <c r="X399" s="498"/>
      <c r="Y399" s="59"/>
      <c r="Z399" s="59"/>
      <c r="AA399" s="59"/>
      <c r="AB399" s="59"/>
      <c r="AC399" s="59"/>
      <c r="AD399" s="59"/>
      <c r="AE399" s="59"/>
      <c r="AF399" s="59">
        <v>346672029.27999997</v>
      </c>
      <c r="AG399" s="59">
        <v>346672029.27999997</v>
      </c>
      <c r="AH399" s="527">
        <v>340125432.74000001</v>
      </c>
      <c r="AI399" s="527">
        <v>340125432.74000001</v>
      </c>
      <c r="AS399" s="59"/>
      <c r="AT399" s="59"/>
      <c r="AU399" s="59"/>
      <c r="AV399" s="59"/>
      <c r="AW399" s="59"/>
      <c r="AX399" s="59"/>
    </row>
    <row r="400" spans="2:60" s="105" customFormat="1">
      <c r="B400" s="652"/>
      <c r="C400" s="516">
        <v>2000</v>
      </c>
      <c r="D400" s="683"/>
      <c r="E400" s="518" t="s">
        <v>124</v>
      </c>
      <c r="F400" s="519">
        <v>0.09</v>
      </c>
      <c r="G400" s="520">
        <f t="shared" si="27"/>
        <v>0</v>
      </c>
      <c r="H400" s="520">
        <f t="shared" si="28"/>
        <v>0</v>
      </c>
      <c r="I400" s="521">
        <f t="shared" si="26"/>
        <v>0</v>
      </c>
      <c r="J400" s="539"/>
      <c r="K400" s="539"/>
      <c r="L400" s="539"/>
      <c r="M400" s="539"/>
      <c r="N400" s="539"/>
      <c r="O400" s="539"/>
      <c r="P400" s="562"/>
      <c r="Q400" s="539"/>
      <c r="R400" s="543"/>
      <c r="S400" s="543"/>
      <c r="T400" s="59"/>
      <c r="U400" s="59"/>
      <c r="V400" s="498"/>
      <c r="W400" s="498"/>
      <c r="X400" s="498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S400" s="59"/>
      <c r="AT400" s="59"/>
      <c r="AU400" s="59"/>
      <c r="AV400" s="59"/>
      <c r="AW400" s="59"/>
      <c r="AX400" s="59"/>
    </row>
    <row r="401" spans="2:62">
      <c r="B401" s="652"/>
      <c r="C401" s="516">
        <v>2000</v>
      </c>
      <c r="D401" s="682"/>
      <c r="E401" s="518" t="s">
        <v>125</v>
      </c>
      <c r="F401" s="519">
        <v>0.06</v>
      </c>
      <c r="G401" s="520">
        <f t="shared" si="27"/>
        <v>213789.33</v>
      </c>
      <c r="H401" s="520">
        <f t="shared" si="28"/>
        <v>0</v>
      </c>
      <c r="I401" s="521">
        <f t="shared" si="26"/>
        <v>213789.33</v>
      </c>
      <c r="J401" s="539"/>
      <c r="K401" s="539"/>
      <c r="L401" s="539"/>
      <c r="M401" s="539"/>
      <c r="N401" s="539"/>
      <c r="O401" s="539"/>
      <c r="P401" s="562"/>
      <c r="Q401" s="539"/>
      <c r="R401" s="543"/>
      <c r="S401" s="543"/>
      <c r="AF401" s="59">
        <v>213789.33</v>
      </c>
      <c r="AG401" s="59"/>
    </row>
    <row r="402" spans="2:62">
      <c r="B402" s="544"/>
      <c r="C402" s="525"/>
      <c r="D402" s="517"/>
      <c r="E402" s="547"/>
      <c r="F402" s="548"/>
      <c r="G402" s="520">
        <f t="shared" si="27"/>
        <v>0</v>
      </c>
      <c r="H402" s="520">
        <f t="shared" si="28"/>
        <v>0</v>
      </c>
      <c r="I402" s="572"/>
      <c r="J402" s="539"/>
      <c r="K402" s="539"/>
      <c r="L402" s="539"/>
      <c r="M402" s="540"/>
      <c r="N402" s="539"/>
      <c r="O402" s="539"/>
      <c r="P402" s="541"/>
      <c r="Q402" s="539"/>
      <c r="R402" s="542"/>
      <c r="S402" s="543"/>
      <c r="X402" s="59"/>
      <c r="AF402" s="59"/>
      <c r="AG402" s="59"/>
    </row>
    <row r="403" spans="2:62">
      <c r="B403" s="633" t="s">
        <v>33</v>
      </c>
      <c r="C403" s="633"/>
      <c r="D403" s="633"/>
      <c r="E403" s="633"/>
      <c r="F403" s="633"/>
      <c r="G403" s="573">
        <f>SUM(G3:G401)</f>
        <v>26085995369.110466</v>
      </c>
      <c r="H403" s="573">
        <f>SUM(H3:H401)</f>
        <v>22536672288.945801</v>
      </c>
      <c r="I403" s="573">
        <f>SUM(I3:I401)</f>
        <v>1772443664.9219491</v>
      </c>
      <c r="J403" s="574">
        <f t="shared" ref="J403:Q403" si="29">SUM(J3:J143)</f>
        <v>11960885335.572201</v>
      </c>
      <c r="K403" s="574">
        <f t="shared" si="29"/>
        <v>11569548939.0158</v>
      </c>
      <c r="L403" s="574">
        <f t="shared" si="29"/>
        <v>442396995.24000001</v>
      </c>
      <c r="M403" s="574">
        <f t="shared" si="29"/>
        <v>548139309.51999998</v>
      </c>
      <c r="N403" s="574">
        <f t="shared" si="29"/>
        <v>521251687.35000002</v>
      </c>
      <c r="O403" s="574">
        <f t="shared" si="29"/>
        <v>512442356.93000001</v>
      </c>
      <c r="P403" s="574">
        <f t="shared" si="29"/>
        <v>635908712.92999995</v>
      </c>
      <c r="Q403" s="574">
        <f t="shared" si="29"/>
        <v>547412844.71000004</v>
      </c>
      <c r="R403" s="575">
        <f>SUM(R3:R152)</f>
        <v>309033375.86000001</v>
      </c>
      <c r="S403" s="575">
        <f>SUM(S3:S152)</f>
        <v>349981310.93000001</v>
      </c>
      <c r="T403" s="575">
        <f>SUM(T3:T152)</f>
        <v>555683772.25</v>
      </c>
      <c r="U403" s="575">
        <f>SUM(U3:U152)</f>
        <v>517893612.47000003</v>
      </c>
      <c r="V403" s="575">
        <f>SUM(V3:V152)</f>
        <v>674585791.12</v>
      </c>
      <c r="W403" s="574">
        <f>SUM(W3:W151)</f>
        <v>542438903.14999998</v>
      </c>
      <c r="X403" s="575">
        <f>SUM(X3:X151)</f>
        <v>336862341.27999997</v>
      </c>
      <c r="Y403" s="575">
        <f>SUM(Y3:Y151)</f>
        <v>456598577.06</v>
      </c>
      <c r="Z403" s="575">
        <f t="shared" ref="Z403:AG403" si="30">SUM(Z3:Z402)</f>
        <v>864174011.297665</v>
      </c>
      <c r="AA403" s="575">
        <f t="shared" si="30"/>
        <v>527157355.44999999</v>
      </c>
      <c r="AB403" s="575">
        <f t="shared" si="30"/>
        <v>931050928.11000001</v>
      </c>
      <c r="AC403" s="575">
        <f t="shared" si="30"/>
        <v>791786918.58000004</v>
      </c>
      <c r="AD403" s="575">
        <f t="shared" si="30"/>
        <v>1512649050.3800001</v>
      </c>
      <c r="AE403" s="575">
        <f t="shared" si="30"/>
        <v>1126259821.73</v>
      </c>
      <c r="AF403" s="575">
        <f t="shared" si="30"/>
        <v>431165837.97000003</v>
      </c>
      <c r="AG403" s="575">
        <f t="shared" si="30"/>
        <v>780536596.70000005</v>
      </c>
      <c r="AH403" s="375">
        <f>SUM(AH8:AH402)</f>
        <v>355584080.38999999</v>
      </c>
      <c r="AI403" s="375">
        <f>SUM(AI8:AI402)</f>
        <v>526201681.80000001</v>
      </c>
      <c r="AJ403" s="375">
        <f>SUM(AJ8:AJ402)</f>
        <v>48816137.859999999</v>
      </c>
      <c r="AK403" s="375">
        <f t="shared" ref="AK403:BJ403" si="31">SUM(AK8:AK402)</f>
        <v>476086943.89999998</v>
      </c>
      <c r="AL403" s="375">
        <f>SUM(AL8:AL402)+0.01</f>
        <v>97382183.189999998</v>
      </c>
      <c r="AM403" s="375">
        <f t="shared" si="31"/>
        <v>78604518.969999999</v>
      </c>
      <c r="AN403" s="375">
        <f t="shared" si="31"/>
        <v>50884269.899999999</v>
      </c>
      <c r="AO403" s="375">
        <f t="shared" si="31"/>
        <v>37974760.670000002</v>
      </c>
      <c r="AP403" s="375">
        <f t="shared" si="31"/>
        <v>121716054.69</v>
      </c>
      <c r="AQ403" s="375">
        <f t="shared" si="31"/>
        <v>236840482.66999999</v>
      </c>
      <c r="AR403" s="375">
        <f t="shared" si="31"/>
        <v>110819286.25</v>
      </c>
      <c r="AS403" s="375">
        <f t="shared" si="31"/>
        <v>109147812.59999999</v>
      </c>
      <c r="AT403" s="576">
        <f t="shared" si="31"/>
        <v>135329540.38</v>
      </c>
      <c r="AU403" s="375">
        <f t="shared" si="31"/>
        <v>179583690.52000001</v>
      </c>
      <c r="AV403" s="375">
        <f t="shared" si="31"/>
        <v>140167334.72999999</v>
      </c>
      <c r="AW403" s="375">
        <f t="shared" si="31"/>
        <v>174426163.13999999</v>
      </c>
      <c r="AX403" s="375">
        <f t="shared" si="31"/>
        <v>239799327.74000001</v>
      </c>
      <c r="AY403" s="375">
        <f t="shared" si="31"/>
        <v>117094624.44</v>
      </c>
      <c r="AZ403" s="375">
        <f t="shared" si="31"/>
        <v>313899048.50999999</v>
      </c>
      <c r="BA403" s="375">
        <f t="shared" si="31"/>
        <v>159445904</v>
      </c>
      <c r="BB403" s="375">
        <f t="shared" si="31"/>
        <v>-10674735.220000001</v>
      </c>
      <c r="BC403" s="375">
        <f t="shared" si="31"/>
        <v>1739318190.04</v>
      </c>
      <c r="BD403" s="375">
        <f t="shared" si="31"/>
        <v>1013212112.96</v>
      </c>
      <c r="BE403" s="375">
        <f t="shared" si="31"/>
        <v>0</v>
      </c>
      <c r="BF403" s="375">
        <f t="shared" si="31"/>
        <v>0</v>
      </c>
      <c r="BG403" s="375">
        <f t="shared" si="31"/>
        <v>3914722849.34057</v>
      </c>
      <c r="BH403" s="375">
        <f t="shared" si="31"/>
        <v>1094541718.1500001</v>
      </c>
      <c r="BI403" s="375">
        <f t="shared" si="31"/>
        <v>0</v>
      </c>
      <c r="BJ403" s="375">
        <f t="shared" si="31"/>
        <v>0</v>
      </c>
    </row>
    <row r="404" spans="2:62">
      <c r="I404" s="577" t="s">
        <v>288</v>
      </c>
      <c r="J404" s="105">
        <v>11960885335.572201</v>
      </c>
      <c r="K404" s="105">
        <v>11569548939.0158</v>
      </c>
      <c r="L404" s="105">
        <v>442396995.24000001</v>
      </c>
      <c r="M404" s="105">
        <v>548139309.51999998</v>
      </c>
      <c r="N404" s="105">
        <v>521251687.35194701</v>
      </c>
      <c r="O404" s="105">
        <v>512442356.93000001</v>
      </c>
      <c r="P404" s="105">
        <v>635908712.92999995</v>
      </c>
      <c r="Q404" s="105">
        <v>547412844.71000004</v>
      </c>
      <c r="R404" s="59">
        <v>309033375.86000001</v>
      </c>
      <c r="S404" s="59">
        <v>349981310.93000001</v>
      </c>
      <c r="T404" s="59">
        <v>490442268.61000001</v>
      </c>
      <c r="U404" s="59">
        <v>517893612.47000003</v>
      </c>
      <c r="V404" s="498">
        <v>674585791.11000001</v>
      </c>
      <c r="W404" s="498">
        <v>542438903.14999998</v>
      </c>
      <c r="X404" s="59">
        <v>336862341.27999997</v>
      </c>
      <c r="Y404" s="59">
        <f>累计税金汇总表!L4</f>
        <v>140167334.72999999</v>
      </c>
      <c r="Z404" s="59">
        <v>864174011.297665</v>
      </c>
      <c r="AA404" s="59">
        <v>527157355.44999999</v>
      </c>
      <c r="AB404" s="59">
        <v>931050928.11000001</v>
      </c>
      <c r="AC404" s="59">
        <v>791786918.58000004</v>
      </c>
      <c r="AD404" s="59">
        <v>1512649050.3800001</v>
      </c>
      <c r="AE404" s="59">
        <v>1126259821.73</v>
      </c>
      <c r="AF404" s="59">
        <v>431165837.97000003</v>
      </c>
      <c r="AG404" s="59">
        <v>780536596.70000005</v>
      </c>
      <c r="AH404" s="59">
        <f t="shared" ref="AH404:BJ404" si="32">AH403</f>
        <v>355584080.38999999</v>
      </c>
      <c r="AI404" s="59">
        <f t="shared" si="32"/>
        <v>526201681.80000001</v>
      </c>
      <c r="AJ404" s="59">
        <f t="shared" si="32"/>
        <v>48816137.859999999</v>
      </c>
      <c r="AK404" s="59">
        <f t="shared" si="32"/>
        <v>476086943.89999998</v>
      </c>
      <c r="AL404" s="59">
        <f t="shared" si="32"/>
        <v>97382183.189999998</v>
      </c>
      <c r="AM404" s="59">
        <f t="shared" si="32"/>
        <v>78604518.969999999</v>
      </c>
      <c r="AN404" s="59">
        <f t="shared" si="32"/>
        <v>50884269.899999999</v>
      </c>
      <c r="AO404" s="59">
        <f t="shared" si="32"/>
        <v>37974760.670000002</v>
      </c>
      <c r="AP404" s="59">
        <f t="shared" si="32"/>
        <v>121716054.69</v>
      </c>
      <c r="AQ404" s="59">
        <f t="shared" si="32"/>
        <v>236840482.66999999</v>
      </c>
      <c r="AR404" s="59">
        <f t="shared" si="32"/>
        <v>110819286.25</v>
      </c>
      <c r="AS404" s="59">
        <f t="shared" si="32"/>
        <v>109147812.59999999</v>
      </c>
      <c r="AT404" s="569">
        <f t="shared" si="32"/>
        <v>135329540.38</v>
      </c>
      <c r="AU404" s="59">
        <f t="shared" si="32"/>
        <v>179583690.52000001</v>
      </c>
      <c r="AV404" s="59">
        <f t="shared" si="32"/>
        <v>140167334.72999999</v>
      </c>
      <c r="AW404" s="59">
        <f t="shared" si="32"/>
        <v>174426163.13999999</v>
      </c>
      <c r="AX404" s="59">
        <f t="shared" si="32"/>
        <v>239799327.74000001</v>
      </c>
      <c r="AY404" s="59">
        <f t="shared" si="32"/>
        <v>117094624.44</v>
      </c>
      <c r="AZ404" s="59">
        <f t="shared" si="32"/>
        <v>313899048.50999999</v>
      </c>
      <c r="BA404" s="59">
        <f t="shared" si="32"/>
        <v>159445904</v>
      </c>
      <c r="BB404" s="59">
        <f t="shared" si="32"/>
        <v>-10674735.220000001</v>
      </c>
      <c r="BC404" s="59">
        <f t="shared" si="32"/>
        <v>1739318190.04</v>
      </c>
      <c r="BD404" s="59">
        <f t="shared" si="32"/>
        <v>1013212112.96</v>
      </c>
      <c r="BE404" s="59">
        <f t="shared" si="32"/>
        <v>0</v>
      </c>
      <c r="BF404" s="59">
        <f t="shared" si="32"/>
        <v>0</v>
      </c>
      <c r="BG404" s="59">
        <f t="shared" si="32"/>
        <v>3914722849.34057</v>
      </c>
      <c r="BH404" s="59">
        <f t="shared" si="32"/>
        <v>1094541718.1500001</v>
      </c>
      <c r="BI404" s="59">
        <f t="shared" si="32"/>
        <v>0</v>
      </c>
      <c r="BJ404" s="59">
        <f t="shared" si="32"/>
        <v>0</v>
      </c>
    </row>
    <row r="405" spans="2:62" s="105" customFormat="1">
      <c r="B405" s="496"/>
      <c r="C405" s="497"/>
      <c r="D405" s="61"/>
      <c r="I405" s="578" t="s">
        <v>289</v>
      </c>
      <c r="J405" s="579">
        <f t="shared" ref="J405" si="33">J403-J404</f>
        <v>3.62396240234375E-5</v>
      </c>
      <c r="K405" s="579">
        <f t="shared" ref="K405" si="34">K403-K404</f>
        <v>-2.09808349609375E-5</v>
      </c>
      <c r="L405" s="579">
        <f t="shared" ref="L405:AG405" si="35">L403-L404</f>
        <v>0</v>
      </c>
      <c r="M405" s="579">
        <f t="shared" si="35"/>
        <v>0</v>
      </c>
      <c r="N405" s="579">
        <f t="shared" si="35"/>
        <v>-1.94698572158813E-3</v>
      </c>
      <c r="O405" s="579">
        <f t="shared" si="35"/>
        <v>0</v>
      </c>
      <c r="P405" s="579">
        <f t="shared" si="35"/>
        <v>0</v>
      </c>
      <c r="Q405" s="579">
        <f t="shared" si="35"/>
        <v>0</v>
      </c>
      <c r="R405" s="579">
        <f t="shared" si="35"/>
        <v>0</v>
      </c>
      <c r="S405" s="579">
        <f t="shared" si="35"/>
        <v>0</v>
      </c>
      <c r="T405" s="579">
        <f t="shared" si="35"/>
        <v>65241503.640000097</v>
      </c>
      <c r="U405" s="579">
        <f t="shared" si="35"/>
        <v>0</v>
      </c>
      <c r="V405" s="579">
        <f t="shared" si="35"/>
        <v>1.0000109672546401E-2</v>
      </c>
      <c r="W405" s="579">
        <f t="shared" si="35"/>
        <v>0</v>
      </c>
      <c r="X405" s="579">
        <f t="shared" si="35"/>
        <v>0</v>
      </c>
      <c r="Y405" s="579">
        <f t="shared" si="35"/>
        <v>316431242.32999998</v>
      </c>
      <c r="Z405" s="579">
        <f t="shared" si="35"/>
        <v>0</v>
      </c>
      <c r="AA405" s="579">
        <f t="shared" si="35"/>
        <v>0</v>
      </c>
      <c r="AB405" s="579">
        <f t="shared" si="35"/>
        <v>0</v>
      </c>
      <c r="AC405" s="579">
        <f t="shared" si="35"/>
        <v>0</v>
      </c>
      <c r="AD405" s="579">
        <f t="shared" si="35"/>
        <v>0</v>
      </c>
      <c r="AE405" s="579">
        <f t="shared" si="35"/>
        <v>0</v>
      </c>
      <c r="AF405" s="579">
        <f t="shared" si="35"/>
        <v>0</v>
      </c>
      <c r="AG405" s="579">
        <f t="shared" si="35"/>
        <v>0</v>
      </c>
      <c r="AH405" s="59"/>
      <c r="AI405" s="59"/>
      <c r="AS405" s="59"/>
      <c r="AT405" s="59"/>
      <c r="AU405" s="59"/>
      <c r="AV405" s="59"/>
      <c r="AW405" s="59"/>
      <c r="AX405" s="59"/>
    </row>
    <row r="406" spans="2:62" s="105" customFormat="1">
      <c r="B406" s="496"/>
      <c r="C406" s="497"/>
      <c r="D406" s="61"/>
      <c r="I406" s="577"/>
      <c r="P406" s="579"/>
      <c r="Q406" s="579"/>
      <c r="R406" s="579"/>
      <c r="S406" s="579"/>
      <c r="T406" s="59"/>
      <c r="U406" s="59"/>
      <c r="V406" s="498"/>
      <c r="W406" s="498"/>
      <c r="X406" s="498"/>
      <c r="Y406" s="59"/>
      <c r="Z406" s="59"/>
      <c r="AA406" s="59"/>
      <c r="AB406" s="59"/>
      <c r="AC406" s="59"/>
      <c r="AD406" s="59"/>
      <c r="AE406" s="59"/>
      <c r="AF406" s="89"/>
      <c r="AG406" s="61"/>
      <c r="AH406" s="59"/>
      <c r="AI406" s="59">
        <f>SUBTOTAL(9,AI25:AI395)</f>
        <v>275083536.18000001</v>
      </c>
      <c r="AS406" s="59"/>
      <c r="AT406" s="59"/>
      <c r="AU406" s="59"/>
      <c r="AV406" s="59"/>
      <c r="AW406" s="59"/>
      <c r="AX406" s="59"/>
    </row>
    <row r="407" spans="2:62" s="105" customFormat="1">
      <c r="B407" s="496"/>
      <c r="C407" s="497"/>
      <c r="D407" s="61"/>
      <c r="R407" s="59"/>
      <c r="S407" s="59"/>
      <c r="T407" s="59"/>
      <c r="U407" s="59"/>
      <c r="V407" s="498"/>
      <c r="W407" s="498"/>
      <c r="X407" s="498"/>
      <c r="Y407" s="59"/>
      <c r="Z407" s="59"/>
      <c r="AA407" s="59"/>
      <c r="AB407" s="59"/>
      <c r="AC407" s="59"/>
      <c r="AD407" s="59"/>
      <c r="AE407" s="59"/>
      <c r="AF407" s="61"/>
      <c r="AG407" s="61"/>
      <c r="AH407" s="59"/>
      <c r="AI407" s="59"/>
      <c r="AS407" s="59"/>
      <c r="AT407" s="59"/>
      <c r="AU407" s="59"/>
      <c r="AV407" s="59"/>
      <c r="AW407" s="59"/>
      <c r="AX407" s="59"/>
    </row>
    <row r="408" spans="2:62" s="105" customFormat="1">
      <c r="B408" s="496"/>
      <c r="C408" s="497"/>
      <c r="D408" s="61"/>
      <c r="H408" s="105">
        <f>SUM(H413:H415)</f>
        <v>5771135663.82057</v>
      </c>
      <c r="I408" s="105">
        <f>SUM(I413:I415)</f>
        <v>699626843.11214006</v>
      </c>
      <c r="J408" s="105">
        <f>SUM(J411:J415)</f>
        <v>11960885335.572201</v>
      </c>
      <c r="K408" s="105">
        <f>SUM(K411:K415)</f>
        <v>11569548939.0158</v>
      </c>
      <c r="L408" s="105">
        <f t="shared" ref="L408:Q408" si="36">SUM(L411:L415)</f>
        <v>442396995.24000001</v>
      </c>
      <c r="M408" s="105">
        <f t="shared" si="36"/>
        <v>548139309.51999998</v>
      </c>
      <c r="N408" s="105">
        <f t="shared" si="36"/>
        <v>521251687.35194701</v>
      </c>
      <c r="O408" s="105">
        <f t="shared" si="36"/>
        <v>512442356.93000001</v>
      </c>
      <c r="P408" s="105">
        <f t="shared" si="36"/>
        <v>635908712.92999995</v>
      </c>
      <c r="Q408" s="105">
        <f t="shared" si="36"/>
        <v>547412844.71000004</v>
      </c>
      <c r="R408" s="59">
        <f t="shared" ref="R408:AE408" si="37">SUM(R411:R415)</f>
        <v>309033375.86000001</v>
      </c>
      <c r="S408" s="59">
        <f t="shared" si="37"/>
        <v>349981310.93000001</v>
      </c>
      <c r="T408" s="59">
        <f t="shared" si="37"/>
        <v>555683772.25</v>
      </c>
      <c r="U408" s="59">
        <f t="shared" si="37"/>
        <v>517893612.47000003</v>
      </c>
      <c r="V408" s="59">
        <f t="shared" si="37"/>
        <v>674585791.12</v>
      </c>
      <c r="W408" s="59">
        <f t="shared" si="37"/>
        <v>542438903.14999998</v>
      </c>
      <c r="X408" s="59">
        <f t="shared" si="37"/>
        <v>336862341.27999997</v>
      </c>
      <c r="Y408" s="59">
        <f t="shared" si="37"/>
        <v>456598577.06</v>
      </c>
      <c r="Z408" s="59">
        <f t="shared" si="37"/>
        <v>864174011.297665</v>
      </c>
      <c r="AA408" s="59">
        <f t="shared" si="37"/>
        <v>527157355.44999999</v>
      </c>
      <c r="AB408" s="59">
        <f t="shared" si="37"/>
        <v>931050928.11000001</v>
      </c>
      <c r="AC408" s="59">
        <f t="shared" si="37"/>
        <v>791786918.58000004</v>
      </c>
      <c r="AD408" s="59">
        <f t="shared" si="37"/>
        <v>1512649050.3800001</v>
      </c>
      <c r="AE408" s="59">
        <f t="shared" si="37"/>
        <v>1126259821.73</v>
      </c>
      <c r="AF408" s="59">
        <f t="shared" ref="AF408:AM408" si="38">SUM(AF411:AF415)</f>
        <v>431165837.97000003</v>
      </c>
      <c r="AG408" s="59">
        <f t="shared" si="38"/>
        <v>780536596.70000005</v>
      </c>
      <c r="AH408" s="59">
        <f t="shared" si="38"/>
        <v>355584080.39999998</v>
      </c>
      <c r="AI408" s="59">
        <f t="shared" si="38"/>
        <v>526201681.80000001</v>
      </c>
      <c r="AJ408" s="59">
        <f t="shared" si="38"/>
        <v>48816137.859999999</v>
      </c>
      <c r="AK408" s="59">
        <f t="shared" si="38"/>
        <v>476086943.89999998</v>
      </c>
      <c r="AL408" s="59">
        <f t="shared" si="38"/>
        <v>97382183.185000002</v>
      </c>
      <c r="AM408" s="59">
        <f t="shared" si="38"/>
        <v>78604518.969999999</v>
      </c>
      <c r="AN408" s="59">
        <f t="shared" ref="AN408:BJ408" si="39">SUM(AN411:AN415)</f>
        <v>50884269.899999999</v>
      </c>
      <c r="AO408" s="59">
        <f t="shared" si="39"/>
        <v>37974760.670000002</v>
      </c>
      <c r="AP408" s="59">
        <f t="shared" si="39"/>
        <v>121716054.69</v>
      </c>
      <c r="AQ408" s="59">
        <f t="shared" si="39"/>
        <v>236840482.66999999</v>
      </c>
      <c r="AR408" s="59">
        <f t="shared" si="39"/>
        <v>110819286.25</v>
      </c>
      <c r="AS408" s="59">
        <f t="shared" si="39"/>
        <v>109147812.59999999</v>
      </c>
      <c r="AT408" s="59">
        <f t="shared" si="39"/>
        <v>135329540.38</v>
      </c>
      <c r="AU408" s="59">
        <f t="shared" si="39"/>
        <v>179583690.52000001</v>
      </c>
      <c r="AV408" s="59">
        <f t="shared" si="39"/>
        <v>140167334.72999999</v>
      </c>
      <c r="AW408" s="59">
        <f t="shared" si="39"/>
        <v>174426163.13999999</v>
      </c>
      <c r="AX408" s="59">
        <f t="shared" si="39"/>
        <v>239799327.74000001</v>
      </c>
      <c r="AY408" s="59">
        <f t="shared" si="39"/>
        <v>117094624.44</v>
      </c>
      <c r="AZ408" s="59">
        <f t="shared" si="39"/>
        <v>313899048.50999999</v>
      </c>
      <c r="BA408" s="59">
        <f t="shared" si="39"/>
        <v>159445904</v>
      </c>
      <c r="BB408" s="59">
        <f t="shared" si="39"/>
        <v>-10674735.220000001</v>
      </c>
      <c r="BC408" s="59">
        <f t="shared" si="39"/>
        <v>1739318190.04</v>
      </c>
      <c r="BD408" s="59">
        <f t="shared" si="39"/>
        <v>1013212112.96</v>
      </c>
      <c r="BE408" s="59">
        <f t="shared" si="39"/>
        <v>0</v>
      </c>
      <c r="BF408" s="59">
        <f t="shared" si="39"/>
        <v>-283576878.37</v>
      </c>
      <c r="BG408" s="59">
        <f t="shared" si="39"/>
        <v>3914722849.34057</v>
      </c>
      <c r="BH408" s="59">
        <f t="shared" si="39"/>
        <v>1094541718.1500001</v>
      </c>
      <c r="BI408" s="59">
        <f t="shared" si="39"/>
        <v>0</v>
      </c>
      <c r="BJ408" s="59">
        <f t="shared" si="39"/>
        <v>0</v>
      </c>
    </row>
    <row r="409" spans="2:62" s="105" customFormat="1">
      <c r="B409" s="496"/>
      <c r="C409" s="636" t="s">
        <v>65</v>
      </c>
      <c r="D409" s="636" t="s">
        <v>290</v>
      </c>
      <c r="E409" s="636" t="s">
        <v>67</v>
      </c>
      <c r="F409" s="638" t="s">
        <v>291</v>
      </c>
      <c r="G409" s="638" t="s">
        <v>292</v>
      </c>
      <c r="H409" s="639" t="s">
        <v>293</v>
      </c>
      <c r="I409" s="639" t="s">
        <v>294</v>
      </c>
      <c r="J409" s="634" t="s">
        <v>295</v>
      </c>
      <c r="K409" s="635"/>
      <c r="L409" s="634">
        <v>202403</v>
      </c>
      <c r="M409" s="635"/>
      <c r="N409" s="634">
        <v>202404</v>
      </c>
      <c r="O409" s="635"/>
      <c r="P409" s="634">
        <v>202405</v>
      </c>
      <c r="Q409" s="635"/>
      <c r="R409" s="634">
        <v>202406</v>
      </c>
      <c r="S409" s="635"/>
      <c r="T409" s="634">
        <v>202407</v>
      </c>
      <c r="U409" s="635"/>
      <c r="V409" s="634">
        <v>202408</v>
      </c>
      <c r="W409" s="635"/>
      <c r="X409" s="634">
        <v>202409</v>
      </c>
      <c r="Y409" s="635"/>
      <c r="Z409" s="640">
        <v>202410</v>
      </c>
      <c r="AA409" s="641"/>
      <c r="AB409" s="640">
        <v>202411</v>
      </c>
      <c r="AC409" s="642"/>
      <c r="AD409" s="640">
        <v>202412</v>
      </c>
      <c r="AE409" s="642"/>
      <c r="AF409" s="640">
        <v>202501</v>
      </c>
      <c r="AG409" s="642"/>
      <c r="AH409" s="640">
        <v>202502</v>
      </c>
      <c r="AI409" s="642"/>
      <c r="AJ409" s="640">
        <v>202503</v>
      </c>
      <c r="AK409" s="642"/>
      <c r="AL409" s="640">
        <v>202504</v>
      </c>
      <c r="AM409" s="642"/>
      <c r="AN409" s="640">
        <v>202505</v>
      </c>
      <c r="AO409" s="642"/>
      <c r="AP409" s="640">
        <v>202506</v>
      </c>
      <c r="AQ409" s="642"/>
      <c r="AR409" s="640">
        <v>202507</v>
      </c>
      <c r="AS409" s="642"/>
      <c r="AT409" s="643">
        <v>202508</v>
      </c>
      <c r="AU409" s="644"/>
      <c r="AV409" s="641"/>
      <c r="AW409" s="645">
        <v>202509</v>
      </c>
      <c r="AX409" s="646"/>
      <c r="AY409" s="647">
        <v>202510</v>
      </c>
      <c r="AZ409" s="648"/>
      <c r="BA409" s="649"/>
      <c r="BB409" s="650"/>
      <c r="BC409" s="647">
        <v>202511</v>
      </c>
      <c r="BD409" s="648"/>
      <c r="BE409" s="649"/>
      <c r="BF409" s="650"/>
      <c r="BG409" s="647">
        <v>202511</v>
      </c>
      <c r="BH409" s="648"/>
      <c r="BI409" s="649"/>
      <c r="BJ409" s="650"/>
    </row>
    <row r="410" spans="2:62" s="105" customFormat="1">
      <c r="B410" s="496"/>
      <c r="C410" s="637"/>
      <c r="D410" s="637"/>
      <c r="E410" s="637"/>
      <c r="F410" s="638"/>
      <c r="G410" s="638"/>
      <c r="H410" s="639"/>
      <c r="I410" s="639"/>
      <c r="J410" s="580" t="s">
        <v>3</v>
      </c>
      <c r="K410" s="580" t="s">
        <v>296</v>
      </c>
      <c r="L410" s="580" t="s">
        <v>3</v>
      </c>
      <c r="M410" s="580" t="s">
        <v>296</v>
      </c>
      <c r="N410" s="580" t="s">
        <v>3</v>
      </c>
      <c r="O410" s="580" t="s">
        <v>296</v>
      </c>
      <c r="P410" s="580" t="s">
        <v>3</v>
      </c>
      <c r="Q410" s="580" t="s">
        <v>296</v>
      </c>
      <c r="R410" s="581" t="s">
        <v>3</v>
      </c>
      <c r="S410" s="581" t="s">
        <v>296</v>
      </c>
      <c r="T410" s="580" t="s">
        <v>3</v>
      </c>
      <c r="U410" s="580" t="s">
        <v>296</v>
      </c>
      <c r="V410" s="582" t="s">
        <v>3</v>
      </c>
      <c r="W410" s="582" t="s">
        <v>296</v>
      </c>
      <c r="X410" s="582" t="s">
        <v>3</v>
      </c>
      <c r="Y410" s="582" t="s">
        <v>296</v>
      </c>
      <c r="Z410" s="582" t="s">
        <v>3</v>
      </c>
      <c r="AA410" s="582" t="s">
        <v>296</v>
      </c>
      <c r="AB410" s="582" t="s">
        <v>3</v>
      </c>
      <c r="AC410" s="582" t="s">
        <v>296</v>
      </c>
      <c r="AD410" s="582" t="s">
        <v>3</v>
      </c>
      <c r="AE410" s="582" t="s">
        <v>296</v>
      </c>
      <c r="AF410" s="582" t="s">
        <v>3</v>
      </c>
      <c r="AG410" s="582" t="s">
        <v>296</v>
      </c>
      <c r="AH410" s="582" t="s">
        <v>3</v>
      </c>
      <c r="AI410" s="582" t="s">
        <v>296</v>
      </c>
      <c r="AJ410" s="582" t="s">
        <v>3</v>
      </c>
      <c r="AK410" s="582" t="s">
        <v>296</v>
      </c>
      <c r="AL410" s="582" t="s">
        <v>3</v>
      </c>
      <c r="AM410" s="582" t="s">
        <v>296</v>
      </c>
      <c r="AN410" s="582" t="s">
        <v>3</v>
      </c>
      <c r="AO410" s="582" t="s">
        <v>296</v>
      </c>
      <c r="AP410" s="582" t="s">
        <v>3</v>
      </c>
      <c r="AQ410" s="582" t="s">
        <v>296</v>
      </c>
      <c r="AR410" s="582" t="s">
        <v>3</v>
      </c>
      <c r="AS410" s="582" t="s">
        <v>296</v>
      </c>
      <c r="AT410" s="583" t="s">
        <v>297</v>
      </c>
      <c r="AU410" s="582" t="s">
        <v>3</v>
      </c>
      <c r="AV410" s="582" t="s">
        <v>296</v>
      </c>
      <c r="AW410" s="584" t="s">
        <v>3</v>
      </c>
      <c r="AX410" s="585" t="s">
        <v>296</v>
      </c>
      <c r="AY410" s="586" t="s">
        <v>3</v>
      </c>
      <c r="AZ410" s="587" t="s">
        <v>296</v>
      </c>
      <c r="BA410" s="588" t="s">
        <v>298</v>
      </c>
      <c r="BB410" s="588" t="s">
        <v>299</v>
      </c>
      <c r="BC410" s="586" t="s">
        <v>3</v>
      </c>
      <c r="BD410" s="587" t="s">
        <v>296</v>
      </c>
      <c r="BE410" s="588" t="s">
        <v>298</v>
      </c>
      <c r="BF410" s="588" t="s">
        <v>299</v>
      </c>
      <c r="BG410" s="586" t="s">
        <v>3</v>
      </c>
      <c r="BH410" s="587" t="s">
        <v>296</v>
      </c>
      <c r="BI410" s="588" t="s">
        <v>298</v>
      </c>
      <c r="BJ410" s="588" t="s">
        <v>299</v>
      </c>
    </row>
    <row r="411" spans="2:62" s="105" customFormat="1">
      <c r="B411" s="496"/>
      <c r="C411" s="589">
        <v>0.16</v>
      </c>
      <c r="D411" s="590">
        <f>SUM(J411,L411,N411,P411,R411,T411)</f>
        <v>467927.47985308501</v>
      </c>
      <c r="E411" s="590">
        <f>SUM(K411,M411,O411,Q411,S411,U411)</f>
        <v>88819830.209999993</v>
      </c>
      <c r="F411" s="591">
        <f>MAX(D411:E411)*C411</f>
        <v>14211172.8336</v>
      </c>
      <c r="G411" s="592">
        <f>F411/C411</f>
        <v>88819830.209999993</v>
      </c>
      <c r="H411" s="81"/>
      <c r="I411" s="81">
        <f t="shared" ref="I411:I414" si="40">H411*C411</f>
        <v>0</v>
      </c>
      <c r="J411" s="378">
        <v>467927.47985308501</v>
      </c>
      <c r="K411" s="378">
        <v>88819830.209999993</v>
      </c>
      <c r="L411" s="375"/>
      <c r="M411" s="375"/>
      <c r="N411" s="375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59"/>
      <c r="AA411" s="59"/>
      <c r="AB411" s="59"/>
      <c r="AC411" s="59"/>
      <c r="AD411" s="59"/>
      <c r="AE411" s="59"/>
      <c r="AH411" s="59"/>
      <c r="AI411" s="59"/>
      <c r="AS411" s="59"/>
      <c r="AT411" s="569"/>
      <c r="AU411" s="59"/>
      <c r="AV411" s="59"/>
      <c r="AW411" s="593"/>
      <c r="AX411" s="593"/>
      <c r="AY411" s="593"/>
      <c r="AZ411" s="593"/>
      <c r="BA411" s="594"/>
      <c r="BB411" s="594"/>
      <c r="BC411" s="593"/>
      <c r="BD411" s="593"/>
      <c r="BE411" s="594"/>
      <c r="BF411" s="594"/>
      <c r="BG411" s="593"/>
      <c r="BH411" s="593"/>
      <c r="BI411" s="594"/>
      <c r="BJ411" s="594"/>
    </row>
    <row r="412" spans="2:62" s="105" customFormat="1">
      <c r="B412" s="496"/>
      <c r="C412" s="589">
        <v>0.1</v>
      </c>
      <c r="D412" s="590">
        <f>SUM(J412,L412,N412,P412,R412,T412)</f>
        <v>-125644385.531721</v>
      </c>
      <c r="E412" s="590">
        <f t="shared" ref="E412" si="41">SUM(K412,M412,O412,Q412,S412,U412)</f>
        <v>-47524533.149999999</v>
      </c>
      <c r="F412" s="591">
        <f t="shared" ref="F412:F415" si="42">MAX(D412:E412)*C412</f>
        <v>-4752453.3150000004</v>
      </c>
      <c r="G412" s="592">
        <f t="shared" ref="G412:G413" si="43">F412/C412</f>
        <v>-47524533.149999999</v>
      </c>
      <c r="H412" s="81"/>
      <c r="I412" s="81">
        <f t="shared" si="40"/>
        <v>0</v>
      </c>
      <c r="J412" s="378">
        <v>-125644385.531721</v>
      </c>
      <c r="K412" s="378">
        <v>-47524533.149999999</v>
      </c>
      <c r="L412" s="375"/>
      <c r="M412" s="375"/>
      <c r="N412" s="375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59"/>
      <c r="AA412" s="59"/>
      <c r="AB412" s="59"/>
      <c r="AC412" s="59"/>
      <c r="AD412" s="59"/>
      <c r="AE412" s="59"/>
      <c r="AH412" s="59"/>
      <c r="AI412" s="59"/>
      <c r="AS412" s="59"/>
      <c r="AT412" s="569"/>
      <c r="AU412" s="59"/>
      <c r="AV412" s="59"/>
      <c r="AW412" s="593"/>
      <c r="AX412" s="593"/>
      <c r="AY412" s="593"/>
      <c r="AZ412" s="593"/>
      <c r="BA412" s="594"/>
      <c r="BB412" s="594"/>
      <c r="BC412" s="593"/>
      <c r="BD412" s="593"/>
      <c r="BE412" s="594"/>
      <c r="BF412" s="594"/>
      <c r="BG412" s="593"/>
      <c r="BH412" s="593"/>
      <c r="BI412" s="594"/>
      <c r="BJ412" s="594"/>
    </row>
    <row r="413" spans="2:62">
      <c r="C413" s="589">
        <v>0.13</v>
      </c>
      <c r="D413" s="595">
        <f t="shared" ref="D413:E415" si="44">SUM(J413,L413,N413,P413,R413,T413,V413,X413,Z413,AB413,AD413,AF413,AH413,AJ413,AL413,AN413,AP413,AR413,AU413,AW413,AY413,BC413,BG413)</f>
        <v>14683642901.704</v>
      </c>
      <c r="E413" s="595">
        <f t="shared" si="44"/>
        <v>11835991066.454201</v>
      </c>
      <c r="F413" s="591">
        <f t="shared" si="42"/>
        <v>1908873577.2215199</v>
      </c>
      <c r="G413" s="592">
        <f t="shared" si="43"/>
        <v>14683642901.704</v>
      </c>
      <c r="H413" s="81">
        <f>G413-SUM(J413,L413,N413,P413,R413,T413,V413,X413,Z413,AB413,AD413,AF413,AH413,AJ413,AL413,AN413,AP413,AR413,AU413,AW413)</f>
        <v>4632631431.1643696</v>
      </c>
      <c r="I413" s="81">
        <f t="shared" si="40"/>
        <v>602242086.051368</v>
      </c>
      <c r="J413" s="378">
        <v>6608548542.9727097</v>
      </c>
      <c r="K413" s="378">
        <v>6267048842.4142199</v>
      </c>
      <c r="L413" s="375">
        <v>183454228.03</v>
      </c>
      <c r="M413" s="375">
        <v>194603027.22</v>
      </c>
      <c r="N413" s="375">
        <v>202715844.09194699</v>
      </c>
      <c r="O413" s="375">
        <v>81240969.980000004</v>
      </c>
      <c r="P413" s="375">
        <v>307765651.38</v>
      </c>
      <c r="Q413" s="375">
        <v>258050630.13999999</v>
      </c>
      <c r="R413" s="375">
        <v>154918030.22</v>
      </c>
      <c r="S413" s="375">
        <v>190902303.28</v>
      </c>
      <c r="T413" s="375">
        <v>242468767.38</v>
      </c>
      <c r="U413" s="375">
        <v>104436109.98999999</v>
      </c>
      <c r="V413" s="375">
        <v>310269562.91000003</v>
      </c>
      <c r="W413" s="375">
        <v>143247172.44</v>
      </c>
      <c r="X413" s="375">
        <v>95150586.180000007</v>
      </c>
      <c r="Y413" s="375">
        <v>233203627.97999999</v>
      </c>
      <c r="Z413" s="59">
        <v>292027800.89999998</v>
      </c>
      <c r="AA413" s="59">
        <v>247776668.78</v>
      </c>
      <c r="AB413" s="59">
        <v>300213246.10000002</v>
      </c>
      <c r="AC413" s="59">
        <v>357086878.5</v>
      </c>
      <c r="AD413" s="59">
        <v>457418580.92000002</v>
      </c>
      <c r="AE413" s="59">
        <v>70028927.439999998</v>
      </c>
      <c r="AF413" s="105">
        <v>404603376.81</v>
      </c>
      <c r="AG413" s="105">
        <v>477778946.55000001</v>
      </c>
      <c r="AH413" s="59">
        <v>342332111.72000003</v>
      </c>
      <c r="AI413" s="59">
        <v>441484567.69999999</v>
      </c>
      <c r="AJ413" s="348">
        <v>9263829.1500000004</v>
      </c>
      <c r="AK413" s="62">
        <v>359477262.75</v>
      </c>
      <c r="AL413" s="348">
        <v>21323842.315000001</v>
      </c>
      <c r="AM413" s="62">
        <v>17534647.48</v>
      </c>
      <c r="AN413" s="348">
        <v>28632006.32</v>
      </c>
      <c r="AO413" s="62">
        <v>33522208.960000001</v>
      </c>
      <c r="AP413" s="348">
        <v>5217250.71</v>
      </c>
      <c r="AQ413" s="62">
        <v>110922362.87</v>
      </c>
      <c r="AR413" s="348">
        <v>10527136.359999999</v>
      </c>
      <c r="AS413" s="59">
        <v>21068170.940000001</v>
      </c>
      <c r="AT413" s="569">
        <v>135133706.00999999</v>
      </c>
      <c r="AU413" s="59">
        <v>36101207.07</v>
      </c>
      <c r="AV413" s="59">
        <v>136445343.16999999</v>
      </c>
      <c r="AW413" s="593">
        <v>38059869</v>
      </c>
      <c r="AX413" s="593">
        <v>7446608.4299999997</v>
      </c>
      <c r="AY413" s="593">
        <v>50555057.539999999</v>
      </c>
      <c r="AZ413" s="593">
        <v>193206785.38999999</v>
      </c>
      <c r="BA413" s="495">
        <v>159050800.11000001</v>
      </c>
      <c r="BB413" s="495">
        <v>-10674735.220000001</v>
      </c>
      <c r="BC413" s="593">
        <v>1636122166.6199999</v>
      </c>
      <c r="BD413" s="593">
        <v>1035284160.03</v>
      </c>
      <c r="BE413" s="495"/>
      <c r="BF413" s="495">
        <v>-283181774.48000002</v>
      </c>
      <c r="BG413" s="593">
        <v>2945954207.0043702</v>
      </c>
      <c r="BH413" s="593">
        <v>854194844.01999998</v>
      </c>
      <c r="BI413" s="495"/>
      <c r="BJ413" s="495"/>
    </row>
    <row r="414" spans="2:62">
      <c r="C414" s="589">
        <v>0.09</v>
      </c>
      <c r="D414" s="595">
        <f t="shared" si="44"/>
        <v>10440531223.6439</v>
      </c>
      <c r="E414" s="595">
        <f t="shared" si="44"/>
        <v>9797889600.2815609</v>
      </c>
      <c r="F414" s="591">
        <f t="shared" si="42"/>
        <v>939647810.12795305</v>
      </c>
      <c r="G414" s="592">
        <f t="shared" ref="G414:G415" si="45">F414/C414</f>
        <v>10440531223.6439</v>
      </c>
      <c r="H414" s="81">
        <f t="shared" ref="H414:H415" si="46">G414-SUM(J414,L414,N414,P414,R414,T414,V414,X414,Z414,AB414,AD414,AF414,AH414,AJ414,AL414,AN414,AP414,AR414,AU414,AW414)</f>
        <v>969150103.38000095</v>
      </c>
      <c r="I414" s="81">
        <f t="shared" si="40"/>
        <v>87223509.304200098</v>
      </c>
      <c r="J414" s="378">
        <v>5014547733.4339199</v>
      </c>
      <c r="K414" s="378">
        <v>4892353029.7115602</v>
      </c>
      <c r="L414" s="375">
        <v>227827431.78999999</v>
      </c>
      <c r="M414" s="375">
        <v>306581326.37</v>
      </c>
      <c r="N414" s="375">
        <v>308180986.70999998</v>
      </c>
      <c r="O414" s="375">
        <v>430359878.81999999</v>
      </c>
      <c r="P414" s="375">
        <v>319968282.66000003</v>
      </c>
      <c r="Q414" s="375">
        <v>257867564.30000001</v>
      </c>
      <c r="R414" s="375">
        <v>143034849.13</v>
      </c>
      <c r="S414" s="375">
        <v>155695023.31</v>
      </c>
      <c r="T414" s="375">
        <v>251756756.36000001</v>
      </c>
      <c r="U414" s="375">
        <v>333293817.45999998</v>
      </c>
      <c r="V414" s="375">
        <v>323116375.29000002</v>
      </c>
      <c r="W414" s="375">
        <v>383234543.18000001</v>
      </c>
      <c r="X414" s="375">
        <v>228038135.06</v>
      </c>
      <c r="Y414" s="375">
        <v>199810854.66999999</v>
      </c>
      <c r="Z414" s="59">
        <v>515909269.63</v>
      </c>
      <c r="AA414" s="59">
        <v>263744431.61000001</v>
      </c>
      <c r="AB414" s="59">
        <v>574978957.88999999</v>
      </c>
      <c r="AC414" s="59">
        <v>413171778</v>
      </c>
      <c r="AD414" s="59">
        <v>1017952283.7</v>
      </c>
      <c r="AE414" s="59">
        <v>1000231643.5599999</v>
      </c>
      <c r="AF414" s="105">
        <v>22756563.02</v>
      </c>
      <c r="AG414" s="105">
        <v>282430242.26999998</v>
      </c>
      <c r="AH414" s="59">
        <v>4534546.59</v>
      </c>
      <c r="AI414" s="59">
        <v>65474783.409999996</v>
      </c>
      <c r="AJ414" s="348">
        <v>35792540.729999997</v>
      </c>
      <c r="AK414" s="62">
        <v>65827967.630000003</v>
      </c>
      <c r="AL414" s="348">
        <v>67899708.859999999</v>
      </c>
      <c r="AM414" s="62">
        <v>60452778.880000003</v>
      </c>
      <c r="AN414" s="348">
        <v>-15021903.109999999</v>
      </c>
      <c r="AO414" s="62">
        <v>2703064.96</v>
      </c>
      <c r="AP414" s="348">
        <v>107659463.29000001</v>
      </c>
      <c r="AQ414" s="62">
        <v>79949925.75</v>
      </c>
      <c r="AR414" s="348">
        <v>83859376.609999999</v>
      </c>
      <c r="AS414" s="59">
        <v>74348075.319999993</v>
      </c>
      <c r="AT414" s="569">
        <v>132209.64000000001</v>
      </c>
      <c r="AU414" s="59">
        <v>120876318.43000001</v>
      </c>
      <c r="AV414" s="59">
        <v>866835.23</v>
      </c>
      <c r="AW414" s="593">
        <v>117713444.19</v>
      </c>
      <c r="AX414" s="593">
        <v>222542088.90000001</v>
      </c>
      <c r="AY414" s="593">
        <v>53264485.479999997</v>
      </c>
      <c r="AZ414" s="593">
        <v>80723241.310000002</v>
      </c>
      <c r="BA414" s="495">
        <v>395103.89</v>
      </c>
      <c r="BB414" s="495"/>
      <c r="BC414" s="593">
        <v>125907666.86</v>
      </c>
      <c r="BD414" s="593">
        <v>6040022.0799999898</v>
      </c>
      <c r="BE414" s="495"/>
      <c r="BF414" s="495">
        <v>-395103.89</v>
      </c>
      <c r="BG414" s="593">
        <v>789977951.03999996</v>
      </c>
      <c r="BH414" s="593">
        <v>220186683.55000001</v>
      </c>
      <c r="BI414" s="495"/>
      <c r="BJ414" s="495"/>
    </row>
    <row r="415" spans="2:62">
      <c r="C415" s="589">
        <v>0.06</v>
      </c>
      <c r="D415" s="595">
        <f t="shared" si="44"/>
        <v>1086997701.8313401</v>
      </c>
      <c r="E415" s="595">
        <f t="shared" si="44"/>
        <v>861496325.14999998</v>
      </c>
      <c r="F415" s="591">
        <f t="shared" si="42"/>
        <v>65219862.1098805</v>
      </c>
      <c r="G415" s="592">
        <f t="shared" si="45"/>
        <v>1086997701.8313401</v>
      </c>
      <c r="H415" s="81">
        <f t="shared" si="46"/>
        <v>169354129.27620301</v>
      </c>
      <c r="I415" s="81">
        <f t="shared" ref="I415" si="47">H415*C415</f>
        <v>10161247.7565722</v>
      </c>
      <c r="J415" s="378">
        <v>462965517.21747398</v>
      </c>
      <c r="K415" s="378">
        <v>368851769.82999998</v>
      </c>
      <c r="L415" s="375">
        <v>31115335.420000002</v>
      </c>
      <c r="M415" s="375">
        <v>46954955.93</v>
      </c>
      <c r="N415" s="375">
        <v>10354856.550000001</v>
      </c>
      <c r="O415" s="375">
        <v>841508.13</v>
      </c>
      <c r="P415" s="375">
        <f>7266540.78+908238.11</f>
        <v>8174778.8899999997</v>
      </c>
      <c r="Q415" s="375">
        <v>31494650.27</v>
      </c>
      <c r="R415" s="375">
        <v>11080496.51</v>
      </c>
      <c r="S415" s="375">
        <v>3383984.34</v>
      </c>
      <c r="T415" s="375">
        <v>61458248.509999998</v>
      </c>
      <c r="U415" s="375">
        <v>80163685.019999996</v>
      </c>
      <c r="V415" s="375">
        <v>41199852.920000002</v>
      </c>
      <c r="W415" s="375">
        <v>15957187.529999999</v>
      </c>
      <c r="X415" s="375">
        <v>13673620.039999999</v>
      </c>
      <c r="Y415" s="375">
        <v>23584094.41</v>
      </c>
      <c r="Z415" s="59">
        <v>56236940.767665297</v>
      </c>
      <c r="AA415" s="59">
        <v>15636255.060000001</v>
      </c>
      <c r="AB415" s="59">
        <v>55858724.119999997</v>
      </c>
      <c r="AC415" s="59">
        <v>21528262.079999998</v>
      </c>
      <c r="AD415" s="59">
        <v>37278185.759999998</v>
      </c>
      <c r="AE415" s="59">
        <v>55999250.729999997</v>
      </c>
      <c r="AF415" s="105">
        <v>3805898.14</v>
      </c>
      <c r="AG415" s="105">
        <v>20327407.879999999</v>
      </c>
      <c r="AH415" s="59">
        <v>8717422.0899999999</v>
      </c>
      <c r="AI415" s="59">
        <v>19242330.690000001</v>
      </c>
      <c r="AJ415" s="348">
        <v>3759767.98</v>
      </c>
      <c r="AK415" s="62">
        <v>50781713.520000003</v>
      </c>
      <c r="AL415" s="348">
        <v>8158632.0099999998</v>
      </c>
      <c r="AM415" s="62">
        <v>617092.61</v>
      </c>
      <c r="AN415" s="348">
        <v>37274166.689999998</v>
      </c>
      <c r="AO415" s="62">
        <v>1749486.75</v>
      </c>
      <c r="AP415" s="348">
        <v>8839340.6899999995</v>
      </c>
      <c r="AQ415" s="62">
        <v>45968194.049999997</v>
      </c>
      <c r="AR415" s="348">
        <v>16432773.279999999</v>
      </c>
      <c r="AS415" s="59">
        <v>13731566.34</v>
      </c>
      <c r="AT415" s="569">
        <v>63624.73</v>
      </c>
      <c r="AU415" s="59">
        <v>22606165.02</v>
      </c>
      <c r="AV415" s="59">
        <v>2855156.33</v>
      </c>
      <c r="AW415" s="593">
        <v>18652849.949999999</v>
      </c>
      <c r="AX415" s="593">
        <v>9810630.4100000001</v>
      </c>
      <c r="AY415" s="593">
        <v>13275081.42</v>
      </c>
      <c r="AZ415" s="593">
        <v>39969021.810000002</v>
      </c>
      <c r="BA415" s="495"/>
      <c r="BB415" s="495"/>
      <c r="BC415" s="593">
        <v>-22711643.440000001</v>
      </c>
      <c r="BD415" s="593">
        <v>-28112069.149999999</v>
      </c>
      <c r="BE415" s="495"/>
      <c r="BF415" s="495"/>
      <c r="BG415" s="593">
        <v>178790691.29620299</v>
      </c>
      <c r="BH415" s="593">
        <v>20160190.579999998</v>
      </c>
      <c r="BI415" s="495"/>
      <c r="BJ415" s="495"/>
    </row>
    <row r="416" spans="2:62">
      <c r="C416" s="596" t="s">
        <v>33</v>
      </c>
      <c r="D416" s="596">
        <f>SUM(D411:D415)</f>
        <v>26085995369.127399</v>
      </c>
      <c r="E416" s="596">
        <f t="shared" ref="E416:G416" si="48">SUM(E411:E415)</f>
        <v>22536672288.945801</v>
      </c>
      <c r="F416" s="597">
        <f t="shared" si="48"/>
        <v>2923199968.9779601</v>
      </c>
      <c r="G416" s="597">
        <f t="shared" si="48"/>
        <v>26252467124.2393</v>
      </c>
      <c r="L416" s="105">
        <f>SUM(L413:L415)</f>
        <v>442396995.24000001</v>
      </c>
      <c r="N416" s="105">
        <f>SUM(N413:N415)</f>
        <v>521251687.35194701</v>
      </c>
      <c r="P416" s="105">
        <f>SUM(P413:P415)</f>
        <v>635908712.92999995</v>
      </c>
      <c r="R416" s="105">
        <f>SUM(R413:R415)</f>
        <v>309033375.86000001</v>
      </c>
      <c r="T416" s="105">
        <f>SUM(T413:T415)</f>
        <v>555683772.25</v>
      </c>
      <c r="V416" s="105">
        <f>SUM(V413:V415)</f>
        <v>674585791.12</v>
      </c>
      <c r="X416" s="105">
        <f>SUM(X413:X415)</f>
        <v>336862341.27999997</v>
      </c>
      <c r="Y416" s="498">
        <f t="shared" ref="Y416:AK416" si="49">SUM(Y413:Y415)</f>
        <v>456598577.06</v>
      </c>
      <c r="Z416" s="498">
        <f t="shared" si="49"/>
        <v>864174011.297665</v>
      </c>
      <c r="AA416" s="498">
        <f t="shared" si="49"/>
        <v>527157355.44999999</v>
      </c>
      <c r="AB416" s="498">
        <f t="shared" si="49"/>
        <v>931050928.11000001</v>
      </c>
      <c r="AC416" s="498">
        <f t="shared" si="49"/>
        <v>791786918.58000004</v>
      </c>
      <c r="AD416" s="498">
        <f t="shared" si="49"/>
        <v>1512649050.3800001</v>
      </c>
      <c r="AE416" s="498">
        <f t="shared" si="49"/>
        <v>1126259821.73</v>
      </c>
      <c r="AF416" s="498">
        <f t="shared" si="49"/>
        <v>431165837.97000003</v>
      </c>
      <c r="AG416" s="498">
        <f t="shared" si="49"/>
        <v>780536596.70000005</v>
      </c>
      <c r="AH416" s="498">
        <f t="shared" si="49"/>
        <v>355584080.39999998</v>
      </c>
      <c r="AI416" s="498">
        <f t="shared" si="49"/>
        <v>526201681.80000001</v>
      </c>
      <c r="AJ416" s="498">
        <f t="shared" si="49"/>
        <v>48816137.859999999</v>
      </c>
      <c r="AK416" s="498">
        <f t="shared" si="49"/>
        <v>476086943.89999998</v>
      </c>
      <c r="AL416" s="498">
        <f t="shared" ref="AL416:BJ416" si="50">SUM(AL413:AL415)</f>
        <v>97382183.185000002</v>
      </c>
      <c r="AM416" s="498">
        <f t="shared" si="50"/>
        <v>78604518.969999999</v>
      </c>
      <c r="AN416" s="498">
        <f t="shared" si="50"/>
        <v>50884269.899999999</v>
      </c>
      <c r="AO416" s="498">
        <f t="shared" si="50"/>
        <v>37974760.670000002</v>
      </c>
      <c r="AP416" s="498">
        <f t="shared" si="50"/>
        <v>121716054.69</v>
      </c>
      <c r="AQ416" s="498">
        <f t="shared" si="50"/>
        <v>236840482.66999999</v>
      </c>
      <c r="AR416" s="498">
        <f t="shared" si="50"/>
        <v>110819286.25</v>
      </c>
      <c r="AS416" s="498">
        <f t="shared" si="50"/>
        <v>109147812.59999999</v>
      </c>
      <c r="AT416" s="570">
        <f t="shared" si="50"/>
        <v>135329540.38</v>
      </c>
      <c r="AU416" s="498">
        <f t="shared" si="50"/>
        <v>179583690.52000001</v>
      </c>
      <c r="AV416" s="498">
        <f t="shared" si="50"/>
        <v>140167334.72999999</v>
      </c>
      <c r="AW416" s="593">
        <f t="shared" si="50"/>
        <v>174426163.13999999</v>
      </c>
      <c r="AX416" s="593">
        <f t="shared" si="50"/>
        <v>239799327.74000001</v>
      </c>
      <c r="AY416" s="593">
        <f t="shared" si="50"/>
        <v>117094624.44</v>
      </c>
      <c r="AZ416" s="593">
        <f t="shared" si="50"/>
        <v>313899048.50999999</v>
      </c>
      <c r="BA416" s="598">
        <f t="shared" si="50"/>
        <v>159445904</v>
      </c>
      <c r="BB416" s="598">
        <f t="shared" si="50"/>
        <v>-10674735.220000001</v>
      </c>
      <c r="BC416" s="593">
        <f t="shared" si="50"/>
        <v>1739318190.04</v>
      </c>
      <c r="BD416" s="593">
        <f t="shared" si="50"/>
        <v>1013212112.96</v>
      </c>
      <c r="BE416" s="598">
        <f t="shared" si="50"/>
        <v>0</v>
      </c>
      <c r="BF416" s="598">
        <f t="shared" si="50"/>
        <v>-283576878.37</v>
      </c>
      <c r="BG416" s="593">
        <f t="shared" si="50"/>
        <v>3914722849.34057</v>
      </c>
      <c r="BH416" s="593">
        <f t="shared" si="50"/>
        <v>1094541718.1500001</v>
      </c>
      <c r="BI416" s="598">
        <f t="shared" si="50"/>
        <v>0</v>
      </c>
      <c r="BJ416" s="598">
        <f t="shared" si="50"/>
        <v>0</v>
      </c>
    </row>
    <row r="417" spans="3:60">
      <c r="C417" s="596"/>
      <c r="D417" s="599">
        <f>G403-D416</f>
        <v>-1.6933441162109375E-2</v>
      </c>
      <c r="E417" s="599">
        <f>H403-E416</f>
        <v>0</v>
      </c>
      <c r="F417" s="596"/>
      <c r="G417" s="596"/>
      <c r="X417" s="498" t="b">
        <f>X416=X403</f>
        <v>1</v>
      </c>
      <c r="Y417" s="498" t="b">
        <f>Y416=Y403</f>
        <v>1</v>
      </c>
      <c r="Z417" s="498" t="b">
        <f>Z416=Z403</f>
        <v>0</v>
      </c>
      <c r="AA417" s="498" t="b">
        <f>AA416=AA403</f>
        <v>1</v>
      </c>
      <c r="AC417" s="498"/>
      <c r="AF417" s="74" t="b">
        <f>'12月PL'!E5=AF416</f>
        <v>1</v>
      </c>
      <c r="AG417" s="61" t="b">
        <f>AG416=SUM('增值税表一 累计销项'!C4:C6)</f>
        <v>1</v>
      </c>
      <c r="AH417" s="59" t="b">
        <f>'12月PL'!D39=AH416</f>
        <v>1</v>
      </c>
      <c r="AI417" s="59" t="b">
        <f>AI416=('增值税表一 累计销项'!C7+'增值税表一 累计销项'!C8+'增值税表一 累计销项'!C9)</f>
        <v>1</v>
      </c>
      <c r="AY417" s="59"/>
      <c r="AZ417" s="59"/>
      <c r="BC417" s="59"/>
      <c r="BD417" s="59"/>
      <c r="BG417" s="59"/>
      <c r="BH417" s="59"/>
    </row>
    <row r="418" spans="3:60">
      <c r="D418" s="497"/>
      <c r="E418" s="497"/>
      <c r="F418" s="497"/>
      <c r="G418" s="497"/>
    </row>
    <row r="419" spans="3:60">
      <c r="D419" s="497"/>
      <c r="E419" s="497"/>
      <c r="F419" s="497"/>
      <c r="G419" s="497"/>
      <c r="H419" s="634">
        <v>202509</v>
      </c>
      <c r="I419" s="635"/>
    </row>
    <row r="420" spans="3:60">
      <c r="H420" s="580" t="s">
        <v>300</v>
      </c>
      <c r="I420" s="580" t="s">
        <v>296</v>
      </c>
    </row>
    <row r="421" spans="3:60">
      <c r="H421" s="375">
        <v>0</v>
      </c>
      <c r="I421" s="375">
        <v>0</v>
      </c>
    </row>
    <row r="422" spans="3:60">
      <c r="H422" s="375">
        <v>19558533.0776329</v>
      </c>
      <c r="I422" s="375">
        <v>1760267.97698696</v>
      </c>
    </row>
    <row r="423" spans="3:60">
      <c r="H423" s="375">
        <v>0</v>
      </c>
      <c r="I423" s="375">
        <v>0</v>
      </c>
    </row>
    <row r="424" spans="3:60">
      <c r="C424" s="600"/>
    </row>
    <row r="425" spans="3:60">
      <c r="E425" s="378"/>
      <c r="F425" s="601" t="s">
        <v>292</v>
      </c>
      <c r="G425" s="602" t="s">
        <v>301</v>
      </c>
      <c r="H425" s="601" t="s">
        <v>302</v>
      </c>
      <c r="I425" s="602" t="s">
        <v>303</v>
      </c>
      <c r="J425" s="603" t="s">
        <v>304</v>
      </c>
      <c r="K425" s="601" t="s">
        <v>305</v>
      </c>
      <c r="AB425" s="602" t="s">
        <v>306</v>
      </c>
    </row>
    <row r="426" spans="3:60">
      <c r="E426" s="514" t="s">
        <v>307</v>
      </c>
      <c r="F426" s="510">
        <v>41282055.159999996</v>
      </c>
      <c r="G426" s="378">
        <v>7017949.3799999999</v>
      </c>
      <c r="H426" s="510">
        <v>41282055.159999996</v>
      </c>
      <c r="I426" s="378">
        <v>0</v>
      </c>
      <c r="J426" s="604"/>
      <c r="K426" s="510">
        <f>F426-H426</f>
        <v>0</v>
      </c>
    </row>
    <row r="427" spans="3:60">
      <c r="E427" s="514" t="s">
        <v>308</v>
      </c>
      <c r="F427" s="510">
        <v>420330069.87</v>
      </c>
      <c r="G427" s="378">
        <v>60902536.159999996</v>
      </c>
      <c r="H427" s="510">
        <v>334541118.81</v>
      </c>
      <c r="I427" s="378">
        <v>161000</v>
      </c>
      <c r="J427" s="604" t="s">
        <v>309</v>
      </c>
      <c r="K427" s="510">
        <f t="shared" ref="K427:K434" si="51">F427-H427</f>
        <v>85788951.060000002</v>
      </c>
    </row>
    <row r="428" spans="3:60">
      <c r="E428" s="514" t="s">
        <v>310</v>
      </c>
      <c r="F428" s="510">
        <v>2301139341.79</v>
      </c>
      <c r="G428" s="378">
        <v>254706884.74000001</v>
      </c>
      <c r="H428" s="510">
        <v>1999463024.4400001</v>
      </c>
      <c r="I428" s="378">
        <v>235999.88</v>
      </c>
      <c r="J428" s="604" t="s">
        <v>311</v>
      </c>
      <c r="K428" s="510">
        <f t="shared" si="51"/>
        <v>301676317.35000002</v>
      </c>
    </row>
    <row r="429" spans="3:60">
      <c r="E429" s="514" t="s">
        <v>312</v>
      </c>
      <c r="F429" s="510">
        <v>815188655.25999999</v>
      </c>
      <c r="G429" s="378">
        <v>83843351.409999996</v>
      </c>
      <c r="H429" s="510">
        <v>1049924138.09</v>
      </c>
      <c r="I429" s="378">
        <v>44000</v>
      </c>
      <c r="J429" s="604" t="s">
        <v>313</v>
      </c>
      <c r="K429" s="510">
        <f t="shared" si="51"/>
        <v>-234735482.83000001</v>
      </c>
    </row>
    <row r="430" spans="3:60">
      <c r="E430" s="514" t="s">
        <v>314</v>
      </c>
      <c r="F430" s="510">
        <v>931375742.59000003</v>
      </c>
      <c r="G430" s="378">
        <v>102789511.54000001</v>
      </c>
      <c r="H430" s="510">
        <v>1026309094.76</v>
      </c>
      <c r="I430" s="378">
        <v>0</v>
      </c>
      <c r="J430" s="604"/>
      <c r="K430" s="510">
        <f t="shared" si="51"/>
        <v>-94933352.170000002</v>
      </c>
    </row>
    <row r="431" spans="3:60">
      <c r="E431" s="514" t="s">
        <v>315</v>
      </c>
      <c r="F431" s="510">
        <v>3359111464.8400002</v>
      </c>
      <c r="G431" s="378">
        <v>375917003.49000001</v>
      </c>
      <c r="H431" s="510">
        <v>3351475271.3099999</v>
      </c>
      <c r="I431" s="378">
        <v>1.03</v>
      </c>
      <c r="J431" s="604"/>
      <c r="K431" s="510">
        <f t="shared" si="51"/>
        <v>7636193.5300002098</v>
      </c>
    </row>
    <row r="432" spans="3:60">
      <c r="E432" s="514" t="s">
        <v>316</v>
      </c>
      <c r="F432" s="510">
        <v>5758960160.3299999</v>
      </c>
      <c r="G432" s="378">
        <v>645743495.35000002</v>
      </c>
      <c r="H432" s="510">
        <v>5758920983.3699999</v>
      </c>
      <c r="I432" s="378">
        <v>0</v>
      </c>
      <c r="J432" s="604"/>
      <c r="K432" s="510">
        <f t="shared" si="51"/>
        <v>39176.960000038103</v>
      </c>
    </row>
    <row r="433" spans="5:31 16367:16374">
      <c r="E433" s="121" t="s">
        <v>317</v>
      </c>
      <c r="F433" s="510">
        <f>2241545958.96+R408+T408+V408+X408+Z408+AB408+AD408</f>
        <v>7425585229.2576599</v>
      </c>
      <c r="G433" s="378">
        <f>SUM('增值税表一 累计销项'!J20:J36)+232999533.02</f>
        <v>521589084.28219998</v>
      </c>
      <c r="H433" s="510">
        <v>7333842109.9996099</v>
      </c>
      <c r="I433" s="378">
        <v>0</v>
      </c>
      <c r="J433" s="604"/>
      <c r="K433" s="510">
        <f t="shared" si="51"/>
        <v>91743119.258051902</v>
      </c>
      <c r="AB433" s="59">
        <f>F433-H433</f>
        <v>91743119.258051902</v>
      </c>
      <c r="AC433" s="59" t="s">
        <v>318</v>
      </c>
    </row>
    <row r="434" spans="5:31 16367:16374">
      <c r="E434" s="121" t="s">
        <v>319</v>
      </c>
      <c r="F434" s="510">
        <f>SUM(账税差异监控!J4:J12)</f>
        <v>1705707244.2950001</v>
      </c>
      <c r="G434" s="378">
        <f>SUM('增值税表一 累计销项'!J4:J30)</f>
        <v>190912106.15095001</v>
      </c>
      <c r="H434" s="510">
        <v>1570377703.9200001</v>
      </c>
      <c r="I434" s="378">
        <v>0</v>
      </c>
      <c r="J434" s="59"/>
      <c r="K434" s="59">
        <f t="shared" si="51"/>
        <v>135329540.375</v>
      </c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59">
        <f>F434-H434</f>
        <v>135329540.375</v>
      </c>
      <c r="AC434" s="59" t="s">
        <v>320</v>
      </c>
      <c r="AD434" s="61"/>
      <c r="AE434" s="61"/>
      <c r="XEM434" s="496"/>
      <c r="XEN434" s="497"/>
      <c r="XEP434" s="121"/>
      <c r="XEQ434" s="510"/>
      <c r="XER434" s="378"/>
      <c r="XES434" s="510"/>
      <c r="XET434" s="378"/>
    </row>
    <row r="435" spans="5:31 16367:16374">
      <c r="F435" s="605">
        <f>SUM(F426:F433)</f>
        <v>21052972719.097698</v>
      </c>
      <c r="G435" s="346">
        <f>SUM(G426:G433)</f>
        <v>2052509816.3522</v>
      </c>
      <c r="H435" s="605">
        <f>SUM(H426:H433)</f>
        <v>20895757795.939602</v>
      </c>
      <c r="I435" s="346"/>
      <c r="J435" s="346"/>
      <c r="K435" s="605">
        <f>SUM(K426:K434)</f>
        <v>292544463.53305203</v>
      </c>
    </row>
  </sheetData>
  <autoFilter ref="B2:XET405" xr:uid="{00000000-0009-0000-0000-000001000000}"/>
  <mergeCells count="312">
    <mergeCell ref="D375:D377"/>
    <mergeCell ref="D378:D380"/>
    <mergeCell ref="D381:D383"/>
    <mergeCell ref="D384:D386"/>
    <mergeCell ref="D387:D389"/>
    <mergeCell ref="D390:D392"/>
    <mergeCell ref="D393:D395"/>
    <mergeCell ref="D396:D398"/>
    <mergeCell ref="D399:D401"/>
    <mergeCell ref="D348:D350"/>
    <mergeCell ref="D351:D353"/>
    <mergeCell ref="D354:D356"/>
    <mergeCell ref="D357:D359"/>
    <mergeCell ref="D360:D362"/>
    <mergeCell ref="D363:D365"/>
    <mergeCell ref="D366:D368"/>
    <mergeCell ref="D369:D371"/>
    <mergeCell ref="D372:D374"/>
    <mergeCell ref="D321:D323"/>
    <mergeCell ref="D324:D326"/>
    <mergeCell ref="D327:D329"/>
    <mergeCell ref="D330:D332"/>
    <mergeCell ref="D333:D335"/>
    <mergeCell ref="D336:D338"/>
    <mergeCell ref="D339:D341"/>
    <mergeCell ref="D342:D344"/>
    <mergeCell ref="D345:D347"/>
    <mergeCell ref="D294:D296"/>
    <mergeCell ref="D297:D299"/>
    <mergeCell ref="D300:D302"/>
    <mergeCell ref="D303:D305"/>
    <mergeCell ref="D306:D308"/>
    <mergeCell ref="D309:D311"/>
    <mergeCell ref="D312:D314"/>
    <mergeCell ref="D315:D317"/>
    <mergeCell ref="D318:D320"/>
    <mergeCell ref="D267:D269"/>
    <mergeCell ref="D270:D272"/>
    <mergeCell ref="D273:D275"/>
    <mergeCell ref="D276:D278"/>
    <mergeCell ref="D279:D281"/>
    <mergeCell ref="D282:D284"/>
    <mergeCell ref="D285:D287"/>
    <mergeCell ref="D288:D290"/>
    <mergeCell ref="D291:D293"/>
    <mergeCell ref="D240:D242"/>
    <mergeCell ref="D243:D245"/>
    <mergeCell ref="D246:D248"/>
    <mergeCell ref="D249:D251"/>
    <mergeCell ref="D252:D254"/>
    <mergeCell ref="D255:D257"/>
    <mergeCell ref="D258:D260"/>
    <mergeCell ref="D261:D263"/>
    <mergeCell ref="D264:D266"/>
    <mergeCell ref="D213:D215"/>
    <mergeCell ref="D216:D218"/>
    <mergeCell ref="D219:D221"/>
    <mergeCell ref="D222:D224"/>
    <mergeCell ref="D225:D227"/>
    <mergeCell ref="D228:D230"/>
    <mergeCell ref="D231:D233"/>
    <mergeCell ref="D234:D236"/>
    <mergeCell ref="D237:D239"/>
    <mergeCell ref="D186:D188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159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22:D124"/>
    <mergeCell ref="D125:D127"/>
    <mergeCell ref="D128:D130"/>
    <mergeCell ref="D131:D133"/>
    <mergeCell ref="D134:D136"/>
    <mergeCell ref="D137:D139"/>
    <mergeCell ref="D140:D142"/>
    <mergeCell ref="D153:D154"/>
    <mergeCell ref="D156:D158"/>
    <mergeCell ref="D95:D97"/>
    <mergeCell ref="D98:D100"/>
    <mergeCell ref="D101:D103"/>
    <mergeCell ref="D104:D106"/>
    <mergeCell ref="D107:D109"/>
    <mergeCell ref="D110:D112"/>
    <mergeCell ref="D113:D115"/>
    <mergeCell ref="D116:D118"/>
    <mergeCell ref="D119:D121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C381:C383"/>
    <mergeCell ref="C384:C386"/>
    <mergeCell ref="C409:C410"/>
    <mergeCell ref="D3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B384:B386"/>
    <mergeCell ref="B387:B389"/>
    <mergeCell ref="B390:B392"/>
    <mergeCell ref="B393:B395"/>
    <mergeCell ref="B396:B398"/>
    <mergeCell ref="B399:B401"/>
    <mergeCell ref="C3:C7"/>
    <mergeCell ref="C11:C13"/>
    <mergeCell ref="C59:C61"/>
    <mergeCell ref="C62:C64"/>
    <mergeCell ref="C156:C158"/>
    <mergeCell ref="C159:C161"/>
    <mergeCell ref="C231:C233"/>
    <mergeCell ref="C234:C236"/>
    <mergeCell ref="C237:C239"/>
    <mergeCell ref="C243:C245"/>
    <mergeCell ref="C291:C293"/>
    <mergeCell ref="C294:C296"/>
    <mergeCell ref="C297:C299"/>
    <mergeCell ref="C354:C356"/>
    <mergeCell ref="C357:C359"/>
    <mergeCell ref="C372:C374"/>
    <mergeCell ref="C375:C377"/>
    <mergeCell ref="C378:C380"/>
    <mergeCell ref="B357:B359"/>
    <mergeCell ref="B360:B362"/>
    <mergeCell ref="B363:B365"/>
    <mergeCell ref="B366:B368"/>
    <mergeCell ref="B369:B371"/>
    <mergeCell ref="B372:B374"/>
    <mergeCell ref="B375:B377"/>
    <mergeCell ref="B378:B380"/>
    <mergeCell ref="B381:B383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B354:B356"/>
    <mergeCell ref="B303:B305"/>
    <mergeCell ref="B306:B308"/>
    <mergeCell ref="B309:B311"/>
    <mergeCell ref="B312:B314"/>
    <mergeCell ref="B315:B317"/>
    <mergeCell ref="B318:B320"/>
    <mergeCell ref="B321:B323"/>
    <mergeCell ref="B324:B326"/>
    <mergeCell ref="B327:B329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246:B248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37:B139"/>
    <mergeCell ref="B140:B142"/>
    <mergeCell ref="B146:B148"/>
    <mergeCell ref="B149:B151"/>
    <mergeCell ref="B153:B154"/>
    <mergeCell ref="B156:B158"/>
    <mergeCell ref="B159:B161"/>
    <mergeCell ref="B162:B164"/>
    <mergeCell ref="B165:B167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AR409:AS409"/>
    <mergeCell ref="AT409:AV409"/>
    <mergeCell ref="AW409:AX409"/>
    <mergeCell ref="AY409:BB409"/>
    <mergeCell ref="BC409:BF409"/>
    <mergeCell ref="BG409:BJ409"/>
    <mergeCell ref="H419:I419"/>
    <mergeCell ref="B3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Z409:AA409"/>
    <mergeCell ref="AB409:AC409"/>
    <mergeCell ref="AD409:AE409"/>
    <mergeCell ref="AF409:AG409"/>
    <mergeCell ref="AH409:AI409"/>
    <mergeCell ref="AJ409:AK409"/>
    <mergeCell ref="AL409:AM409"/>
    <mergeCell ref="AN409:AO409"/>
    <mergeCell ref="AP409:AQ409"/>
    <mergeCell ref="B403:F403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D409:D410"/>
    <mergeCell ref="E409:E410"/>
    <mergeCell ref="F409:F410"/>
    <mergeCell ref="G409:G410"/>
    <mergeCell ref="H409:H410"/>
    <mergeCell ref="I409:I410"/>
  </mergeCells>
  <phoneticPr fontId="8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X398"/>
  <sheetViews>
    <sheetView zoomScale="80" zoomScaleNormal="80" workbookViewId="0">
      <pane xSplit="11" ySplit="2" topLeftCell="GX110" activePane="bottomRight" state="frozen"/>
      <selection pane="topRight"/>
      <selection pane="bottomLeft"/>
      <selection pane="bottomRight" activeCell="H157" sqref="H157"/>
    </sheetView>
  </sheetViews>
  <sheetFormatPr defaultColWidth="9" defaultRowHeight="14.25"/>
  <cols>
    <col min="1" max="1" width="1.625" style="393" customWidth="1"/>
    <col min="2" max="2" width="5.5" style="393" customWidth="1"/>
    <col min="3" max="3" width="8.5" style="393" customWidth="1"/>
    <col min="4" max="4" width="32.125" style="394" customWidth="1"/>
    <col min="5" max="5" width="8.25" style="393" customWidth="1"/>
    <col min="6" max="6" width="4.75" style="393" customWidth="1"/>
    <col min="7" max="8" width="19.75" style="393" customWidth="1"/>
    <col min="9" max="9" width="18.5" style="393" customWidth="1"/>
    <col min="10" max="10" width="22" style="393" customWidth="1"/>
    <col min="11" max="11" width="19.75" style="393" customWidth="1"/>
    <col min="12" max="12" width="16.125" style="393" customWidth="1"/>
    <col min="13" max="13" width="26" style="392" customWidth="1"/>
    <col min="14" max="14" width="26.125" style="392" customWidth="1"/>
    <col min="15" max="15" width="21.25" style="392" customWidth="1"/>
    <col min="16" max="16" width="22.875" style="392" customWidth="1"/>
    <col min="17" max="17" width="14.75" style="393" customWidth="1"/>
    <col min="18" max="18" width="16.375" style="393" customWidth="1"/>
    <col min="19" max="19" width="14.375" style="392" customWidth="1"/>
    <col min="20" max="20" width="14.875" style="392" customWidth="1"/>
    <col min="21" max="21" width="18" style="393" customWidth="1"/>
    <col min="22" max="23" width="14.625" style="392" customWidth="1"/>
    <col min="24" max="24" width="14.625" style="393" customWidth="1"/>
    <col min="25" max="25" width="14.5" style="393" customWidth="1"/>
    <col min="26" max="26" width="19.5" style="393" customWidth="1"/>
    <col min="27" max="27" width="17.375" style="393" customWidth="1"/>
    <col min="28" max="28" width="15" style="393" customWidth="1"/>
    <col min="29" max="29" width="17" style="393" customWidth="1"/>
    <col min="30" max="30" width="20.125" style="393" customWidth="1"/>
    <col min="31" max="31" width="14" style="393" customWidth="1"/>
    <col min="32" max="32" width="12.625" style="393" customWidth="1"/>
    <col min="33" max="33" width="15.375" style="393" customWidth="1"/>
    <col min="34" max="34" width="11.5" style="393" customWidth="1"/>
    <col min="35" max="35" width="13.375" style="393" customWidth="1"/>
    <col min="36" max="37" width="14.625" style="393" customWidth="1"/>
    <col min="38" max="38" width="14.75" style="392" customWidth="1"/>
    <col min="39" max="39" width="15.875" style="393" customWidth="1"/>
    <col min="40" max="40" width="15.125" style="393" customWidth="1"/>
    <col min="41" max="41" width="14.5" style="393" customWidth="1"/>
    <col min="42" max="42" width="14" style="393" customWidth="1"/>
    <col min="43" max="43" width="15.125" style="393" customWidth="1"/>
    <col min="44" max="44" width="14.625" style="392" customWidth="1"/>
    <col min="45" max="45" width="25" style="392" customWidth="1"/>
    <col min="46" max="46" width="13.5" style="392" customWidth="1"/>
    <col min="47" max="47" width="19.25" style="392" customWidth="1"/>
    <col min="48" max="48" width="16.25" style="392" customWidth="1"/>
    <col min="49" max="49" width="14.625" style="392" customWidth="1"/>
    <col min="50" max="50" width="13" style="395" customWidth="1"/>
    <col min="51" max="51" width="28.5" style="392" customWidth="1"/>
    <col min="52" max="52" width="14.625" style="392" customWidth="1"/>
    <col min="53" max="53" width="12.75" style="392" customWidth="1"/>
    <col min="54" max="54" width="19.375" style="392" customWidth="1"/>
    <col min="55" max="55" width="23.875" style="393" customWidth="1"/>
    <col min="56" max="56" width="21.875" style="396" customWidth="1"/>
    <col min="57" max="57" width="19.5" style="392" customWidth="1"/>
    <col min="58" max="58" width="15.625" style="392" customWidth="1"/>
    <col min="59" max="59" width="14.875" style="392" customWidth="1"/>
    <col min="60" max="60" width="15.25" style="393" customWidth="1"/>
    <col min="61" max="61" width="15.875" style="392" customWidth="1"/>
    <col min="62" max="64" width="16" style="392" customWidth="1"/>
    <col min="65" max="65" width="17.375" style="392" customWidth="1"/>
    <col min="66" max="66" width="16.625" style="392" customWidth="1"/>
    <col min="67" max="68" width="19.375" style="393" customWidth="1"/>
    <col min="69" max="69" width="19.375" style="392" customWidth="1"/>
    <col min="70" max="70" width="23.875" style="393" customWidth="1"/>
    <col min="71" max="71" width="17.25" style="393" customWidth="1"/>
    <col min="72" max="72" width="17.125" style="392" customWidth="1"/>
    <col min="73" max="73" width="19" style="392" customWidth="1"/>
    <col min="74" max="74" width="14.625" style="392" customWidth="1"/>
    <col min="75" max="75" width="16.375" style="392" customWidth="1"/>
    <col min="76" max="76" width="21.125" style="392" customWidth="1"/>
    <col min="77" max="77" width="19.375" style="393" customWidth="1"/>
    <col min="78" max="78" width="15.25" style="393" customWidth="1"/>
    <col min="79" max="79" width="13.875" style="393" customWidth="1"/>
    <col min="80" max="80" width="14.25" style="393" customWidth="1"/>
    <col min="81" max="81" width="11.625" style="396" customWidth="1"/>
    <col min="82" max="83" width="14" style="393" customWidth="1"/>
    <col min="84" max="84" width="14.375" style="393" customWidth="1"/>
    <col min="85" max="85" width="18.875" style="393" customWidth="1"/>
    <col min="86" max="86" width="12.625" style="393" customWidth="1"/>
    <col min="87" max="87" width="15.75" style="393" customWidth="1"/>
    <col min="88" max="88" width="16.25" style="393" customWidth="1"/>
    <col min="89" max="89" width="19.375" style="393" customWidth="1"/>
    <col min="90" max="90" width="18.75" style="393" customWidth="1"/>
    <col min="91" max="91" width="17.625" style="393" customWidth="1"/>
    <col min="92" max="92" width="15.5" style="392" customWidth="1"/>
    <col min="93" max="93" width="12.25" style="392" customWidth="1"/>
    <col min="94" max="94" width="16.625" style="392" customWidth="1"/>
    <col min="95" max="95" width="13.5" style="397" customWidth="1"/>
    <col min="96" max="96" width="12.5" style="397" customWidth="1"/>
    <col min="97" max="97" width="15.5" style="393" customWidth="1"/>
    <col min="98" max="99" width="18.5" style="393" customWidth="1"/>
    <col min="100" max="100" width="22.875" style="393" customWidth="1"/>
    <col min="101" max="101" width="19.75" style="393" customWidth="1"/>
    <col min="102" max="103" width="14.125" style="393" customWidth="1"/>
    <col min="104" max="104" width="14.375" style="393" customWidth="1"/>
    <col min="105" max="105" width="18.625" style="393" customWidth="1"/>
    <col min="106" max="106" width="12.75" style="393" customWidth="1"/>
    <col min="107" max="108" width="15.125" style="393" customWidth="1"/>
    <col min="109" max="109" width="14.375" style="393" customWidth="1"/>
    <col min="110" max="110" width="18.625" style="392" customWidth="1"/>
    <col min="111" max="111" width="15.5" style="393" customWidth="1"/>
    <col min="112" max="112" width="13.5" style="393" customWidth="1"/>
    <col min="113" max="113" width="13.375" style="393" customWidth="1"/>
    <col min="114" max="114" width="13.5" style="393" customWidth="1"/>
    <col min="115" max="115" width="17.125" style="392" customWidth="1"/>
    <col min="116" max="116" width="15.625" style="398" customWidth="1"/>
    <col min="117" max="119" width="14.375" style="393" customWidth="1"/>
    <col min="120" max="120" width="18.875" style="393" customWidth="1"/>
    <col min="121" max="121" width="16.125" style="396" customWidth="1"/>
    <col min="122" max="124" width="14.375" style="393" customWidth="1"/>
    <col min="125" max="125" width="18.875" style="393" customWidth="1"/>
    <col min="126" max="126" width="16.125" style="393" customWidth="1"/>
    <col min="127" max="127" width="15.125" style="393" customWidth="1"/>
    <col min="128" max="129" width="14.625" style="393" customWidth="1"/>
    <col min="130" max="130" width="19.25" style="393" customWidth="1"/>
    <col min="131" max="131" width="16.25" style="393" customWidth="1"/>
    <col min="132" max="132" width="15.5" style="392" customWidth="1"/>
    <col min="133" max="133" width="15.5" style="393" customWidth="1"/>
    <col min="134" max="134" width="14.5" style="392" customWidth="1"/>
    <col min="135" max="135" width="17.625" style="393" customWidth="1"/>
    <col min="136" max="136" width="17.875" style="393" customWidth="1"/>
    <col min="137" max="137" width="21" style="393" customWidth="1"/>
    <col min="138" max="138" width="18.25" style="393" customWidth="1"/>
    <col min="139" max="139" width="19.375" style="393" customWidth="1"/>
    <col min="140" max="140" width="18.875" style="393" customWidth="1"/>
    <col min="141" max="141" width="16.125" style="392" customWidth="1"/>
    <col min="142" max="142" width="18.375" style="393" customWidth="1"/>
    <col min="143" max="144" width="14.375" style="393" customWidth="1"/>
    <col min="145" max="145" width="18.875" style="393" customWidth="1"/>
    <col min="146" max="146" width="16.125" style="393" customWidth="1"/>
    <col min="147" max="147" width="14.125" style="393" customWidth="1"/>
    <col min="148" max="148" width="16.125" style="393" customWidth="1"/>
    <col min="149" max="149" width="14.25" style="393" customWidth="1"/>
    <col min="150" max="150" width="18.75" style="393" customWidth="1"/>
    <col min="151" max="151" width="19" style="393" customWidth="1"/>
    <col min="152" max="156" width="16.875" style="393" customWidth="1"/>
    <col min="157" max="157" width="18.625" style="393" customWidth="1"/>
    <col min="158" max="158" width="15.5" style="393" customWidth="1"/>
    <col min="159" max="159" width="14.375" style="393" customWidth="1"/>
    <col min="160" max="160" width="18.75" style="393" customWidth="1"/>
    <col min="161" max="161" width="15.625" style="393" customWidth="1"/>
    <col min="162" max="166" width="18.375" style="393" customWidth="1"/>
    <col min="167" max="169" width="14.375" style="393" customWidth="1"/>
    <col min="170" max="170" width="18.875" style="393" customWidth="1"/>
    <col min="171" max="171" width="14.375" style="393" customWidth="1"/>
    <col min="172" max="173" width="16.125" style="393" customWidth="1"/>
    <col min="174" max="174" width="16.25" style="393" customWidth="1"/>
    <col min="175" max="175" width="14.125" style="393" customWidth="1"/>
    <col min="176" max="176" width="10.25" style="393" customWidth="1"/>
    <col min="177" max="177" width="13.875" style="393" customWidth="1"/>
    <col min="178" max="178" width="15" style="393" customWidth="1"/>
    <col min="179" max="179" width="14.125" style="393" customWidth="1"/>
    <col min="180" max="180" width="18.625" style="393" customWidth="1"/>
    <col min="181" max="181" width="20.375" style="393" customWidth="1"/>
    <col min="182" max="183" width="14.75" style="393" customWidth="1"/>
    <col min="184" max="184" width="13.625" style="393" customWidth="1"/>
    <col min="185" max="185" width="17.625" style="392" customWidth="1"/>
    <col min="186" max="186" width="15.125" style="392" customWidth="1"/>
    <col min="187" max="187" width="14.625" style="393" customWidth="1"/>
    <col min="188" max="188" width="14.75" style="393" customWidth="1"/>
    <col min="189" max="189" width="14.625" style="393" customWidth="1"/>
    <col min="190" max="190" width="19.25" style="393" customWidth="1"/>
    <col min="191" max="191" width="16.25" style="393" customWidth="1"/>
    <col min="192" max="192" width="16.75" style="393" customWidth="1"/>
    <col min="193" max="193" width="14.875" style="393" customWidth="1"/>
    <col min="194" max="194" width="13.5" style="393" customWidth="1"/>
    <col min="195" max="195" width="17.625" style="393" customWidth="1"/>
    <col min="196" max="196" width="14.75" style="393" customWidth="1"/>
    <col min="197" max="197" width="15.25" style="393" customWidth="1"/>
    <col min="198" max="198" width="14.875" style="393" customWidth="1"/>
    <col min="199" max="199" width="19" style="393" customWidth="1"/>
    <col min="200" max="200" width="17.625" style="393" customWidth="1"/>
    <col min="201" max="201" width="14.75" style="393" customWidth="1"/>
    <col min="202" max="202" width="23.875" style="393" customWidth="1"/>
    <col min="203" max="203" width="22.375" style="393" customWidth="1"/>
    <col min="204" max="204" width="24.125" style="393" customWidth="1"/>
    <col min="205" max="205" width="27.625" style="393" customWidth="1"/>
    <col min="206" max="206" width="23.125" style="393" customWidth="1"/>
    <col min="207" max="207" width="8.625" style="393" customWidth="1"/>
    <col min="208" max="208" width="8.875" style="393" customWidth="1"/>
    <col min="209" max="16384" width="9" style="393"/>
  </cols>
  <sheetData>
    <row r="1" spans="1:206" s="392" customFormat="1">
      <c r="C1" s="399" t="s">
        <v>321</v>
      </c>
      <c r="D1" s="400" t="s">
        <v>322</v>
      </c>
      <c r="G1" s="392">
        <f t="shared" ref="G1:BR1" si="0">SUBTOTAL(9,G3:G349)</f>
        <v>11897425453.446199</v>
      </c>
      <c r="H1" s="392">
        <f t="shared" si="0"/>
        <v>11509361719.805799</v>
      </c>
      <c r="I1" s="392">
        <f t="shared" si="0"/>
        <v>1320052826.83462</v>
      </c>
      <c r="J1" s="392">
        <f t="shared" si="0"/>
        <v>11896883677.192101</v>
      </c>
      <c r="K1" s="392">
        <f t="shared" si="0"/>
        <v>379490451.41560602</v>
      </c>
      <c r="L1" s="392">
        <f t="shared" si="0"/>
        <v>-23479404.565033399</v>
      </c>
      <c r="M1" s="392">
        <f t="shared" si="0"/>
        <v>1566461185.6296599</v>
      </c>
      <c r="N1" s="392">
        <f t="shared" si="0"/>
        <v>856862217.14999998</v>
      </c>
      <c r="O1" s="392">
        <f t="shared" si="0"/>
        <v>178767522.49557501</v>
      </c>
      <c r="P1" s="392">
        <f t="shared" si="0"/>
        <v>-4460605.5528992098</v>
      </c>
      <c r="Q1" s="392">
        <f t="shared" si="0"/>
        <v>17180374.6798531</v>
      </c>
      <c r="R1" s="392">
        <f t="shared" si="0"/>
        <v>68121013.159999996</v>
      </c>
      <c r="S1" s="392">
        <f t="shared" si="0"/>
        <v>391959.15230000002</v>
      </c>
      <c r="T1" s="392">
        <f t="shared" si="0"/>
        <v>3135069.0766666699</v>
      </c>
      <c r="U1" s="392">
        <f t="shared" si="0"/>
        <v>-14045305.603186401</v>
      </c>
      <c r="V1" s="392">
        <f t="shared" si="0"/>
        <v>2246364.5499999998</v>
      </c>
      <c r="W1" s="392">
        <f t="shared" si="0"/>
        <v>0</v>
      </c>
      <c r="X1" s="392">
        <f t="shared" si="0"/>
        <v>443899.4228</v>
      </c>
      <c r="Y1" s="392">
        <f t="shared" si="0"/>
        <v>4990651.5599999996</v>
      </c>
      <c r="Z1" s="392">
        <f t="shared" si="0"/>
        <v>2744287.01</v>
      </c>
      <c r="AA1" s="392">
        <f t="shared" si="0"/>
        <v>24320351.359999999</v>
      </c>
      <c r="AB1" s="392">
        <f t="shared" si="0"/>
        <v>279332529.95578003</v>
      </c>
      <c r="AC1" s="392">
        <f t="shared" si="0"/>
        <v>1960880.77595229</v>
      </c>
      <c r="AD1" s="392">
        <f t="shared" si="0"/>
        <v>15930554.2694699</v>
      </c>
      <c r="AE1" s="392">
        <f t="shared" si="0"/>
        <v>-8389797.0905300695</v>
      </c>
      <c r="AF1" s="392">
        <f t="shared" si="0"/>
        <v>55810857.939999998</v>
      </c>
      <c r="AG1" s="392">
        <f t="shared" si="0"/>
        <v>153819557.33000001</v>
      </c>
      <c r="AH1" s="392">
        <f t="shared" si="0"/>
        <v>5904167.5365893003</v>
      </c>
      <c r="AI1" s="392">
        <f t="shared" si="0"/>
        <v>45628879.410736099</v>
      </c>
      <c r="AJ1" s="392">
        <f t="shared" si="0"/>
        <v>-10181978.529263901</v>
      </c>
      <c r="AK1" s="392">
        <f t="shared" si="0"/>
        <v>124627986.54000001</v>
      </c>
      <c r="AL1" s="392">
        <f t="shared" si="0"/>
        <v>203194665.06</v>
      </c>
      <c r="AM1" s="392">
        <f t="shared" si="0"/>
        <v>11045263.5160744</v>
      </c>
      <c r="AN1" s="392">
        <f t="shared" si="0"/>
        <v>85664994.655172706</v>
      </c>
      <c r="AO1" s="392">
        <f t="shared" si="0"/>
        <v>-38962991.884827301</v>
      </c>
      <c r="AP1" s="392">
        <f t="shared" si="0"/>
        <v>68383205.584700003</v>
      </c>
      <c r="AQ1" s="392">
        <f t="shared" si="0"/>
        <v>0</v>
      </c>
      <c r="AR1" s="392">
        <f t="shared" si="0"/>
        <v>6329455.0502429996</v>
      </c>
      <c r="AS1" s="392">
        <f t="shared" si="0"/>
        <v>56289802.1535111</v>
      </c>
      <c r="AT1" s="392">
        <f t="shared" si="0"/>
        <v>-12093403.4311889</v>
      </c>
      <c r="AU1" s="392">
        <f t="shared" si="0"/>
        <v>39840042.460000001</v>
      </c>
      <c r="AV1" s="392">
        <f t="shared" si="0"/>
        <v>86383896.469999999</v>
      </c>
      <c r="AW1" s="392">
        <f t="shared" si="0"/>
        <v>4336825.4501219997</v>
      </c>
      <c r="AX1" s="392">
        <f t="shared" si="0"/>
        <v>38836342.939542703</v>
      </c>
      <c r="AY1" s="392">
        <f t="shared" si="0"/>
        <v>-1003699.52045727</v>
      </c>
      <c r="AZ1" s="392">
        <f t="shared" si="0"/>
        <v>123951461.94</v>
      </c>
      <c r="BA1" s="392">
        <f t="shared" si="0"/>
        <v>74428412.239999995</v>
      </c>
      <c r="BB1" s="392">
        <f t="shared" si="0"/>
        <v>13326329.27949</v>
      </c>
      <c r="BC1" s="392">
        <f t="shared" si="0"/>
        <v>123951461.877533</v>
      </c>
      <c r="BD1" s="392">
        <f t="shared" si="0"/>
        <v>0.11753334074819601</v>
      </c>
      <c r="BE1" s="392">
        <f t="shared" si="0"/>
        <v>74823163.018999994</v>
      </c>
      <c r="BF1" s="392">
        <f t="shared" si="0"/>
        <v>30691359.920000002</v>
      </c>
      <c r="BG1" s="392">
        <f t="shared" si="0"/>
        <v>6725074.7177149998</v>
      </c>
      <c r="BH1" s="392">
        <f t="shared" si="0"/>
        <v>74895725.700411096</v>
      </c>
      <c r="BI1" s="392">
        <f t="shared" si="0"/>
        <v>72562.681411111407</v>
      </c>
      <c r="BJ1" s="392">
        <f t="shared" si="0"/>
        <v>45800887.979999997</v>
      </c>
      <c r="BK1" s="392">
        <f t="shared" si="0"/>
        <v>230971.83</v>
      </c>
      <c r="BL1" s="392">
        <f t="shared" si="0"/>
        <v>4452219.99</v>
      </c>
      <c r="BM1" s="392">
        <f t="shared" si="0"/>
        <v>45728325.277777798</v>
      </c>
      <c r="BN1" s="392">
        <f t="shared" si="0"/>
        <v>-72562.702222222506</v>
      </c>
      <c r="BO1" s="392">
        <f t="shared" si="0"/>
        <v>152787017.78</v>
      </c>
      <c r="BP1" s="392">
        <f t="shared" si="0"/>
        <v>135478949.80000001</v>
      </c>
      <c r="BQ1" s="392">
        <f t="shared" si="0"/>
        <v>16185715.4112</v>
      </c>
      <c r="BR1" s="392">
        <f t="shared" si="0"/>
        <v>152787017.95162401</v>
      </c>
      <c r="BS1" s="392">
        <f t="shared" ref="BS1:ED1" si="1">SUBTOTAL(9,BS3:BS349)</f>
        <v>0.17162392486352501</v>
      </c>
      <c r="BT1" s="392">
        <f t="shared" si="1"/>
        <v>235339049.41999999</v>
      </c>
      <c r="BU1" s="392">
        <f t="shared" si="1"/>
        <v>234309649.31999999</v>
      </c>
      <c r="BV1" s="392">
        <f t="shared" si="1"/>
        <v>27391144.280000001</v>
      </c>
      <c r="BW1" s="392">
        <f t="shared" si="1"/>
        <v>235339049.41999999</v>
      </c>
      <c r="BX1" s="392">
        <f t="shared" si="1"/>
        <v>0</v>
      </c>
      <c r="BY1" s="392">
        <f t="shared" si="1"/>
        <v>163519678.75</v>
      </c>
      <c r="BZ1" s="392">
        <f t="shared" si="1"/>
        <v>143620482.97</v>
      </c>
      <c r="CA1" s="392">
        <f t="shared" si="1"/>
        <v>17657509.649999999</v>
      </c>
      <c r="CB1" s="392">
        <f t="shared" si="1"/>
        <v>163519678.350427</v>
      </c>
      <c r="CC1" s="392">
        <f t="shared" si="1"/>
        <v>-0.39957264792701602</v>
      </c>
      <c r="CD1" s="392">
        <f t="shared" si="1"/>
        <v>16052881.390000001</v>
      </c>
      <c r="CE1" s="392">
        <f t="shared" si="1"/>
        <v>-3520456.53</v>
      </c>
      <c r="CF1" s="392">
        <f t="shared" si="1"/>
        <v>1426929.47</v>
      </c>
      <c r="CG1" s="392">
        <f t="shared" si="1"/>
        <v>16052881.444444399</v>
      </c>
      <c r="CH1" s="392">
        <f t="shared" si="1"/>
        <v>5.4444445532453797E-2</v>
      </c>
      <c r="CI1" s="392">
        <f t="shared" si="1"/>
        <v>39238200.18</v>
      </c>
      <c r="CJ1" s="392">
        <f t="shared" si="1"/>
        <v>306943.84999999998</v>
      </c>
      <c r="CK1" s="392">
        <f t="shared" si="1"/>
        <v>3904310.34</v>
      </c>
      <c r="CL1" s="392">
        <f t="shared" si="1"/>
        <v>39238200.277777798</v>
      </c>
      <c r="CM1" s="392">
        <f t="shared" si="1"/>
        <v>0.20777777822763699</v>
      </c>
      <c r="CN1" s="392">
        <f t="shared" si="1"/>
        <v>121635265.16</v>
      </c>
      <c r="CO1" s="392">
        <f t="shared" si="1"/>
        <v>0</v>
      </c>
      <c r="CP1" s="392">
        <f t="shared" si="1"/>
        <v>13965422.220000001</v>
      </c>
      <c r="CQ1" s="397">
        <f t="shared" si="1"/>
        <v>121635265.16</v>
      </c>
      <c r="CR1" s="397">
        <f t="shared" si="1"/>
        <v>0</v>
      </c>
      <c r="CS1" s="397">
        <f t="shared" si="1"/>
        <v>137624508.56</v>
      </c>
      <c r="CT1" s="397">
        <f t="shared" si="1"/>
        <v>0</v>
      </c>
      <c r="CU1" s="397">
        <f t="shared" si="1"/>
        <v>15867278.66</v>
      </c>
      <c r="CV1" s="397">
        <f t="shared" si="1"/>
        <v>137624508.56</v>
      </c>
      <c r="CW1" s="397">
        <f t="shared" si="1"/>
        <v>0</v>
      </c>
      <c r="CX1" s="397">
        <f t="shared" si="1"/>
        <v>176174260.41</v>
      </c>
      <c r="CY1" s="397">
        <f t="shared" si="1"/>
        <v>262394296.06</v>
      </c>
      <c r="CZ1" s="397">
        <f t="shared" si="1"/>
        <v>18555548.210000001</v>
      </c>
      <c r="DA1" s="397">
        <f t="shared" si="1"/>
        <v>176174261.18000001</v>
      </c>
      <c r="DB1" s="397">
        <f t="shared" si="1"/>
        <v>0.77</v>
      </c>
      <c r="DC1" s="397">
        <f t="shared" si="1"/>
        <v>260608490.56999999</v>
      </c>
      <c r="DD1" s="397">
        <f t="shared" si="1"/>
        <v>292280575.43000001</v>
      </c>
      <c r="DE1" s="397">
        <f t="shared" si="1"/>
        <v>27921295.43</v>
      </c>
      <c r="DF1" s="392">
        <f t="shared" si="1"/>
        <v>260608490.905983</v>
      </c>
      <c r="DG1" s="397">
        <f t="shared" si="1"/>
        <v>-0.33598290814131798</v>
      </c>
      <c r="DH1" s="397">
        <f t="shared" si="1"/>
        <v>370902791.86000001</v>
      </c>
      <c r="DI1" s="397">
        <f t="shared" si="1"/>
        <v>498521925.56</v>
      </c>
      <c r="DJ1" s="397">
        <f t="shared" si="1"/>
        <v>43581230.600000001</v>
      </c>
      <c r="DK1" s="392">
        <f t="shared" si="1"/>
        <v>370902792.19230801</v>
      </c>
      <c r="DL1" s="398">
        <f t="shared" si="1"/>
        <v>0.33230768950795703</v>
      </c>
      <c r="DM1" s="398">
        <f t="shared" si="1"/>
        <v>356115262.06999999</v>
      </c>
      <c r="DN1" s="398">
        <f t="shared" si="1"/>
        <v>371070913.41000003</v>
      </c>
      <c r="DO1" s="398">
        <f t="shared" si="1"/>
        <v>39402959.869999997</v>
      </c>
      <c r="DP1" s="398">
        <f t="shared" si="1"/>
        <v>356115262.128205</v>
      </c>
      <c r="DQ1" s="401">
        <f t="shared" si="1"/>
        <v>5.8205117678853599E-2</v>
      </c>
      <c r="DR1" s="401">
        <f t="shared" si="1"/>
        <v>332714467.18000001</v>
      </c>
      <c r="DS1" s="401">
        <f t="shared" si="1"/>
        <v>279737038.67000002</v>
      </c>
      <c r="DT1" s="401">
        <f t="shared" si="1"/>
        <v>35601004.034199998</v>
      </c>
      <c r="DU1" s="401">
        <f t="shared" si="1"/>
        <v>332714466.68188</v>
      </c>
      <c r="DV1" s="401">
        <f t="shared" si="1"/>
        <v>-0.498119651298225</v>
      </c>
      <c r="DW1" s="392">
        <f t="shared" si="1"/>
        <v>329993757.62054998</v>
      </c>
      <c r="DX1" s="392">
        <f t="shared" si="1"/>
        <v>330437839.64999998</v>
      </c>
      <c r="DY1" s="392">
        <f t="shared" si="1"/>
        <v>37680322.972833</v>
      </c>
      <c r="DZ1" s="401">
        <f t="shared" si="1"/>
        <v>329993757.38</v>
      </c>
      <c r="EA1" s="401">
        <f t="shared" si="1"/>
        <v>-0.25</v>
      </c>
      <c r="EB1" s="392">
        <f t="shared" si="1"/>
        <v>664875826.97000003</v>
      </c>
      <c r="EC1" s="392">
        <f t="shared" si="1"/>
        <v>158455056.97</v>
      </c>
      <c r="ED1" s="392">
        <f t="shared" si="1"/>
        <v>78719175.764599994</v>
      </c>
      <c r="EE1" s="401">
        <f t="shared" ref="EE1:EU1" si="2">SUBTOTAL(9,EE3:EE349)</f>
        <v>664875826.97000003</v>
      </c>
      <c r="EF1" s="401">
        <f t="shared" si="2"/>
        <v>0</v>
      </c>
      <c r="EG1" s="392">
        <f t="shared" si="2"/>
        <v>200566798.63075</v>
      </c>
      <c r="EH1" s="392">
        <f t="shared" si="2"/>
        <v>572220024.30999994</v>
      </c>
      <c r="EI1" s="392">
        <f t="shared" si="2"/>
        <v>20412162.633645002</v>
      </c>
      <c r="EJ1" s="392">
        <f t="shared" si="2"/>
        <v>200566799.97999999</v>
      </c>
      <c r="EK1" s="392">
        <f t="shared" si="2"/>
        <v>1.35</v>
      </c>
      <c r="EL1" s="392">
        <f t="shared" si="2"/>
        <v>556827130.05058801</v>
      </c>
      <c r="EM1" s="392">
        <f t="shared" si="2"/>
        <v>471615704.91000003</v>
      </c>
      <c r="EN1" s="392">
        <f t="shared" si="2"/>
        <v>65855068.8411768</v>
      </c>
      <c r="EO1" s="392">
        <f t="shared" si="2"/>
        <v>534714758.29000002</v>
      </c>
      <c r="EP1" s="392">
        <f t="shared" si="2"/>
        <v>-22112371.75</v>
      </c>
      <c r="EQ1" s="392">
        <f t="shared" si="2"/>
        <v>229194254.84</v>
      </c>
      <c r="ER1" s="392">
        <f t="shared" si="2"/>
        <v>728368312.58000004</v>
      </c>
      <c r="ES1" s="392">
        <f t="shared" si="2"/>
        <v>27122064.079999998</v>
      </c>
      <c r="ET1" s="392">
        <f t="shared" si="2"/>
        <v>251306625.34999999</v>
      </c>
      <c r="EU1" s="392">
        <f t="shared" si="2"/>
        <v>22112370.510000002</v>
      </c>
      <c r="EV1" s="392">
        <f t="shared" ref="EV1:GX1" si="3">SUBTOTAL(9,EV3:EV349,EV351:EV354)</f>
        <v>840866338.89999902</v>
      </c>
      <c r="EW1" s="392">
        <f t="shared" si="3"/>
        <v>520849568.31999999</v>
      </c>
      <c r="EX1" s="392">
        <f t="shared" si="3"/>
        <v>90002074.620000005</v>
      </c>
      <c r="EY1" s="392">
        <f t="shared" si="3"/>
        <v>840866340.33000004</v>
      </c>
      <c r="EZ1" s="392">
        <f t="shared" si="3"/>
        <v>1.43</v>
      </c>
      <c r="FA1" s="392">
        <f t="shared" si="3"/>
        <v>599112482.32000005</v>
      </c>
      <c r="FB1" s="392">
        <f t="shared" si="3"/>
        <v>524998888.63999999</v>
      </c>
      <c r="FC1" s="392">
        <f t="shared" si="3"/>
        <v>72791644.669999897</v>
      </c>
      <c r="FD1" s="392">
        <f t="shared" si="3"/>
        <v>599112483.34000003</v>
      </c>
      <c r="FE1" s="392">
        <f t="shared" si="3"/>
        <v>1.02</v>
      </c>
      <c r="FF1" s="392">
        <f t="shared" si="3"/>
        <v>337077422.26999998</v>
      </c>
      <c r="FG1" s="392">
        <f t="shared" si="3"/>
        <v>294455656.89999998</v>
      </c>
      <c r="FH1" s="392">
        <f t="shared" si="3"/>
        <v>37819599.75</v>
      </c>
      <c r="FI1" s="392">
        <f t="shared" si="3"/>
        <v>337077423.01282001</v>
      </c>
      <c r="FJ1" s="392">
        <f t="shared" si="3"/>
        <v>0.74</v>
      </c>
      <c r="FK1" s="392">
        <f t="shared" si="3"/>
        <v>452355685.70499998</v>
      </c>
      <c r="FL1" s="392">
        <f t="shared" si="3"/>
        <v>474261417.79000002</v>
      </c>
      <c r="FM1" s="392">
        <f t="shared" si="3"/>
        <v>51898284.753250003</v>
      </c>
      <c r="FN1" s="392">
        <f t="shared" si="3"/>
        <v>452355684.44</v>
      </c>
      <c r="FO1" s="392">
        <f t="shared" si="3"/>
        <v>-1.27</v>
      </c>
      <c r="FP1" s="392">
        <f t="shared" si="3"/>
        <v>362930640.76972097</v>
      </c>
      <c r="FQ1" s="392">
        <f t="shared" si="3"/>
        <v>362768868.66000003</v>
      </c>
      <c r="FR1" s="392">
        <f t="shared" si="3"/>
        <v>42795874.017363802</v>
      </c>
      <c r="FS1" s="392">
        <f t="shared" si="3"/>
        <v>362930641.29000002</v>
      </c>
      <c r="FT1" s="392">
        <f t="shared" si="3"/>
        <v>0.520278775236657</v>
      </c>
      <c r="FU1" s="392">
        <f t="shared" si="3"/>
        <v>447951542.10467303</v>
      </c>
      <c r="FV1" s="392">
        <f t="shared" si="3"/>
        <v>521990403.70999998</v>
      </c>
      <c r="FW1" s="392">
        <f t="shared" si="3"/>
        <v>51913299.062407501</v>
      </c>
      <c r="FX1" s="392">
        <f t="shared" si="3"/>
        <v>447951532.99000001</v>
      </c>
      <c r="FY1" s="392">
        <f t="shared" si="3"/>
        <v>-9.1146725735888996</v>
      </c>
      <c r="FZ1" s="392">
        <f t="shared" si="3"/>
        <v>939804515.66203499</v>
      </c>
      <c r="GA1" s="392">
        <f t="shared" si="3"/>
        <v>658033326.85000002</v>
      </c>
      <c r="GB1" s="392">
        <f t="shared" si="3"/>
        <v>96354434.117964596</v>
      </c>
      <c r="GC1" s="392">
        <f t="shared" si="3"/>
        <v>939791112.59000003</v>
      </c>
      <c r="GD1" s="392">
        <f t="shared" si="3"/>
        <v>-0.77203541381997598</v>
      </c>
      <c r="GE1" s="392">
        <f t="shared" si="3"/>
        <v>364216983.41219097</v>
      </c>
      <c r="GF1" s="392">
        <f t="shared" si="3"/>
        <v>386469697.67000002</v>
      </c>
      <c r="GG1" s="392">
        <f t="shared" si="3"/>
        <v>39062971.928920299</v>
      </c>
      <c r="GH1" s="392">
        <f t="shared" si="3"/>
        <v>364216981.20278901</v>
      </c>
      <c r="GI1" s="392">
        <f t="shared" si="3"/>
        <v>-2.2094017128428498</v>
      </c>
      <c r="GJ1" s="402">
        <f t="shared" si="3"/>
        <v>428056365.69041401</v>
      </c>
      <c r="GK1" s="392">
        <f t="shared" si="3"/>
        <v>585660534.52999997</v>
      </c>
      <c r="GL1" s="392">
        <f t="shared" si="3"/>
        <v>49716016.460199997</v>
      </c>
      <c r="GM1" s="392">
        <f t="shared" si="3"/>
        <v>428056363.81341898</v>
      </c>
      <c r="GN1" s="392">
        <f t="shared" si="3"/>
        <v>-1.8769950803800399</v>
      </c>
      <c r="GO1" s="392">
        <f t="shared" si="3"/>
        <v>232836867.50999999</v>
      </c>
      <c r="GP1" s="392">
        <f t="shared" si="3"/>
        <v>509959890.49000001</v>
      </c>
      <c r="GQ1" s="392">
        <f t="shared" si="3"/>
        <v>25256859.649999999</v>
      </c>
      <c r="GR1" s="392">
        <f t="shared" si="3"/>
        <v>232836868.17948699</v>
      </c>
      <c r="GS1" s="392">
        <f t="shared" si="3"/>
        <v>0.66948717917352896</v>
      </c>
      <c r="GT1" s="392">
        <f t="shared" si="3"/>
        <v>409100868.45999998</v>
      </c>
      <c r="GU1" s="392">
        <f t="shared" si="3"/>
        <v>441551586.17000002</v>
      </c>
      <c r="GV1" s="392">
        <f t="shared" si="3"/>
        <v>37511378.57</v>
      </c>
      <c r="GW1" s="392">
        <f t="shared" si="3"/>
        <v>409100867.82999998</v>
      </c>
      <c r="GX1" s="392">
        <f t="shared" si="3"/>
        <v>-0.63000001268119399</v>
      </c>
    </row>
    <row r="2" spans="1:206">
      <c r="C2" s="403" t="s">
        <v>323</v>
      </c>
      <c r="D2" s="404" t="s">
        <v>63</v>
      </c>
      <c r="E2" s="403" t="s">
        <v>64</v>
      </c>
      <c r="F2" s="405" t="s">
        <v>65</v>
      </c>
      <c r="G2" s="406" t="s">
        <v>66</v>
      </c>
      <c r="H2" s="406" t="s">
        <v>67</v>
      </c>
      <c r="I2" s="406" t="s">
        <v>291</v>
      </c>
      <c r="J2" s="406" t="s">
        <v>292</v>
      </c>
      <c r="K2" s="406" t="s">
        <v>68</v>
      </c>
      <c r="L2" s="406" t="s">
        <v>324</v>
      </c>
      <c r="M2" s="407" t="s">
        <v>325</v>
      </c>
      <c r="N2" s="407" t="s">
        <v>326</v>
      </c>
      <c r="O2" s="407" t="s">
        <v>327</v>
      </c>
      <c r="P2" s="408" t="s">
        <v>328</v>
      </c>
      <c r="Q2" s="407" t="s">
        <v>329</v>
      </c>
      <c r="R2" s="407" t="s">
        <v>330</v>
      </c>
      <c r="S2" s="407" t="s">
        <v>331</v>
      </c>
      <c r="T2" s="407" t="s">
        <v>332</v>
      </c>
      <c r="U2" s="407" t="s">
        <v>333</v>
      </c>
      <c r="V2" s="407" t="s">
        <v>334</v>
      </c>
      <c r="W2" s="407" t="s">
        <v>335</v>
      </c>
      <c r="X2" s="407" t="s">
        <v>336</v>
      </c>
      <c r="Y2" s="407" t="s">
        <v>337</v>
      </c>
      <c r="Z2" s="407" t="s">
        <v>333</v>
      </c>
      <c r="AA2" s="409" t="s">
        <v>338</v>
      </c>
      <c r="AB2" s="407" t="s">
        <v>339</v>
      </c>
      <c r="AC2" s="407" t="s">
        <v>340</v>
      </c>
      <c r="AD2" s="407" t="s">
        <v>341</v>
      </c>
      <c r="AE2" s="407" t="s">
        <v>333</v>
      </c>
      <c r="AF2" s="409" t="s">
        <v>342</v>
      </c>
      <c r="AG2" s="407" t="s">
        <v>343</v>
      </c>
      <c r="AH2" s="407" t="s">
        <v>344</v>
      </c>
      <c r="AI2" s="407" t="s">
        <v>345</v>
      </c>
      <c r="AJ2" s="407" t="s">
        <v>333</v>
      </c>
      <c r="AK2" s="409" t="s">
        <v>346</v>
      </c>
      <c r="AL2" s="407" t="s">
        <v>347</v>
      </c>
      <c r="AM2" s="407" t="s">
        <v>348</v>
      </c>
      <c r="AN2" s="407" t="s">
        <v>349</v>
      </c>
      <c r="AO2" s="407" t="s">
        <v>333</v>
      </c>
      <c r="AP2" s="409" t="s">
        <v>350</v>
      </c>
      <c r="AQ2" s="407" t="s">
        <v>351</v>
      </c>
      <c r="AR2" s="407" t="s">
        <v>352</v>
      </c>
      <c r="AS2" s="407" t="s">
        <v>353</v>
      </c>
      <c r="AT2" s="407" t="s">
        <v>333</v>
      </c>
      <c r="AU2" s="407" t="s">
        <v>354</v>
      </c>
      <c r="AV2" s="407" t="s">
        <v>355</v>
      </c>
      <c r="AW2" s="407" t="s">
        <v>356</v>
      </c>
      <c r="AX2" s="407" t="s">
        <v>357</v>
      </c>
      <c r="AY2" s="407" t="s">
        <v>333</v>
      </c>
      <c r="AZ2" s="407" t="s">
        <v>358</v>
      </c>
      <c r="BA2" s="407" t="s">
        <v>359</v>
      </c>
      <c r="BB2" s="407" t="s">
        <v>360</v>
      </c>
      <c r="BC2" s="407" t="s">
        <v>361</v>
      </c>
      <c r="BD2" s="410" t="s">
        <v>333</v>
      </c>
      <c r="BE2" s="407" t="s">
        <v>362</v>
      </c>
      <c r="BF2" s="407" t="s">
        <v>363</v>
      </c>
      <c r="BG2" s="407" t="s">
        <v>364</v>
      </c>
      <c r="BH2" s="407" t="s">
        <v>365</v>
      </c>
      <c r="BI2" s="407" t="s">
        <v>333</v>
      </c>
      <c r="BJ2" s="407" t="s">
        <v>366</v>
      </c>
      <c r="BK2" s="407" t="s">
        <v>367</v>
      </c>
      <c r="BL2" s="407" t="s">
        <v>368</v>
      </c>
      <c r="BM2" s="407" t="s">
        <v>369</v>
      </c>
      <c r="BN2" s="407" t="s">
        <v>333</v>
      </c>
      <c r="BO2" s="407" t="s">
        <v>370</v>
      </c>
      <c r="BP2" s="407" t="s">
        <v>371</v>
      </c>
      <c r="BQ2" s="407" t="s">
        <v>372</v>
      </c>
      <c r="BR2" s="407" t="s">
        <v>373</v>
      </c>
      <c r="BS2" s="407" t="s">
        <v>333</v>
      </c>
      <c r="BT2" s="407" t="s">
        <v>374</v>
      </c>
      <c r="BU2" s="407" t="s">
        <v>375</v>
      </c>
      <c r="BV2" s="407" t="s">
        <v>376</v>
      </c>
      <c r="BW2" s="407" t="s">
        <v>377</v>
      </c>
      <c r="BX2" s="411" t="s">
        <v>333</v>
      </c>
      <c r="BY2" s="407" t="s">
        <v>378</v>
      </c>
      <c r="BZ2" s="407" t="s">
        <v>379</v>
      </c>
      <c r="CA2" s="407" t="s">
        <v>380</v>
      </c>
      <c r="CB2" s="407" t="s">
        <v>381</v>
      </c>
      <c r="CC2" s="410" t="s">
        <v>333</v>
      </c>
      <c r="CD2" s="407" t="s">
        <v>382</v>
      </c>
      <c r="CE2" s="407" t="s">
        <v>383</v>
      </c>
      <c r="CF2" s="407" t="s">
        <v>384</v>
      </c>
      <c r="CG2" s="407" t="s">
        <v>385</v>
      </c>
      <c r="CH2" s="410" t="s">
        <v>333</v>
      </c>
      <c r="CI2" s="407" t="s">
        <v>386</v>
      </c>
      <c r="CJ2" s="407" t="s">
        <v>387</v>
      </c>
      <c r="CK2" s="407" t="s">
        <v>388</v>
      </c>
      <c r="CL2" s="407" t="s">
        <v>389</v>
      </c>
      <c r="CM2" s="410" t="s">
        <v>333</v>
      </c>
      <c r="CN2" s="407" t="s">
        <v>390</v>
      </c>
      <c r="CO2" s="407" t="s">
        <v>391</v>
      </c>
      <c r="CP2" s="407" t="s">
        <v>392</v>
      </c>
      <c r="CQ2" s="412" t="s">
        <v>393</v>
      </c>
      <c r="CR2" s="412" t="s">
        <v>333</v>
      </c>
      <c r="CS2" s="412" t="s">
        <v>394</v>
      </c>
      <c r="CT2" s="412" t="s">
        <v>395</v>
      </c>
      <c r="CU2" s="412" t="s">
        <v>396</v>
      </c>
      <c r="CV2" s="412" t="s">
        <v>397</v>
      </c>
      <c r="CW2" s="412" t="s">
        <v>333</v>
      </c>
      <c r="CX2" s="412" t="s">
        <v>398</v>
      </c>
      <c r="CY2" s="412" t="s">
        <v>399</v>
      </c>
      <c r="CZ2" s="412" t="s">
        <v>400</v>
      </c>
      <c r="DA2" s="412" t="s">
        <v>401</v>
      </c>
      <c r="DB2" s="412" t="s">
        <v>333</v>
      </c>
      <c r="DC2" s="412" t="s">
        <v>402</v>
      </c>
      <c r="DD2" s="412" t="s">
        <v>403</v>
      </c>
      <c r="DE2" s="412" t="s">
        <v>404</v>
      </c>
      <c r="DF2" s="407" t="s">
        <v>405</v>
      </c>
      <c r="DG2" s="412" t="s">
        <v>333</v>
      </c>
      <c r="DH2" s="412" t="s">
        <v>406</v>
      </c>
      <c r="DI2" s="412" t="s">
        <v>407</v>
      </c>
      <c r="DJ2" s="412" t="s">
        <v>408</v>
      </c>
      <c r="DK2" s="407" t="s">
        <v>409</v>
      </c>
      <c r="DL2" s="413" t="s">
        <v>333</v>
      </c>
      <c r="DM2" s="412" t="s">
        <v>410</v>
      </c>
      <c r="DN2" s="412" t="s">
        <v>411</v>
      </c>
      <c r="DO2" s="412" t="s">
        <v>412</v>
      </c>
      <c r="DP2" s="407" t="s">
        <v>413</v>
      </c>
      <c r="DQ2" s="410" t="s">
        <v>333</v>
      </c>
      <c r="DR2" s="412" t="s">
        <v>414</v>
      </c>
      <c r="DS2" s="412" t="s">
        <v>415</v>
      </c>
      <c r="DT2" s="412" t="s">
        <v>416</v>
      </c>
      <c r="DU2" s="407" t="s">
        <v>417</v>
      </c>
      <c r="DV2" s="410" t="s">
        <v>333</v>
      </c>
      <c r="DW2" s="412" t="s">
        <v>418</v>
      </c>
      <c r="DX2" s="412" t="s">
        <v>419</v>
      </c>
      <c r="DY2" s="412" t="s">
        <v>420</v>
      </c>
      <c r="DZ2" s="407" t="s">
        <v>421</v>
      </c>
      <c r="EA2" s="410" t="s">
        <v>333</v>
      </c>
      <c r="EB2" s="407" t="s">
        <v>422</v>
      </c>
      <c r="EC2" s="412" t="s">
        <v>423</v>
      </c>
      <c r="ED2" s="407" t="s">
        <v>424</v>
      </c>
      <c r="EE2" s="407" t="s">
        <v>425</v>
      </c>
      <c r="EF2" s="410" t="s">
        <v>333</v>
      </c>
      <c r="EG2" s="407" t="s">
        <v>426</v>
      </c>
      <c r="EH2" s="412" t="s">
        <v>427</v>
      </c>
      <c r="EI2" s="407" t="s">
        <v>428</v>
      </c>
      <c r="EJ2" s="407" t="s">
        <v>429</v>
      </c>
      <c r="EK2" s="407" t="s">
        <v>333</v>
      </c>
      <c r="EL2" s="407" t="s">
        <v>430</v>
      </c>
      <c r="EM2" s="412" t="s">
        <v>431</v>
      </c>
      <c r="EN2" s="407" t="s">
        <v>432</v>
      </c>
      <c r="EO2" s="407" t="s">
        <v>433</v>
      </c>
      <c r="EP2" s="407" t="s">
        <v>333</v>
      </c>
      <c r="EQ2" s="407" t="s">
        <v>434</v>
      </c>
      <c r="ER2" s="412" t="s">
        <v>435</v>
      </c>
      <c r="ES2" s="407" t="s">
        <v>436</v>
      </c>
      <c r="ET2" s="407" t="s">
        <v>437</v>
      </c>
      <c r="EU2" s="407" t="s">
        <v>333</v>
      </c>
      <c r="EV2" s="407" t="s">
        <v>438</v>
      </c>
      <c r="EW2" s="412" t="s">
        <v>439</v>
      </c>
      <c r="EX2" s="407" t="s">
        <v>440</v>
      </c>
      <c r="EY2" s="407" t="s">
        <v>441</v>
      </c>
      <c r="EZ2" s="407" t="s">
        <v>333</v>
      </c>
      <c r="FA2" s="407" t="s">
        <v>442</v>
      </c>
      <c r="FB2" s="407" t="s">
        <v>443</v>
      </c>
      <c r="FC2" s="407" t="s">
        <v>444</v>
      </c>
      <c r="FD2" s="407" t="s">
        <v>445</v>
      </c>
      <c r="FE2" s="407" t="s">
        <v>333</v>
      </c>
      <c r="FF2" s="407" t="s">
        <v>446</v>
      </c>
      <c r="FG2" s="407" t="s">
        <v>447</v>
      </c>
      <c r="FH2" s="407" t="s">
        <v>448</v>
      </c>
      <c r="FI2" s="407" t="s">
        <v>449</v>
      </c>
      <c r="FJ2" s="407" t="s">
        <v>333</v>
      </c>
      <c r="FK2" s="407" t="s">
        <v>450</v>
      </c>
      <c r="FL2" s="407" t="s">
        <v>451</v>
      </c>
      <c r="FM2" s="407" t="s">
        <v>452</v>
      </c>
      <c r="FN2" s="407" t="s">
        <v>453</v>
      </c>
      <c r="FO2" s="407" t="s">
        <v>333</v>
      </c>
      <c r="FP2" s="407" t="s">
        <v>454</v>
      </c>
      <c r="FQ2" s="407" t="s">
        <v>455</v>
      </c>
      <c r="FR2" s="407" t="s">
        <v>456</v>
      </c>
      <c r="FS2" s="407" t="s">
        <v>457</v>
      </c>
      <c r="FT2" s="407" t="s">
        <v>333</v>
      </c>
      <c r="FU2" s="407" t="s">
        <v>458</v>
      </c>
      <c r="FV2" s="407" t="s">
        <v>459</v>
      </c>
      <c r="FW2" s="407" t="s">
        <v>460</v>
      </c>
      <c r="FX2" s="407" t="s">
        <v>461</v>
      </c>
      <c r="FY2" s="407" t="s">
        <v>333</v>
      </c>
      <c r="FZ2" s="407" t="s">
        <v>462</v>
      </c>
      <c r="GA2" s="407" t="s">
        <v>463</v>
      </c>
      <c r="GB2" s="407" t="s">
        <v>464</v>
      </c>
      <c r="GC2" s="407" t="s">
        <v>465</v>
      </c>
      <c r="GD2" s="407" t="s">
        <v>333</v>
      </c>
      <c r="GE2" s="407" t="s">
        <v>466</v>
      </c>
      <c r="GF2" s="407" t="s">
        <v>467</v>
      </c>
      <c r="GG2" s="407" t="s">
        <v>468</v>
      </c>
      <c r="GH2" s="407" t="s">
        <v>469</v>
      </c>
      <c r="GI2" s="407" t="s">
        <v>333</v>
      </c>
      <c r="GJ2" s="407" t="s">
        <v>470</v>
      </c>
      <c r="GK2" s="407" t="s">
        <v>471</v>
      </c>
      <c r="GL2" s="407" t="s">
        <v>472</v>
      </c>
      <c r="GM2" s="407" t="s">
        <v>473</v>
      </c>
      <c r="GN2" s="407" t="s">
        <v>333</v>
      </c>
      <c r="GO2" s="407" t="s">
        <v>474</v>
      </c>
      <c r="GP2" s="407" t="s">
        <v>475</v>
      </c>
      <c r="GQ2" s="407" t="s">
        <v>476</v>
      </c>
      <c r="GR2" s="407" t="s">
        <v>477</v>
      </c>
      <c r="GS2" s="407" t="s">
        <v>333</v>
      </c>
      <c r="GT2" s="407" t="s">
        <v>478</v>
      </c>
      <c r="GU2" s="407" t="s">
        <v>479</v>
      </c>
      <c r="GV2" s="407" t="s">
        <v>480</v>
      </c>
      <c r="GW2" s="407" t="s">
        <v>481</v>
      </c>
      <c r="GX2" s="407" t="s">
        <v>333</v>
      </c>
    </row>
    <row r="3" spans="1:206" ht="15">
      <c r="A3" s="414"/>
      <c r="B3" s="415" t="s">
        <v>482</v>
      </c>
      <c r="C3" s="697" t="s">
        <v>483</v>
      </c>
      <c r="D3" s="704" t="s">
        <v>484</v>
      </c>
      <c r="E3" s="714" t="s">
        <v>123</v>
      </c>
      <c r="F3" s="417">
        <v>0.16</v>
      </c>
      <c r="G3" s="418">
        <f>SUM(M3,P3:Q3,V3,AA3,AF3,AK3,AP3,AU3,AZ3,BE3,BJ3,BO3,BT3,BY3,CD3,CI3,CN3,CS3,CX3,DC3,DH3,DM3,DR3,DW3,EB3,EG3,EL3,EQ3,EV3,FA3,FF3,FK3,FP3,FU3,FZ3,GE3,GJ3,GO3,GT3)</f>
        <v>0</v>
      </c>
      <c r="H3" s="418">
        <f>SUM(N3,R3,W3,AB3,AG3,AL3,AQ3,AV3,BA3,BF3,BK3,BP3,BU3,BZ3,CE3,CJ3,CO3,CT3,CY3,DD3,DI3,DN3,DS3,DX3,EC3,EH3,EM3,ER3,EW3,FB3,FG3,FL3,FQ3,FV3,GA3,GF3,GK3,GP3,GU3)</f>
        <v>0</v>
      </c>
      <c r="I3" s="418">
        <f>SUM(O3,S3,X3,AC3,AH3,AM3,AR3,AW3,BB3,BG3,BL3,BQ3,BV3,CA3,CF3,CK3,CP3,CU3,CZ3,DE3,DJ3,DO3,DT3,DY3,ED3,EI3,EN3,ES3,EX3,FC3,FH3,FM3,FR3,FW3,GB3,GG3,GL3,GQ3,GV3)</f>
        <v>0</v>
      </c>
      <c r="J3" s="418">
        <f>I3/F3</f>
        <v>0</v>
      </c>
      <c r="K3" s="418">
        <f>I3/F3-H3</f>
        <v>0</v>
      </c>
      <c r="L3" s="418">
        <f>H3-J3</f>
        <v>0</v>
      </c>
      <c r="M3" s="418">
        <f>SUM(S3,V3:W3,AB3,AG3,AL3,AQ3,AV3,BA3,BF3,BK3,BP3,BU3,BZ3,CE3,CJ3,CO3,CT3,CY3,DD3,DI3,DN3,DS3,DX3,EC3,EH3,EM3,ER3,EW3,FB3)</f>
        <v>0</v>
      </c>
      <c r="N3" s="418">
        <f>SUM(T3,X3,AC3,AH3,AM3,AR3,AW3,BB3,BG3,BL3,BQ3,BV3,CA3,CF3,CK3,CP3,CU3,CZ3,DE3,DJ3,DO3,DT3,DY3,ED3,EI3,EN3,ES3,EX3,FC3)</f>
        <v>0</v>
      </c>
      <c r="O3" s="418">
        <f>SUM(U3,Y3,AD3,AI3,AN3,AS3,AX3,BC3,BH3,BM3,BR3,BW3,CB3,CG3,CL3,CQ3,CV3,DA3,DF3,DK3,DP3,DU3,DZ3,EE3,EJ3,EO3,ET3,EY3,FD3)</f>
        <v>0</v>
      </c>
      <c r="P3" s="418">
        <f>SUM(V3,Y3:Z3,AE3,AJ3,AO3,AT3,AY3,BD3,BI3,BN3,BS3,BX3,CC3,CH3,CM3,CR3,CW3,DB3,DG3,DL3,DQ3,DV3,EA3,EF3,EK3,EP3,EU3,EZ3,FE3)</f>
        <v>0</v>
      </c>
      <c r="Q3" s="418">
        <f>SUM(W3,AA3,AF3,AK3,AP3,AU3,AZ3,BE3,BJ3,BO3,BT3,BY3,CD3,CI3,CN3,CS3,CX3,DC3,DH3,DM3,DR3,DW3,EB3,EG3,EL3,EQ3,EV3,FA3,FF3)</f>
        <v>0</v>
      </c>
      <c r="R3" s="418">
        <f>SUM(X3,AB3,AG3,AL3,AQ3,AV3,BA3,BF3,BK3,BP3,BU3,BZ3,CE3,CJ3,CO3,CT3,CY3,DD3,DI3,DN3,DS3,DX3,EC3,EH3,EM3,ER3,EW3,FB3,FG3)</f>
        <v>0</v>
      </c>
      <c r="S3" s="418">
        <f>SUM(Y3,AB3:AC3,AH3,AM3,AR3,AW3,BB3,BG3,BL3,BQ3,BV3,CA3,CF3,CK3,CP3,CU3,CZ3,DE3,DJ3,DO3,DT3,DY3,ED3,EI3,EN3,ES3,EX3,FC3,FH3)</f>
        <v>0</v>
      </c>
      <c r="T3" s="418">
        <f>SUM(Z3,AD3,AI3,AN3,AS3,AX3,BC3,BH3,BM3,BR3,BW3,CB3,CG3,CL3,CQ3,CV3,DA3,DF3,DK3,DP3,DU3,DZ3,EE3,EJ3,EO3,ET3,EY3,FD3,FI3)</f>
        <v>0</v>
      </c>
      <c r="U3" s="418">
        <f>SUM(AA3,AE3,AJ3,AO3,AT3,AY3,BD3,BI3,BN3,BS3,BX3,CC3,CH3,CM3,CR3,CW3,DB3,DG3,DL3,DQ3,DV3,EA3,EF3,EK3,EP3,EU3,EZ3,FE3,FJ3)</f>
        <v>0</v>
      </c>
      <c r="V3" s="418">
        <f>SUM(AB3,AE3:AF3,AK3,AP3,AU3,AZ3,BE3,BJ3,BO3,BT3,BY3,CD3,CI3,CN3,CS3,CX3,DC3,DH3,DM3,DR3,DW3,EB3,EG3,EL3,EQ3,EV3,FA3,FF3,FK3)</f>
        <v>0</v>
      </c>
      <c r="W3" s="418">
        <f>SUM(AC3,AG3,AL3,AQ3,AV3,BA3,BF3,BK3,BP3,BU3,BZ3,CE3,CJ3,CO3,CT3,CY3,DD3,DI3,DN3,DS3,DX3,EC3,EH3,EM3,ER3,EW3,FB3,FG3,FL3)</f>
        <v>0</v>
      </c>
      <c r="X3" s="418">
        <f>SUM(AD3,AH3,AM3,AR3,AW3,BB3,BG3,BL3,BQ3,BV3,CA3,CF3,CK3,CP3,CU3,CZ3,DE3,DJ3,DO3,DT3,DY3,ED3,EI3,EN3,ES3,EX3,FC3,FH3,FM3)</f>
        <v>0</v>
      </c>
      <c r="Y3" s="418">
        <f>SUM(AE3,AH3:AI3,AN3,AS3,AX3,BC3,BH3,BM3,BR3,BW3,CB3,CG3,CL3,CQ3,CV3,DA3,DF3,DK3,DP3,DU3,DZ3,EE3,EJ3,EO3,ET3,EY3,FD3,FI3,FN3)</f>
        <v>0</v>
      </c>
      <c r="Z3" s="418">
        <f>SUM(AF3,AJ3,AO3,AT3,AY3,BD3,BI3,BN3,BS3,BX3,CC3,CH3,CM3,CR3,CW3,DB3,DG3,DL3,DQ3,DV3,EA3,EF3,EK3,EP3,EU3,EZ3,FE3,FJ3,FO3)</f>
        <v>0</v>
      </c>
      <c r="AA3" s="418">
        <f>SUM(AG3,AK3,AP3,AU3,AZ3,BE3,BJ3,BO3,BT3,BY3,CD3,CI3,CN3,CS3,CX3,DC3,DH3,DM3,DR3,DW3,EB3,EG3,EL3,EQ3,EV3,FA3,FF3,FK3,FP3)</f>
        <v>0</v>
      </c>
      <c r="AB3" s="418">
        <f>SUM(AH3,AK3:AL3,AQ3,AV3,BA3,BF3,BK3,BP3,BU3,BZ3,CE3,CJ3,CO3,CT3,CY3,DD3,DI3,DN3,DS3,DX3,EC3,EH3,EM3,ER3,EW3,FB3,FG3,FL3,FQ3)</f>
        <v>0</v>
      </c>
      <c r="AC3" s="418">
        <f>SUM(AI3,AM3,AR3,AW3,BB3,BG3,BL3,BQ3,BV3,CA3,CF3,CK3,CP3,CU3,CZ3,DE3,DJ3,DO3,DT3,DY3,ED3,EI3,EN3,ES3,EX3,FC3,FH3,FM3,FR3)</f>
        <v>0</v>
      </c>
      <c r="AD3" s="418">
        <f>SUM(AJ3,AN3,AS3,AX3,BC3,BH3,BM3,BR3,BW3,CB3,CG3,CL3,CQ3,CV3,DA3,DF3,DK3,DP3,DU3,DZ3,EE3,EJ3,EO3,ET3,EY3,FD3,FI3,FN3,FS3)</f>
        <v>0</v>
      </c>
      <c r="AE3" s="418">
        <f>SUM(AK3,AN3:AO3,AT3,AY3,BD3,BI3,BN3,BS3,BX3,CC3,CH3,CM3,CR3,CW3,DB3,DG3,DL3,DQ3,DV3,EA3,EF3,EK3,EP3,EU3,EZ3,FE3,FJ3,FO3,FT3)</f>
        <v>0</v>
      </c>
      <c r="AF3" s="418">
        <f>SUM(AL3,AP3,AU3,AZ3,BE3,BJ3,BO3,BT3,BY3,CD3,CI3,CN3,CS3,CX3,DC3,DH3,DM3,DR3,DW3,EB3,EG3,EL3,EQ3,EV3,FA3,FF3,FK3,FP3,FU3)</f>
        <v>0</v>
      </c>
      <c r="AG3" s="418">
        <f>SUM(AM3,AQ3,AV3,BA3,BF3,BK3,BP3,BU3,BZ3,CE3,CJ3,CO3,CT3,CY3,DD3,DI3,DN3,DS3,DX3,EC3,EH3,EM3,ER3,EW3,FB3,FG3,FL3,FQ3,FV3)</f>
        <v>0</v>
      </c>
      <c r="AH3" s="418">
        <f>SUM(AN3,AQ3:AR3,AW3,BB3,BG3,BL3,BQ3,BV3,CA3,CF3,CK3,CP3,CU3,CZ3,DE3,DJ3,DO3,DT3,DY3,ED3,EI3,EN3,ES3,EX3,FC3,FH3,FM3,FR3,FW3)</f>
        <v>0</v>
      </c>
      <c r="AI3" s="418">
        <f>SUM(AO3,AS3,AX3,BC3,BH3,BM3,BR3,BW3,CB3,CG3,CL3,CQ3,CV3,DA3,DF3,DK3,DP3,DU3,DZ3,EE3,EJ3,EO3,ET3,EY3,FD3,FI3,FN3,FS3,FX3)</f>
        <v>0</v>
      </c>
      <c r="AJ3" s="418">
        <f>SUM(AP3,AT3,AY3,BD3,BI3,BN3,BS3,BX3,CC3,CH3,CM3,CR3,CW3,DB3,DG3,DL3,DQ3,DV3,EA3,EF3,EK3,EP3,EU3,EZ3,FE3,FJ3,FO3,FT3,FY3)</f>
        <v>0</v>
      </c>
      <c r="AK3" s="418">
        <f>SUM(AQ3,AT3:AU3,AZ3,BE3,BJ3,BO3,BT3,BY3,CD3,CI3,CN3,CS3,CX3,DC3,DH3,DM3,DR3,DW3,EB3,EG3,EL3,EQ3,EV3,FA3,FF3,FK3,FP3,FU3,FZ3)</f>
        <v>0</v>
      </c>
      <c r="AL3" s="418">
        <f>SUM(AR3,AV3,BA3,BF3,BK3,BP3,BU3,BZ3,CE3,CJ3,CO3,CT3,CY3,DD3,DI3,DN3,DS3,DX3,EC3,EH3,EM3,ER3,EW3,FB3,FG3,FL3,FQ3,FV3,GA3)</f>
        <v>0</v>
      </c>
      <c r="AM3" s="418">
        <f>SUM(AS3,AW3,BB3,BG3,BL3,BQ3,BV3,CA3,CF3,CK3,CP3,CU3,CZ3,DE3,DJ3,DO3,DT3,DY3,ED3,EI3,EN3,ES3,EX3,FC3,FH3,FM3,FR3,FW3,GB3)</f>
        <v>0</v>
      </c>
      <c r="AN3" s="418">
        <f>SUM(AT3,AW3:AX3,BC3,BH3,BM3,BR3,BW3,CB3,CG3,CL3,CQ3,CV3,DA3,DF3,DK3,DP3,DU3,DZ3,EE3,EJ3,EO3,ET3,EY3,FD3,FI3,FN3,FS3,FX3,GC3)</f>
        <v>0</v>
      </c>
      <c r="AO3" s="418">
        <f>SUM(AU3,AY3,BD3,BI3,BN3,BS3,BX3,CC3,CH3,CM3,CR3,CW3,DB3,DG3,DL3,DQ3,DV3,EA3,EF3,EK3,EP3,EU3,EZ3,FE3,FJ3,FO3,FT3,FY3,GD3)</f>
        <v>0</v>
      </c>
      <c r="AP3" s="418">
        <f>SUM(AV3,AZ3,BE3,BJ3,BO3,BT3,BY3,CD3,CI3,CN3,CS3,CX3,DC3,DH3,DM3,DR3,DW3,EB3,EG3,EL3,EQ3,EV3,FA3,FF3,FK3,FP3,FU3,FZ3,GE3)</f>
        <v>0</v>
      </c>
      <c r="AQ3" s="418">
        <f>SUM(AW3,AZ3:BA3,BF3,BK3,BP3,BU3,BZ3,CE3,CJ3,CO3,CT3,CY3,DD3,DI3,DN3,DS3,DX3,EC3,EH3,EM3,ER3,EW3,FB3,FG3,FL3,FQ3,FV3,GA3,GF3)</f>
        <v>0</v>
      </c>
      <c r="AR3" s="418">
        <f>SUM(AX3,BB3,BG3,BL3,BQ3,BV3,CA3,CF3,CK3,CP3,CU3,CZ3,DE3,DJ3,DO3,DT3,DY3,ED3,EI3,EN3,ES3,EX3,FC3,FH3,FM3,FR3,FW3,GB3,GG3)</f>
        <v>0</v>
      </c>
      <c r="AS3" s="418">
        <f>SUM(AY3,BC3,BH3,BM3,BR3,BW3,CB3,CG3,CL3,CQ3,CV3,DA3,DF3,DK3,DP3,DU3,DZ3,EE3,EJ3,EO3,ET3,EY3,FD3,FI3,FN3,FS3,FX3,GC3,GH3)</f>
        <v>0</v>
      </c>
      <c r="AT3" s="418">
        <f>SUM(AZ3,BC3:BD3,BI3,BN3,BS3,BX3,CC3,CH3,CM3,CR3,CW3,DB3,DG3,DL3,DQ3,DV3,EA3,EF3,EK3,EP3,EU3,EZ3,FE3,FJ3,FO3,FT3,FY3,GD3,GI3)</f>
        <v>0</v>
      </c>
      <c r="AU3" s="418">
        <f>SUM(BA3,BE3,BJ3,BO3,BT3,BY3,CD3,CI3,CN3,CS3,CX3,DC3,DH3,DM3,DR3,DW3,EB3,EG3,EL3,EQ3,EV3,FA3,FF3,FK3,FP3,FU3,FZ3,GE3,GJ3)</f>
        <v>0</v>
      </c>
      <c r="AV3" s="418">
        <f>SUM(BB3,BF3,BK3,BP3,BU3,BZ3,CE3,CJ3,CO3,CT3,CY3,DD3,DI3,DN3,DS3,DX3,EC3,EH3,EM3,ER3,EW3,FB3,FG3,FL3,FQ3,FV3,GA3,GF3,GK3)</f>
        <v>0</v>
      </c>
      <c r="AW3" s="418">
        <f>SUM(BC3,BF3:BG3,BL3,BQ3,BV3,CA3,CF3,CK3,CP3,CU3,CZ3,DE3,DJ3,DO3,DT3,DY3,ED3,EI3,EN3,ES3,EX3,FC3,FH3,FM3,FR3,FW3,GB3,GG3,GL3)</f>
        <v>0</v>
      </c>
      <c r="AX3" s="418">
        <f>SUM(BD3,BH3,BM3,BR3,BW3,CB3,CG3,CL3,CQ3,CV3,DA3,DF3,DK3,DP3,DU3,DZ3,EE3,EJ3,EO3,ET3,EY3,FD3,FI3,FN3,FS3,FX3,GC3,GH3,GM3)</f>
        <v>0</v>
      </c>
      <c r="AY3" s="418">
        <f>SUM(BE3,BI3,BN3,BS3,BX3,CC3,CH3,CM3,CR3,CW3,DB3,DG3,DL3,DQ3,DV3,EA3,EF3,EK3,EP3,EU3,EZ3,FE3,FJ3,FO3,FT3,FY3,GD3,GI3,GN3)</f>
        <v>0</v>
      </c>
      <c r="AZ3" s="418">
        <f>SUM(BF3,BI3:BJ3,BO3,BT3,BY3,CD3,CI3,CN3,CS3,CX3,DC3,DH3,DM3,DR3,DW3,EB3,EG3,EL3,EQ3,EV3,FA3,FF3,FK3,FP3,FU3,FZ3,GE3,GJ3,GO3)</f>
        <v>0</v>
      </c>
      <c r="BA3" s="418">
        <f>SUM(BG3,BK3,BP3,BU3,BZ3,CE3,CJ3,CO3,CT3,CY3,DD3,DI3,DN3,DS3,DX3,EC3,EH3,EM3,ER3,EW3,FB3,FG3,FL3,FQ3,FV3,GA3,GF3,GK3,GP3)</f>
        <v>0</v>
      </c>
      <c r="BB3" s="418">
        <f>SUM(BH3,BL3,BQ3,BV3,CA3,CF3,CK3,CP3,CU3,CZ3,DE3,DJ3,DO3,DT3,DY3,ED3,EI3,EN3,ES3,EX3,FC3,FH3,FM3,FR3,FW3,GB3,GG3,GL3,GQ3)</f>
        <v>0</v>
      </c>
      <c r="BC3" s="418">
        <f>SUM(BI3,BL3:BM3,BR3,BW3,CB3,CG3,CL3,CQ3,CV3,DA3,DF3,DK3,DP3,DU3,DZ3,EE3,EJ3,EO3,ET3,EY3,FD3,FI3,FN3,FS3,FX3,GC3,GH3,GM3,GR3)</f>
        <v>0</v>
      </c>
      <c r="BD3" s="418">
        <f>SUM(BJ3,BN3,BS3,BX3,CC3,CH3,CM3,CR3,CW3,DB3,DG3,DL3,DQ3,DV3,EA3,EF3,EK3,EP3,EU3,EZ3,FE3,FJ3,FO3,FT3,FY3,GD3,GI3,GN3,GS3)</f>
        <v>0</v>
      </c>
      <c r="BE3" s="418">
        <f>SUM(BK3,BO3,BT3,BY3,CD3,CI3,CN3,CS3,CX3,DC3,DH3,DM3,DR3,DW3,EB3,EG3,EL3,EQ3,EV3,FA3,FF3,FK3,FP3,FU3,FZ3,GE3,GJ3,GO3,GT3)</f>
        <v>0</v>
      </c>
      <c r="BF3" s="418">
        <f>SUM(BL3,BO3:BP3,BU3,BZ3,CE3,CJ3,CO3,CT3,CY3,DD3,DI3,DN3,DS3,DX3,EC3,EH3,EM3,ER3,EW3,FB3,FG3,FL3,FQ3,FV3,GA3,GF3,GK3,GP3,GU3)</f>
        <v>0</v>
      </c>
      <c r="BG3" s="418">
        <f>SUM(BM3,BQ3,BV3,CA3,CF3,CK3,CP3,CU3,CZ3,DE3,DJ3,DO3,DT3,DY3,ED3,EI3,EN3,ES3,EX3,FC3,FH3,FM3,FR3,FW3,GB3,GG3,GL3,GQ3,GV3)</f>
        <v>0</v>
      </c>
      <c r="BH3" s="418">
        <f>SUM(BN3,BR3,BW3,CB3,CG3,CL3,CQ3,CV3,DA3,DF3,DK3,DP3,DU3,DZ3,EE3,EJ3,EO3,ET3,EY3,FD3,FI3,FN3,FS3,FX3,GC3,GH3,GM3,GR3,GW3)</f>
        <v>0</v>
      </c>
      <c r="BI3" s="418">
        <f>SUM(BO3,BR3:BS3,BX3,CC3,CH3,CM3,CR3,CW3,DB3,DG3,DL3,DQ3,DV3,EA3,EF3,EK3,EP3,EU3,EZ3,FE3,FJ3,FO3,FT3,FY3,GD3,GI3,GN3,GS3,GX3)</f>
        <v>0</v>
      </c>
      <c r="BJ3" s="418">
        <f>SUM(BP3,BT3,BY3,CD3,CI3,CN3,CS3,CX3,DC3,DH3,DM3,DR3,DW3,EB3,EG3,EL3,EQ3,EV3,FA3,FF3,FK3,FP3,FU3,FZ3,GE3,GJ3,GO3,GT3,GY3)</f>
        <v>0</v>
      </c>
      <c r="BK3" s="418">
        <f>SUM(BQ3,BU3,BZ3,CE3,CJ3,CO3,CT3,CY3,DD3,DI3,DN3,DS3,DX3,EC3,EH3,EM3,ER3,EW3,FB3,FG3,FL3,FQ3,FV3,GA3,GF3,GK3,GP3,GU3,GZ3)</f>
        <v>0</v>
      </c>
      <c r="BL3" s="418">
        <f>SUM(BR3,BU3:BV3,CA3,CF3,CK3,CP3,CU3,CZ3,DE3,DJ3,DO3,DT3,DY3,ED3,EI3,EN3,ES3,EX3,FC3,FH3,FM3,FR3,FW3,GB3,GG3,GL3,GQ3,GV3,HA3)</f>
        <v>0</v>
      </c>
      <c r="BM3" s="418">
        <f>SUM(BS3,BW3,CB3,CG3,CL3,CQ3,CV3,DA3,DF3,DK3,DP3,DU3,DZ3,EE3,EJ3,EO3,ET3,EY3,FD3,FI3,FN3,FS3,FX3,GC3,GH3,GM3,GR3,GW3,HB3)</f>
        <v>0</v>
      </c>
      <c r="BN3" s="418">
        <f>SUM(BT3,BX3,CC3,CH3,CM3,CR3,CW3,DB3,DG3,DL3,DQ3,DV3,EA3,EF3,EK3,EP3,EU3,EZ3,FE3,FJ3,FO3,FT3,FY3,GD3,GI3,GN3,GS3,GX3,HC3)</f>
        <v>0</v>
      </c>
      <c r="BO3" s="418">
        <f>SUM(BU3,BX3:BY3,CD3,CI3,CN3,CS3,CX3,DC3,DH3,DM3,DR3,DW3,EB3,EG3,EL3,EQ3,EV3,FA3,FF3,FK3,FP3,FU3,FZ3,GE3,GJ3,GO3,GT3,GY3,HD3)</f>
        <v>0</v>
      </c>
      <c r="BP3" s="418">
        <f>SUM(BV3,BZ3,CE3,CJ3,CO3,CT3,CY3,DD3,DI3,DN3,DS3,DX3,EC3,EH3,EM3,ER3,EW3,FB3,FG3,FL3,FQ3,FV3,GA3,GF3,GK3,GP3,GU3,GZ3,HE3)</f>
        <v>0</v>
      </c>
      <c r="BQ3" s="418">
        <f>SUM(BW3,CA3,CF3,CK3,CP3,CU3,CZ3,DE3,DJ3,DO3,DT3,DY3,ED3,EI3,EN3,ES3,EX3,FC3,FH3,FM3,FR3,FW3,GB3,GG3,GL3,GQ3,GV3,HA3,HF3)</f>
        <v>0</v>
      </c>
      <c r="BR3" s="418">
        <f>SUM(BX3,CA3:CB3,CG3,CL3,CQ3,CV3,DA3,DF3,DK3,DP3,DU3,DZ3,EE3,EJ3,EO3,ET3,EY3,FD3,FI3,FN3,FS3,FX3,GC3,GH3,GM3,GR3,GW3,HB3,HG3)</f>
        <v>0</v>
      </c>
      <c r="BS3" s="418">
        <f>SUM(BY3,CC3,CH3,CM3,CR3,CW3,DB3,DG3,DL3,DQ3,DV3,EA3,EF3,EK3,EP3,EU3,EZ3,FE3,FJ3,FO3,FT3,FY3,GD3,GI3,GN3,GS3,GX3,HC3,HH3)</f>
        <v>0</v>
      </c>
      <c r="BT3" s="418">
        <f>SUM(BZ3,CD3,CI3,CN3,CS3,CX3,DC3,DH3,DM3,DR3,DW3,EB3,EG3,EL3,EQ3,EV3,FA3,FF3,FK3,FP3,FU3,FZ3,GE3,GJ3,GO3,GT3,GY3,HD3,HI3)</f>
        <v>0</v>
      </c>
      <c r="BU3" s="418">
        <f>SUM(CA3,CD3:CE3,CJ3,CO3,CT3,CY3,DD3,DI3,DN3,DS3,DX3,EC3,EH3,EM3,ER3,EW3,FB3,FG3,FL3,FQ3,FV3,GA3,GF3,GK3,GP3,GU3,GZ3,HE3,HJ3)</f>
        <v>0</v>
      </c>
      <c r="BV3" s="418">
        <f>SUM(CB3,CF3,CK3,CP3,CU3,CZ3,DE3,DJ3,DO3,DT3,DY3,ED3,EI3,EN3,ES3,EX3,FC3,FH3,FM3,FR3,FW3,GB3,GG3,GL3,GQ3,GV3,HA3,HF3,HK3)</f>
        <v>0</v>
      </c>
      <c r="BW3" s="418">
        <f>SUM(CC3,CG3,CL3,CQ3,CV3,DA3,DF3,DK3,DP3,DU3,DZ3,EE3,EJ3,EO3,ET3,EY3,FD3,FI3,FN3,FS3,FX3,GC3,GH3,GM3,GR3,GW3,HB3,HG3,HL3)</f>
        <v>0</v>
      </c>
      <c r="BX3" s="418">
        <f>SUM(CD3,CG3:CH3,CM3,CR3,CW3,DB3,DG3,DL3,DQ3,DV3,EA3,EF3,EK3,EP3,EU3,EZ3,FE3,FJ3,FO3,FT3,FY3,GD3,GI3,GN3,GS3,GX3,HC3,HH3,HM3)</f>
        <v>0</v>
      </c>
      <c r="BY3" s="418">
        <f>SUM(CE3,CI3,CN3,CS3,CX3,DC3,DH3,DM3,DR3,DW3,EB3,EG3,EL3,EQ3,EV3,FA3,FF3,FK3,FP3,FU3,FZ3,GE3,GJ3,GO3,GT3,GY3,HD3,HI3,HN3)</f>
        <v>0</v>
      </c>
      <c r="BZ3" s="418">
        <f>SUM(CF3,CJ3,CO3,CT3,CY3,DD3,DI3,DN3,DS3,DX3,EC3,EH3,EM3,ER3,EW3,FB3,FG3,FL3,FQ3,FV3,GA3,GF3,GK3,GP3,GU3,GZ3,HE3,HJ3,HO3)</f>
        <v>0</v>
      </c>
      <c r="CA3" s="418">
        <f>SUM(CG3,CJ3:CK3,CP3,CU3,CZ3,DE3,DJ3,DO3,DT3,DY3,ED3,EI3,EN3,ES3,EX3,FC3,FH3,FM3,FR3,FW3,GB3,GG3,GL3,GQ3,GV3,HA3,HF3,HK3,HP3)</f>
        <v>0</v>
      </c>
      <c r="CB3" s="418">
        <f>SUM(CH3,CL3,CQ3,CV3,DA3,DF3,DK3,DP3,DU3,DZ3,EE3,EJ3,EO3,ET3,EY3,FD3,FI3,FN3,FS3,FX3,GC3,GH3,GM3,GR3,GW3,HB3,HG3,HL3,HQ3)</f>
        <v>0</v>
      </c>
      <c r="CC3" s="418">
        <f>SUM(CI3,CM3,CR3,CW3,DB3,DG3,DL3,DQ3,DV3,EA3,EF3,EK3,EP3,EU3,EZ3,FE3,FJ3,FO3,FT3,FY3,GD3,GI3,GN3,GS3,GX3,HC3,HH3,HM3,HR3)</f>
        <v>0</v>
      </c>
      <c r="CD3" s="418">
        <f>SUM(CJ3,CM3:CN3,CS3,CX3,DC3,DH3,DM3,DR3,DW3,EB3,EG3,EL3,EQ3,EV3,FA3,FF3,FK3,FP3,FU3,FZ3,GE3,GJ3,GO3,GT3,GY3,HD3,HI3,HN3,HS3)</f>
        <v>0</v>
      </c>
      <c r="CE3" s="418">
        <f>SUM(CK3,CO3,CT3,CY3,DD3,DI3,DN3,DS3,DX3,EC3,EH3,EM3,ER3,EW3,FB3,FG3,FL3,FQ3,FV3,GA3,GF3,GK3,GP3,GU3,GZ3,HE3,HJ3,HO3,HT3)</f>
        <v>0</v>
      </c>
      <c r="CF3" s="418">
        <f>SUM(CL3,CP3,CU3,CZ3,DE3,DJ3,DO3,DT3,DY3,ED3,EI3,EN3,ES3,EX3,FC3,FH3,FM3,FR3,FW3,GB3,GG3,GL3,GQ3,GV3,HA3,HF3,HK3,HP3,HU3)</f>
        <v>0</v>
      </c>
      <c r="CG3" s="418">
        <f>SUM(CM3,CP3:CQ3,CV3,DA3,DF3,DK3,DP3,DU3,DZ3,EE3,EJ3,EO3,ET3,EY3,FD3,FI3,FN3,FS3,FX3,GC3,GH3,GM3,GR3,GW3,HB3,HG3,HL3,HQ3,HV3)</f>
        <v>0</v>
      </c>
      <c r="CH3" s="418">
        <f>SUM(CN3,CR3,CW3,DB3,DG3,DL3,DQ3,DV3,EA3,EF3,EK3,EP3,EU3,EZ3,FE3,FJ3,FO3,FT3,FY3,GD3,GI3,GN3,GS3,GX3,HC3,HH3,HM3,HR3,HW3)</f>
        <v>0</v>
      </c>
      <c r="CI3" s="418">
        <f>SUM(CO3,CS3,CX3,DC3,DH3,DM3,DR3,DW3,EB3,EG3,EL3,EQ3,EV3,FA3,FF3,FK3,FP3,FU3,FZ3,GE3,GJ3,GO3,GT3,GY3,HD3,HI3,HN3,HS3,HX3)</f>
        <v>0</v>
      </c>
      <c r="CJ3" s="418">
        <f>SUM(CP3,CS3:CT3,CY3,DD3,DI3,DN3,DS3,DX3,EC3,EH3,EM3,ER3,EW3,FB3,FG3,FL3,FQ3,FV3,GA3,GF3,GK3,GP3,GU3,GZ3,HE3,HJ3,HO3,HT3,HY3)</f>
        <v>0</v>
      </c>
      <c r="CK3" s="418">
        <f>SUM(CQ3,CU3,CZ3,DE3,DJ3,DO3,DT3,DY3,ED3,EI3,EN3,ES3,EX3,FC3,FH3,FM3,FR3,FW3,GB3,GG3,GL3,GQ3,GV3,HA3,HF3,HK3,HP3,HU3,HZ3)</f>
        <v>0</v>
      </c>
      <c r="CL3" s="418">
        <f>SUM(CR3,CV3,DA3,DF3,DK3,DP3,DU3,DZ3,EE3,EJ3,EO3,ET3,EY3,FD3,FI3,FN3,FS3,FX3,GC3,GH3,GM3,GR3,GW3,HB3,HG3,HL3,HQ3,HV3,IA3)</f>
        <v>0</v>
      </c>
      <c r="CM3" s="418">
        <f>SUM(CS3,CV3:CW3,DB3,DG3,DL3,DQ3,DV3,EA3,EF3,EK3,EP3,EU3,EZ3,FE3,FJ3,FO3,FT3,FY3,GD3,GI3,GN3,GS3,GX3,HC3,HH3,HM3,HR3,HW3,IB3)</f>
        <v>0</v>
      </c>
      <c r="CN3" s="418">
        <f>SUM(CT3,CX3,DC3,DH3,DM3,DR3,DW3,EB3,EG3,EL3,EQ3,EV3,FA3,FF3,FK3,FP3,FU3,FZ3,GE3,GJ3,GO3,GT3,GY3,HD3,HI3,HN3,HS3,HX3,IC3)</f>
        <v>0</v>
      </c>
      <c r="CO3" s="418">
        <f>SUM(CU3,CY3,DD3,DI3,DN3,DS3,DX3,EC3,EH3,EM3,ER3,EW3,FB3,FG3,FL3,FQ3,FV3,GA3,GF3,GK3,GP3,GU3,GZ3,HE3,HJ3,HO3,HT3,HY3,ID3)</f>
        <v>0</v>
      </c>
      <c r="CP3" s="418">
        <f>SUM(CV3,CY3:CZ3,DE3,DJ3,DO3,DT3,DY3,ED3,EI3,EN3,ES3,EX3,FC3,FH3,FM3,FR3,FW3,GB3,GG3,GL3,GQ3,GV3,HA3,HF3,HK3,HP3,HU3,HZ3,IE3)</f>
        <v>0</v>
      </c>
      <c r="CQ3" s="418">
        <f>SUM(CW3,DA3,DF3,DK3,DP3,DU3,DZ3,EE3,EJ3,EO3,ET3,EY3,FD3,FI3,FN3,FS3,FX3,GC3,GH3,GM3,GR3,GW3,HB3,HG3,HL3,HQ3,HV3,IA3,IF3)</f>
        <v>0</v>
      </c>
      <c r="CR3" s="418">
        <f>SUM(CX3,DB3,DG3,DL3,DQ3,DV3,EA3,EF3,EK3,EP3,EU3,EZ3,FE3,FJ3,FO3,FT3,FY3,GD3,GI3,GN3,GS3,GX3,HC3,HH3,HM3,HR3,HW3,IB3,IG3)</f>
        <v>0</v>
      </c>
      <c r="CS3" s="418">
        <f>SUM(CY3,DB3:DC3,DH3,DM3,DR3,DW3,EB3,EG3,EL3,EQ3,EV3,FA3,FF3,FK3,FP3,FU3,FZ3,GE3,GJ3,GO3,GT3,GY3,HD3,HI3,HN3,HS3,HX3,IC3,IH3)</f>
        <v>0</v>
      </c>
      <c r="CT3" s="418">
        <f>SUM(CZ3,DD3,DI3,DN3,DS3,DX3,EC3,EH3,EM3,ER3,EW3,FB3,FG3,FL3,FQ3,FV3,GA3,GF3,GK3,GP3,GU3,GZ3,HE3,HJ3,HO3,HT3,HY3,ID3,II3)</f>
        <v>0</v>
      </c>
      <c r="CU3" s="418">
        <f>SUM(DA3,DE3,DJ3,DO3,DT3,DY3,ED3,EI3,EN3,ES3,EX3,FC3,FH3,FM3,FR3,FW3,GB3,GG3,GL3,GQ3,GV3,HA3,HF3,HK3,HP3,HU3,HZ3,IE3,IJ3)</f>
        <v>0</v>
      </c>
      <c r="CV3" s="418">
        <f>SUM(DB3,DE3:DF3,DK3,DP3,DU3,DZ3,EE3,EJ3,EO3,ET3,EY3,FD3,FI3,FN3,FS3,FX3,GC3,GH3,GM3,GR3,GW3,HB3,HG3,HL3,HQ3,HV3,IA3,IF3,IK3)</f>
        <v>0</v>
      </c>
      <c r="CW3" s="418">
        <f>SUM(DC3,DG3,DL3,DQ3,DV3,EA3,EF3,EK3,EP3,EU3,EZ3,FE3,FJ3,FO3,FT3,FY3,GD3,GI3,GN3,GS3,GX3,HC3,HH3,HM3,HR3,HW3,IB3,IG3,IL3)</f>
        <v>0</v>
      </c>
      <c r="CX3" s="418">
        <f>SUM(DD3,DH3,DM3,DR3,DW3,EB3,EG3,EL3,EQ3,EV3,FA3,FF3,FK3,FP3,FU3,FZ3,GE3,GJ3,GO3,GT3,GY3,HD3,HI3,HN3,HS3,HX3,IC3,IH3,IM3)</f>
        <v>0</v>
      </c>
      <c r="CY3" s="418">
        <f>SUM(DE3,DH3:DI3,DN3,DS3,DX3,EC3,EH3,EM3,ER3,EW3,FB3,FG3,FL3,FQ3,FV3,GA3,GF3,GK3,GP3,GU3,GZ3,HE3,HJ3,HO3,HT3,HY3,ID3,II3,IN3)</f>
        <v>0</v>
      </c>
      <c r="CZ3" s="418">
        <f>SUM(DF3,DJ3,DO3,DT3,DY3,ED3,EI3,EN3,ES3,EX3,FC3,FH3,FM3,FR3,FW3,GB3,GG3,GL3,GQ3,GV3,HA3,HF3,HK3,HP3,HU3,HZ3,IE3,IJ3,IO3)</f>
        <v>0</v>
      </c>
      <c r="DA3" s="418">
        <f>SUM(DG3,DK3,DP3,DU3,DZ3,EE3,EJ3,EO3,ET3,EY3,FD3,FI3,FN3,FS3,FX3,GC3,GH3,GM3,GR3,GW3,HB3,HG3,HL3,HQ3,HV3,IA3,IF3,IK3,IP3)</f>
        <v>0</v>
      </c>
      <c r="DB3" s="418">
        <f>SUM(DH3,DK3:DL3,DQ3,DV3,EA3,EF3,EK3,EP3,EU3,EZ3,FE3,FJ3,FO3,FT3,FY3,GD3,GI3,GN3,GS3,GX3,HC3,HH3,HM3,HR3,HW3,IB3,IG3,IL3,IQ3)</f>
        <v>0</v>
      </c>
      <c r="DC3" s="418">
        <f>SUM(DI3,DM3,DR3,DW3,EB3,EG3,EL3,EQ3,EV3,FA3,FF3,FK3,FP3,FU3,FZ3,GE3,GJ3,GO3,GT3,GY3,HD3,HI3,HN3,HS3,HX3,IC3,IH3,IM3,IR3)</f>
        <v>0</v>
      </c>
      <c r="DD3" s="419"/>
      <c r="DE3" s="419"/>
      <c r="DF3" s="420">
        <f>DE3/F3</f>
        <v>0</v>
      </c>
      <c r="DG3" s="421">
        <f>DC3-DF3</f>
        <v>0</v>
      </c>
      <c r="DH3" s="419"/>
      <c r="DI3" s="419"/>
      <c r="DJ3" s="419"/>
      <c r="DK3" s="420">
        <f>DJ3/F3</f>
        <v>0</v>
      </c>
      <c r="DL3" s="422">
        <f>DK3-DH3</f>
        <v>0</v>
      </c>
      <c r="DM3" s="420"/>
      <c r="DN3" s="420"/>
      <c r="DO3" s="420"/>
      <c r="DP3" s="420">
        <f>DO3/F3</f>
        <v>0</v>
      </c>
      <c r="DQ3" s="420">
        <f>DP3-DM3</f>
        <v>0</v>
      </c>
      <c r="DR3" s="419"/>
      <c r="DS3" s="419"/>
      <c r="DT3" s="419"/>
      <c r="DU3" s="420">
        <f>DT3/F3</f>
        <v>0</v>
      </c>
      <c r="DV3" s="423">
        <f>DU3-DR3</f>
        <v>0</v>
      </c>
      <c r="DW3" s="419"/>
      <c r="DX3" s="419"/>
      <c r="DY3" s="419"/>
      <c r="DZ3" s="420">
        <f>ROUND(DY3/F3,2)</f>
        <v>0</v>
      </c>
      <c r="EA3" s="423">
        <f>ROUND(DZ3-DW3,2)</f>
        <v>0</v>
      </c>
      <c r="EB3" s="419"/>
      <c r="EC3" s="419"/>
      <c r="ED3" s="420"/>
      <c r="EE3" s="419"/>
      <c r="EF3" s="420">
        <f>EE3-EB3</f>
        <v>0</v>
      </c>
      <c r="EG3" s="419"/>
      <c r="EH3" s="419"/>
      <c r="EI3" s="419"/>
      <c r="EJ3" s="420">
        <f>ROUND(EI3/F3,2)</f>
        <v>0</v>
      </c>
      <c r="EK3" s="420">
        <f>ROUND(EJ3-EG3,2)</f>
        <v>0</v>
      </c>
      <c r="EL3" s="419"/>
      <c r="EM3" s="419"/>
      <c r="EN3" s="419"/>
      <c r="EO3" s="419">
        <f>ROUND(EN3/F3,2)</f>
        <v>0</v>
      </c>
      <c r="EP3" s="419">
        <f>ROUND(EO3-EL3,2)</f>
        <v>0</v>
      </c>
      <c r="EQ3" s="419"/>
      <c r="ER3" s="419"/>
      <c r="ES3" s="419"/>
      <c r="ET3" s="419">
        <f>ROUND(ES3/F3,2)</f>
        <v>0</v>
      </c>
      <c r="EU3" s="419">
        <f>ROUND(ET3-EQ3,2)</f>
        <v>0</v>
      </c>
      <c r="EV3" s="419"/>
      <c r="EW3" s="419"/>
      <c r="EX3" s="419"/>
      <c r="EY3" s="419">
        <f>ROUND(EX3/F3,2)</f>
        <v>0</v>
      </c>
      <c r="EZ3" s="419">
        <f>ROUND(EY3-EV3,2)</f>
        <v>0</v>
      </c>
      <c r="FA3" s="420"/>
      <c r="FB3" s="420"/>
      <c r="FC3" s="420"/>
      <c r="FD3" s="420">
        <f>ROUND(FC3/F3,2)</f>
        <v>0</v>
      </c>
      <c r="FE3" s="420">
        <f>ROUND(FD3-FA3,2)</f>
        <v>0</v>
      </c>
      <c r="FF3" s="419"/>
      <c r="FG3" s="419"/>
      <c r="FH3" s="419"/>
      <c r="FI3" s="419">
        <f>FH3/F3</f>
        <v>0</v>
      </c>
      <c r="FJ3" s="419">
        <f>ROUND(FI3-FF3,2)</f>
        <v>0</v>
      </c>
      <c r="FK3" s="419"/>
      <c r="FL3" s="419"/>
      <c r="FM3" s="419"/>
      <c r="FN3" s="420">
        <f>ROUND(FM3/F3,2)</f>
        <v>0</v>
      </c>
      <c r="FO3" s="423">
        <f>ROUND(FN3-FK3,2)</f>
        <v>0</v>
      </c>
      <c r="FP3" s="419"/>
      <c r="FQ3" s="419"/>
      <c r="FR3" s="419"/>
      <c r="FS3" s="420">
        <f>ROUND(FR3/F3,2)</f>
        <v>0</v>
      </c>
      <c r="FT3" s="420">
        <f>FS3-FP3</f>
        <v>0</v>
      </c>
      <c r="FU3" s="419"/>
      <c r="FV3" s="419"/>
      <c r="FW3" s="419"/>
      <c r="FX3" s="420">
        <f>ROUND(FW3/F3,2)</f>
        <v>0</v>
      </c>
      <c r="FY3" s="420">
        <f>FX3-FU3</f>
        <v>0</v>
      </c>
      <c r="FZ3" s="419"/>
      <c r="GA3" s="419"/>
      <c r="GB3" s="419"/>
      <c r="GC3" s="420">
        <f>ROUND(GB3/F3,2)</f>
        <v>0</v>
      </c>
      <c r="GD3" s="420">
        <f>GC3-FZ3</f>
        <v>0</v>
      </c>
      <c r="GE3" s="419"/>
      <c r="GF3" s="419"/>
      <c r="GG3" s="419"/>
      <c r="GH3" s="420">
        <f>GG3/F3</f>
        <v>0</v>
      </c>
      <c r="GI3" s="423">
        <f>GH3-GE3</f>
        <v>0</v>
      </c>
      <c r="GJ3" s="419"/>
      <c r="GK3" s="419"/>
      <c r="GL3" s="419"/>
      <c r="GM3" s="420">
        <f>GL3/F3</f>
        <v>0</v>
      </c>
      <c r="GN3" s="420">
        <f>GM3-GJ3</f>
        <v>0</v>
      </c>
      <c r="GO3" s="419"/>
      <c r="GP3" s="419"/>
      <c r="GQ3" s="419"/>
      <c r="GR3" s="420">
        <f>GQ3/F3</f>
        <v>0</v>
      </c>
      <c r="GS3" s="423">
        <f>GR3-GO3</f>
        <v>0</v>
      </c>
      <c r="GT3" s="419"/>
      <c r="GU3" s="419"/>
      <c r="GV3" s="419"/>
      <c r="GW3" s="420">
        <f>ROUND(GV3/F3,2)</f>
        <v>0</v>
      </c>
      <c r="GX3" s="420">
        <f>GW3-GT3</f>
        <v>0</v>
      </c>
    </row>
    <row r="4" spans="1:206" ht="15">
      <c r="A4" s="414"/>
      <c r="B4" s="415" t="s">
        <v>482</v>
      </c>
      <c r="C4" s="698"/>
      <c r="D4" s="705"/>
      <c r="E4" s="715"/>
      <c r="F4" s="417">
        <v>0.13</v>
      </c>
      <c r="G4" s="418">
        <f t="shared" ref="G4:G67" si="4">SUM(M4,P4:Q4,V4,AA4,AF4,AK4,AP4,AU4,AZ4,BE4,BJ4,BO4,BT4,BY4,CD4,CI4,CN4,CS4,CX4,DC4,DH4,DM4,DR4,DW4,EB4,EG4,EL4,EQ4,EV4,FA4,FF4,FK4,FP4,FU4,FZ4,GE4,GJ4,GO4,GT4)</f>
        <v>3497388.14</v>
      </c>
      <c r="H4" s="418">
        <f t="shared" ref="H4:I67" si="5">SUM(N4,R4,W4,AB4,AG4,AL4,AQ4,AV4,BA4,BF4,BK4,BP4,BU4,BZ4,CE4,CJ4,CO4,CT4,CY4,DD4,DI4,DN4,DS4,DX4,EC4,EH4,EM4,ER4,EW4,FB4,FG4,FL4,FQ4,FV4,GA4,GF4,GK4,GP4,GU4)</f>
        <v>0</v>
      </c>
      <c r="I4" s="418">
        <f t="shared" si="5"/>
        <v>454660.45833000098</v>
      </c>
      <c r="J4" s="418">
        <f t="shared" ref="J4:J67" si="6">I4/F4</f>
        <v>3497388.1410000101</v>
      </c>
      <c r="K4" s="418">
        <f t="shared" ref="K4:K16" si="7">I4/F4-H4</f>
        <v>3497388.1410000101</v>
      </c>
      <c r="L4" s="418">
        <f t="shared" ref="L4:L16" si="8">H4-J4</f>
        <v>-3497388.1410000101</v>
      </c>
      <c r="M4" s="424">
        <v>3497388.14</v>
      </c>
      <c r="N4" s="424">
        <v>0</v>
      </c>
      <c r="O4" s="424">
        <v>454660.45833000098</v>
      </c>
      <c r="P4" s="424"/>
      <c r="Q4" s="419"/>
      <c r="R4" s="419"/>
      <c r="S4" s="419"/>
      <c r="T4" s="420">
        <v>0</v>
      </c>
      <c r="U4" s="423">
        <f t="shared" ref="U4:U29" si="9">T4-Q4</f>
        <v>0</v>
      </c>
      <c r="V4" s="420"/>
      <c r="W4" s="420"/>
      <c r="X4" s="419"/>
      <c r="Y4" s="419"/>
      <c r="Z4" s="423">
        <f t="shared" ref="Z4:Z67" si="10">Y4-V4</f>
        <v>0</v>
      </c>
      <c r="AA4" s="423"/>
      <c r="AB4" s="425"/>
      <c r="AC4" s="419"/>
      <c r="AD4" s="420">
        <f t="shared" ref="AD4:AD67" si="11">AC4/F4</f>
        <v>0</v>
      </c>
      <c r="AE4" s="423">
        <f t="shared" ref="AE4:AE67" si="12">AD4-AA4</f>
        <v>0</v>
      </c>
      <c r="AF4" s="419"/>
      <c r="AG4" s="419"/>
      <c r="AH4" s="419"/>
      <c r="AI4" s="420">
        <f t="shared" ref="AI4:AI67" si="13">AH4/F4</f>
        <v>0</v>
      </c>
      <c r="AJ4" s="423">
        <f t="shared" ref="AJ4:AJ67" si="14">AI4-AF4</f>
        <v>0</v>
      </c>
      <c r="AK4" s="419"/>
      <c r="AL4" s="420"/>
      <c r="AM4" s="419"/>
      <c r="AN4" s="420">
        <f t="shared" ref="AN4:AN67" si="15">AM4/F4</f>
        <v>0</v>
      </c>
      <c r="AO4" s="423">
        <f t="shared" ref="AO4:AO67" si="16">AN4-AK4</f>
        <v>0</v>
      </c>
      <c r="AP4" s="419"/>
      <c r="AQ4" s="419"/>
      <c r="AR4" s="420"/>
      <c r="AS4" s="420">
        <f t="shared" ref="AS4:AS67" si="17">AR4/F4</f>
        <v>0</v>
      </c>
      <c r="AT4" s="420">
        <f t="shared" ref="AT4:AT67" si="18">AS4-AP4</f>
        <v>0</v>
      </c>
      <c r="AU4" s="420"/>
      <c r="AV4" s="420"/>
      <c r="AW4" s="420"/>
      <c r="AX4" s="426">
        <f t="shared" ref="AX4:AX67" si="19">AW4/F4</f>
        <v>0</v>
      </c>
      <c r="AY4" s="420">
        <f t="shared" ref="AY4:AY67" si="20">AX4-AU4</f>
        <v>0</v>
      </c>
      <c r="AZ4" s="419"/>
      <c r="BA4" s="420"/>
      <c r="BB4" s="419"/>
      <c r="BC4" s="420">
        <f t="shared" ref="BC4:BC67" si="21">BB4/F4</f>
        <v>0</v>
      </c>
      <c r="BD4" s="427"/>
      <c r="BE4" s="420"/>
      <c r="BF4" s="420"/>
      <c r="BG4" s="420"/>
      <c r="BH4" s="423">
        <f t="shared" ref="BH4:BH67" si="22">BG4/F4</f>
        <v>0</v>
      </c>
      <c r="BI4" s="420">
        <f t="shared" ref="BI4:BI67" si="23">BH4-BE4</f>
        <v>0</v>
      </c>
      <c r="BJ4" s="420"/>
      <c r="BK4" s="420"/>
      <c r="BL4" s="420"/>
      <c r="BM4" s="420">
        <f t="shared" ref="BM4:BM67" si="24">BL4/F4</f>
        <v>0</v>
      </c>
      <c r="BN4" s="420">
        <f t="shared" ref="BN4:BN67" si="25">BM4-BJ4</f>
        <v>0</v>
      </c>
      <c r="BO4" s="419"/>
      <c r="BP4" s="428"/>
      <c r="BQ4" s="420"/>
      <c r="BR4" s="423">
        <f t="shared" ref="BR4:BR67" si="26">BQ4/F4</f>
        <v>0</v>
      </c>
      <c r="BS4" s="423">
        <f t="shared" ref="BS4:BS67" si="27">BR4-BO4</f>
        <v>0</v>
      </c>
      <c r="BT4" s="420"/>
      <c r="BU4" s="420"/>
      <c r="BV4" s="420"/>
      <c r="BW4" s="420"/>
      <c r="BX4" s="429">
        <f t="shared" ref="BX4:BX67" si="28">BW4-BT4</f>
        <v>0</v>
      </c>
      <c r="BY4" s="419"/>
      <c r="BZ4" s="419"/>
      <c r="CA4" s="419"/>
      <c r="CB4" s="420">
        <f t="shared" ref="CB4:CB67" si="29">CA4/F4</f>
        <v>0</v>
      </c>
      <c r="CC4" s="430">
        <f t="shared" ref="CC4:CC67" si="30">CB4-BY4</f>
        <v>0</v>
      </c>
      <c r="CD4" s="419"/>
      <c r="CE4" s="419"/>
      <c r="CF4" s="419"/>
      <c r="CG4" s="420">
        <f t="shared" ref="CG4:CG67" si="31">CF4/F4</f>
        <v>0</v>
      </c>
      <c r="CH4" s="423">
        <f t="shared" ref="CH4:CH67" si="32">CG4-CD4</f>
        <v>0</v>
      </c>
      <c r="CI4" s="431"/>
      <c r="CJ4" s="431"/>
      <c r="CK4" s="431"/>
      <c r="CL4" s="420">
        <f t="shared" ref="CL4:CL67" si="33">CK4/F4</f>
        <v>0</v>
      </c>
      <c r="CM4" s="423">
        <f t="shared" ref="CM4:CM67" si="34">CL4-CI4</f>
        <v>0</v>
      </c>
      <c r="CN4" s="420"/>
      <c r="CO4" s="420"/>
      <c r="CP4" s="420"/>
      <c r="CQ4" s="432"/>
      <c r="CR4" s="432">
        <f t="shared" ref="CR4:CR67" si="35">ROUND(CQ4-CN4,2)</f>
        <v>0</v>
      </c>
      <c r="CS4" s="420"/>
      <c r="CT4" s="420"/>
      <c r="CU4" s="420"/>
      <c r="CV4" s="420"/>
      <c r="CW4" s="420">
        <f t="shared" ref="CW4:CW67" si="36">CV4-CS4</f>
        <v>0</v>
      </c>
      <c r="CX4" s="419"/>
      <c r="CY4" s="419"/>
      <c r="CZ4" s="419"/>
      <c r="DA4" s="419">
        <f t="shared" ref="DA4:DA67" si="37">ROUND(CZ4/F4,2)</f>
        <v>0</v>
      </c>
      <c r="DB4" s="419">
        <f t="shared" ref="DB4:DB67" si="38">ROUND(DA4-CX4,2)</f>
        <v>0</v>
      </c>
      <c r="DC4" s="419"/>
      <c r="DD4" s="419"/>
      <c r="DE4" s="419"/>
      <c r="DF4" s="420">
        <f t="shared" ref="DF4:DF67" si="39">DE4/F4</f>
        <v>0</v>
      </c>
      <c r="DG4" s="421">
        <f t="shared" ref="DG4:DG67" si="40">DC4-DF4</f>
        <v>0</v>
      </c>
      <c r="DH4" s="419"/>
      <c r="DI4" s="419"/>
      <c r="DJ4" s="419"/>
      <c r="DK4" s="420">
        <f t="shared" ref="DK4:DK67" si="41">DJ4/F4</f>
        <v>0</v>
      </c>
      <c r="DL4" s="422">
        <f t="shared" ref="DL4:DL67" si="42">DK4-DH4</f>
        <v>0</v>
      </c>
      <c r="DM4" s="420"/>
      <c r="DN4" s="420"/>
      <c r="DO4" s="420"/>
      <c r="DP4" s="420">
        <f t="shared" ref="DP4:DP67" si="43">DO4/F4</f>
        <v>0</v>
      </c>
      <c r="DQ4" s="420">
        <f t="shared" ref="DQ4:DQ67" si="44">DP4-DM4</f>
        <v>0</v>
      </c>
      <c r="DR4" s="419"/>
      <c r="DS4" s="419"/>
      <c r="DT4" s="419"/>
      <c r="DU4" s="420">
        <f t="shared" ref="DU4:DU67" si="45">DT4/F4</f>
        <v>0</v>
      </c>
      <c r="DV4" s="423">
        <f t="shared" ref="DV4:DV67" si="46">DU4-DR4</f>
        <v>0</v>
      </c>
      <c r="DW4" s="419"/>
      <c r="DX4" s="419"/>
      <c r="DY4" s="419"/>
      <c r="DZ4" s="420">
        <f t="shared" ref="DZ4:DZ67" si="47">ROUND(DY4/F4,2)</f>
        <v>0</v>
      </c>
      <c r="EA4" s="423">
        <f t="shared" ref="EA4:EA67" si="48">ROUND(DZ4-DW4,2)</f>
        <v>0</v>
      </c>
      <c r="EB4" s="419"/>
      <c r="EC4" s="419"/>
      <c r="ED4" s="420"/>
      <c r="EE4" s="419"/>
      <c r="EF4" s="420">
        <f t="shared" ref="EF4:EF67" si="49">EE4-EB4</f>
        <v>0</v>
      </c>
      <c r="EG4" s="419"/>
      <c r="EH4" s="419"/>
      <c r="EI4" s="419"/>
      <c r="EJ4" s="420">
        <f t="shared" ref="EJ4:EJ67" si="50">ROUND(EI4/F4,2)</f>
        <v>0</v>
      </c>
      <c r="EK4" s="420">
        <f t="shared" ref="EK4:EK67" si="51">ROUND(EJ4-EG4,2)</f>
        <v>0</v>
      </c>
      <c r="EL4" s="419"/>
      <c r="EM4" s="419"/>
      <c r="EN4" s="419"/>
      <c r="EO4" s="419">
        <f t="shared" ref="EO4:EO67" si="52">ROUND(EN4/F4,2)</f>
        <v>0</v>
      </c>
      <c r="EP4" s="419">
        <f t="shared" ref="EP4:EP67" si="53">ROUND(EO4-EL4,2)</f>
        <v>0</v>
      </c>
      <c r="EQ4" s="419"/>
      <c r="ER4" s="419"/>
      <c r="ES4" s="419"/>
      <c r="ET4" s="419">
        <f t="shared" ref="ET4:ET67" si="54">ROUND(ES4/F4,2)</f>
        <v>0</v>
      </c>
      <c r="EU4" s="419">
        <f t="shared" ref="EU4:EU67" si="55">ROUND(ET4-EQ4,2)</f>
        <v>0</v>
      </c>
      <c r="EV4" s="419"/>
      <c r="EW4" s="419"/>
      <c r="EX4" s="419"/>
      <c r="EY4" s="419">
        <f t="shared" ref="EY4:EY67" si="56">ROUND(EX4/F4,2)</f>
        <v>0</v>
      </c>
      <c r="EZ4" s="419">
        <f>ROUND(EY4-EV4,2)</f>
        <v>0</v>
      </c>
      <c r="FA4" s="420"/>
      <c r="FB4" s="420"/>
      <c r="FC4" s="420"/>
      <c r="FD4" s="420">
        <f t="shared" ref="FD4:FD67" si="57">ROUND(FC4/F4,2)</f>
        <v>0</v>
      </c>
      <c r="FE4" s="420">
        <f t="shared" ref="FE4:FE67" si="58">ROUND(FD4-FA4,2)</f>
        <v>0</v>
      </c>
      <c r="FF4" s="419"/>
      <c r="FG4" s="419"/>
      <c r="FH4" s="419"/>
      <c r="FI4" s="419">
        <f t="shared" ref="FI4:FI67" si="59">FH4/F4</f>
        <v>0</v>
      </c>
      <c r="FJ4" s="419">
        <f t="shared" ref="FJ4:FJ67" si="60">ROUND(FI4-FF4,2)</f>
        <v>0</v>
      </c>
      <c r="FK4" s="419"/>
      <c r="FL4" s="419"/>
      <c r="FM4" s="419"/>
      <c r="FN4" s="420">
        <f t="shared" ref="FN4:FN67" si="61">ROUND(FM4/F4,2)</f>
        <v>0</v>
      </c>
      <c r="FO4" s="423">
        <f t="shared" ref="FO4:FO67" si="62">ROUND(FN4-FK4,2)</f>
        <v>0</v>
      </c>
      <c r="FP4" s="419"/>
      <c r="FQ4" s="419"/>
      <c r="FR4" s="419"/>
      <c r="FS4" s="420">
        <f t="shared" ref="FS4:FS67" si="63">ROUND(FR4/F4,2)</f>
        <v>0</v>
      </c>
      <c r="FT4" s="420">
        <f t="shared" ref="FT4:FT67" si="64">FS4-FP4</f>
        <v>0</v>
      </c>
      <c r="FU4" s="419"/>
      <c r="FV4" s="419"/>
      <c r="FW4" s="419"/>
      <c r="FX4" s="420">
        <f t="shared" ref="FX4:FX67" si="65">ROUND(FW4/F4,2)</f>
        <v>0</v>
      </c>
      <c r="FY4" s="420">
        <f t="shared" ref="FY4:FY67" si="66">FX4-FU4</f>
        <v>0</v>
      </c>
      <c r="FZ4" s="419"/>
      <c r="GA4" s="419"/>
      <c r="GB4" s="419"/>
      <c r="GC4" s="420">
        <f t="shared" ref="GC4:GC67" si="67">ROUND(GB4/F4,2)</f>
        <v>0</v>
      </c>
      <c r="GD4" s="420">
        <f t="shared" ref="GD4:GD67" si="68">GC4-FZ4</f>
        <v>0</v>
      </c>
      <c r="GE4" s="419"/>
      <c r="GF4" s="419"/>
      <c r="GG4" s="419"/>
      <c r="GH4" s="420">
        <f t="shared" ref="GH4:GH67" si="69">GG4/F4</f>
        <v>0</v>
      </c>
      <c r="GI4" s="423">
        <f t="shared" ref="GI4:GI67" si="70">GH4-GE4</f>
        <v>0</v>
      </c>
      <c r="GJ4" s="419"/>
      <c r="GK4" s="419"/>
      <c r="GL4" s="419"/>
      <c r="GM4" s="420">
        <f t="shared" ref="GM4:GM67" si="71">GL4/F4</f>
        <v>0</v>
      </c>
      <c r="GN4" s="420">
        <f t="shared" ref="GN4:GN67" si="72">GM4-GJ4</f>
        <v>0</v>
      </c>
      <c r="GO4" s="419"/>
      <c r="GP4" s="419"/>
      <c r="GQ4" s="419"/>
      <c r="GR4" s="420">
        <f>GQ4/F4</f>
        <v>0</v>
      </c>
      <c r="GS4" s="423">
        <f t="shared" ref="GS4:GS67" si="73">GR4-GO4</f>
        <v>0</v>
      </c>
      <c r="GT4" s="419"/>
      <c r="GU4" s="419"/>
      <c r="GV4" s="419"/>
      <c r="GW4" s="420">
        <f t="shared" ref="GW4:GW67" si="74">ROUND(GV4/F4,2)</f>
        <v>0</v>
      </c>
      <c r="GX4" s="420">
        <f t="shared" ref="GX4:GX67" si="75">GW4-GT4</f>
        <v>0</v>
      </c>
    </row>
    <row r="5" spans="1:206" ht="15">
      <c r="A5" s="414"/>
      <c r="B5" s="415" t="s">
        <v>482</v>
      </c>
      <c r="C5" s="698"/>
      <c r="D5" s="705"/>
      <c r="E5" s="714" t="s">
        <v>124</v>
      </c>
      <c r="F5" s="417">
        <v>0.1</v>
      </c>
      <c r="G5" s="418">
        <f t="shared" si="4"/>
        <v>16159345.619999999</v>
      </c>
      <c r="H5" s="418">
        <f t="shared" si="5"/>
        <v>16159345.67</v>
      </c>
      <c r="I5" s="418">
        <f t="shared" si="5"/>
        <v>1615934.5619999999</v>
      </c>
      <c r="J5" s="418">
        <f t="shared" si="6"/>
        <v>16159345.619999999</v>
      </c>
      <c r="K5" s="418">
        <f t="shared" si="7"/>
        <v>-5.0000000745058101E-2</v>
      </c>
      <c r="L5" s="418">
        <f t="shared" si="8"/>
        <v>5.0000000745058101E-2</v>
      </c>
      <c r="M5" s="424">
        <v>16159345.619999999</v>
      </c>
      <c r="N5" s="424">
        <v>16159345.67</v>
      </c>
      <c r="O5" s="424">
        <v>1615934.5619999999</v>
      </c>
      <c r="P5" s="424"/>
      <c r="Q5" s="419"/>
      <c r="R5" s="419"/>
      <c r="S5" s="419"/>
      <c r="T5" s="420">
        <v>0</v>
      </c>
      <c r="U5" s="423">
        <f t="shared" si="9"/>
        <v>0</v>
      </c>
      <c r="V5" s="420"/>
      <c r="W5" s="420"/>
      <c r="X5" s="419"/>
      <c r="Y5" s="419"/>
      <c r="Z5" s="423">
        <f t="shared" si="10"/>
        <v>0</v>
      </c>
      <c r="AA5" s="423"/>
      <c r="AB5" s="425"/>
      <c r="AC5" s="419"/>
      <c r="AD5" s="420">
        <f t="shared" si="11"/>
        <v>0</v>
      </c>
      <c r="AE5" s="423">
        <f t="shared" si="12"/>
        <v>0</v>
      </c>
      <c r="AF5" s="419"/>
      <c r="AG5" s="419"/>
      <c r="AH5" s="419"/>
      <c r="AI5" s="420">
        <f t="shared" si="13"/>
        <v>0</v>
      </c>
      <c r="AJ5" s="423">
        <f t="shared" si="14"/>
        <v>0</v>
      </c>
      <c r="AK5" s="419"/>
      <c r="AL5" s="420"/>
      <c r="AM5" s="419"/>
      <c r="AN5" s="420">
        <f t="shared" si="15"/>
        <v>0</v>
      </c>
      <c r="AO5" s="423">
        <f t="shared" si="16"/>
        <v>0</v>
      </c>
      <c r="AP5" s="419"/>
      <c r="AQ5" s="419"/>
      <c r="AR5" s="419"/>
      <c r="AS5" s="420">
        <f t="shared" si="17"/>
        <v>0</v>
      </c>
      <c r="AT5" s="420">
        <f t="shared" si="18"/>
        <v>0</v>
      </c>
      <c r="AU5" s="420"/>
      <c r="AV5" s="420"/>
      <c r="AW5" s="420"/>
      <c r="AX5" s="426">
        <f t="shared" si="19"/>
        <v>0</v>
      </c>
      <c r="AY5" s="420">
        <f t="shared" si="20"/>
        <v>0</v>
      </c>
      <c r="AZ5" s="419"/>
      <c r="BA5" s="420"/>
      <c r="BB5" s="419"/>
      <c r="BC5" s="420">
        <f t="shared" si="21"/>
        <v>0</v>
      </c>
      <c r="BD5" s="427"/>
      <c r="BE5" s="420"/>
      <c r="BF5" s="420"/>
      <c r="BG5" s="420"/>
      <c r="BH5" s="423">
        <f t="shared" si="22"/>
        <v>0</v>
      </c>
      <c r="BI5" s="420">
        <f t="shared" si="23"/>
        <v>0</v>
      </c>
      <c r="BJ5" s="420"/>
      <c r="BK5" s="420"/>
      <c r="BL5" s="420"/>
      <c r="BM5" s="420">
        <f t="shared" si="24"/>
        <v>0</v>
      </c>
      <c r="BN5" s="420">
        <f t="shared" si="25"/>
        <v>0</v>
      </c>
      <c r="BO5" s="419"/>
      <c r="BP5" s="428"/>
      <c r="BQ5" s="420"/>
      <c r="BR5" s="423">
        <f t="shared" si="26"/>
        <v>0</v>
      </c>
      <c r="BS5" s="423">
        <f t="shared" si="27"/>
        <v>0</v>
      </c>
      <c r="BT5" s="420"/>
      <c r="BU5" s="420"/>
      <c r="BV5" s="420"/>
      <c r="BW5" s="420"/>
      <c r="BX5" s="429">
        <f t="shared" si="28"/>
        <v>0</v>
      </c>
      <c r="BY5" s="419"/>
      <c r="BZ5" s="419"/>
      <c r="CA5" s="419"/>
      <c r="CB5" s="420">
        <f t="shared" si="29"/>
        <v>0</v>
      </c>
      <c r="CC5" s="430">
        <f t="shared" si="30"/>
        <v>0</v>
      </c>
      <c r="CD5" s="419"/>
      <c r="CE5" s="419"/>
      <c r="CF5" s="419"/>
      <c r="CG5" s="420">
        <f t="shared" si="31"/>
        <v>0</v>
      </c>
      <c r="CH5" s="423">
        <f t="shared" si="32"/>
        <v>0</v>
      </c>
      <c r="CI5" s="431"/>
      <c r="CJ5" s="431"/>
      <c r="CK5" s="431"/>
      <c r="CL5" s="420">
        <f t="shared" si="33"/>
        <v>0</v>
      </c>
      <c r="CM5" s="423">
        <f t="shared" si="34"/>
        <v>0</v>
      </c>
      <c r="CN5" s="420"/>
      <c r="CO5" s="420"/>
      <c r="CP5" s="420"/>
      <c r="CQ5" s="432"/>
      <c r="CR5" s="432">
        <f t="shared" si="35"/>
        <v>0</v>
      </c>
      <c r="CS5" s="420"/>
      <c r="CT5" s="420"/>
      <c r="CU5" s="420"/>
      <c r="CV5" s="420"/>
      <c r="CW5" s="420">
        <f t="shared" si="36"/>
        <v>0</v>
      </c>
      <c r="CX5" s="419"/>
      <c r="CY5" s="419"/>
      <c r="CZ5" s="419"/>
      <c r="DA5" s="419">
        <f t="shared" si="37"/>
        <v>0</v>
      </c>
      <c r="DB5" s="419">
        <f t="shared" si="38"/>
        <v>0</v>
      </c>
      <c r="DC5" s="419"/>
      <c r="DD5" s="419"/>
      <c r="DE5" s="419"/>
      <c r="DF5" s="420">
        <f t="shared" si="39"/>
        <v>0</v>
      </c>
      <c r="DG5" s="421">
        <f t="shared" si="40"/>
        <v>0</v>
      </c>
      <c r="DH5" s="419"/>
      <c r="DI5" s="419"/>
      <c r="DJ5" s="419"/>
      <c r="DK5" s="420">
        <f t="shared" si="41"/>
        <v>0</v>
      </c>
      <c r="DL5" s="422">
        <f t="shared" si="42"/>
        <v>0</v>
      </c>
      <c r="DM5" s="420"/>
      <c r="DN5" s="420"/>
      <c r="DO5" s="420"/>
      <c r="DP5" s="420">
        <f t="shared" si="43"/>
        <v>0</v>
      </c>
      <c r="DQ5" s="420">
        <f t="shared" si="44"/>
        <v>0</v>
      </c>
      <c r="DR5" s="419"/>
      <c r="DS5" s="419"/>
      <c r="DT5" s="419"/>
      <c r="DU5" s="420">
        <f t="shared" si="45"/>
        <v>0</v>
      </c>
      <c r="DV5" s="423">
        <f t="shared" si="46"/>
        <v>0</v>
      </c>
      <c r="DW5" s="419"/>
      <c r="DX5" s="419"/>
      <c r="DY5" s="419"/>
      <c r="DZ5" s="420">
        <f t="shared" si="47"/>
        <v>0</v>
      </c>
      <c r="EA5" s="423">
        <f t="shared" si="48"/>
        <v>0</v>
      </c>
      <c r="EB5" s="419"/>
      <c r="EC5" s="419"/>
      <c r="ED5" s="420"/>
      <c r="EE5" s="419"/>
      <c r="EF5" s="420">
        <f t="shared" si="49"/>
        <v>0</v>
      </c>
      <c r="EG5" s="419"/>
      <c r="EH5" s="419"/>
      <c r="EI5" s="419"/>
      <c r="EJ5" s="420">
        <f t="shared" si="50"/>
        <v>0</v>
      </c>
      <c r="EK5" s="420">
        <f t="shared" si="51"/>
        <v>0</v>
      </c>
      <c r="EL5" s="419"/>
      <c r="EM5" s="419"/>
      <c r="EN5" s="419"/>
      <c r="EO5" s="419">
        <f t="shared" si="52"/>
        <v>0</v>
      </c>
      <c r="EP5" s="419">
        <f t="shared" si="53"/>
        <v>0</v>
      </c>
      <c r="EQ5" s="419"/>
      <c r="ER5" s="419"/>
      <c r="ES5" s="419"/>
      <c r="ET5" s="419">
        <f t="shared" si="54"/>
        <v>0</v>
      </c>
      <c r="EU5" s="419">
        <f t="shared" si="55"/>
        <v>0</v>
      </c>
      <c r="EV5" s="419"/>
      <c r="EW5" s="419"/>
      <c r="EX5" s="419"/>
      <c r="EY5" s="419">
        <f t="shared" si="56"/>
        <v>0</v>
      </c>
      <c r="EZ5" s="419">
        <f t="shared" ref="EZ5:EZ68" si="76">ROUND(EY5-EV5,2)</f>
        <v>0</v>
      </c>
      <c r="FA5" s="420"/>
      <c r="FB5" s="420"/>
      <c r="FC5" s="420"/>
      <c r="FD5" s="420">
        <f t="shared" si="57"/>
        <v>0</v>
      </c>
      <c r="FE5" s="420">
        <f t="shared" si="58"/>
        <v>0</v>
      </c>
      <c r="FF5" s="419"/>
      <c r="FG5" s="419"/>
      <c r="FH5" s="419"/>
      <c r="FI5" s="419">
        <f t="shared" si="59"/>
        <v>0</v>
      </c>
      <c r="FJ5" s="419">
        <f t="shared" si="60"/>
        <v>0</v>
      </c>
      <c r="FK5" s="419"/>
      <c r="FL5" s="419"/>
      <c r="FM5" s="419"/>
      <c r="FN5" s="420">
        <f t="shared" si="61"/>
        <v>0</v>
      </c>
      <c r="FO5" s="423">
        <f t="shared" si="62"/>
        <v>0</v>
      </c>
      <c r="FP5" s="419"/>
      <c r="FQ5" s="419"/>
      <c r="FR5" s="419"/>
      <c r="FS5" s="420">
        <f t="shared" si="63"/>
        <v>0</v>
      </c>
      <c r="FT5" s="420">
        <f t="shared" si="64"/>
        <v>0</v>
      </c>
      <c r="FU5" s="419"/>
      <c r="FV5" s="419"/>
      <c r="FW5" s="419"/>
      <c r="FX5" s="420">
        <f t="shared" si="65"/>
        <v>0</v>
      </c>
      <c r="FY5" s="420">
        <f t="shared" si="66"/>
        <v>0</v>
      </c>
      <c r="FZ5" s="419"/>
      <c r="GA5" s="419"/>
      <c r="GB5" s="419"/>
      <c r="GC5" s="420">
        <f t="shared" si="67"/>
        <v>0</v>
      </c>
      <c r="GD5" s="420">
        <f t="shared" si="68"/>
        <v>0</v>
      </c>
      <c r="GE5" s="419"/>
      <c r="GF5" s="419"/>
      <c r="GG5" s="419"/>
      <c r="GH5" s="420">
        <f t="shared" si="69"/>
        <v>0</v>
      </c>
      <c r="GI5" s="423">
        <f t="shared" si="70"/>
        <v>0</v>
      </c>
      <c r="GJ5" s="419"/>
      <c r="GK5" s="419"/>
      <c r="GL5" s="419"/>
      <c r="GM5" s="420">
        <f t="shared" si="71"/>
        <v>0</v>
      </c>
      <c r="GN5" s="420">
        <f t="shared" si="72"/>
        <v>0</v>
      </c>
      <c r="GO5" s="419"/>
      <c r="GP5" s="419"/>
      <c r="GQ5" s="419"/>
      <c r="GR5" s="420">
        <f t="shared" ref="GR5:GR68" si="77">GQ5/F5</f>
        <v>0</v>
      </c>
      <c r="GS5" s="423">
        <f t="shared" si="73"/>
        <v>0</v>
      </c>
      <c r="GT5" s="419"/>
      <c r="GU5" s="419"/>
      <c r="GV5" s="419"/>
      <c r="GW5" s="420">
        <f t="shared" si="74"/>
        <v>0</v>
      </c>
      <c r="GX5" s="420">
        <f t="shared" si="75"/>
        <v>0</v>
      </c>
    </row>
    <row r="6" spans="1:206" ht="15">
      <c r="A6" s="414"/>
      <c r="B6" s="415" t="s">
        <v>482</v>
      </c>
      <c r="C6" s="698"/>
      <c r="D6" s="706"/>
      <c r="E6" s="715"/>
      <c r="F6" s="417">
        <v>0.09</v>
      </c>
      <c r="G6" s="418">
        <f t="shared" si="4"/>
        <v>5805849.7199999997</v>
      </c>
      <c r="H6" s="418">
        <f t="shared" si="5"/>
        <v>0</v>
      </c>
      <c r="I6" s="418">
        <f t="shared" si="5"/>
        <v>522526.474368</v>
      </c>
      <c r="J6" s="418">
        <f t="shared" si="6"/>
        <v>5805849.7152000004</v>
      </c>
      <c r="K6" s="418">
        <f t="shared" si="7"/>
        <v>5805849.7152000004</v>
      </c>
      <c r="L6" s="418">
        <f t="shared" si="8"/>
        <v>-5805849.7152000004</v>
      </c>
      <c r="M6" s="424">
        <v>5805849.7199999997</v>
      </c>
      <c r="N6" s="424">
        <v>0</v>
      </c>
      <c r="O6" s="424">
        <v>522526.474368</v>
      </c>
      <c r="P6" s="424"/>
      <c r="Q6" s="419"/>
      <c r="R6" s="419"/>
      <c r="S6" s="420"/>
      <c r="T6" s="420">
        <v>0</v>
      </c>
      <c r="U6" s="423">
        <f t="shared" si="9"/>
        <v>0</v>
      </c>
      <c r="V6" s="420"/>
      <c r="W6" s="420"/>
      <c r="X6" s="419"/>
      <c r="Y6" s="419"/>
      <c r="Z6" s="423">
        <f t="shared" si="10"/>
        <v>0</v>
      </c>
      <c r="AA6" s="423"/>
      <c r="AB6" s="425"/>
      <c r="AC6" s="419"/>
      <c r="AD6" s="420">
        <f t="shared" si="11"/>
        <v>0</v>
      </c>
      <c r="AE6" s="423">
        <f t="shared" si="12"/>
        <v>0</v>
      </c>
      <c r="AF6" s="419"/>
      <c r="AG6" s="419"/>
      <c r="AH6" s="419"/>
      <c r="AI6" s="420">
        <f t="shared" si="13"/>
        <v>0</v>
      </c>
      <c r="AJ6" s="423">
        <f t="shared" si="14"/>
        <v>0</v>
      </c>
      <c r="AK6" s="419"/>
      <c r="AL6" s="420"/>
      <c r="AM6" s="419"/>
      <c r="AN6" s="420">
        <f t="shared" si="15"/>
        <v>0</v>
      </c>
      <c r="AO6" s="423">
        <f t="shared" si="16"/>
        <v>0</v>
      </c>
      <c r="AP6" s="419"/>
      <c r="AQ6" s="419"/>
      <c r="AR6" s="419"/>
      <c r="AS6" s="420">
        <f t="shared" si="17"/>
        <v>0</v>
      </c>
      <c r="AT6" s="420">
        <f t="shared" si="18"/>
        <v>0</v>
      </c>
      <c r="AU6" s="420"/>
      <c r="AV6" s="420"/>
      <c r="AW6" s="420"/>
      <c r="AX6" s="426">
        <f t="shared" si="19"/>
        <v>0</v>
      </c>
      <c r="AY6" s="420">
        <f t="shared" si="20"/>
        <v>0</v>
      </c>
      <c r="AZ6" s="419"/>
      <c r="BA6" s="420"/>
      <c r="BB6" s="419"/>
      <c r="BC6" s="420">
        <f t="shared" si="21"/>
        <v>0</v>
      </c>
      <c r="BD6" s="427"/>
      <c r="BE6" s="420"/>
      <c r="BF6" s="420"/>
      <c r="BG6" s="420"/>
      <c r="BH6" s="423">
        <f t="shared" si="22"/>
        <v>0</v>
      </c>
      <c r="BI6" s="420">
        <f t="shared" si="23"/>
        <v>0</v>
      </c>
      <c r="BJ6" s="420"/>
      <c r="BK6" s="420"/>
      <c r="BL6" s="420"/>
      <c r="BM6" s="420">
        <f t="shared" si="24"/>
        <v>0</v>
      </c>
      <c r="BN6" s="420">
        <f t="shared" si="25"/>
        <v>0</v>
      </c>
      <c r="BO6" s="419"/>
      <c r="BP6" s="428"/>
      <c r="BQ6" s="420"/>
      <c r="BR6" s="423">
        <f t="shared" si="26"/>
        <v>0</v>
      </c>
      <c r="BS6" s="423">
        <f t="shared" si="27"/>
        <v>0</v>
      </c>
      <c r="BT6" s="420"/>
      <c r="BU6" s="420"/>
      <c r="BV6" s="420"/>
      <c r="BW6" s="420"/>
      <c r="BX6" s="429">
        <f t="shared" si="28"/>
        <v>0</v>
      </c>
      <c r="BY6" s="419"/>
      <c r="BZ6" s="419"/>
      <c r="CA6" s="419"/>
      <c r="CB6" s="420">
        <f t="shared" si="29"/>
        <v>0</v>
      </c>
      <c r="CC6" s="430">
        <f t="shared" si="30"/>
        <v>0</v>
      </c>
      <c r="CD6" s="419"/>
      <c r="CE6" s="419"/>
      <c r="CF6" s="419"/>
      <c r="CG6" s="420">
        <f t="shared" si="31"/>
        <v>0</v>
      </c>
      <c r="CH6" s="423">
        <f t="shared" si="32"/>
        <v>0</v>
      </c>
      <c r="CI6" s="431"/>
      <c r="CJ6" s="431"/>
      <c r="CK6" s="431"/>
      <c r="CL6" s="420">
        <f t="shared" si="33"/>
        <v>0</v>
      </c>
      <c r="CM6" s="423">
        <f t="shared" si="34"/>
        <v>0</v>
      </c>
      <c r="CN6" s="420"/>
      <c r="CO6" s="420"/>
      <c r="CP6" s="420"/>
      <c r="CQ6" s="432"/>
      <c r="CR6" s="432">
        <f t="shared" si="35"/>
        <v>0</v>
      </c>
      <c r="CS6" s="420"/>
      <c r="CT6" s="420"/>
      <c r="CU6" s="420"/>
      <c r="CV6" s="420"/>
      <c r="CW6" s="420">
        <f t="shared" si="36"/>
        <v>0</v>
      </c>
      <c r="CX6" s="419"/>
      <c r="CY6" s="419"/>
      <c r="CZ6" s="433"/>
      <c r="DA6" s="419">
        <f t="shared" si="37"/>
        <v>0</v>
      </c>
      <c r="DB6" s="419">
        <f t="shared" si="38"/>
        <v>0</v>
      </c>
      <c r="DC6" s="419"/>
      <c r="DD6" s="419"/>
      <c r="DE6" s="419"/>
      <c r="DF6" s="420">
        <f t="shared" si="39"/>
        <v>0</v>
      </c>
      <c r="DG6" s="421">
        <f t="shared" si="40"/>
        <v>0</v>
      </c>
      <c r="DH6" s="419"/>
      <c r="DI6" s="419"/>
      <c r="DJ6" s="419"/>
      <c r="DK6" s="420">
        <f t="shared" si="41"/>
        <v>0</v>
      </c>
      <c r="DL6" s="422">
        <f t="shared" si="42"/>
        <v>0</v>
      </c>
      <c r="DM6" s="420"/>
      <c r="DN6" s="420"/>
      <c r="DO6" s="420"/>
      <c r="DP6" s="420">
        <f t="shared" si="43"/>
        <v>0</v>
      </c>
      <c r="DQ6" s="420">
        <f t="shared" si="44"/>
        <v>0</v>
      </c>
      <c r="DR6" s="419"/>
      <c r="DS6" s="419"/>
      <c r="DT6" s="419"/>
      <c r="DU6" s="420">
        <f t="shared" si="45"/>
        <v>0</v>
      </c>
      <c r="DV6" s="423">
        <f t="shared" si="46"/>
        <v>0</v>
      </c>
      <c r="DW6" s="419"/>
      <c r="DX6" s="419"/>
      <c r="DY6" s="419"/>
      <c r="DZ6" s="420">
        <f t="shared" si="47"/>
        <v>0</v>
      </c>
      <c r="EA6" s="423">
        <f t="shared" si="48"/>
        <v>0</v>
      </c>
      <c r="EB6" s="420"/>
      <c r="EC6" s="419"/>
      <c r="ED6" s="420"/>
      <c r="EE6" s="419"/>
      <c r="EF6" s="420">
        <f t="shared" si="49"/>
        <v>0</v>
      </c>
      <c r="EG6" s="419"/>
      <c r="EH6" s="419"/>
      <c r="EI6" s="419"/>
      <c r="EJ6" s="420">
        <f t="shared" si="50"/>
        <v>0</v>
      </c>
      <c r="EK6" s="420">
        <f t="shared" si="51"/>
        <v>0</v>
      </c>
      <c r="EL6" s="419"/>
      <c r="EM6" s="419"/>
      <c r="EN6" s="419"/>
      <c r="EO6" s="419">
        <f t="shared" si="52"/>
        <v>0</v>
      </c>
      <c r="EP6" s="419">
        <f t="shared" si="53"/>
        <v>0</v>
      </c>
      <c r="EQ6" s="419"/>
      <c r="ER6" s="419"/>
      <c r="ES6" s="419"/>
      <c r="ET6" s="419">
        <f t="shared" si="54"/>
        <v>0</v>
      </c>
      <c r="EU6" s="419">
        <f t="shared" si="55"/>
        <v>0</v>
      </c>
      <c r="EV6" s="419"/>
      <c r="EW6" s="419"/>
      <c r="EX6" s="419"/>
      <c r="EY6" s="419">
        <f t="shared" si="56"/>
        <v>0</v>
      </c>
      <c r="EZ6" s="419">
        <f t="shared" si="76"/>
        <v>0</v>
      </c>
      <c r="FA6" s="420"/>
      <c r="FB6" s="420"/>
      <c r="FC6" s="420"/>
      <c r="FD6" s="420">
        <f t="shared" si="57"/>
        <v>0</v>
      </c>
      <c r="FE6" s="420">
        <f t="shared" si="58"/>
        <v>0</v>
      </c>
      <c r="FF6" s="419"/>
      <c r="FG6" s="419"/>
      <c r="FH6" s="419"/>
      <c r="FI6" s="419">
        <f t="shared" si="59"/>
        <v>0</v>
      </c>
      <c r="FJ6" s="419">
        <f t="shared" si="60"/>
        <v>0</v>
      </c>
      <c r="FK6" s="419"/>
      <c r="FL6" s="419"/>
      <c r="FM6" s="419"/>
      <c r="FN6" s="420">
        <f t="shared" si="61"/>
        <v>0</v>
      </c>
      <c r="FO6" s="423">
        <f t="shared" si="62"/>
        <v>0</v>
      </c>
      <c r="FP6" s="419"/>
      <c r="FQ6" s="419"/>
      <c r="FR6" s="419"/>
      <c r="FS6" s="420">
        <f t="shared" si="63"/>
        <v>0</v>
      </c>
      <c r="FT6" s="420">
        <f t="shared" si="64"/>
        <v>0</v>
      </c>
      <c r="FU6" s="419"/>
      <c r="FV6" s="419"/>
      <c r="FW6" s="419"/>
      <c r="FX6" s="420">
        <f t="shared" si="65"/>
        <v>0</v>
      </c>
      <c r="FY6" s="420">
        <f t="shared" si="66"/>
        <v>0</v>
      </c>
      <c r="FZ6" s="419"/>
      <c r="GA6" s="419"/>
      <c r="GB6" s="419"/>
      <c r="GC6" s="420">
        <f t="shared" si="67"/>
        <v>0</v>
      </c>
      <c r="GD6" s="420">
        <f t="shared" si="68"/>
        <v>0</v>
      </c>
      <c r="GE6" s="419"/>
      <c r="GF6" s="419"/>
      <c r="GG6" s="419"/>
      <c r="GH6" s="420">
        <f t="shared" si="69"/>
        <v>0</v>
      </c>
      <c r="GI6" s="423">
        <f t="shared" si="70"/>
        <v>0</v>
      </c>
      <c r="GJ6" s="419"/>
      <c r="GK6" s="419"/>
      <c r="GL6" s="419"/>
      <c r="GM6" s="420">
        <f t="shared" si="71"/>
        <v>0</v>
      </c>
      <c r="GN6" s="420">
        <f t="shared" si="72"/>
        <v>0</v>
      </c>
      <c r="GO6" s="419"/>
      <c r="GP6" s="419"/>
      <c r="GQ6" s="419"/>
      <c r="GR6" s="420">
        <f t="shared" si="77"/>
        <v>0</v>
      </c>
      <c r="GS6" s="423">
        <f t="shared" si="73"/>
        <v>0</v>
      </c>
      <c r="GT6" s="419"/>
      <c r="GU6" s="419"/>
      <c r="GV6" s="419"/>
      <c r="GW6" s="420">
        <f t="shared" si="74"/>
        <v>0</v>
      </c>
      <c r="GX6" s="420">
        <f t="shared" si="75"/>
        <v>0</v>
      </c>
    </row>
    <row r="7" spans="1:206" ht="15">
      <c r="A7" s="414"/>
      <c r="B7" s="415" t="s">
        <v>482</v>
      </c>
      <c r="C7" s="698"/>
      <c r="D7" s="707"/>
      <c r="E7" s="434" t="s">
        <v>125</v>
      </c>
      <c r="F7" s="417">
        <v>0.06</v>
      </c>
      <c r="G7" s="418">
        <f t="shared" si="4"/>
        <v>275818.21999999997</v>
      </c>
      <c r="H7" s="418">
        <f t="shared" si="5"/>
        <v>139872.95999999999</v>
      </c>
      <c r="I7" s="418">
        <f t="shared" si="5"/>
        <v>16549.082920000001</v>
      </c>
      <c r="J7" s="418">
        <f t="shared" si="6"/>
        <v>275818.04866666702</v>
      </c>
      <c r="K7" s="418">
        <f t="shared" si="7"/>
        <v>135945.088666667</v>
      </c>
      <c r="L7" s="418">
        <f t="shared" si="8"/>
        <v>-135945.088666667</v>
      </c>
      <c r="M7" s="424">
        <v>268958.26</v>
      </c>
      <c r="N7" s="424">
        <v>0</v>
      </c>
      <c r="O7" s="424">
        <v>16137.492</v>
      </c>
      <c r="P7" s="424"/>
      <c r="Q7" s="419"/>
      <c r="R7" s="419"/>
      <c r="S7" s="419"/>
      <c r="T7" s="420">
        <v>0</v>
      </c>
      <c r="U7" s="423">
        <f t="shared" si="9"/>
        <v>0</v>
      </c>
      <c r="V7" s="420"/>
      <c r="W7" s="420"/>
      <c r="X7" s="419"/>
      <c r="Y7" s="419"/>
      <c r="Z7" s="423">
        <f t="shared" si="10"/>
        <v>0</v>
      </c>
      <c r="AA7" s="423"/>
      <c r="AB7" s="425"/>
      <c r="AC7" s="419"/>
      <c r="AD7" s="420">
        <f t="shared" si="11"/>
        <v>0</v>
      </c>
      <c r="AE7" s="423">
        <f t="shared" si="12"/>
        <v>0</v>
      </c>
      <c r="AF7" s="419"/>
      <c r="AG7" s="419"/>
      <c r="AH7" s="419"/>
      <c r="AI7" s="420">
        <f t="shared" si="13"/>
        <v>0</v>
      </c>
      <c r="AJ7" s="423">
        <f t="shared" si="14"/>
        <v>0</v>
      </c>
      <c r="AK7" s="419"/>
      <c r="AL7" s="420"/>
      <c r="AM7" s="419"/>
      <c r="AN7" s="420">
        <f t="shared" si="15"/>
        <v>0</v>
      </c>
      <c r="AO7" s="423">
        <f t="shared" si="16"/>
        <v>0</v>
      </c>
      <c r="AP7" s="419"/>
      <c r="AQ7" s="419"/>
      <c r="AR7" s="420"/>
      <c r="AS7" s="420">
        <f t="shared" si="17"/>
        <v>0</v>
      </c>
      <c r="AT7" s="420">
        <f t="shared" si="18"/>
        <v>0</v>
      </c>
      <c r="AU7" s="420">
        <v>2936.68</v>
      </c>
      <c r="AV7" s="420"/>
      <c r="AW7" s="435">
        <v>176.20092</v>
      </c>
      <c r="AX7" s="426">
        <f t="shared" si="19"/>
        <v>2936.6819999999998</v>
      </c>
      <c r="AY7" s="420">
        <f t="shared" si="20"/>
        <v>2.0000000004074502E-3</v>
      </c>
      <c r="AZ7" s="420">
        <v>3176.41</v>
      </c>
      <c r="BA7" s="420"/>
      <c r="BB7" s="419">
        <v>190.58</v>
      </c>
      <c r="BC7" s="420">
        <f t="shared" si="21"/>
        <v>3176.3333333333298</v>
      </c>
      <c r="BD7" s="427"/>
      <c r="BE7" s="420"/>
      <c r="BF7" s="420"/>
      <c r="BG7" s="420"/>
      <c r="BH7" s="423">
        <f t="shared" si="22"/>
        <v>0</v>
      </c>
      <c r="BI7" s="420">
        <f t="shared" si="23"/>
        <v>0</v>
      </c>
      <c r="BJ7" s="420"/>
      <c r="BK7" s="420">
        <v>139872.95999999999</v>
      </c>
      <c r="BL7" s="420"/>
      <c r="BM7" s="420">
        <f t="shared" si="24"/>
        <v>0</v>
      </c>
      <c r="BN7" s="420">
        <f t="shared" si="25"/>
        <v>0</v>
      </c>
      <c r="BO7" s="419"/>
      <c r="BP7" s="428"/>
      <c r="BQ7" s="420"/>
      <c r="BR7" s="423">
        <f t="shared" si="26"/>
        <v>0</v>
      </c>
      <c r="BS7" s="423">
        <f t="shared" si="27"/>
        <v>0</v>
      </c>
      <c r="BT7" s="420"/>
      <c r="BU7" s="420"/>
      <c r="BV7" s="420"/>
      <c r="BW7" s="420"/>
      <c r="BX7" s="429">
        <f t="shared" si="28"/>
        <v>0</v>
      </c>
      <c r="BY7" s="419"/>
      <c r="BZ7" s="419"/>
      <c r="CA7" s="419"/>
      <c r="CB7" s="420">
        <f t="shared" si="29"/>
        <v>0</v>
      </c>
      <c r="CC7" s="430">
        <f t="shared" si="30"/>
        <v>0</v>
      </c>
      <c r="CD7" s="419"/>
      <c r="CE7" s="419"/>
      <c r="CF7" s="419"/>
      <c r="CG7" s="420">
        <f t="shared" si="31"/>
        <v>0</v>
      </c>
      <c r="CH7" s="423">
        <f t="shared" si="32"/>
        <v>0</v>
      </c>
      <c r="CI7" s="431"/>
      <c r="CJ7" s="431"/>
      <c r="CK7" s="431"/>
      <c r="CL7" s="420">
        <f t="shared" si="33"/>
        <v>0</v>
      </c>
      <c r="CM7" s="423">
        <f t="shared" si="34"/>
        <v>0</v>
      </c>
      <c r="CN7" s="420"/>
      <c r="CO7" s="420"/>
      <c r="CP7" s="420"/>
      <c r="CQ7" s="432"/>
      <c r="CR7" s="432">
        <f t="shared" si="35"/>
        <v>0</v>
      </c>
      <c r="CS7" s="420"/>
      <c r="CT7" s="420"/>
      <c r="CU7" s="420"/>
      <c r="CV7" s="420"/>
      <c r="CW7" s="420">
        <f t="shared" si="36"/>
        <v>0</v>
      </c>
      <c r="CX7" s="419"/>
      <c r="CY7" s="419"/>
      <c r="CZ7" s="419"/>
      <c r="DA7" s="419">
        <f t="shared" si="37"/>
        <v>0</v>
      </c>
      <c r="DB7" s="419">
        <f t="shared" si="38"/>
        <v>0</v>
      </c>
      <c r="DC7" s="419"/>
      <c r="DD7" s="419"/>
      <c r="DE7" s="419"/>
      <c r="DF7" s="420">
        <f t="shared" si="39"/>
        <v>0</v>
      </c>
      <c r="DG7" s="421">
        <f t="shared" si="40"/>
        <v>0</v>
      </c>
      <c r="DH7" s="419">
        <v>746.87</v>
      </c>
      <c r="DI7" s="419"/>
      <c r="DJ7" s="419">
        <v>44.81</v>
      </c>
      <c r="DK7" s="420">
        <f t="shared" si="41"/>
        <v>746.83333333333303</v>
      </c>
      <c r="DL7" s="422">
        <f t="shared" si="42"/>
        <v>-3.6666666666633298E-2</v>
      </c>
      <c r="DM7" s="420"/>
      <c r="DN7" s="420"/>
      <c r="DO7" s="420"/>
      <c r="DP7" s="420">
        <f t="shared" si="43"/>
        <v>0</v>
      </c>
      <c r="DQ7" s="420">
        <f t="shared" si="44"/>
        <v>0</v>
      </c>
      <c r="DR7" s="419"/>
      <c r="DS7" s="419"/>
      <c r="DT7" s="419"/>
      <c r="DU7" s="420">
        <f t="shared" si="45"/>
        <v>0</v>
      </c>
      <c r="DV7" s="423">
        <f t="shared" si="46"/>
        <v>0</v>
      </c>
      <c r="DW7" s="419"/>
      <c r="DX7" s="419"/>
      <c r="DY7" s="419"/>
      <c r="DZ7" s="420">
        <f t="shared" si="47"/>
        <v>0</v>
      </c>
      <c r="EA7" s="423">
        <f t="shared" si="48"/>
        <v>0</v>
      </c>
      <c r="EB7" s="419"/>
      <c r="EC7" s="419"/>
      <c r="ED7" s="420"/>
      <c r="EE7" s="419"/>
      <c r="EF7" s="420">
        <f t="shared" si="49"/>
        <v>0</v>
      </c>
      <c r="EG7" s="419"/>
      <c r="EH7" s="419"/>
      <c r="EI7" s="419"/>
      <c r="EJ7" s="420">
        <f t="shared" si="50"/>
        <v>0</v>
      </c>
      <c r="EK7" s="420">
        <f t="shared" si="51"/>
        <v>0</v>
      </c>
      <c r="EL7" s="419"/>
      <c r="EM7" s="419"/>
      <c r="EN7" s="419"/>
      <c r="EO7" s="419">
        <f t="shared" si="52"/>
        <v>0</v>
      </c>
      <c r="EP7" s="419">
        <f t="shared" si="53"/>
        <v>0</v>
      </c>
      <c r="EQ7" s="419"/>
      <c r="ER7" s="419"/>
      <c r="ES7" s="419"/>
      <c r="ET7" s="419">
        <f t="shared" si="54"/>
        <v>0</v>
      </c>
      <c r="EU7" s="419">
        <f t="shared" si="55"/>
        <v>0</v>
      </c>
      <c r="EV7" s="419"/>
      <c r="EW7" s="419"/>
      <c r="EX7" s="419"/>
      <c r="EY7" s="419">
        <f t="shared" si="56"/>
        <v>0</v>
      </c>
      <c r="EZ7" s="419">
        <f t="shared" si="76"/>
        <v>0</v>
      </c>
      <c r="FA7" s="420"/>
      <c r="FB7" s="420"/>
      <c r="FC7" s="420"/>
      <c r="FD7" s="420">
        <f t="shared" si="57"/>
        <v>0</v>
      </c>
      <c r="FE7" s="420">
        <f t="shared" si="58"/>
        <v>0</v>
      </c>
      <c r="FF7" s="419"/>
      <c r="FG7" s="419"/>
      <c r="FH7" s="419"/>
      <c r="FI7" s="419">
        <f t="shared" si="59"/>
        <v>0</v>
      </c>
      <c r="FJ7" s="419">
        <f t="shared" si="60"/>
        <v>0</v>
      </c>
      <c r="FK7" s="419"/>
      <c r="FL7" s="419"/>
      <c r="FM7" s="419"/>
      <c r="FN7" s="420">
        <f t="shared" si="61"/>
        <v>0</v>
      </c>
      <c r="FO7" s="423">
        <f t="shared" si="62"/>
        <v>0</v>
      </c>
      <c r="FP7" s="419"/>
      <c r="FQ7" s="419"/>
      <c r="FR7" s="419"/>
      <c r="FS7" s="420">
        <f t="shared" si="63"/>
        <v>0</v>
      </c>
      <c r="FT7" s="420">
        <f t="shared" si="64"/>
        <v>0</v>
      </c>
      <c r="FU7" s="419"/>
      <c r="FV7" s="419"/>
      <c r="FW7" s="419"/>
      <c r="FX7" s="420">
        <f t="shared" si="65"/>
        <v>0</v>
      </c>
      <c r="FY7" s="420">
        <f t="shared" si="66"/>
        <v>0</v>
      </c>
      <c r="FZ7" s="419"/>
      <c r="GA7" s="419"/>
      <c r="GB7" s="419"/>
      <c r="GC7" s="420">
        <f t="shared" si="67"/>
        <v>0</v>
      </c>
      <c r="GD7" s="420">
        <f t="shared" si="68"/>
        <v>0</v>
      </c>
      <c r="GE7" s="419"/>
      <c r="GF7" s="419"/>
      <c r="GG7" s="419"/>
      <c r="GH7" s="420">
        <f t="shared" si="69"/>
        <v>0</v>
      </c>
      <c r="GI7" s="423">
        <f t="shared" si="70"/>
        <v>0</v>
      </c>
      <c r="GJ7" s="419"/>
      <c r="GK7" s="419"/>
      <c r="GL7" s="419"/>
      <c r="GM7" s="420">
        <f t="shared" si="71"/>
        <v>0</v>
      </c>
      <c r="GN7" s="420">
        <f t="shared" si="72"/>
        <v>0</v>
      </c>
      <c r="GO7" s="419"/>
      <c r="GP7" s="419"/>
      <c r="GQ7" s="419"/>
      <c r="GR7" s="420">
        <f t="shared" si="77"/>
        <v>0</v>
      </c>
      <c r="GS7" s="423">
        <f t="shared" si="73"/>
        <v>0</v>
      </c>
      <c r="GT7" s="419"/>
      <c r="GU7" s="419"/>
      <c r="GV7" s="419"/>
      <c r="GW7" s="420">
        <f t="shared" si="74"/>
        <v>0</v>
      </c>
      <c r="GX7" s="420">
        <f t="shared" si="75"/>
        <v>0</v>
      </c>
    </row>
    <row r="8" spans="1:206" ht="15">
      <c r="A8" s="414"/>
      <c r="B8" s="415" t="s">
        <v>485</v>
      </c>
      <c r="C8" s="698"/>
      <c r="D8" s="704" t="s">
        <v>486</v>
      </c>
      <c r="E8" s="434" t="s">
        <v>123</v>
      </c>
      <c r="F8" s="417">
        <v>0.13</v>
      </c>
      <c r="G8" s="418">
        <f t="shared" si="4"/>
        <v>141592920.29719999</v>
      </c>
      <c r="H8" s="418">
        <f t="shared" si="5"/>
        <v>141592920.30000001</v>
      </c>
      <c r="I8" s="418">
        <f t="shared" si="5"/>
        <v>18407079.699999999</v>
      </c>
      <c r="J8" s="418">
        <f t="shared" si="6"/>
        <v>141592920.76923099</v>
      </c>
      <c r="K8" s="418">
        <f t="shared" si="7"/>
        <v>0.46923074126243602</v>
      </c>
      <c r="L8" s="418">
        <f t="shared" si="8"/>
        <v>-0.46923074126243602</v>
      </c>
      <c r="M8" s="424">
        <v>82650965.5572</v>
      </c>
      <c r="N8" s="424">
        <v>141592920.30000001</v>
      </c>
      <c r="O8" s="424">
        <v>18407079.699999999</v>
      </c>
      <c r="P8" s="424">
        <v>58941954.740000002</v>
      </c>
      <c r="Q8" s="419"/>
      <c r="R8" s="419"/>
      <c r="S8" s="419"/>
      <c r="T8" s="420">
        <v>0</v>
      </c>
      <c r="U8" s="423">
        <f t="shared" si="9"/>
        <v>0</v>
      </c>
      <c r="V8" s="420"/>
      <c r="W8" s="420"/>
      <c r="X8" s="419"/>
      <c r="Y8" s="419"/>
      <c r="Z8" s="423">
        <f t="shared" si="10"/>
        <v>0</v>
      </c>
      <c r="AA8" s="423"/>
      <c r="AB8" s="425"/>
      <c r="AC8" s="419"/>
      <c r="AD8" s="420">
        <f t="shared" si="11"/>
        <v>0</v>
      </c>
      <c r="AE8" s="423">
        <f t="shared" si="12"/>
        <v>0</v>
      </c>
      <c r="AF8" s="419"/>
      <c r="AG8" s="419"/>
      <c r="AH8" s="419"/>
      <c r="AI8" s="420">
        <f t="shared" si="13"/>
        <v>0</v>
      </c>
      <c r="AJ8" s="423">
        <f t="shared" si="14"/>
        <v>0</v>
      </c>
      <c r="AK8" s="419"/>
      <c r="AL8" s="420"/>
      <c r="AM8" s="419"/>
      <c r="AN8" s="420">
        <f t="shared" si="15"/>
        <v>0</v>
      </c>
      <c r="AO8" s="423">
        <f t="shared" si="16"/>
        <v>0</v>
      </c>
      <c r="AP8" s="419"/>
      <c r="AQ8" s="419"/>
      <c r="AR8" s="420"/>
      <c r="AS8" s="420">
        <f t="shared" si="17"/>
        <v>0</v>
      </c>
      <c r="AT8" s="420">
        <f t="shared" si="18"/>
        <v>0</v>
      </c>
      <c r="AU8" s="420"/>
      <c r="AV8" s="420"/>
      <c r="AW8" s="420"/>
      <c r="AX8" s="426">
        <f t="shared" si="19"/>
        <v>0</v>
      </c>
      <c r="AY8" s="420">
        <f t="shared" si="20"/>
        <v>0</v>
      </c>
      <c r="AZ8" s="419"/>
      <c r="BA8" s="420"/>
      <c r="BB8" s="419"/>
      <c r="BC8" s="420">
        <f t="shared" si="21"/>
        <v>0</v>
      </c>
      <c r="BD8" s="427"/>
      <c r="BE8" s="420"/>
      <c r="BF8" s="420"/>
      <c r="BG8" s="420"/>
      <c r="BH8" s="423">
        <f t="shared" si="22"/>
        <v>0</v>
      </c>
      <c r="BI8" s="420">
        <f t="shared" si="23"/>
        <v>0</v>
      </c>
      <c r="BJ8" s="420"/>
      <c r="BK8" s="420"/>
      <c r="BL8" s="420"/>
      <c r="BM8" s="420">
        <f t="shared" si="24"/>
        <v>0</v>
      </c>
      <c r="BN8" s="420">
        <f t="shared" si="25"/>
        <v>0</v>
      </c>
      <c r="BO8" s="419"/>
      <c r="BP8" s="428"/>
      <c r="BQ8" s="420"/>
      <c r="BR8" s="423">
        <f t="shared" si="26"/>
        <v>0</v>
      </c>
      <c r="BS8" s="423">
        <f t="shared" si="27"/>
        <v>0</v>
      </c>
      <c r="BT8" s="420"/>
      <c r="BU8" s="420"/>
      <c r="BV8" s="420"/>
      <c r="BW8" s="420"/>
      <c r="BX8" s="429">
        <f t="shared" si="28"/>
        <v>0</v>
      </c>
      <c r="BY8" s="419"/>
      <c r="BZ8" s="419"/>
      <c r="CA8" s="419"/>
      <c r="CB8" s="420">
        <f t="shared" si="29"/>
        <v>0</v>
      </c>
      <c r="CC8" s="430">
        <f t="shared" si="30"/>
        <v>0</v>
      </c>
      <c r="CD8" s="419"/>
      <c r="CE8" s="419"/>
      <c r="CF8" s="419"/>
      <c r="CG8" s="420">
        <f t="shared" si="31"/>
        <v>0</v>
      </c>
      <c r="CH8" s="423">
        <f t="shared" si="32"/>
        <v>0</v>
      </c>
      <c r="CI8" s="431"/>
      <c r="CJ8" s="431"/>
      <c r="CK8" s="431"/>
      <c r="CL8" s="420">
        <f t="shared" si="33"/>
        <v>0</v>
      </c>
      <c r="CM8" s="423">
        <f t="shared" si="34"/>
        <v>0</v>
      </c>
      <c r="CN8" s="420"/>
      <c r="CO8" s="420"/>
      <c r="CP8" s="420"/>
      <c r="CQ8" s="432"/>
      <c r="CR8" s="432">
        <f t="shared" si="35"/>
        <v>0</v>
      </c>
      <c r="CS8" s="420"/>
      <c r="CT8" s="420"/>
      <c r="CU8" s="420"/>
      <c r="CV8" s="420"/>
      <c r="CW8" s="420">
        <f t="shared" si="36"/>
        <v>0</v>
      </c>
      <c r="CX8" s="419"/>
      <c r="CY8" s="419"/>
      <c r="CZ8" s="419"/>
      <c r="DA8" s="419">
        <f t="shared" si="37"/>
        <v>0</v>
      </c>
      <c r="DB8" s="419">
        <f t="shared" si="38"/>
        <v>0</v>
      </c>
      <c r="DC8" s="419"/>
      <c r="DD8" s="419"/>
      <c r="DE8" s="419"/>
      <c r="DF8" s="420">
        <f t="shared" si="39"/>
        <v>0</v>
      </c>
      <c r="DG8" s="421">
        <f t="shared" si="40"/>
        <v>0</v>
      </c>
      <c r="DH8" s="419"/>
      <c r="DI8" s="419"/>
      <c r="DJ8" s="419"/>
      <c r="DK8" s="420">
        <f t="shared" si="41"/>
        <v>0</v>
      </c>
      <c r="DL8" s="422">
        <f t="shared" si="42"/>
        <v>0</v>
      </c>
      <c r="DM8" s="420"/>
      <c r="DN8" s="420"/>
      <c r="DO8" s="420"/>
      <c r="DP8" s="420">
        <f t="shared" si="43"/>
        <v>0</v>
      </c>
      <c r="DQ8" s="420">
        <f t="shared" si="44"/>
        <v>0</v>
      </c>
      <c r="DR8" s="419"/>
      <c r="DS8" s="419"/>
      <c r="DT8" s="419"/>
      <c r="DU8" s="420">
        <f t="shared" si="45"/>
        <v>0</v>
      </c>
      <c r="DV8" s="423">
        <f t="shared" si="46"/>
        <v>0</v>
      </c>
      <c r="DW8" s="419"/>
      <c r="DX8" s="419"/>
      <c r="DY8" s="419"/>
      <c r="DZ8" s="420">
        <f t="shared" si="47"/>
        <v>0</v>
      </c>
      <c r="EA8" s="423">
        <f t="shared" si="48"/>
        <v>0</v>
      </c>
      <c r="EB8" s="419"/>
      <c r="EC8" s="419"/>
      <c r="ED8" s="420"/>
      <c r="EE8" s="419"/>
      <c r="EF8" s="420">
        <f t="shared" si="49"/>
        <v>0</v>
      </c>
      <c r="EG8" s="419"/>
      <c r="EH8" s="419"/>
      <c r="EI8" s="419"/>
      <c r="EJ8" s="420">
        <f t="shared" si="50"/>
        <v>0</v>
      </c>
      <c r="EK8" s="420">
        <f t="shared" si="51"/>
        <v>0</v>
      </c>
      <c r="EL8" s="419"/>
      <c r="EM8" s="419"/>
      <c r="EN8" s="419"/>
      <c r="EO8" s="419">
        <f t="shared" si="52"/>
        <v>0</v>
      </c>
      <c r="EP8" s="419">
        <f t="shared" si="53"/>
        <v>0</v>
      </c>
      <c r="EQ8" s="419"/>
      <c r="ER8" s="419"/>
      <c r="ES8" s="419"/>
      <c r="ET8" s="419">
        <f t="shared" si="54"/>
        <v>0</v>
      </c>
      <c r="EU8" s="419">
        <f t="shared" si="55"/>
        <v>0</v>
      </c>
      <c r="EV8" s="419"/>
      <c r="EW8" s="419"/>
      <c r="EX8" s="419"/>
      <c r="EY8" s="419">
        <f t="shared" si="56"/>
        <v>0</v>
      </c>
      <c r="EZ8" s="419">
        <f t="shared" si="76"/>
        <v>0</v>
      </c>
      <c r="FA8" s="420"/>
      <c r="FB8" s="420"/>
      <c r="FC8" s="420"/>
      <c r="FD8" s="420">
        <f t="shared" si="57"/>
        <v>0</v>
      </c>
      <c r="FE8" s="420">
        <f t="shared" si="58"/>
        <v>0</v>
      </c>
      <c r="FF8" s="419"/>
      <c r="FG8" s="419"/>
      <c r="FH8" s="419"/>
      <c r="FI8" s="419">
        <f t="shared" si="59"/>
        <v>0</v>
      </c>
      <c r="FJ8" s="419">
        <f t="shared" si="60"/>
        <v>0</v>
      </c>
      <c r="FK8" s="419"/>
      <c r="FL8" s="419"/>
      <c r="FM8" s="419"/>
      <c r="FN8" s="420">
        <f t="shared" si="61"/>
        <v>0</v>
      </c>
      <c r="FO8" s="423">
        <f t="shared" si="62"/>
        <v>0</v>
      </c>
      <c r="FP8" s="419"/>
      <c r="FQ8" s="419"/>
      <c r="FR8" s="419"/>
      <c r="FS8" s="420">
        <f t="shared" si="63"/>
        <v>0</v>
      </c>
      <c r="FT8" s="420">
        <f t="shared" si="64"/>
        <v>0</v>
      </c>
      <c r="FU8" s="419"/>
      <c r="FV8" s="419"/>
      <c r="FW8" s="419"/>
      <c r="FX8" s="420">
        <f t="shared" si="65"/>
        <v>0</v>
      </c>
      <c r="FY8" s="420">
        <f t="shared" si="66"/>
        <v>0</v>
      </c>
      <c r="FZ8" s="419"/>
      <c r="GA8" s="419"/>
      <c r="GB8" s="419"/>
      <c r="GC8" s="420">
        <f t="shared" si="67"/>
        <v>0</v>
      </c>
      <c r="GD8" s="420">
        <f t="shared" si="68"/>
        <v>0</v>
      </c>
      <c r="GE8" s="419"/>
      <c r="GF8" s="419"/>
      <c r="GG8" s="419"/>
      <c r="GH8" s="420">
        <f t="shared" si="69"/>
        <v>0</v>
      </c>
      <c r="GI8" s="423">
        <f t="shared" si="70"/>
        <v>0</v>
      </c>
      <c r="GJ8" s="419"/>
      <c r="GK8" s="419"/>
      <c r="GL8" s="419"/>
      <c r="GM8" s="420">
        <f t="shared" si="71"/>
        <v>0</v>
      </c>
      <c r="GN8" s="420">
        <f t="shared" si="72"/>
        <v>0</v>
      </c>
      <c r="GO8" s="419"/>
      <c r="GP8" s="419"/>
      <c r="GQ8" s="419"/>
      <c r="GR8" s="420">
        <f t="shared" si="77"/>
        <v>0</v>
      </c>
      <c r="GS8" s="423">
        <f t="shared" si="73"/>
        <v>0</v>
      </c>
      <c r="GT8" s="419"/>
      <c r="GU8" s="419"/>
      <c r="GV8" s="419"/>
      <c r="GW8" s="420">
        <f t="shared" si="74"/>
        <v>0</v>
      </c>
      <c r="GX8" s="420">
        <f t="shared" si="75"/>
        <v>0</v>
      </c>
    </row>
    <row r="9" spans="1:206" ht="15">
      <c r="A9" s="414"/>
      <c r="B9" s="415" t="s">
        <v>485</v>
      </c>
      <c r="C9" s="698"/>
      <c r="D9" s="706"/>
      <c r="E9" s="434" t="s">
        <v>124</v>
      </c>
      <c r="F9" s="417">
        <v>0.09</v>
      </c>
      <c r="G9" s="418">
        <f t="shared" si="4"/>
        <v>52351180.5462</v>
      </c>
      <c r="H9" s="418">
        <f t="shared" si="5"/>
        <v>51971942.719999999</v>
      </c>
      <c r="I9" s="418">
        <f t="shared" si="5"/>
        <v>4711606.254458</v>
      </c>
      <c r="J9" s="418">
        <f t="shared" si="6"/>
        <v>52351180.605088897</v>
      </c>
      <c r="K9" s="418">
        <f t="shared" si="7"/>
        <v>379237.88508891303</v>
      </c>
      <c r="L9" s="418">
        <f t="shared" si="8"/>
        <v>-379237.88508891303</v>
      </c>
      <c r="M9" s="424">
        <v>109393484.1162</v>
      </c>
      <c r="N9" s="424">
        <v>0</v>
      </c>
      <c r="O9" s="424">
        <v>9845413.5704580005</v>
      </c>
      <c r="P9" s="432">
        <f>-52921541.4-4500000</f>
        <v>-57421541.399999999</v>
      </c>
      <c r="Q9" s="419"/>
      <c r="R9" s="419"/>
      <c r="S9" s="420">
        <v>-1360542.591</v>
      </c>
      <c r="T9" s="420">
        <v>-15117139.9</v>
      </c>
      <c r="U9" s="423">
        <f t="shared" si="9"/>
        <v>-15117139.9</v>
      </c>
      <c r="V9" s="420"/>
      <c r="W9" s="420"/>
      <c r="X9" s="419"/>
      <c r="Y9" s="419"/>
      <c r="Z9" s="423">
        <f t="shared" si="10"/>
        <v>0</v>
      </c>
      <c r="AA9" s="423"/>
      <c r="AB9" s="425"/>
      <c r="AC9" s="426">
        <v>-170884.6</v>
      </c>
      <c r="AD9" s="420">
        <f t="shared" si="11"/>
        <v>-1898717.7777777801</v>
      </c>
      <c r="AE9" s="423">
        <f t="shared" si="12"/>
        <v>-1898717.7777777801</v>
      </c>
      <c r="AF9" s="419"/>
      <c r="AG9" s="419"/>
      <c r="AH9" s="420">
        <v>-289580.3199</v>
      </c>
      <c r="AI9" s="420">
        <f t="shared" si="13"/>
        <v>-3217559.11</v>
      </c>
      <c r="AJ9" s="423">
        <f t="shared" si="14"/>
        <v>-3217559.11</v>
      </c>
      <c r="AK9" s="419"/>
      <c r="AL9" s="436">
        <v>51971942.719999999</v>
      </c>
      <c r="AM9" s="420">
        <v>-2821202.8766729999</v>
      </c>
      <c r="AN9" s="420">
        <f t="shared" si="15"/>
        <v>-31346698.629700001</v>
      </c>
      <c r="AO9" s="423">
        <f t="shared" si="16"/>
        <v>-31346698.629700001</v>
      </c>
      <c r="AP9" s="420"/>
      <c r="AQ9" s="419"/>
      <c r="AR9" s="420">
        <v>-525728.338426998</v>
      </c>
      <c r="AS9" s="420">
        <f t="shared" si="17"/>
        <v>-5841425.9825221999</v>
      </c>
      <c r="AT9" s="420">
        <f t="shared" si="18"/>
        <v>-5841425.9825221999</v>
      </c>
      <c r="AU9" s="420"/>
      <c r="AV9" s="420">
        <f>AP9*0.09</f>
        <v>0</v>
      </c>
      <c r="AW9" s="420"/>
      <c r="AX9" s="426">
        <f t="shared" si="19"/>
        <v>0</v>
      </c>
      <c r="AY9" s="420">
        <f t="shared" si="20"/>
        <v>0</v>
      </c>
      <c r="AZ9" s="419"/>
      <c r="BA9" s="420"/>
      <c r="BB9" s="419"/>
      <c r="BC9" s="420">
        <f t="shared" si="21"/>
        <v>0</v>
      </c>
      <c r="BD9" s="427"/>
      <c r="BE9" s="420"/>
      <c r="BF9" s="420"/>
      <c r="BG9" s="420"/>
      <c r="BH9" s="423">
        <f t="shared" si="22"/>
        <v>0</v>
      </c>
      <c r="BI9" s="420">
        <f t="shared" si="23"/>
        <v>0</v>
      </c>
      <c r="BJ9" s="420"/>
      <c r="BK9" s="420"/>
      <c r="BL9" s="420"/>
      <c r="BM9" s="420">
        <f t="shared" si="24"/>
        <v>0</v>
      </c>
      <c r="BN9" s="420">
        <f t="shared" si="25"/>
        <v>0</v>
      </c>
      <c r="BO9" s="419"/>
      <c r="BP9" s="428"/>
      <c r="BQ9" s="420"/>
      <c r="BR9" s="423">
        <f t="shared" si="26"/>
        <v>0</v>
      </c>
      <c r="BS9" s="423">
        <f t="shared" si="27"/>
        <v>0</v>
      </c>
      <c r="BT9" s="420"/>
      <c r="BU9" s="420"/>
      <c r="BV9" s="420"/>
      <c r="BW9" s="420"/>
      <c r="BX9" s="429">
        <f t="shared" si="28"/>
        <v>0</v>
      </c>
      <c r="BY9" s="419">
        <v>1261555.8</v>
      </c>
      <c r="BZ9" s="419"/>
      <c r="CA9" s="419">
        <v>113540.02</v>
      </c>
      <c r="CB9" s="420">
        <f t="shared" si="29"/>
        <v>1261555.7777777801</v>
      </c>
      <c r="CC9" s="430">
        <f t="shared" si="30"/>
        <v>-2.22222220618278E-2</v>
      </c>
      <c r="CD9" s="419"/>
      <c r="CE9" s="419"/>
      <c r="CF9" s="419"/>
      <c r="CG9" s="420">
        <f t="shared" si="31"/>
        <v>0</v>
      </c>
      <c r="CH9" s="423">
        <f t="shared" si="32"/>
        <v>0</v>
      </c>
      <c r="CI9" s="431"/>
      <c r="CJ9" s="431"/>
      <c r="CK9" s="431"/>
      <c r="CL9" s="420">
        <f t="shared" si="33"/>
        <v>0</v>
      </c>
      <c r="CM9" s="423">
        <f t="shared" si="34"/>
        <v>0</v>
      </c>
      <c r="CN9" s="420"/>
      <c r="CO9" s="420"/>
      <c r="CP9" s="420"/>
      <c r="CQ9" s="432"/>
      <c r="CR9" s="432">
        <f t="shared" si="35"/>
        <v>0</v>
      </c>
      <c r="CS9" s="420"/>
      <c r="CT9" s="420"/>
      <c r="CU9" s="420"/>
      <c r="CV9" s="420"/>
      <c r="CW9" s="420">
        <f t="shared" si="36"/>
        <v>0</v>
      </c>
      <c r="CX9" s="419">
        <v>-882317.97</v>
      </c>
      <c r="CY9" s="419"/>
      <c r="CZ9" s="419">
        <v>-79408.61</v>
      </c>
      <c r="DA9" s="419">
        <f t="shared" si="37"/>
        <v>-882317.89</v>
      </c>
      <c r="DB9" s="419">
        <f t="shared" si="38"/>
        <v>0.08</v>
      </c>
      <c r="DC9" s="419"/>
      <c r="DD9" s="419"/>
      <c r="DE9" s="419"/>
      <c r="DF9" s="420">
        <f t="shared" si="39"/>
        <v>0</v>
      </c>
      <c r="DG9" s="421">
        <f t="shared" si="40"/>
        <v>0</v>
      </c>
      <c r="DH9" s="419"/>
      <c r="DI9" s="419"/>
      <c r="DJ9" s="419"/>
      <c r="DK9" s="420">
        <f t="shared" si="41"/>
        <v>0</v>
      </c>
      <c r="DL9" s="422">
        <f t="shared" si="42"/>
        <v>0</v>
      </c>
      <c r="DM9" s="420"/>
      <c r="DN9" s="420"/>
      <c r="DO9" s="420"/>
      <c r="DP9" s="420">
        <f t="shared" si="43"/>
        <v>0</v>
      </c>
      <c r="DQ9" s="420">
        <f t="shared" si="44"/>
        <v>0</v>
      </c>
      <c r="DR9" s="419"/>
      <c r="DS9" s="419"/>
      <c r="DT9" s="419"/>
      <c r="DU9" s="420">
        <f t="shared" si="45"/>
        <v>0</v>
      </c>
      <c r="DV9" s="423">
        <f t="shared" si="46"/>
        <v>0</v>
      </c>
      <c r="DW9" s="419"/>
      <c r="DX9" s="419"/>
      <c r="DY9" s="419"/>
      <c r="DZ9" s="420">
        <f t="shared" si="47"/>
        <v>0</v>
      </c>
      <c r="EA9" s="423">
        <f t="shared" si="48"/>
        <v>0</v>
      </c>
      <c r="EB9" s="420"/>
      <c r="EC9" s="419"/>
      <c r="ED9" s="420"/>
      <c r="EE9" s="419"/>
      <c r="EF9" s="420">
        <f t="shared" si="49"/>
        <v>0</v>
      </c>
      <c r="EG9" s="419"/>
      <c r="EH9" s="419"/>
      <c r="EI9" s="419"/>
      <c r="EJ9" s="420">
        <f t="shared" si="50"/>
        <v>0</v>
      </c>
      <c r="EK9" s="420">
        <f t="shared" si="51"/>
        <v>0</v>
      </c>
      <c r="EL9" s="419"/>
      <c r="EM9" s="419"/>
      <c r="EN9" s="419"/>
      <c r="EO9" s="419">
        <f t="shared" si="52"/>
        <v>0</v>
      </c>
      <c r="EP9" s="419">
        <f t="shared" si="53"/>
        <v>0</v>
      </c>
      <c r="EQ9" s="419"/>
      <c r="ER9" s="419"/>
      <c r="ES9" s="419"/>
      <c r="ET9" s="419">
        <f t="shared" si="54"/>
        <v>0</v>
      </c>
      <c r="EU9" s="419">
        <f t="shared" si="55"/>
        <v>0</v>
      </c>
      <c r="EV9" s="419"/>
      <c r="EW9" s="419"/>
      <c r="EX9" s="419"/>
      <c r="EY9" s="419">
        <f t="shared" si="56"/>
        <v>0</v>
      </c>
      <c r="EZ9" s="419">
        <f t="shared" si="76"/>
        <v>0</v>
      </c>
      <c r="FA9" s="420"/>
      <c r="FB9" s="420"/>
      <c r="FC9" s="420"/>
      <c r="FD9" s="420">
        <f t="shared" si="57"/>
        <v>0</v>
      </c>
      <c r="FE9" s="420">
        <f t="shared" si="58"/>
        <v>0</v>
      </c>
      <c r="FF9" s="419"/>
      <c r="FG9" s="419"/>
      <c r="FH9" s="419"/>
      <c r="FI9" s="419">
        <f t="shared" si="59"/>
        <v>0</v>
      </c>
      <c r="FJ9" s="419">
        <f t="shared" si="60"/>
        <v>0</v>
      </c>
      <c r="FK9" s="419"/>
      <c r="FL9" s="419"/>
      <c r="FM9" s="419"/>
      <c r="FN9" s="420">
        <f t="shared" si="61"/>
        <v>0</v>
      </c>
      <c r="FO9" s="423">
        <f t="shared" si="62"/>
        <v>0</v>
      </c>
      <c r="FP9" s="419"/>
      <c r="FQ9" s="419"/>
      <c r="FR9" s="419"/>
      <c r="FS9" s="420">
        <f t="shared" si="63"/>
        <v>0</v>
      </c>
      <c r="FT9" s="420">
        <f t="shared" si="64"/>
        <v>0</v>
      </c>
      <c r="FU9" s="419"/>
      <c r="FV9" s="419"/>
      <c r="FW9" s="419"/>
      <c r="FX9" s="420">
        <f t="shared" si="65"/>
        <v>0</v>
      </c>
      <c r="FY9" s="420">
        <f t="shared" si="66"/>
        <v>0</v>
      </c>
      <c r="FZ9" s="419"/>
      <c r="GA9" s="419"/>
      <c r="GB9" s="419"/>
      <c r="GC9" s="420">
        <f t="shared" si="67"/>
        <v>0</v>
      </c>
      <c r="GD9" s="420">
        <f t="shared" si="68"/>
        <v>0</v>
      </c>
      <c r="GE9" s="419"/>
      <c r="GF9" s="419"/>
      <c r="GG9" s="419"/>
      <c r="GH9" s="420">
        <f t="shared" si="69"/>
        <v>0</v>
      </c>
      <c r="GI9" s="423">
        <f t="shared" si="70"/>
        <v>0</v>
      </c>
      <c r="GJ9" s="419"/>
      <c r="GK9" s="419"/>
      <c r="GL9" s="419"/>
      <c r="GM9" s="420">
        <f t="shared" si="71"/>
        <v>0</v>
      </c>
      <c r="GN9" s="420">
        <f t="shared" si="72"/>
        <v>0</v>
      </c>
      <c r="GO9" s="419"/>
      <c r="GP9" s="419"/>
      <c r="GQ9" s="419"/>
      <c r="GR9" s="420">
        <f t="shared" si="77"/>
        <v>0</v>
      </c>
      <c r="GS9" s="423">
        <f t="shared" si="73"/>
        <v>0</v>
      </c>
      <c r="GT9" s="419"/>
      <c r="GU9" s="419"/>
      <c r="GV9" s="419"/>
      <c r="GW9" s="420">
        <f t="shared" si="74"/>
        <v>0</v>
      </c>
      <c r="GX9" s="420">
        <f t="shared" si="75"/>
        <v>0</v>
      </c>
    </row>
    <row r="10" spans="1:206" ht="15">
      <c r="A10" s="414"/>
      <c r="B10" s="415" t="s">
        <v>485</v>
      </c>
      <c r="C10" s="698"/>
      <c r="D10" s="707"/>
      <c r="E10" s="434" t="s">
        <v>125</v>
      </c>
      <c r="F10" s="417">
        <v>0.06</v>
      </c>
      <c r="G10" s="418">
        <f t="shared" si="4"/>
        <v>475794.07</v>
      </c>
      <c r="H10" s="418">
        <f t="shared" si="5"/>
        <v>0</v>
      </c>
      <c r="I10" s="418">
        <f t="shared" si="5"/>
        <v>28547.64933</v>
      </c>
      <c r="J10" s="418">
        <f t="shared" si="6"/>
        <v>475794.15549999999</v>
      </c>
      <c r="K10" s="418">
        <f t="shared" si="7"/>
        <v>475794.15549999999</v>
      </c>
      <c r="L10" s="418">
        <f t="shared" si="8"/>
        <v>-475794.15549999999</v>
      </c>
      <c r="M10" s="424">
        <v>0</v>
      </c>
      <c r="N10" s="424">
        <v>0</v>
      </c>
      <c r="O10" s="424">
        <v>0</v>
      </c>
      <c r="P10" s="424"/>
      <c r="Q10" s="419"/>
      <c r="R10" s="419"/>
      <c r="S10" s="419"/>
      <c r="T10" s="420">
        <v>0</v>
      </c>
      <c r="U10" s="423">
        <f t="shared" si="9"/>
        <v>0</v>
      </c>
      <c r="V10" s="420"/>
      <c r="W10" s="420"/>
      <c r="X10" s="419"/>
      <c r="Y10" s="419"/>
      <c r="Z10" s="423">
        <f t="shared" si="10"/>
        <v>0</v>
      </c>
      <c r="AA10" s="423"/>
      <c r="AB10" s="425"/>
      <c r="AC10" s="419"/>
      <c r="AD10" s="420">
        <f t="shared" si="11"/>
        <v>0</v>
      </c>
      <c r="AE10" s="423">
        <f t="shared" si="12"/>
        <v>0</v>
      </c>
      <c r="AF10" s="419"/>
      <c r="AG10" s="419"/>
      <c r="AH10" s="419"/>
      <c r="AI10" s="420">
        <f t="shared" si="13"/>
        <v>0</v>
      </c>
      <c r="AJ10" s="423">
        <f t="shared" si="14"/>
        <v>0</v>
      </c>
      <c r="AK10" s="419"/>
      <c r="AL10" s="420"/>
      <c r="AM10" s="419"/>
      <c r="AN10" s="420">
        <f t="shared" si="15"/>
        <v>0</v>
      </c>
      <c r="AO10" s="423">
        <f t="shared" si="16"/>
        <v>0</v>
      </c>
      <c r="AP10" s="419"/>
      <c r="AQ10" s="419"/>
      <c r="AR10" s="420"/>
      <c r="AS10" s="420">
        <f t="shared" si="17"/>
        <v>0</v>
      </c>
      <c r="AT10" s="420">
        <f t="shared" si="18"/>
        <v>0</v>
      </c>
      <c r="AU10" s="420">
        <v>27445.64</v>
      </c>
      <c r="AV10" s="420"/>
      <c r="AW10" s="435">
        <v>1646.73873</v>
      </c>
      <c r="AX10" s="426">
        <f t="shared" si="19"/>
        <v>27445.645499999999</v>
      </c>
      <c r="AY10" s="420">
        <f t="shared" si="20"/>
        <v>5.5000000029394903E-3</v>
      </c>
      <c r="AZ10" s="420">
        <v>29686.05</v>
      </c>
      <c r="BA10" s="420"/>
      <c r="BB10" s="419">
        <v>1781.16</v>
      </c>
      <c r="BC10" s="420">
        <f t="shared" si="21"/>
        <v>29686</v>
      </c>
      <c r="BD10" s="427"/>
      <c r="BE10" s="420">
        <v>30288.91</v>
      </c>
      <c r="BF10" s="420"/>
      <c r="BG10" s="420">
        <v>1817.33</v>
      </c>
      <c r="BH10" s="423">
        <f t="shared" si="22"/>
        <v>30288.833333333299</v>
      </c>
      <c r="BI10" s="420">
        <f t="shared" si="23"/>
        <v>-7.6666666667733793E-2</v>
      </c>
      <c r="BJ10" s="420">
        <v>39286.879999999997</v>
      </c>
      <c r="BK10" s="420"/>
      <c r="BL10" s="420">
        <v>2357.21</v>
      </c>
      <c r="BM10" s="420">
        <f t="shared" si="24"/>
        <v>39286.833333333299</v>
      </c>
      <c r="BN10" s="420">
        <f t="shared" si="25"/>
        <v>-4.6666666661622003E-2</v>
      </c>
      <c r="BO10" s="419">
        <v>48891.58</v>
      </c>
      <c r="BP10" s="428"/>
      <c r="BQ10" s="420">
        <v>2933.4947999999999</v>
      </c>
      <c r="BR10" s="423">
        <f t="shared" si="26"/>
        <v>48891.58</v>
      </c>
      <c r="BS10" s="423">
        <f t="shared" si="27"/>
        <v>0</v>
      </c>
      <c r="BT10" s="420">
        <v>30378.46</v>
      </c>
      <c r="BU10" s="420"/>
      <c r="BV10" s="420">
        <v>1822.71</v>
      </c>
      <c r="BW10" s="420">
        <v>30378.46</v>
      </c>
      <c r="BX10" s="429">
        <f t="shared" si="28"/>
        <v>0</v>
      </c>
      <c r="BY10" s="419">
        <v>97829.05</v>
      </c>
      <c r="BZ10" s="419"/>
      <c r="CA10" s="419">
        <v>5869.74</v>
      </c>
      <c r="CB10" s="420">
        <f t="shared" si="29"/>
        <v>97829</v>
      </c>
      <c r="CC10" s="430">
        <f t="shared" si="30"/>
        <v>-5.0000000002910397E-2</v>
      </c>
      <c r="CD10" s="419">
        <v>17779.88</v>
      </c>
      <c r="CE10" s="419"/>
      <c r="CF10" s="419">
        <v>1066.79</v>
      </c>
      <c r="CG10" s="420">
        <f t="shared" si="31"/>
        <v>17779.833333333299</v>
      </c>
      <c r="CH10" s="423">
        <f t="shared" si="32"/>
        <v>-4.6666666668898002E-2</v>
      </c>
      <c r="CI10" s="431">
        <v>10524.61</v>
      </c>
      <c r="CJ10" s="431"/>
      <c r="CK10" s="431">
        <v>631.48</v>
      </c>
      <c r="CL10" s="420">
        <f t="shared" si="33"/>
        <v>10524.666666666701</v>
      </c>
      <c r="CM10" s="423">
        <f t="shared" si="34"/>
        <v>5.6666666667297201E-2</v>
      </c>
      <c r="CN10" s="420">
        <v>11892.42</v>
      </c>
      <c r="CO10" s="420"/>
      <c r="CP10" s="420">
        <v>713.55</v>
      </c>
      <c r="CQ10" s="432">
        <v>11892.42</v>
      </c>
      <c r="CR10" s="432">
        <f t="shared" si="35"/>
        <v>0</v>
      </c>
      <c r="CS10" s="420">
        <v>11933.09</v>
      </c>
      <c r="CT10" s="420"/>
      <c r="CU10" s="420">
        <v>715.99</v>
      </c>
      <c r="CV10" s="420">
        <v>11933.09</v>
      </c>
      <c r="CW10" s="420">
        <f t="shared" si="36"/>
        <v>0</v>
      </c>
      <c r="CX10" s="419">
        <v>3563.92</v>
      </c>
      <c r="CY10" s="419"/>
      <c r="CZ10" s="419">
        <v>213.84</v>
      </c>
      <c r="DA10" s="419">
        <f t="shared" si="37"/>
        <v>3564</v>
      </c>
      <c r="DB10" s="419">
        <f t="shared" si="38"/>
        <v>0.08</v>
      </c>
      <c r="DC10" s="419">
        <v>6980.01</v>
      </c>
      <c r="DD10" s="419"/>
      <c r="DE10" s="419">
        <v>418.8</v>
      </c>
      <c r="DF10" s="420">
        <f t="shared" si="39"/>
        <v>6980</v>
      </c>
      <c r="DG10" s="421">
        <f t="shared" si="40"/>
        <v>1.00000000002183E-2</v>
      </c>
      <c r="DH10" s="419">
        <v>6980.01</v>
      </c>
      <c r="DI10" s="419"/>
      <c r="DJ10" s="419">
        <v>418.8</v>
      </c>
      <c r="DK10" s="420">
        <f t="shared" si="41"/>
        <v>6980</v>
      </c>
      <c r="DL10" s="422">
        <f t="shared" si="42"/>
        <v>-1.00000000002183E-2</v>
      </c>
      <c r="DM10" s="420">
        <v>9052.56</v>
      </c>
      <c r="DN10" s="420"/>
      <c r="DO10" s="420">
        <v>543.15</v>
      </c>
      <c r="DP10" s="420">
        <f t="shared" si="43"/>
        <v>9052.5</v>
      </c>
      <c r="DQ10" s="420">
        <f t="shared" si="44"/>
        <v>-5.9999999999490697E-2</v>
      </c>
      <c r="DR10" s="419">
        <v>8259.02</v>
      </c>
      <c r="DS10" s="419"/>
      <c r="DT10" s="419">
        <v>495.54</v>
      </c>
      <c r="DU10" s="420">
        <f t="shared" si="45"/>
        <v>8259</v>
      </c>
      <c r="DV10" s="423">
        <f t="shared" si="46"/>
        <v>-2.0000000000436599E-2</v>
      </c>
      <c r="DW10" s="419">
        <v>8335.9599999999991</v>
      </c>
      <c r="DX10" s="419"/>
      <c r="DY10" s="419">
        <v>500.16</v>
      </c>
      <c r="DZ10" s="420">
        <f t="shared" si="47"/>
        <v>8336</v>
      </c>
      <c r="EA10" s="423">
        <f t="shared" si="48"/>
        <v>0.04</v>
      </c>
      <c r="EB10" s="419">
        <v>17528.93</v>
      </c>
      <c r="EC10" s="419"/>
      <c r="ED10" s="420">
        <v>1051.7357999999999</v>
      </c>
      <c r="EE10" s="419">
        <v>17528.93</v>
      </c>
      <c r="EF10" s="420">
        <f t="shared" si="49"/>
        <v>0</v>
      </c>
      <c r="EG10" s="419">
        <v>44823.59</v>
      </c>
      <c r="EI10" s="419">
        <v>2689.42</v>
      </c>
      <c r="EJ10" s="420">
        <f t="shared" si="50"/>
        <v>44823.67</v>
      </c>
      <c r="EK10" s="420">
        <f t="shared" si="51"/>
        <v>0.08</v>
      </c>
      <c r="EL10" s="419">
        <v>4073.2</v>
      </c>
      <c r="EN10" s="419">
        <v>244.39</v>
      </c>
      <c r="EO10" s="419">
        <f t="shared" si="52"/>
        <v>4073.17</v>
      </c>
      <c r="EP10" s="419">
        <f t="shared" si="53"/>
        <v>-0.03</v>
      </c>
      <c r="EQ10" s="420">
        <v>5057.76</v>
      </c>
      <c r="ER10" s="420"/>
      <c r="ES10" s="420">
        <v>303.47000000000003</v>
      </c>
      <c r="ET10" s="419">
        <f t="shared" si="54"/>
        <v>5057.83</v>
      </c>
      <c r="EU10" s="419">
        <f t="shared" si="55"/>
        <v>7.0000000000000007E-2</v>
      </c>
      <c r="EV10" s="419">
        <v>5202.54</v>
      </c>
      <c r="EW10" s="419"/>
      <c r="EX10" s="419">
        <v>312.14999999999998</v>
      </c>
      <c r="EY10" s="419">
        <f t="shared" si="56"/>
        <v>5202.5</v>
      </c>
      <c r="EZ10" s="419">
        <f t="shared" si="76"/>
        <v>-0.04</v>
      </c>
      <c r="FA10" s="420"/>
      <c r="FB10" s="420"/>
      <c r="FC10" s="420"/>
      <c r="FD10" s="420">
        <f t="shared" si="57"/>
        <v>0</v>
      </c>
      <c r="FE10" s="420">
        <f t="shared" si="58"/>
        <v>0</v>
      </c>
      <c r="FF10" s="419"/>
      <c r="FG10" s="419"/>
      <c r="FH10" s="419"/>
      <c r="FI10" s="419">
        <f t="shared" si="59"/>
        <v>0</v>
      </c>
      <c r="FJ10" s="419">
        <f t="shared" si="60"/>
        <v>0</v>
      </c>
      <c r="FK10" s="419"/>
      <c r="FL10" s="419"/>
      <c r="FM10" s="419"/>
      <c r="FN10" s="420">
        <f t="shared" si="61"/>
        <v>0</v>
      </c>
      <c r="FO10" s="423">
        <f t="shared" si="62"/>
        <v>0</v>
      </c>
      <c r="FP10" s="419"/>
      <c r="FQ10" s="419"/>
      <c r="FR10" s="419"/>
      <c r="FS10" s="420">
        <f t="shared" si="63"/>
        <v>0</v>
      </c>
      <c r="FT10" s="420">
        <f t="shared" si="64"/>
        <v>0</v>
      </c>
      <c r="FU10" s="419"/>
      <c r="FV10" s="419"/>
      <c r="FW10" s="419"/>
      <c r="FX10" s="420">
        <f t="shared" si="65"/>
        <v>0</v>
      </c>
      <c r="FY10" s="420">
        <f t="shared" si="66"/>
        <v>0</v>
      </c>
      <c r="FZ10" s="419"/>
      <c r="GA10" s="419"/>
      <c r="GB10" s="419"/>
      <c r="GC10" s="420">
        <f t="shared" si="67"/>
        <v>0</v>
      </c>
      <c r="GD10" s="420">
        <f t="shared" si="68"/>
        <v>0</v>
      </c>
      <c r="GE10" s="419"/>
      <c r="GF10" s="419"/>
      <c r="GG10" s="419"/>
      <c r="GH10" s="420">
        <f t="shared" si="69"/>
        <v>0</v>
      </c>
      <c r="GI10" s="423">
        <f t="shared" si="70"/>
        <v>0</v>
      </c>
      <c r="GJ10" s="419"/>
      <c r="GK10" s="419"/>
      <c r="GL10" s="419"/>
      <c r="GM10" s="420">
        <f t="shared" si="71"/>
        <v>0</v>
      </c>
      <c r="GN10" s="420">
        <f t="shared" si="72"/>
        <v>0</v>
      </c>
      <c r="GO10" s="419"/>
      <c r="GP10" s="419"/>
      <c r="GQ10" s="419"/>
      <c r="GR10" s="420">
        <f t="shared" si="77"/>
        <v>0</v>
      </c>
      <c r="GS10" s="423">
        <f t="shared" si="73"/>
        <v>0</v>
      </c>
      <c r="GT10" s="419"/>
      <c r="GU10" s="419"/>
      <c r="GV10" s="419"/>
      <c r="GW10" s="420">
        <f t="shared" si="74"/>
        <v>0</v>
      </c>
      <c r="GX10" s="420">
        <f t="shared" si="75"/>
        <v>0</v>
      </c>
    </row>
    <row r="11" spans="1:206" ht="15">
      <c r="A11" s="414"/>
      <c r="B11" s="415" t="s">
        <v>485</v>
      </c>
      <c r="C11" s="698"/>
      <c r="D11" s="704" t="s">
        <v>487</v>
      </c>
      <c r="E11" s="434" t="s">
        <v>123</v>
      </c>
      <c r="F11" s="417">
        <v>0.13</v>
      </c>
      <c r="G11" s="418">
        <f t="shared" si="4"/>
        <v>0</v>
      </c>
      <c r="H11" s="418">
        <f t="shared" si="5"/>
        <v>0</v>
      </c>
      <c r="I11" s="418">
        <f t="shared" si="5"/>
        <v>0</v>
      </c>
      <c r="J11" s="418">
        <f t="shared" si="6"/>
        <v>0</v>
      </c>
      <c r="K11" s="418">
        <f t="shared" si="7"/>
        <v>0</v>
      </c>
      <c r="L11" s="418">
        <f t="shared" si="8"/>
        <v>0</v>
      </c>
      <c r="M11" s="424"/>
      <c r="N11" s="424"/>
      <c r="O11" s="424"/>
      <c r="P11" s="424"/>
      <c r="Q11" s="419"/>
      <c r="R11" s="419"/>
      <c r="S11" s="419"/>
      <c r="T11" s="420"/>
      <c r="U11" s="423"/>
      <c r="V11" s="420"/>
      <c r="W11" s="420"/>
      <c r="X11" s="419"/>
      <c r="Y11" s="419"/>
      <c r="Z11" s="423"/>
      <c r="AA11" s="423"/>
      <c r="AB11" s="425"/>
      <c r="AC11" s="419"/>
      <c r="AD11" s="420"/>
      <c r="AE11" s="423"/>
      <c r="AF11" s="419"/>
      <c r="AG11" s="419"/>
      <c r="AH11" s="419"/>
      <c r="AI11" s="420"/>
      <c r="AJ11" s="423"/>
      <c r="AK11" s="419"/>
      <c r="AL11" s="420"/>
      <c r="AM11" s="419"/>
      <c r="AN11" s="420"/>
      <c r="AO11" s="423"/>
      <c r="AP11" s="419"/>
      <c r="AQ11" s="419"/>
      <c r="AR11" s="420"/>
      <c r="AS11" s="420"/>
      <c r="AT11" s="420"/>
      <c r="AU11" s="420"/>
      <c r="AV11" s="420"/>
      <c r="AW11" s="435"/>
      <c r="AX11" s="426"/>
      <c r="AY11" s="420"/>
      <c r="AZ11" s="420"/>
      <c r="BA11" s="420"/>
      <c r="BB11" s="419"/>
      <c r="BC11" s="420"/>
      <c r="BD11" s="427"/>
      <c r="BE11" s="420"/>
      <c r="BF11" s="420"/>
      <c r="BG11" s="420"/>
      <c r="BH11" s="423"/>
      <c r="BI11" s="420"/>
      <c r="BJ11" s="420"/>
      <c r="BK11" s="420"/>
      <c r="BL11" s="420"/>
      <c r="BM11" s="420"/>
      <c r="BN11" s="420"/>
      <c r="BO11" s="419"/>
      <c r="BP11" s="428"/>
      <c r="BQ11" s="420"/>
      <c r="BR11" s="423"/>
      <c r="BS11" s="423"/>
      <c r="BT11" s="420"/>
      <c r="BU11" s="420"/>
      <c r="BV11" s="420"/>
      <c r="BW11" s="420"/>
      <c r="BX11" s="429"/>
      <c r="BY11" s="419"/>
      <c r="BZ11" s="419"/>
      <c r="CA11" s="419"/>
      <c r="CB11" s="420"/>
      <c r="CC11" s="430"/>
      <c r="CD11" s="419"/>
      <c r="CE11" s="419"/>
      <c r="CF11" s="419"/>
      <c r="CG11" s="420"/>
      <c r="CH11" s="423"/>
      <c r="CI11" s="431"/>
      <c r="CJ11" s="431"/>
      <c r="CK11" s="431"/>
      <c r="CL11" s="420"/>
      <c r="CM11" s="423"/>
      <c r="CN11" s="420"/>
      <c r="CO11" s="420"/>
      <c r="CP11" s="420"/>
      <c r="CQ11" s="432"/>
      <c r="CR11" s="432">
        <f t="shared" si="35"/>
        <v>0</v>
      </c>
      <c r="CS11" s="420"/>
      <c r="CT11" s="420"/>
      <c r="CU11" s="420"/>
      <c r="CV11" s="420"/>
      <c r="CW11" s="420">
        <f t="shared" si="36"/>
        <v>0</v>
      </c>
      <c r="CX11" s="419"/>
      <c r="CY11" s="419"/>
      <c r="CZ11" s="419"/>
      <c r="DA11" s="419">
        <f t="shared" si="37"/>
        <v>0</v>
      </c>
      <c r="DB11" s="419">
        <f t="shared" si="38"/>
        <v>0</v>
      </c>
      <c r="DC11" s="419"/>
      <c r="DD11" s="419"/>
      <c r="DE11" s="419"/>
      <c r="DF11" s="420">
        <f t="shared" si="39"/>
        <v>0</v>
      </c>
      <c r="DG11" s="421">
        <f t="shared" si="40"/>
        <v>0</v>
      </c>
      <c r="DH11" s="419"/>
      <c r="DI11" s="419"/>
      <c r="DJ11" s="419"/>
      <c r="DK11" s="420">
        <f t="shared" si="41"/>
        <v>0</v>
      </c>
      <c r="DL11" s="422">
        <f t="shared" si="42"/>
        <v>0</v>
      </c>
      <c r="DM11" s="420"/>
      <c r="DN11" s="420"/>
      <c r="DO11" s="420"/>
      <c r="DP11" s="420">
        <f t="shared" si="43"/>
        <v>0</v>
      </c>
      <c r="DQ11" s="420">
        <f t="shared" si="44"/>
        <v>0</v>
      </c>
      <c r="DR11" s="419"/>
      <c r="DS11" s="419"/>
      <c r="DT11" s="419"/>
      <c r="DU11" s="420">
        <f t="shared" si="45"/>
        <v>0</v>
      </c>
      <c r="DV11" s="423">
        <f t="shared" si="46"/>
        <v>0</v>
      </c>
      <c r="DW11" s="419"/>
      <c r="DX11" s="419"/>
      <c r="DY11" s="419"/>
      <c r="DZ11" s="420">
        <f t="shared" si="47"/>
        <v>0</v>
      </c>
      <c r="EA11" s="423">
        <f t="shared" si="48"/>
        <v>0</v>
      </c>
      <c r="EB11" s="419"/>
      <c r="EC11" s="419"/>
      <c r="ED11" s="420"/>
      <c r="EE11" s="419"/>
      <c r="EF11" s="420">
        <f t="shared" si="49"/>
        <v>0</v>
      </c>
      <c r="EG11" s="419"/>
      <c r="EH11" s="419"/>
      <c r="EI11" s="419"/>
      <c r="EJ11" s="420">
        <f t="shared" si="50"/>
        <v>0</v>
      </c>
      <c r="EK11" s="420">
        <f t="shared" si="51"/>
        <v>0</v>
      </c>
      <c r="EL11" s="419"/>
      <c r="EM11" s="419"/>
      <c r="EN11" s="419"/>
      <c r="EO11" s="419">
        <f t="shared" si="52"/>
        <v>0</v>
      </c>
      <c r="EP11" s="419">
        <f t="shared" si="53"/>
        <v>0</v>
      </c>
      <c r="EQ11" s="419"/>
      <c r="ER11" s="419"/>
      <c r="ES11" s="419"/>
      <c r="ET11" s="419">
        <f t="shared" si="54"/>
        <v>0</v>
      </c>
      <c r="EU11" s="419">
        <f t="shared" si="55"/>
        <v>0</v>
      </c>
      <c r="EV11" s="419"/>
      <c r="EW11" s="419"/>
      <c r="EX11" s="419"/>
      <c r="EY11" s="419">
        <f t="shared" si="56"/>
        <v>0</v>
      </c>
      <c r="EZ11" s="419">
        <f t="shared" si="76"/>
        <v>0</v>
      </c>
      <c r="FA11" s="420"/>
      <c r="FB11" s="420"/>
      <c r="FC11" s="420"/>
      <c r="FD11" s="420">
        <f t="shared" si="57"/>
        <v>0</v>
      </c>
      <c r="FE11" s="420">
        <f t="shared" si="58"/>
        <v>0</v>
      </c>
      <c r="FF11" s="419"/>
      <c r="FG11" s="419"/>
      <c r="FH11" s="419"/>
      <c r="FI11" s="419">
        <f t="shared" si="59"/>
        <v>0</v>
      </c>
      <c r="FJ11" s="419">
        <f t="shared" si="60"/>
        <v>0</v>
      </c>
      <c r="FK11" s="419"/>
      <c r="FL11" s="419"/>
      <c r="FM11" s="419"/>
      <c r="FN11" s="420">
        <f t="shared" si="61"/>
        <v>0</v>
      </c>
      <c r="FO11" s="423">
        <f t="shared" si="62"/>
        <v>0</v>
      </c>
      <c r="FP11" s="419"/>
      <c r="FQ11" s="419"/>
      <c r="FR11" s="419"/>
      <c r="FS11" s="420">
        <f t="shared" si="63"/>
        <v>0</v>
      </c>
      <c r="FT11" s="420">
        <f t="shared" si="64"/>
        <v>0</v>
      </c>
      <c r="FU11" s="419"/>
      <c r="FV11" s="419"/>
      <c r="FW11" s="419"/>
      <c r="FX11" s="420">
        <f t="shared" si="65"/>
        <v>0</v>
      </c>
      <c r="FY11" s="420">
        <f t="shared" si="66"/>
        <v>0</v>
      </c>
      <c r="FZ11" s="419"/>
      <c r="GA11" s="419"/>
      <c r="GB11" s="419"/>
      <c r="GC11" s="420">
        <f t="shared" si="67"/>
        <v>0</v>
      </c>
      <c r="GD11" s="420">
        <f t="shared" si="68"/>
        <v>0</v>
      </c>
      <c r="GE11" s="419"/>
      <c r="GF11" s="419"/>
      <c r="GG11" s="419"/>
      <c r="GH11" s="420">
        <f t="shared" si="69"/>
        <v>0</v>
      </c>
      <c r="GI11" s="423">
        <f t="shared" si="70"/>
        <v>0</v>
      </c>
      <c r="GJ11" s="419"/>
      <c r="GK11" s="419"/>
      <c r="GL11" s="419"/>
      <c r="GM11" s="420">
        <f t="shared" si="71"/>
        <v>0</v>
      </c>
      <c r="GN11" s="420">
        <f t="shared" si="72"/>
        <v>0</v>
      </c>
      <c r="GO11" s="419"/>
      <c r="GP11" s="419"/>
      <c r="GQ11" s="419"/>
      <c r="GR11" s="420">
        <f t="shared" si="77"/>
        <v>0</v>
      </c>
      <c r="GS11" s="423">
        <f t="shared" si="73"/>
        <v>0</v>
      </c>
      <c r="GT11" s="419"/>
      <c r="GU11" s="419"/>
      <c r="GV11" s="419"/>
      <c r="GW11" s="420">
        <f t="shared" si="74"/>
        <v>0</v>
      </c>
      <c r="GX11" s="420">
        <f t="shared" si="75"/>
        <v>0</v>
      </c>
    </row>
    <row r="12" spans="1:206" ht="15">
      <c r="A12" s="414"/>
      <c r="B12" s="415" t="s">
        <v>485</v>
      </c>
      <c r="C12" s="698"/>
      <c r="D12" s="706"/>
      <c r="E12" s="434" t="s">
        <v>124</v>
      </c>
      <c r="F12" s="417">
        <v>0.09</v>
      </c>
      <c r="G12" s="418">
        <f t="shared" si="4"/>
        <v>6108066.9299999997</v>
      </c>
      <c r="H12" s="418">
        <f t="shared" si="5"/>
        <v>0</v>
      </c>
      <c r="I12" s="418">
        <f t="shared" si="5"/>
        <v>549726.02</v>
      </c>
      <c r="J12" s="418">
        <f t="shared" si="6"/>
        <v>6108066.8888888899</v>
      </c>
      <c r="K12" s="418">
        <f t="shared" si="7"/>
        <v>6108066.8888888899</v>
      </c>
      <c r="L12" s="418">
        <f t="shared" si="8"/>
        <v>-6108066.8888888899</v>
      </c>
      <c r="M12" s="424"/>
      <c r="N12" s="424"/>
      <c r="O12" s="424"/>
      <c r="P12" s="424"/>
      <c r="Q12" s="419"/>
      <c r="R12" s="419"/>
      <c r="S12" s="419"/>
      <c r="T12" s="420"/>
      <c r="U12" s="423"/>
      <c r="V12" s="420"/>
      <c r="W12" s="420"/>
      <c r="X12" s="419"/>
      <c r="Y12" s="419"/>
      <c r="Z12" s="423"/>
      <c r="AA12" s="423"/>
      <c r="AB12" s="425"/>
      <c r="AC12" s="419"/>
      <c r="AD12" s="420"/>
      <c r="AE12" s="423"/>
      <c r="AF12" s="419"/>
      <c r="AG12" s="419"/>
      <c r="AH12" s="419"/>
      <c r="AI12" s="420"/>
      <c r="AJ12" s="423"/>
      <c r="AK12" s="419"/>
      <c r="AL12" s="420"/>
      <c r="AM12" s="419"/>
      <c r="AN12" s="420"/>
      <c r="AO12" s="423"/>
      <c r="AP12" s="419"/>
      <c r="AQ12" s="419"/>
      <c r="AR12" s="420"/>
      <c r="AS12" s="420"/>
      <c r="AT12" s="420"/>
      <c r="AU12" s="420"/>
      <c r="AV12" s="420"/>
      <c r="AW12" s="435"/>
      <c r="AX12" s="426"/>
      <c r="AY12" s="420"/>
      <c r="AZ12" s="420"/>
      <c r="BA12" s="420"/>
      <c r="BB12" s="419"/>
      <c r="BC12" s="420"/>
      <c r="BD12" s="427"/>
      <c r="BE12" s="420"/>
      <c r="BF12" s="420"/>
      <c r="BG12" s="420"/>
      <c r="BH12" s="423"/>
      <c r="BI12" s="420"/>
      <c r="BJ12" s="420"/>
      <c r="BK12" s="420"/>
      <c r="BL12" s="420"/>
      <c r="BM12" s="420"/>
      <c r="BN12" s="420"/>
      <c r="BO12" s="419"/>
      <c r="BP12" s="428"/>
      <c r="BQ12" s="420"/>
      <c r="BR12" s="423"/>
      <c r="BS12" s="423"/>
      <c r="BT12" s="420"/>
      <c r="BU12" s="420"/>
      <c r="BV12" s="420"/>
      <c r="BW12" s="420"/>
      <c r="BX12" s="429"/>
      <c r="BY12" s="419"/>
      <c r="BZ12" s="419"/>
      <c r="CA12" s="419"/>
      <c r="CB12" s="420"/>
      <c r="CC12" s="430"/>
      <c r="CD12" s="419"/>
      <c r="CE12" s="419"/>
      <c r="CF12" s="419"/>
      <c r="CG12" s="420"/>
      <c r="CH12" s="423"/>
      <c r="CI12" s="431"/>
      <c r="CJ12" s="431"/>
      <c r="CK12" s="431"/>
      <c r="CL12" s="420"/>
      <c r="CM12" s="423"/>
      <c r="CN12" s="420"/>
      <c r="CO12" s="420"/>
      <c r="CP12" s="420"/>
      <c r="CQ12" s="432"/>
      <c r="CR12" s="432">
        <f t="shared" si="35"/>
        <v>0</v>
      </c>
      <c r="CS12" s="420"/>
      <c r="CT12" s="420"/>
      <c r="CU12" s="420"/>
      <c r="CV12" s="420"/>
      <c r="CW12" s="420">
        <f t="shared" si="36"/>
        <v>0</v>
      </c>
      <c r="CX12" s="419"/>
      <c r="CY12" s="419"/>
      <c r="CZ12" s="419"/>
      <c r="DA12" s="419">
        <f t="shared" si="37"/>
        <v>0</v>
      </c>
      <c r="DB12" s="419">
        <f t="shared" si="38"/>
        <v>0</v>
      </c>
      <c r="DC12" s="419"/>
      <c r="DD12" s="419"/>
      <c r="DE12" s="419"/>
      <c r="DF12" s="420">
        <f t="shared" si="39"/>
        <v>0</v>
      </c>
      <c r="DG12" s="421">
        <f t="shared" si="40"/>
        <v>0</v>
      </c>
      <c r="DH12" s="419"/>
      <c r="DI12" s="419"/>
      <c r="DJ12" s="419"/>
      <c r="DK12" s="420">
        <f t="shared" si="41"/>
        <v>0</v>
      </c>
      <c r="DL12" s="422">
        <f t="shared" si="42"/>
        <v>0</v>
      </c>
      <c r="DM12" s="420"/>
      <c r="DN12" s="420"/>
      <c r="DO12" s="420"/>
      <c r="DP12" s="420">
        <f t="shared" si="43"/>
        <v>0</v>
      </c>
      <c r="DQ12" s="420">
        <f t="shared" si="44"/>
        <v>0</v>
      </c>
      <c r="DR12" s="419"/>
      <c r="DS12" s="419"/>
      <c r="DT12" s="419"/>
      <c r="DU12" s="420">
        <f t="shared" si="45"/>
        <v>0</v>
      </c>
      <c r="DV12" s="423">
        <f t="shared" si="46"/>
        <v>0</v>
      </c>
      <c r="DW12" s="419"/>
      <c r="DX12" s="419"/>
      <c r="DY12" s="419"/>
      <c r="DZ12" s="420">
        <f t="shared" si="47"/>
        <v>0</v>
      </c>
      <c r="EA12" s="423">
        <f t="shared" si="48"/>
        <v>0</v>
      </c>
      <c r="EB12" s="420"/>
      <c r="EC12" s="419"/>
      <c r="ED12" s="420"/>
      <c r="EE12" s="419"/>
      <c r="EF12" s="420">
        <f t="shared" si="49"/>
        <v>0</v>
      </c>
      <c r="EG12" s="419"/>
      <c r="EH12" s="419"/>
      <c r="EI12" s="419"/>
      <c r="EJ12" s="420">
        <f t="shared" si="50"/>
        <v>0</v>
      </c>
      <c r="EK12" s="420">
        <f t="shared" si="51"/>
        <v>0</v>
      </c>
      <c r="EL12" s="419"/>
      <c r="EM12" s="419"/>
      <c r="EN12" s="419"/>
      <c r="EO12" s="419">
        <f t="shared" si="52"/>
        <v>0</v>
      </c>
      <c r="EP12" s="419">
        <f t="shared" si="53"/>
        <v>0</v>
      </c>
      <c r="EQ12" s="419"/>
      <c r="ER12" s="419"/>
      <c r="ES12" s="419"/>
      <c r="ET12" s="419">
        <f t="shared" si="54"/>
        <v>0</v>
      </c>
      <c r="EU12" s="419">
        <f t="shared" si="55"/>
        <v>0</v>
      </c>
      <c r="EV12" s="419"/>
      <c r="EW12" s="419"/>
      <c r="EX12" s="419"/>
      <c r="EY12" s="419">
        <f t="shared" si="56"/>
        <v>0</v>
      </c>
      <c r="EZ12" s="419">
        <f t="shared" si="76"/>
        <v>0</v>
      </c>
      <c r="FA12" s="420"/>
      <c r="FB12" s="420"/>
      <c r="FC12" s="420"/>
      <c r="FD12" s="420">
        <f t="shared" si="57"/>
        <v>0</v>
      </c>
      <c r="FE12" s="420">
        <f t="shared" si="58"/>
        <v>0</v>
      </c>
      <c r="FF12" s="419"/>
      <c r="FG12" s="419"/>
      <c r="FH12" s="419"/>
      <c r="FI12" s="419">
        <f t="shared" si="59"/>
        <v>0</v>
      </c>
      <c r="FJ12" s="419">
        <f t="shared" si="60"/>
        <v>0</v>
      </c>
      <c r="FK12" s="419"/>
      <c r="FL12" s="419"/>
      <c r="FM12" s="419"/>
      <c r="FN12" s="420">
        <f t="shared" si="61"/>
        <v>0</v>
      </c>
      <c r="FO12" s="423">
        <f t="shared" si="62"/>
        <v>0</v>
      </c>
      <c r="FP12" s="419"/>
      <c r="FQ12" s="419"/>
      <c r="FR12" s="419"/>
      <c r="FS12" s="420">
        <f t="shared" si="63"/>
        <v>0</v>
      </c>
      <c r="FT12" s="420">
        <f t="shared" si="64"/>
        <v>0</v>
      </c>
      <c r="FU12" s="419">
        <v>1410550.45</v>
      </c>
      <c r="FV12" s="419"/>
      <c r="FW12" s="419">
        <v>126949.54</v>
      </c>
      <c r="FX12" s="420">
        <f t="shared" si="65"/>
        <v>1410550.44</v>
      </c>
      <c r="FY12" s="420">
        <f t="shared" si="66"/>
        <v>-1.00000000093132E-2</v>
      </c>
      <c r="FZ12" s="419"/>
      <c r="GA12" s="419"/>
      <c r="GB12" s="419"/>
      <c r="GC12" s="420">
        <f t="shared" si="67"/>
        <v>0</v>
      </c>
      <c r="GD12" s="420">
        <f t="shared" si="68"/>
        <v>0</v>
      </c>
      <c r="GE12" s="419">
        <v>3286966.03</v>
      </c>
      <c r="GF12" s="419"/>
      <c r="GG12" s="419">
        <v>295826.94</v>
      </c>
      <c r="GH12" s="420">
        <f t="shared" si="69"/>
        <v>3286966</v>
      </c>
      <c r="GI12" s="423">
        <f t="shared" si="70"/>
        <v>-2.9999999795108999E-2</v>
      </c>
      <c r="GJ12" s="419">
        <v>1410550.45</v>
      </c>
      <c r="GK12" s="419"/>
      <c r="GL12" s="419">
        <v>126949.54</v>
      </c>
      <c r="GM12" s="420">
        <f t="shared" si="71"/>
        <v>1410550.4444444401</v>
      </c>
      <c r="GN12" s="420">
        <f t="shared" si="72"/>
        <v>-5.5555554572492803E-3</v>
      </c>
      <c r="GO12" s="419"/>
      <c r="GP12" s="419"/>
      <c r="GQ12" s="419"/>
      <c r="GR12" s="420">
        <f t="shared" si="77"/>
        <v>0</v>
      </c>
      <c r="GS12" s="423">
        <f t="shared" si="73"/>
        <v>0</v>
      </c>
      <c r="GT12" s="419"/>
      <c r="GU12" s="419"/>
      <c r="GV12" s="419"/>
      <c r="GW12" s="420">
        <f t="shared" si="74"/>
        <v>0</v>
      </c>
      <c r="GX12" s="420">
        <f t="shared" si="75"/>
        <v>0</v>
      </c>
    </row>
    <row r="13" spans="1:206" ht="15">
      <c r="A13" s="414"/>
      <c r="B13" s="415" t="s">
        <v>485</v>
      </c>
      <c r="C13" s="698"/>
      <c r="D13" s="707"/>
      <c r="E13" s="434" t="s">
        <v>125</v>
      </c>
      <c r="F13" s="417">
        <v>0.06</v>
      </c>
      <c r="G13" s="418">
        <f t="shared" si="4"/>
        <v>5717060.5300000003</v>
      </c>
      <c r="H13" s="418">
        <f t="shared" si="5"/>
        <v>2596564.42</v>
      </c>
      <c r="I13" s="418">
        <f t="shared" si="5"/>
        <v>343023.60359999997</v>
      </c>
      <c r="J13" s="418">
        <f t="shared" si="6"/>
        <v>5717060.0599999996</v>
      </c>
      <c r="K13" s="418">
        <f t="shared" si="7"/>
        <v>3120495.64</v>
      </c>
      <c r="L13" s="418">
        <f t="shared" si="8"/>
        <v>-3120495.64</v>
      </c>
      <c r="M13" s="424"/>
      <c r="N13" s="424"/>
      <c r="O13" s="424"/>
      <c r="P13" s="424"/>
      <c r="Q13" s="419"/>
      <c r="R13" s="419"/>
      <c r="S13" s="419"/>
      <c r="T13" s="420"/>
      <c r="U13" s="423"/>
      <c r="V13" s="420"/>
      <c r="W13" s="420"/>
      <c r="X13" s="419"/>
      <c r="Y13" s="419"/>
      <c r="Z13" s="423"/>
      <c r="AA13" s="423"/>
      <c r="AB13" s="425"/>
      <c r="AC13" s="419"/>
      <c r="AD13" s="420"/>
      <c r="AE13" s="423"/>
      <c r="AF13" s="419"/>
      <c r="AG13" s="419"/>
      <c r="AH13" s="419"/>
      <c r="AI13" s="420"/>
      <c r="AJ13" s="423"/>
      <c r="AK13" s="419"/>
      <c r="AL13" s="420"/>
      <c r="AM13" s="419"/>
      <c r="AN13" s="420"/>
      <c r="AO13" s="423"/>
      <c r="AP13" s="419"/>
      <c r="AQ13" s="419"/>
      <c r="AR13" s="420"/>
      <c r="AS13" s="420"/>
      <c r="AT13" s="420"/>
      <c r="AU13" s="420"/>
      <c r="AV13" s="420"/>
      <c r="AW13" s="435"/>
      <c r="AX13" s="426"/>
      <c r="AY13" s="420"/>
      <c r="AZ13" s="420"/>
      <c r="BA13" s="420"/>
      <c r="BB13" s="419"/>
      <c r="BC13" s="420"/>
      <c r="BD13" s="427"/>
      <c r="BE13" s="420"/>
      <c r="BF13" s="420"/>
      <c r="BG13" s="420"/>
      <c r="BH13" s="423"/>
      <c r="BI13" s="420"/>
      <c r="BJ13" s="420"/>
      <c r="BK13" s="420"/>
      <c r="BL13" s="420"/>
      <c r="BM13" s="420"/>
      <c r="BN13" s="420"/>
      <c r="BO13" s="419"/>
      <c r="BP13" s="428"/>
      <c r="BQ13" s="420"/>
      <c r="BR13" s="423"/>
      <c r="BS13" s="423"/>
      <c r="BT13" s="420"/>
      <c r="BU13" s="420"/>
      <c r="BV13" s="420"/>
      <c r="BW13" s="420"/>
      <c r="BX13" s="429"/>
      <c r="BY13" s="419"/>
      <c r="BZ13" s="419"/>
      <c r="CA13" s="419"/>
      <c r="CB13" s="420"/>
      <c r="CC13" s="430"/>
      <c r="CD13" s="419"/>
      <c r="CE13" s="419"/>
      <c r="CF13" s="419"/>
      <c r="CG13" s="420"/>
      <c r="CH13" s="423"/>
      <c r="CI13" s="431"/>
      <c r="CJ13" s="431"/>
      <c r="CK13" s="431"/>
      <c r="CL13" s="420"/>
      <c r="CM13" s="423"/>
      <c r="CN13" s="420">
        <v>124878.06</v>
      </c>
      <c r="CO13" s="420"/>
      <c r="CP13" s="420">
        <v>7492.68</v>
      </c>
      <c r="CQ13" s="432">
        <v>124878.06</v>
      </c>
      <c r="CR13" s="432">
        <f t="shared" si="35"/>
        <v>0</v>
      </c>
      <c r="CS13" s="420">
        <v>21325.93</v>
      </c>
      <c r="CT13" s="420"/>
      <c r="CU13" s="420">
        <v>1279.56</v>
      </c>
      <c r="CV13" s="420">
        <v>21325.93</v>
      </c>
      <c r="CW13" s="420">
        <f t="shared" si="36"/>
        <v>0</v>
      </c>
      <c r="CX13" s="419">
        <v>23049.37</v>
      </c>
      <c r="CY13" s="419"/>
      <c r="CZ13" s="419">
        <v>1382.96</v>
      </c>
      <c r="DA13" s="419">
        <f t="shared" si="37"/>
        <v>23049.33</v>
      </c>
      <c r="DB13" s="419">
        <f t="shared" si="38"/>
        <v>-0.04</v>
      </c>
      <c r="DC13" s="419">
        <v>27684.51</v>
      </c>
      <c r="DD13" s="419"/>
      <c r="DE13" s="419">
        <v>1661.07</v>
      </c>
      <c r="DF13" s="420">
        <f t="shared" si="39"/>
        <v>27684.5</v>
      </c>
      <c r="DG13" s="421">
        <f t="shared" si="40"/>
        <v>9.9999999983992893E-3</v>
      </c>
      <c r="DH13" s="419">
        <v>25907.01</v>
      </c>
      <c r="DI13" s="419"/>
      <c r="DJ13" s="419">
        <v>1554.42</v>
      </c>
      <c r="DK13" s="420">
        <f t="shared" si="41"/>
        <v>25907</v>
      </c>
      <c r="DL13" s="422">
        <f t="shared" si="42"/>
        <v>-9.9999999947613105E-3</v>
      </c>
      <c r="DM13" s="420">
        <v>30416.01</v>
      </c>
      <c r="DN13" s="420"/>
      <c r="DO13" s="420">
        <v>1824.96</v>
      </c>
      <c r="DP13" s="420">
        <f t="shared" si="43"/>
        <v>30416</v>
      </c>
      <c r="DQ13" s="420">
        <f t="shared" si="44"/>
        <v>-9.9999999983992893E-3</v>
      </c>
      <c r="DR13" s="419">
        <v>26955.45</v>
      </c>
      <c r="DS13" s="419"/>
      <c r="DT13" s="419">
        <v>1617.33</v>
      </c>
      <c r="DU13" s="420">
        <f t="shared" si="45"/>
        <v>26955.5</v>
      </c>
      <c r="DV13" s="423">
        <f t="shared" si="46"/>
        <v>4.9999999999272397E-2</v>
      </c>
      <c r="DW13" s="419">
        <v>773349.59</v>
      </c>
      <c r="DX13" s="419"/>
      <c r="DY13" s="419">
        <v>46400.97</v>
      </c>
      <c r="DZ13" s="420">
        <f t="shared" si="47"/>
        <v>773349.5</v>
      </c>
      <c r="EA13" s="423">
        <f t="shared" si="48"/>
        <v>-0.09</v>
      </c>
      <c r="EB13" s="419">
        <v>1405665.06</v>
      </c>
      <c r="EC13" s="419"/>
      <c r="ED13" s="420">
        <v>84339.903600000005</v>
      </c>
      <c r="EE13" s="419">
        <v>1405665.06</v>
      </c>
      <c r="EF13" s="420">
        <f t="shared" si="49"/>
        <v>0</v>
      </c>
      <c r="EG13" s="419">
        <v>108821.37</v>
      </c>
      <c r="EI13" s="419">
        <v>6529.28</v>
      </c>
      <c r="EJ13" s="420">
        <f t="shared" si="50"/>
        <v>108821.33</v>
      </c>
      <c r="EK13" s="420">
        <f t="shared" si="51"/>
        <v>-0.04</v>
      </c>
      <c r="EL13" s="419">
        <v>28512.07</v>
      </c>
      <c r="EN13" s="419">
        <v>1710.72</v>
      </c>
      <c r="EO13" s="419">
        <f t="shared" si="52"/>
        <v>28512</v>
      </c>
      <c r="EP13" s="419">
        <f t="shared" si="53"/>
        <v>-7.0000000000000007E-2</v>
      </c>
      <c r="EQ13" s="420">
        <v>42390.36</v>
      </c>
      <c r="ER13" s="420">
        <v>2596564.42</v>
      </c>
      <c r="ES13" s="420">
        <v>2543.42</v>
      </c>
      <c r="ET13" s="419">
        <f t="shared" si="54"/>
        <v>42390.33</v>
      </c>
      <c r="EU13" s="419">
        <f t="shared" si="55"/>
        <v>-0.03</v>
      </c>
      <c r="EV13" s="419">
        <v>44768.35</v>
      </c>
      <c r="EW13" s="419"/>
      <c r="EX13" s="419">
        <v>2686.1</v>
      </c>
      <c r="EY13" s="419">
        <f t="shared" si="56"/>
        <v>44768.33</v>
      </c>
      <c r="EZ13" s="419">
        <f t="shared" si="76"/>
        <v>-0.02</v>
      </c>
      <c r="FA13" s="420">
        <v>51067.08</v>
      </c>
      <c r="FB13" s="420"/>
      <c r="FC13" s="420">
        <v>3064.02</v>
      </c>
      <c r="FD13" s="420">
        <f t="shared" si="57"/>
        <v>51067</v>
      </c>
      <c r="FE13" s="420">
        <f t="shared" si="58"/>
        <v>-0.08</v>
      </c>
      <c r="FF13" s="419">
        <v>785466.23</v>
      </c>
      <c r="FG13" s="419"/>
      <c r="FH13" s="419">
        <v>47127.97</v>
      </c>
      <c r="FI13" s="419">
        <f t="shared" si="59"/>
        <v>785466.16666666698</v>
      </c>
      <c r="FJ13" s="419">
        <f t="shared" si="60"/>
        <v>-0.06</v>
      </c>
      <c r="FK13" s="419">
        <v>49452.77</v>
      </c>
      <c r="FL13" s="419"/>
      <c r="FM13" s="419">
        <v>2967.17</v>
      </c>
      <c r="FN13" s="420">
        <f t="shared" si="61"/>
        <v>49452.83</v>
      </c>
      <c r="FO13" s="423">
        <f t="shared" si="62"/>
        <v>0.06</v>
      </c>
      <c r="FP13" s="431">
        <v>47821.31</v>
      </c>
      <c r="FQ13" s="431">
        <v>0</v>
      </c>
      <c r="FR13" s="431">
        <v>2869.28</v>
      </c>
      <c r="FS13" s="420">
        <f t="shared" si="63"/>
        <v>47821.33</v>
      </c>
      <c r="FT13" s="420">
        <f t="shared" si="64"/>
        <v>2.0000000004074502E-2</v>
      </c>
      <c r="FU13" s="419">
        <v>46498.97</v>
      </c>
      <c r="FV13" s="419"/>
      <c r="FW13" s="419">
        <v>2789.94</v>
      </c>
      <c r="FX13" s="420">
        <f t="shared" si="65"/>
        <v>46499</v>
      </c>
      <c r="FY13" s="420">
        <f t="shared" si="66"/>
        <v>2.9999999998835802E-2</v>
      </c>
      <c r="FZ13" s="419">
        <v>39152.32</v>
      </c>
      <c r="GA13" s="419"/>
      <c r="GB13" s="419">
        <v>2349.14</v>
      </c>
      <c r="GC13" s="420">
        <f t="shared" si="67"/>
        <v>39152.33</v>
      </c>
      <c r="GD13" s="420">
        <f t="shared" si="68"/>
        <v>1.0000000002037299E-2</v>
      </c>
      <c r="GE13" s="419">
        <v>487640.38</v>
      </c>
      <c r="GF13" s="419"/>
      <c r="GG13" s="419">
        <v>29258.42</v>
      </c>
      <c r="GH13" s="420">
        <f t="shared" si="69"/>
        <v>487640.33333333302</v>
      </c>
      <c r="GI13" s="423">
        <f t="shared" si="70"/>
        <v>-4.6666666690725798E-2</v>
      </c>
      <c r="GJ13" s="437">
        <v>834841.46</v>
      </c>
      <c r="GK13" s="419"/>
      <c r="GL13" s="419">
        <v>50090.48</v>
      </c>
      <c r="GM13" s="420">
        <f t="shared" si="71"/>
        <v>834841.33333333302</v>
      </c>
      <c r="GN13" s="420">
        <f t="shared" si="72"/>
        <v>-0.12666666659060899</v>
      </c>
      <c r="GO13" s="419">
        <v>68493.259999999995</v>
      </c>
      <c r="GP13" s="419"/>
      <c r="GQ13" s="419">
        <v>4109.59</v>
      </c>
      <c r="GR13" s="420">
        <f t="shared" si="77"/>
        <v>68493.166666666701</v>
      </c>
      <c r="GS13" s="423">
        <f t="shared" si="73"/>
        <v>-9.3333333323244005E-2</v>
      </c>
      <c r="GT13" s="419">
        <v>622903.61</v>
      </c>
      <c r="GU13" s="419"/>
      <c r="GV13" s="419">
        <v>37374.22</v>
      </c>
      <c r="GW13" s="420">
        <f t="shared" si="74"/>
        <v>622903.67000000004</v>
      </c>
      <c r="GX13" s="420">
        <f t="shared" si="75"/>
        <v>6.0000000055879403E-2</v>
      </c>
    </row>
    <row r="14" spans="1:206" ht="15" customHeight="1">
      <c r="A14" s="414"/>
      <c r="B14" s="415" t="s">
        <v>485</v>
      </c>
      <c r="C14" s="698"/>
      <c r="D14" s="704" t="s">
        <v>488</v>
      </c>
      <c r="E14" s="434" t="s">
        <v>123</v>
      </c>
      <c r="F14" s="417">
        <v>0.13</v>
      </c>
      <c r="G14" s="418">
        <f t="shared" si="4"/>
        <v>0</v>
      </c>
      <c r="H14" s="418">
        <f t="shared" si="5"/>
        <v>0</v>
      </c>
      <c r="I14" s="418">
        <f t="shared" si="5"/>
        <v>0</v>
      </c>
      <c r="J14" s="418">
        <f t="shared" si="6"/>
        <v>0</v>
      </c>
      <c r="K14" s="418">
        <f t="shared" si="7"/>
        <v>0</v>
      </c>
      <c r="L14" s="418">
        <f t="shared" si="8"/>
        <v>0</v>
      </c>
      <c r="M14" s="424"/>
      <c r="N14" s="424"/>
      <c r="O14" s="424"/>
      <c r="P14" s="424"/>
      <c r="Q14" s="419"/>
      <c r="R14" s="419"/>
      <c r="S14" s="419"/>
      <c r="T14" s="420"/>
      <c r="U14" s="423"/>
      <c r="V14" s="420"/>
      <c r="W14" s="420"/>
      <c r="X14" s="419"/>
      <c r="Y14" s="419"/>
      <c r="Z14" s="423"/>
      <c r="AA14" s="423"/>
      <c r="AB14" s="425"/>
      <c r="AC14" s="419"/>
      <c r="AD14" s="420"/>
      <c r="AE14" s="423"/>
      <c r="AF14" s="419"/>
      <c r="AG14" s="419"/>
      <c r="AH14" s="419"/>
      <c r="AI14" s="420"/>
      <c r="AJ14" s="423"/>
      <c r="AK14" s="419"/>
      <c r="AL14" s="420"/>
      <c r="AM14" s="419"/>
      <c r="AN14" s="420"/>
      <c r="AO14" s="423"/>
      <c r="AP14" s="419"/>
      <c r="AQ14" s="419"/>
      <c r="AR14" s="420"/>
      <c r="AS14" s="420"/>
      <c r="AT14" s="420"/>
      <c r="AU14" s="420"/>
      <c r="AV14" s="420"/>
      <c r="AW14" s="435"/>
      <c r="AX14" s="426"/>
      <c r="AY14" s="420"/>
      <c r="AZ14" s="420"/>
      <c r="BA14" s="420"/>
      <c r="BB14" s="419"/>
      <c r="BC14" s="420"/>
      <c r="BD14" s="427"/>
      <c r="BE14" s="420"/>
      <c r="BF14" s="420"/>
      <c r="BG14" s="420"/>
      <c r="BH14" s="423"/>
      <c r="BI14" s="420"/>
      <c r="BJ14" s="420"/>
      <c r="BK14" s="420"/>
      <c r="BL14" s="420"/>
      <c r="BM14" s="420"/>
      <c r="BN14" s="420"/>
      <c r="BO14" s="419"/>
      <c r="BP14" s="428"/>
      <c r="BQ14" s="420"/>
      <c r="BR14" s="423"/>
      <c r="BS14" s="423"/>
      <c r="BT14" s="420"/>
      <c r="BU14" s="420"/>
      <c r="BV14" s="420"/>
      <c r="BW14" s="420"/>
      <c r="BX14" s="429"/>
      <c r="BY14" s="419"/>
      <c r="BZ14" s="419"/>
      <c r="CA14" s="419"/>
      <c r="CB14" s="420"/>
      <c r="CC14" s="430"/>
      <c r="CD14" s="419"/>
      <c r="CE14" s="419"/>
      <c r="CF14" s="419"/>
      <c r="CG14" s="420"/>
      <c r="CH14" s="423"/>
      <c r="CI14" s="431"/>
      <c r="CJ14" s="431"/>
      <c r="CK14" s="431"/>
      <c r="CL14" s="420"/>
      <c r="CM14" s="423"/>
      <c r="CN14" s="420"/>
      <c r="CO14" s="420"/>
      <c r="CP14" s="420"/>
      <c r="CQ14" s="432"/>
      <c r="CR14" s="432">
        <f t="shared" si="35"/>
        <v>0</v>
      </c>
      <c r="CS14" s="420"/>
      <c r="CT14" s="420"/>
      <c r="CU14" s="420"/>
      <c r="CV14" s="420"/>
      <c r="CW14" s="420">
        <f t="shared" si="36"/>
        <v>0</v>
      </c>
      <c r="CX14" s="419"/>
      <c r="CY14" s="419"/>
      <c r="CZ14" s="419"/>
      <c r="DA14" s="419">
        <f t="shared" si="37"/>
        <v>0</v>
      </c>
      <c r="DB14" s="419">
        <f t="shared" si="38"/>
        <v>0</v>
      </c>
      <c r="DC14" s="419"/>
      <c r="DD14" s="419"/>
      <c r="DE14" s="419"/>
      <c r="DF14" s="420">
        <f t="shared" si="39"/>
        <v>0</v>
      </c>
      <c r="DG14" s="421">
        <f t="shared" si="40"/>
        <v>0</v>
      </c>
      <c r="DH14" s="419"/>
      <c r="DI14" s="419"/>
      <c r="DJ14" s="419"/>
      <c r="DK14" s="420">
        <f t="shared" si="41"/>
        <v>0</v>
      </c>
      <c r="DL14" s="422">
        <f t="shared" si="42"/>
        <v>0</v>
      </c>
      <c r="DM14" s="420"/>
      <c r="DN14" s="420"/>
      <c r="DO14" s="420"/>
      <c r="DP14" s="420">
        <f t="shared" si="43"/>
        <v>0</v>
      </c>
      <c r="DQ14" s="420">
        <f t="shared" si="44"/>
        <v>0</v>
      </c>
      <c r="DR14" s="419"/>
      <c r="DS14" s="419"/>
      <c r="DT14" s="419"/>
      <c r="DU14" s="420">
        <f t="shared" si="45"/>
        <v>0</v>
      </c>
      <c r="DV14" s="423">
        <f t="shared" si="46"/>
        <v>0</v>
      </c>
      <c r="DW14" s="419"/>
      <c r="DX14" s="419"/>
      <c r="DY14" s="419"/>
      <c r="DZ14" s="420">
        <f t="shared" si="47"/>
        <v>0</v>
      </c>
      <c r="EA14" s="423">
        <f t="shared" si="48"/>
        <v>0</v>
      </c>
      <c r="EB14" s="419"/>
      <c r="EC14" s="419"/>
      <c r="ED14" s="420"/>
      <c r="EE14" s="419"/>
      <c r="EF14" s="420">
        <f t="shared" si="49"/>
        <v>0</v>
      </c>
      <c r="EG14" s="419"/>
      <c r="EH14" s="419"/>
      <c r="EI14" s="419"/>
      <c r="EJ14" s="420">
        <f t="shared" si="50"/>
        <v>0</v>
      </c>
      <c r="EK14" s="420">
        <f t="shared" si="51"/>
        <v>0</v>
      </c>
      <c r="EL14" s="419"/>
      <c r="EM14" s="419"/>
      <c r="EN14" s="419"/>
      <c r="EO14" s="419">
        <f t="shared" si="52"/>
        <v>0</v>
      </c>
      <c r="EP14" s="419">
        <f t="shared" si="53"/>
        <v>0</v>
      </c>
      <c r="EQ14" s="419"/>
      <c r="ER14" s="419"/>
      <c r="ES14" s="419"/>
      <c r="ET14" s="419">
        <f t="shared" si="54"/>
        <v>0</v>
      </c>
      <c r="EU14" s="419">
        <f t="shared" si="55"/>
        <v>0</v>
      </c>
      <c r="EV14" s="419"/>
      <c r="EW14" s="419"/>
      <c r="EX14" s="419"/>
      <c r="EY14" s="419">
        <f t="shared" si="56"/>
        <v>0</v>
      </c>
      <c r="EZ14" s="419">
        <f t="shared" si="76"/>
        <v>0</v>
      </c>
      <c r="FA14" s="420"/>
      <c r="FB14" s="420"/>
      <c r="FC14" s="420"/>
      <c r="FD14" s="420">
        <f t="shared" si="57"/>
        <v>0</v>
      </c>
      <c r="FE14" s="420">
        <f t="shared" si="58"/>
        <v>0</v>
      </c>
      <c r="FF14" s="419"/>
      <c r="FG14" s="419"/>
      <c r="FH14" s="419"/>
      <c r="FI14" s="419">
        <f t="shared" si="59"/>
        <v>0</v>
      </c>
      <c r="FJ14" s="419">
        <f t="shared" si="60"/>
        <v>0</v>
      </c>
      <c r="FK14" s="419"/>
      <c r="FL14" s="419"/>
      <c r="FM14" s="419"/>
      <c r="FN14" s="420">
        <f t="shared" si="61"/>
        <v>0</v>
      </c>
      <c r="FO14" s="423">
        <f t="shared" si="62"/>
        <v>0</v>
      </c>
      <c r="FP14" s="419"/>
      <c r="FQ14" s="419"/>
      <c r="FR14" s="419"/>
      <c r="FS14" s="420">
        <f t="shared" si="63"/>
        <v>0</v>
      </c>
      <c r="FT14" s="420">
        <f t="shared" si="64"/>
        <v>0</v>
      </c>
      <c r="FU14" s="419"/>
      <c r="FV14" s="419"/>
      <c r="FW14" s="419"/>
      <c r="FX14" s="420">
        <f t="shared" si="65"/>
        <v>0</v>
      </c>
      <c r="FY14" s="420">
        <f t="shared" si="66"/>
        <v>0</v>
      </c>
      <c r="FZ14" s="419"/>
      <c r="GA14" s="419"/>
      <c r="GB14" s="419"/>
      <c r="GC14" s="420">
        <f t="shared" si="67"/>
        <v>0</v>
      </c>
      <c r="GD14" s="420">
        <f t="shared" si="68"/>
        <v>0</v>
      </c>
      <c r="GE14" s="419"/>
      <c r="GF14" s="419"/>
      <c r="GG14" s="419"/>
      <c r="GH14" s="420">
        <f t="shared" si="69"/>
        <v>0</v>
      </c>
      <c r="GI14" s="423">
        <f t="shared" si="70"/>
        <v>0</v>
      </c>
      <c r="GJ14" s="419"/>
      <c r="GK14" s="419"/>
      <c r="GL14" s="419"/>
      <c r="GM14" s="420">
        <f t="shared" si="71"/>
        <v>0</v>
      </c>
      <c r="GN14" s="420">
        <f t="shared" si="72"/>
        <v>0</v>
      </c>
      <c r="GO14" s="419"/>
      <c r="GP14" s="419"/>
      <c r="GQ14" s="419"/>
      <c r="GR14" s="420">
        <f t="shared" si="77"/>
        <v>0</v>
      </c>
      <c r="GS14" s="423">
        <f t="shared" si="73"/>
        <v>0</v>
      </c>
      <c r="GT14" s="419"/>
      <c r="GU14" s="419"/>
      <c r="GV14" s="419"/>
      <c r="GW14" s="420">
        <f t="shared" si="74"/>
        <v>0</v>
      </c>
      <c r="GX14" s="420">
        <f t="shared" si="75"/>
        <v>0</v>
      </c>
    </row>
    <row r="15" spans="1:206" ht="15">
      <c r="A15" s="414"/>
      <c r="B15" s="415" t="s">
        <v>485</v>
      </c>
      <c r="C15" s="698"/>
      <c r="D15" s="706"/>
      <c r="E15" s="434" t="s">
        <v>124</v>
      </c>
      <c r="F15" s="417">
        <v>0.09</v>
      </c>
      <c r="G15" s="418">
        <f t="shared" si="4"/>
        <v>2452735.4500000002</v>
      </c>
      <c r="H15" s="418">
        <f t="shared" si="5"/>
        <v>0</v>
      </c>
      <c r="I15" s="418">
        <f t="shared" si="5"/>
        <v>220746.19</v>
      </c>
      <c r="J15" s="418">
        <f t="shared" si="6"/>
        <v>2452735.4444444398</v>
      </c>
      <c r="K15" s="418">
        <f t="shared" si="7"/>
        <v>2452735.4444444398</v>
      </c>
      <c r="L15" s="418">
        <f t="shared" si="8"/>
        <v>-2452735.4444444398</v>
      </c>
      <c r="M15" s="424"/>
      <c r="N15" s="424"/>
      <c r="O15" s="424"/>
      <c r="P15" s="424"/>
      <c r="Q15" s="419"/>
      <c r="R15" s="419"/>
      <c r="S15" s="419"/>
      <c r="T15" s="420"/>
      <c r="U15" s="423"/>
      <c r="V15" s="420"/>
      <c r="W15" s="420"/>
      <c r="X15" s="419"/>
      <c r="Y15" s="419"/>
      <c r="Z15" s="423"/>
      <c r="AA15" s="423"/>
      <c r="AB15" s="425"/>
      <c r="AC15" s="419"/>
      <c r="AD15" s="420"/>
      <c r="AE15" s="423"/>
      <c r="AF15" s="419"/>
      <c r="AG15" s="419"/>
      <c r="AH15" s="419"/>
      <c r="AI15" s="420"/>
      <c r="AJ15" s="423"/>
      <c r="AK15" s="419"/>
      <c r="AL15" s="420"/>
      <c r="AM15" s="419"/>
      <c r="AN15" s="420"/>
      <c r="AO15" s="423"/>
      <c r="AP15" s="419"/>
      <c r="AQ15" s="419"/>
      <c r="AR15" s="420"/>
      <c r="AS15" s="420"/>
      <c r="AT15" s="420"/>
      <c r="AU15" s="420"/>
      <c r="AV15" s="420"/>
      <c r="AW15" s="435"/>
      <c r="AX15" s="426"/>
      <c r="AY15" s="420"/>
      <c r="AZ15" s="420"/>
      <c r="BA15" s="420"/>
      <c r="BB15" s="419"/>
      <c r="BC15" s="420"/>
      <c r="BD15" s="427"/>
      <c r="BE15" s="420"/>
      <c r="BF15" s="420"/>
      <c r="BG15" s="420"/>
      <c r="BH15" s="423"/>
      <c r="BI15" s="420"/>
      <c r="BJ15" s="420"/>
      <c r="BK15" s="420"/>
      <c r="BL15" s="420"/>
      <c r="BM15" s="420"/>
      <c r="BN15" s="420"/>
      <c r="BO15" s="419"/>
      <c r="BP15" s="428"/>
      <c r="BQ15" s="420"/>
      <c r="BR15" s="423"/>
      <c r="BS15" s="423"/>
      <c r="BT15" s="420"/>
      <c r="BU15" s="420"/>
      <c r="BV15" s="420"/>
      <c r="BW15" s="420"/>
      <c r="BX15" s="429"/>
      <c r="BY15" s="419"/>
      <c r="BZ15" s="419"/>
      <c r="CA15" s="419"/>
      <c r="CB15" s="420"/>
      <c r="CC15" s="430"/>
      <c r="CD15" s="419"/>
      <c r="CE15" s="419"/>
      <c r="CF15" s="419"/>
      <c r="CG15" s="420"/>
      <c r="CH15" s="423"/>
      <c r="CI15" s="431"/>
      <c r="CJ15" s="431"/>
      <c r="CK15" s="431"/>
      <c r="CL15" s="420"/>
      <c r="CM15" s="423"/>
      <c r="CN15" s="420"/>
      <c r="CO15" s="420"/>
      <c r="CP15" s="420"/>
      <c r="CQ15" s="432"/>
      <c r="CR15" s="432">
        <f t="shared" si="35"/>
        <v>0</v>
      </c>
      <c r="CS15" s="420"/>
      <c r="CT15" s="420"/>
      <c r="CU15" s="420"/>
      <c r="CV15" s="420"/>
      <c r="CW15" s="420">
        <f t="shared" si="36"/>
        <v>0</v>
      </c>
      <c r="CX15" s="419"/>
      <c r="CY15" s="419"/>
      <c r="CZ15" s="419"/>
      <c r="DA15" s="419">
        <f t="shared" si="37"/>
        <v>0</v>
      </c>
      <c r="DB15" s="419">
        <f t="shared" si="38"/>
        <v>0</v>
      </c>
      <c r="DC15" s="419"/>
      <c r="DD15" s="419"/>
      <c r="DE15" s="419"/>
      <c r="DF15" s="420">
        <f t="shared" si="39"/>
        <v>0</v>
      </c>
      <c r="DG15" s="421">
        <f t="shared" si="40"/>
        <v>0</v>
      </c>
      <c r="DH15" s="419"/>
      <c r="DI15" s="419"/>
      <c r="DJ15" s="419"/>
      <c r="DK15" s="420">
        <f t="shared" si="41"/>
        <v>0</v>
      </c>
      <c r="DL15" s="422">
        <f t="shared" si="42"/>
        <v>0</v>
      </c>
      <c r="DM15" s="420"/>
      <c r="DN15" s="420"/>
      <c r="DO15" s="420"/>
      <c r="DP15" s="420">
        <f t="shared" si="43"/>
        <v>0</v>
      </c>
      <c r="DQ15" s="420">
        <f t="shared" si="44"/>
        <v>0</v>
      </c>
      <c r="DR15" s="419"/>
      <c r="DS15" s="419"/>
      <c r="DT15" s="419"/>
      <c r="DU15" s="420">
        <f t="shared" si="45"/>
        <v>0</v>
      </c>
      <c r="DV15" s="423">
        <f t="shared" si="46"/>
        <v>0</v>
      </c>
      <c r="DW15" s="419"/>
      <c r="DX15" s="419"/>
      <c r="DY15" s="419"/>
      <c r="DZ15" s="420">
        <f t="shared" si="47"/>
        <v>0</v>
      </c>
      <c r="EA15" s="423">
        <f t="shared" si="48"/>
        <v>0</v>
      </c>
      <c r="EB15" s="420"/>
      <c r="EC15" s="419"/>
      <c r="ED15" s="420"/>
      <c r="EE15" s="419"/>
      <c r="EF15" s="420">
        <f t="shared" si="49"/>
        <v>0</v>
      </c>
      <c r="EG15" s="419"/>
      <c r="EH15" s="419"/>
      <c r="EI15" s="419"/>
      <c r="EJ15" s="420">
        <f t="shared" si="50"/>
        <v>0</v>
      </c>
      <c r="EK15" s="420">
        <f t="shared" si="51"/>
        <v>0</v>
      </c>
      <c r="EL15" s="419"/>
      <c r="EM15" s="419"/>
      <c r="EN15" s="419"/>
      <c r="EO15" s="419">
        <f t="shared" si="52"/>
        <v>0</v>
      </c>
      <c r="EP15" s="419">
        <f t="shared" si="53"/>
        <v>0</v>
      </c>
      <c r="EQ15" s="419"/>
      <c r="ER15" s="419"/>
      <c r="ES15" s="419"/>
      <c r="ET15" s="419">
        <f t="shared" si="54"/>
        <v>0</v>
      </c>
      <c r="EU15" s="419">
        <f t="shared" si="55"/>
        <v>0</v>
      </c>
      <c r="EV15" s="419"/>
      <c r="EW15" s="419"/>
      <c r="EX15" s="419"/>
      <c r="EY15" s="419">
        <f t="shared" si="56"/>
        <v>0</v>
      </c>
      <c r="EZ15" s="419">
        <f t="shared" si="76"/>
        <v>0</v>
      </c>
      <c r="FA15" s="420"/>
      <c r="FB15" s="420"/>
      <c r="FC15" s="420"/>
      <c r="FD15" s="420">
        <f t="shared" si="57"/>
        <v>0</v>
      </c>
      <c r="FE15" s="420">
        <f t="shared" si="58"/>
        <v>0</v>
      </c>
      <c r="FF15" s="419"/>
      <c r="FG15" s="419"/>
      <c r="FH15" s="419"/>
      <c r="FI15" s="419">
        <f t="shared" si="59"/>
        <v>0</v>
      </c>
      <c r="FJ15" s="419">
        <f t="shared" si="60"/>
        <v>0</v>
      </c>
      <c r="FK15" s="419"/>
      <c r="FL15" s="419"/>
      <c r="FM15" s="419"/>
      <c r="FN15" s="420">
        <f t="shared" si="61"/>
        <v>0</v>
      </c>
      <c r="FO15" s="423">
        <f t="shared" si="62"/>
        <v>0</v>
      </c>
      <c r="FP15" s="419"/>
      <c r="FQ15" s="419"/>
      <c r="FR15" s="419"/>
      <c r="FS15" s="420">
        <f t="shared" si="63"/>
        <v>0</v>
      </c>
      <c r="FT15" s="420">
        <f t="shared" si="64"/>
        <v>0</v>
      </c>
      <c r="FU15" s="419"/>
      <c r="FV15" s="419"/>
      <c r="FW15" s="419"/>
      <c r="FX15" s="420">
        <f t="shared" si="65"/>
        <v>0</v>
      </c>
      <c r="FY15" s="420">
        <f t="shared" si="66"/>
        <v>0</v>
      </c>
      <c r="FZ15" s="419"/>
      <c r="GA15" s="419"/>
      <c r="GB15" s="419"/>
      <c r="GC15" s="420">
        <f t="shared" si="67"/>
        <v>0</v>
      </c>
      <c r="GD15" s="420">
        <f t="shared" si="68"/>
        <v>0</v>
      </c>
      <c r="GE15" s="419">
        <v>2452735.4500000002</v>
      </c>
      <c r="GF15" s="419"/>
      <c r="GG15" s="419">
        <v>220746.19</v>
      </c>
      <c r="GH15" s="420">
        <f t="shared" si="69"/>
        <v>2452735.4444444398</v>
      </c>
      <c r="GI15" s="423">
        <f t="shared" si="70"/>
        <v>-5.55555569007993E-3</v>
      </c>
      <c r="GJ15" s="419"/>
      <c r="GK15" s="419"/>
      <c r="GL15" s="419"/>
      <c r="GM15" s="420">
        <f t="shared" si="71"/>
        <v>0</v>
      </c>
      <c r="GN15" s="420">
        <f t="shared" si="72"/>
        <v>0</v>
      </c>
      <c r="GO15" s="419"/>
      <c r="GP15" s="419"/>
      <c r="GQ15" s="419"/>
      <c r="GR15" s="420">
        <f t="shared" si="77"/>
        <v>0</v>
      </c>
      <c r="GS15" s="423">
        <f t="shared" si="73"/>
        <v>0</v>
      </c>
      <c r="GT15" s="419"/>
      <c r="GU15" s="419"/>
      <c r="GV15" s="419"/>
      <c r="GW15" s="420">
        <f t="shared" si="74"/>
        <v>0</v>
      </c>
      <c r="GX15" s="420">
        <f t="shared" si="75"/>
        <v>0</v>
      </c>
    </row>
    <row r="16" spans="1:206" ht="15">
      <c r="A16" s="414"/>
      <c r="B16" s="415" t="s">
        <v>485</v>
      </c>
      <c r="C16" s="698"/>
      <c r="D16" s="707"/>
      <c r="E16" s="434" t="s">
        <v>125</v>
      </c>
      <c r="F16" s="417">
        <v>0.06</v>
      </c>
      <c r="G16" s="418">
        <f t="shared" si="4"/>
        <v>3484602.03</v>
      </c>
      <c r="H16" s="418">
        <f t="shared" si="5"/>
        <v>1980718.02</v>
      </c>
      <c r="I16" s="418">
        <f t="shared" si="5"/>
        <v>209076.09460000001</v>
      </c>
      <c r="J16" s="418">
        <f t="shared" si="6"/>
        <v>3484601.5766666699</v>
      </c>
      <c r="K16" s="418">
        <f t="shared" si="7"/>
        <v>1503883.5566666699</v>
      </c>
      <c r="L16" s="418">
        <f t="shared" si="8"/>
        <v>-1503883.5566666699</v>
      </c>
      <c r="M16" s="424"/>
      <c r="N16" s="424"/>
      <c r="O16" s="424"/>
      <c r="P16" s="424"/>
      <c r="Q16" s="419"/>
      <c r="R16" s="419"/>
      <c r="S16" s="419"/>
      <c r="T16" s="420"/>
      <c r="U16" s="423"/>
      <c r="V16" s="420"/>
      <c r="W16" s="420"/>
      <c r="X16" s="419"/>
      <c r="Y16" s="419"/>
      <c r="Z16" s="423"/>
      <c r="AA16" s="423"/>
      <c r="AB16" s="425"/>
      <c r="AC16" s="419"/>
      <c r="AD16" s="420"/>
      <c r="AE16" s="423"/>
      <c r="AF16" s="419"/>
      <c r="AG16" s="419"/>
      <c r="AH16" s="419"/>
      <c r="AI16" s="420"/>
      <c r="AJ16" s="423"/>
      <c r="AK16" s="419"/>
      <c r="AL16" s="420"/>
      <c r="AM16" s="419"/>
      <c r="AN16" s="420"/>
      <c r="AO16" s="423"/>
      <c r="AP16" s="419"/>
      <c r="AQ16" s="419"/>
      <c r="AR16" s="420"/>
      <c r="AS16" s="420"/>
      <c r="AT16" s="420"/>
      <c r="AU16" s="420"/>
      <c r="AV16" s="420"/>
      <c r="AW16" s="435"/>
      <c r="AX16" s="426"/>
      <c r="AY16" s="420"/>
      <c r="AZ16" s="420"/>
      <c r="BA16" s="420"/>
      <c r="BB16" s="419"/>
      <c r="BC16" s="420"/>
      <c r="BD16" s="427"/>
      <c r="BE16" s="420"/>
      <c r="BF16" s="420"/>
      <c r="BG16" s="420"/>
      <c r="BH16" s="423"/>
      <c r="BI16" s="420"/>
      <c r="BJ16" s="420"/>
      <c r="BK16" s="420"/>
      <c r="BL16" s="420"/>
      <c r="BM16" s="420"/>
      <c r="BN16" s="420"/>
      <c r="BO16" s="419"/>
      <c r="BP16" s="428"/>
      <c r="BQ16" s="420"/>
      <c r="BR16" s="423"/>
      <c r="BS16" s="423"/>
      <c r="BT16" s="420"/>
      <c r="BU16" s="420"/>
      <c r="BV16" s="420"/>
      <c r="BW16" s="420"/>
      <c r="BX16" s="429"/>
      <c r="BY16" s="419"/>
      <c r="BZ16" s="419"/>
      <c r="CA16" s="419"/>
      <c r="CB16" s="420"/>
      <c r="CC16" s="430"/>
      <c r="CD16" s="419"/>
      <c r="CE16" s="419"/>
      <c r="CF16" s="419"/>
      <c r="CG16" s="420"/>
      <c r="CH16" s="423"/>
      <c r="CI16" s="431"/>
      <c r="CJ16" s="431"/>
      <c r="CK16" s="431"/>
      <c r="CL16" s="420"/>
      <c r="CM16" s="423"/>
      <c r="CN16" s="420">
        <v>83252.05</v>
      </c>
      <c r="CO16" s="420"/>
      <c r="CP16" s="420">
        <v>4995.13</v>
      </c>
      <c r="CQ16" s="432">
        <v>83252.05</v>
      </c>
      <c r="CR16" s="432">
        <f t="shared" si="35"/>
        <v>0</v>
      </c>
      <c r="CS16" s="420">
        <v>19193.34</v>
      </c>
      <c r="CT16" s="420"/>
      <c r="CU16" s="420">
        <v>1151.5999999999999</v>
      </c>
      <c r="CV16" s="420">
        <v>19193.34</v>
      </c>
      <c r="CW16" s="420">
        <f t="shared" si="36"/>
        <v>0</v>
      </c>
      <c r="CX16" s="419">
        <v>20744.43</v>
      </c>
      <c r="CY16" s="419"/>
      <c r="CZ16" s="419">
        <v>1244.67</v>
      </c>
      <c r="DA16" s="419">
        <f t="shared" si="37"/>
        <v>20744.5</v>
      </c>
      <c r="DB16" s="419">
        <f t="shared" si="38"/>
        <v>7.0000000000000007E-2</v>
      </c>
      <c r="DC16" s="419">
        <v>24916.05</v>
      </c>
      <c r="DD16" s="419"/>
      <c r="DE16" s="419">
        <v>1494.96</v>
      </c>
      <c r="DF16" s="420">
        <f t="shared" si="39"/>
        <v>24916</v>
      </c>
      <c r="DG16" s="421">
        <f t="shared" si="40"/>
        <v>4.9999999999272397E-2</v>
      </c>
      <c r="DH16" s="419">
        <v>23316.31</v>
      </c>
      <c r="DI16" s="419"/>
      <c r="DJ16" s="419">
        <v>1398.98</v>
      </c>
      <c r="DK16" s="420">
        <f t="shared" si="41"/>
        <v>23316.333333333299</v>
      </c>
      <c r="DL16" s="422">
        <f t="shared" si="42"/>
        <v>2.3333333334449001E-2</v>
      </c>
      <c r="DM16" s="420">
        <v>27374.400000000001</v>
      </c>
      <c r="DN16" s="420"/>
      <c r="DO16" s="420">
        <v>1642.46</v>
      </c>
      <c r="DP16" s="420">
        <f t="shared" si="43"/>
        <v>27374.333333333299</v>
      </c>
      <c r="DQ16" s="420">
        <f t="shared" si="44"/>
        <v>-6.6666666665696497E-2</v>
      </c>
      <c r="DR16" s="419">
        <v>24259.9</v>
      </c>
      <c r="DS16" s="419"/>
      <c r="DT16" s="419">
        <v>1455.59</v>
      </c>
      <c r="DU16" s="420">
        <f t="shared" si="45"/>
        <v>24259.833333333299</v>
      </c>
      <c r="DV16" s="423">
        <f t="shared" si="46"/>
        <v>-6.6666666669334504E-2</v>
      </c>
      <c r="DW16" s="419">
        <v>25797.65</v>
      </c>
      <c r="DX16" s="419"/>
      <c r="DY16" s="419">
        <v>1547.86</v>
      </c>
      <c r="DZ16" s="420">
        <f t="shared" si="47"/>
        <v>25797.67</v>
      </c>
      <c r="EA16" s="423">
        <f t="shared" si="48"/>
        <v>0.02</v>
      </c>
      <c r="EB16" s="419">
        <v>1182791.4099999999</v>
      </c>
      <c r="EC16" s="419"/>
      <c r="ED16" s="420">
        <v>70967.484599999996</v>
      </c>
      <c r="EE16" s="419">
        <v>1182791.4099999999</v>
      </c>
      <c r="EF16" s="420">
        <f t="shared" si="49"/>
        <v>0</v>
      </c>
      <c r="EG16" s="419">
        <v>523411.61</v>
      </c>
      <c r="EI16" s="419">
        <v>31404.69</v>
      </c>
      <c r="EJ16" s="420">
        <f t="shared" si="50"/>
        <v>523411.5</v>
      </c>
      <c r="EK16" s="420">
        <f t="shared" si="51"/>
        <v>-0.11</v>
      </c>
      <c r="EL16" s="419">
        <v>25660.86</v>
      </c>
      <c r="EN16" s="419">
        <v>1539.65</v>
      </c>
      <c r="EO16" s="419">
        <f t="shared" si="52"/>
        <v>25660.83</v>
      </c>
      <c r="EP16" s="419">
        <f t="shared" si="53"/>
        <v>-0.03</v>
      </c>
      <c r="EQ16" s="420">
        <v>40397.5</v>
      </c>
      <c r="ER16" s="419">
        <v>1980718.02</v>
      </c>
      <c r="ES16" s="419">
        <v>2423.85</v>
      </c>
      <c r="ET16" s="419">
        <f t="shared" si="54"/>
        <v>40397.5</v>
      </c>
      <c r="EU16" s="419">
        <f t="shared" si="55"/>
        <v>0</v>
      </c>
      <c r="EV16" s="419">
        <v>42663.69</v>
      </c>
      <c r="EW16" s="419"/>
      <c r="EX16" s="419">
        <v>2559.8200000000002</v>
      </c>
      <c r="EY16" s="419">
        <f t="shared" si="56"/>
        <v>42663.67</v>
      </c>
      <c r="EZ16" s="419">
        <f t="shared" si="76"/>
        <v>-0.02</v>
      </c>
      <c r="FA16" s="420">
        <v>48692.23</v>
      </c>
      <c r="FB16" s="420"/>
      <c r="FC16" s="420">
        <v>2921.53</v>
      </c>
      <c r="FD16" s="420">
        <f t="shared" si="57"/>
        <v>48692.17</v>
      </c>
      <c r="FE16" s="420">
        <f t="shared" si="58"/>
        <v>-0.06</v>
      </c>
      <c r="FF16" s="419">
        <v>51854.67</v>
      </c>
      <c r="FG16" s="419"/>
      <c r="FH16" s="419">
        <v>3111.28</v>
      </c>
      <c r="FI16" s="419">
        <f t="shared" si="59"/>
        <v>51854.666666666701</v>
      </c>
      <c r="FJ16" s="419">
        <f t="shared" si="60"/>
        <v>0</v>
      </c>
      <c r="FK16" s="419">
        <v>46890.55</v>
      </c>
      <c r="FL16" s="419"/>
      <c r="FM16" s="419">
        <v>2813.43</v>
      </c>
      <c r="FN16" s="420">
        <f t="shared" si="61"/>
        <v>46890.5</v>
      </c>
      <c r="FO16" s="423">
        <f t="shared" si="62"/>
        <v>-0.05</v>
      </c>
      <c r="FP16" s="431">
        <v>45288.73</v>
      </c>
      <c r="FQ16" s="431">
        <v>0</v>
      </c>
      <c r="FR16" s="431">
        <v>2717.32</v>
      </c>
      <c r="FS16" s="420">
        <f t="shared" si="63"/>
        <v>45288.67</v>
      </c>
      <c r="FT16" s="420">
        <f t="shared" si="64"/>
        <v>-6.00000000049477E-2</v>
      </c>
      <c r="FU16" s="419">
        <v>44036.45</v>
      </c>
      <c r="FV16" s="419"/>
      <c r="FW16" s="419">
        <v>2642.19</v>
      </c>
      <c r="FX16" s="420">
        <f t="shared" si="65"/>
        <v>44036.5</v>
      </c>
      <c r="FY16" s="420">
        <f t="shared" si="66"/>
        <v>5.0000000002910397E-2</v>
      </c>
      <c r="FZ16" s="419">
        <v>37077.08</v>
      </c>
      <c r="GA16" s="419"/>
      <c r="GB16" s="419">
        <v>2224.63</v>
      </c>
      <c r="GC16" s="420">
        <f t="shared" si="67"/>
        <v>37077.17</v>
      </c>
      <c r="GD16" s="420">
        <f t="shared" si="68"/>
        <v>8.9999999996507499E-2</v>
      </c>
      <c r="GE16" s="419">
        <v>404119.51</v>
      </c>
      <c r="GF16" s="419"/>
      <c r="GG16" s="419">
        <v>24247.17</v>
      </c>
      <c r="GH16" s="420">
        <f t="shared" si="69"/>
        <v>404119.5</v>
      </c>
      <c r="GI16" s="423">
        <f t="shared" si="70"/>
        <v>-1.00000000093132E-2</v>
      </c>
      <c r="GJ16" s="437">
        <v>95273.23</v>
      </c>
      <c r="GK16" s="419"/>
      <c r="GL16" s="419">
        <v>5716.39</v>
      </c>
      <c r="GM16" s="420">
        <f t="shared" si="71"/>
        <v>95273.166666666701</v>
      </c>
      <c r="GN16" s="420">
        <f t="shared" si="72"/>
        <v>-6.33333333244082E-2</v>
      </c>
      <c r="GO16" s="419">
        <v>63366.01</v>
      </c>
      <c r="GP16" s="419"/>
      <c r="GQ16" s="419">
        <v>3801.95</v>
      </c>
      <c r="GR16" s="420">
        <f t="shared" si="77"/>
        <v>63365.833333333299</v>
      </c>
      <c r="GS16" s="423">
        <f t="shared" si="73"/>
        <v>-0.176666666666279</v>
      </c>
      <c r="GT16" s="419">
        <v>584224.37</v>
      </c>
      <c r="GU16" s="419"/>
      <c r="GV16" s="419">
        <v>35053.46</v>
      </c>
      <c r="GW16" s="420">
        <f t="shared" si="74"/>
        <v>584224.32999999996</v>
      </c>
      <c r="GX16" s="420">
        <f t="shared" si="75"/>
        <v>-4.0000000037252903E-2</v>
      </c>
    </row>
    <row r="17" spans="1:206" ht="15">
      <c r="A17" s="414"/>
      <c r="B17" s="415" t="s">
        <v>489</v>
      </c>
      <c r="C17" s="698"/>
      <c r="D17" s="704" t="s">
        <v>490</v>
      </c>
      <c r="E17" s="714" t="s">
        <v>123</v>
      </c>
      <c r="F17" s="417">
        <v>0.16</v>
      </c>
      <c r="G17" s="418">
        <f t="shared" si="4"/>
        <v>0</v>
      </c>
      <c r="H17" s="418">
        <f t="shared" si="5"/>
        <v>47536174</v>
      </c>
      <c r="I17" s="418">
        <f t="shared" si="5"/>
        <v>7605787.9999999898</v>
      </c>
      <c r="J17" s="418">
        <f t="shared" si="6"/>
        <v>47536174.999999903</v>
      </c>
      <c r="K17" s="438"/>
      <c r="L17" s="438"/>
      <c r="M17" s="424"/>
      <c r="N17" s="424">
        <v>47536174</v>
      </c>
      <c r="O17" s="424">
        <v>7605787.9999999898</v>
      </c>
      <c r="P17" s="424"/>
      <c r="Q17" s="419"/>
      <c r="R17" s="419"/>
      <c r="S17" s="419"/>
      <c r="T17" s="420">
        <v>0</v>
      </c>
      <c r="U17" s="423">
        <f t="shared" si="9"/>
        <v>0</v>
      </c>
      <c r="V17" s="420"/>
      <c r="W17" s="420"/>
      <c r="X17" s="419"/>
      <c r="Y17" s="419"/>
      <c r="Z17" s="423">
        <f t="shared" si="10"/>
        <v>0</v>
      </c>
      <c r="AA17" s="423"/>
      <c r="AB17" s="425"/>
      <c r="AC17" s="419"/>
      <c r="AD17" s="420">
        <f t="shared" si="11"/>
        <v>0</v>
      </c>
      <c r="AE17" s="423">
        <f t="shared" si="12"/>
        <v>0</v>
      </c>
      <c r="AF17" s="419"/>
      <c r="AG17" s="419"/>
      <c r="AH17" s="419"/>
      <c r="AI17" s="420">
        <f t="shared" si="13"/>
        <v>0</v>
      </c>
      <c r="AJ17" s="423">
        <f t="shared" si="14"/>
        <v>0</v>
      </c>
      <c r="AK17" s="419"/>
      <c r="AL17" s="420"/>
      <c r="AM17" s="419"/>
      <c r="AN17" s="420">
        <f t="shared" si="15"/>
        <v>0</v>
      </c>
      <c r="AO17" s="423">
        <f t="shared" si="16"/>
        <v>0</v>
      </c>
      <c r="AP17" s="419"/>
      <c r="AQ17" s="419"/>
      <c r="AR17" s="419"/>
      <c r="AS17" s="420">
        <f t="shared" si="17"/>
        <v>0</v>
      </c>
      <c r="AT17" s="420">
        <f t="shared" si="18"/>
        <v>0</v>
      </c>
      <c r="AU17" s="420"/>
      <c r="AV17" s="420"/>
      <c r="AW17" s="420"/>
      <c r="AX17" s="426">
        <f t="shared" si="19"/>
        <v>0</v>
      </c>
      <c r="AY17" s="420">
        <f t="shared" si="20"/>
        <v>0</v>
      </c>
      <c r="AZ17" s="419"/>
      <c r="BA17" s="420"/>
      <c r="BB17" s="419"/>
      <c r="BC17" s="420">
        <f t="shared" si="21"/>
        <v>0</v>
      </c>
      <c r="BD17" s="427"/>
      <c r="BE17" s="420"/>
      <c r="BF17" s="420"/>
      <c r="BG17" s="420"/>
      <c r="BH17" s="423">
        <f t="shared" si="22"/>
        <v>0</v>
      </c>
      <c r="BI17" s="420">
        <f t="shared" si="23"/>
        <v>0</v>
      </c>
      <c r="BJ17" s="420"/>
      <c r="BK17" s="420"/>
      <c r="BL17" s="420"/>
      <c r="BM17" s="420">
        <f t="shared" si="24"/>
        <v>0</v>
      </c>
      <c r="BN17" s="420">
        <f t="shared" si="25"/>
        <v>0</v>
      </c>
      <c r="BO17" s="419"/>
      <c r="BP17" s="428"/>
      <c r="BQ17" s="420"/>
      <c r="BR17" s="423">
        <f t="shared" si="26"/>
        <v>0</v>
      </c>
      <c r="BS17" s="423">
        <f t="shared" si="27"/>
        <v>0</v>
      </c>
      <c r="BT17" s="420"/>
      <c r="BU17" s="420"/>
      <c r="BV17" s="420"/>
      <c r="BW17" s="420"/>
      <c r="BX17" s="429">
        <f t="shared" si="28"/>
        <v>0</v>
      </c>
      <c r="BY17" s="419"/>
      <c r="BZ17" s="419"/>
      <c r="CA17" s="419"/>
      <c r="CB17" s="420">
        <f t="shared" si="29"/>
        <v>0</v>
      </c>
      <c r="CC17" s="430">
        <f t="shared" si="30"/>
        <v>0</v>
      </c>
      <c r="CD17" s="419"/>
      <c r="CE17" s="419"/>
      <c r="CF17" s="419"/>
      <c r="CG17" s="420">
        <f t="shared" si="31"/>
        <v>0</v>
      </c>
      <c r="CH17" s="423">
        <f t="shared" si="32"/>
        <v>0</v>
      </c>
      <c r="CI17" s="431"/>
      <c r="CJ17" s="431"/>
      <c r="CK17" s="431"/>
      <c r="CL17" s="420">
        <f t="shared" si="33"/>
        <v>0</v>
      </c>
      <c r="CM17" s="423">
        <f t="shared" si="34"/>
        <v>0</v>
      </c>
      <c r="CN17" s="420"/>
      <c r="CO17" s="420"/>
      <c r="CP17" s="420"/>
      <c r="CQ17" s="432"/>
      <c r="CR17" s="432">
        <f t="shared" si="35"/>
        <v>0</v>
      </c>
      <c r="CS17" s="420"/>
      <c r="CT17" s="420"/>
      <c r="CU17" s="420"/>
      <c r="CV17" s="420"/>
      <c r="CW17" s="420">
        <f t="shared" si="36"/>
        <v>0</v>
      </c>
      <c r="CX17" s="419"/>
      <c r="CY17" s="419"/>
      <c r="CZ17" s="419"/>
      <c r="DA17" s="419">
        <f t="shared" si="37"/>
        <v>0</v>
      </c>
      <c r="DB17" s="419">
        <f t="shared" si="38"/>
        <v>0</v>
      </c>
      <c r="DC17" s="419"/>
      <c r="DD17" s="419"/>
      <c r="DE17" s="419"/>
      <c r="DF17" s="420">
        <f t="shared" si="39"/>
        <v>0</v>
      </c>
      <c r="DG17" s="421">
        <f t="shared" si="40"/>
        <v>0</v>
      </c>
      <c r="DH17" s="419"/>
      <c r="DI17" s="419"/>
      <c r="DJ17" s="419"/>
      <c r="DK17" s="420">
        <f t="shared" si="41"/>
        <v>0</v>
      </c>
      <c r="DL17" s="422">
        <f t="shared" si="42"/>
        <v>0</v>
      </c>
      <c r="DM17" s="420"/>
      <c r="DN17" s="420"/>
      <c r="DO17" s="420"/>
      <c r="DP17" s="420">
        <f t="shared" si="43"/>
        <v>0</v>
      </c>
      <c r="DQ17" s="420">
        <f t="shared" si="44"/>
        <v>0</v>
      </c>
      <c r="DR17" s="419"/>
      <c r="DS17" s="419"/>
      <c r="DT17" s="419"/>
      <c r="DU17" s="420">
        <f t="shared" si="45"/>
        <v>0</v>
      </c>
      <c r="DV17" s="423">
        <f t="shared" si="46"/>
        <v>0</v>
      </c>
      <c r="DW17" s="419"/>
      <c r="DX17" s="419"/>
      <c r="DY17" s="419"/>
      <c r="DZ17" s="420">
        <f t="shared" si="47"/>
        <v>0</v>
      </c>
      <c r="EA17" s="423">
        <f t="shared" si="48"/>
        <v>0</v>
      </c>
      <c r="EB17" s="419"/>
      <c r="EC17" s="419"/>
      <c r="ED17" s="420"/>
      <c r="EE17" s="419"/>
      <c r="EF17" s="420">
        <f t="shared" si="49"/>
        <v>0</v>
      </c>
      <c r="EG17" s="419"/>
      <c r="EH17" s="419"/>
      <c r="EI17" s="419"/>
      <c r="EJ17" s="420">
        <f t="shared" si="50"/>
        <v>0</v>
      </c>
      <c r="EK17" s="420">
        <f t="shared" si="51"/>
        <v>0</v>
      </c>
      <c r="EL17" s="419"/>
      <c r="EM17" s="419"/>
      <c r="EN17" s="419"/>
      <c r="EO17" s="419">
        <f t="shared" si="52"/>
        <v>0</v>
      </c>
      <c r="EP17" s="419">
        <f t="shared" si="53"/>
        <v>0</v>
      </c>
      <c r="EQ17" s="419"/>
      <c r="ER17" s="419"/>
      <c r="ES17" s="419"/>
      <c r="ET17" s="419">
        <f t="shared" si="54"/>
        <v>0</v>
      </c>
      <c r="EU17" s="419">
        <f t="shared" si="55"/>
        <v>0</v>
      </c>
      <c r="EV17" s="419"/>
      <c r="EW17" s="419"/>
      <c r="EX17" s="419"/>
      <c r="EY17" s="419">
        <f t="shared" si="56"/>
        <v>0</v>
      </c>
      <c r="EZ17" s="419">
        <f t="shared" si="76"/>
        <v>0</v>
      </c>
      <c r="FA17" s="420"/>
      <c r="FB17" s="420"/>
      <c r="FC17" s="420"/>
      <c r="FD17" s="420">
        <f t="shared" si="57"/>
        <v>0</v>
      </c>
      <c r="FE17" s="420">
        <f t="shared" si="58"/>
        <v>0</v>
      </c>
      <c r="FF17" s="419"/>
      <c r="FG17" s="419"/>
      <c r="FH17" s="419"/>
      <c r="FI17" s="419">
        <f t="shared" si="59"/>
        <v>0</v>
      </c>
      <c r="FJ17" s="419">
        <f t="shared" si="60"/>
        <v>0</v>
      </c>
      <c r="FK17" s="419"/>
      <c r="FL17" s="419"/>
      <c r="FM17" s="419"/>
      <c r="FN17" s="420">
        <f t="shared" si="61"/>
        <v>0</v>
      </c>
      <c r="FO17" s="423">
        <f t="shared" si="62"/>
        <v>0</v>
      </c>
      <c r="FP17" s="419"/>
      <c r="FQ17" s="419"/>
      <c r="FR17" s="419"/>
      <c r="FS17" s="420">
        <f t="shared" si="63"/>
        <v>0</v>
      </c>
      <c r="FT17" s="420">
        <f t="shared" si="64"/>
        <v>0</v>
      </c>
      <c r="FU17" s="419"/>
      <c r="FV17" s="419"/>
      <c r="FW17" s="419"/>
      <c r="FX17" s="420">
        <f t="shared" si="65"/>
        <v>0</v>
      </c>
      <c r="FY17" s="420">
        <f t="shared" si="66"/>
        <v>0</v>
      </c>
      <c r="FZ17" s="419"/>
      <c r="GA17" s="419"/>
      <c r="GB17" s="419"/>
      <c r="GC17" s="420">
        <f t="shared" si="67"/>
        <v>0</v>
      </c>
      <c r="GD17" s="420">
        <f t="shared" si="68"/>
        <v>0</v>
      </c>
      <c r="GE17" s="419"/>
      <c r="GF17" s="419"/>
      <c r="GG17" s="419"/>
      <c r="GH17" s="420">
        <f t="shared" si="69"/>
        <v>0</v>
      </c>
      <c r="GI17" s="423">
        <f t="shared" si="70"/>
        <v>0</v>
      </c>
      <c r="GJ17" s="419"/>
      <c r="GK17" s="419"/>
      <c r="GL17" s="419"/>
      <c r="GM17" s="420">
        <f t="shared" si="71"/>
        <v>0</v>
      </c>
      <c r="GN17" s="420">
        <f t="shared" si="72"/>
        <v>0</v>
      </c>
      <c r="GO17" s="419"/>
      <c r="GP17" s="419"/>
      <c r="GQ17" s="419"/>
      <c r="GR17" s="420">
        <f t="shared" si="77"/>
        <v>0</v>
      </c>
      <c r="GS17" s="423">
        <f t="shared" si="73"/>
        <v>0</v>
      </c>
      <c r="GT17" s="419"/>
      <c r="GU17" s="419"/>
      <c r="GV17" s="419"/>
      <c r="GW17" s="420">
        <f t="shared" si="74"/>
        <v>0</v>
      </c>
      <c r="GX17" s="420">
        <f t="shared" si="75"/>
        <v>0</v>
      </c>
    </row>
    <row r="18" spans="1:206" ht="15">
      <c r="A18" s="414"/>
      <c r="B18" s="415" t="s">
        <v>489</v>
      </c>
      <c r="C18" s="698"/>
      <c r="D18" s="705"/>
      <c r="E18" s="715"/>
      <c r="F18" s="417">
        <v>0.13</v>
      </c>
      <c r="G18" s="418">
        <f t="shared" si="4"/>
        <v>64515557.0018676</v>
      </c>
      <c r="H18" s="418">
        <f t="shared" si="5"/>
        <v>16171697.630000001</v>
      </c>
      <c r="I18" s="418">
        <f t="shared" si="5"/>
        <v>2094519.48072127</v>
      </c>
      <c r="J18" s="418">
        <f t="shared" si="6"/>
        <v>16111688.3132405</v>
      </c>
      <c r="K18" s="438"/>
      <c r="L18" s="438"/>
      <c r="M18" s="424">
        <v>64515557.0018676</v>
      </c>
      <c r="N18" s="424">
        <v>16111688.310000001</v>
      </c>
      <c r="O18" s="424">
        <v>2094519.48072127</v>
      </c>
      <c r="P18" s="424"/>
      <c r="Q18" s="419"/>
      <c r="R18" s="419"/>
      <c r="S18" s="419"/>
      <c r="T18" s="420">
        <v>0</v>
      </c>
      <c r="U18" s="423">
        <f t="shared" si="9"/>
        <v>0</v>
      </c>
      <c r="V18" s="420"/>
      <c r="W18" s="420"/>
      <c r="X18" s="419"/>
      <c r="Y18" s="419"/>
      <c r="Z18" s="423">
        <f t="shared" si="10"/>
        <v>0</v>
      </c>
      <c r="AA18" s="423"/>
      <c r="AB18" s="439">
        <v>60009.32</v>
      </c>
      <c r="AC18" s="419"/>
      <c r="AD18" s="420">
        <f t="shared" si="11"/>
        <v>0</v>
      </c>
      <c r="AE18" s="423">
        <f t="shared" si="12"/>
        <v>0</v>
      </c>
      <c r="AF18" s="419"/>
      <c r="AG18" s="419"/>
      <c r="AH18" s="419"/>
      <c r="AI18" s="420">
        <f t="shared" si="13"/>
        <v>0</v>
      </c>
      <c r="AJ18" s="423">
        <f t="shared" si="14"/>
        <v>0</v>
      </c>
      <c r="AK18" s="419"/>
      <c r="AL18" s="420"/>
      <c r="AM18" s="419"/>
      <c r="AN18" s="420">
        <f t="shared" si="15"/>
        <v>0</v>
      </c>
      <c r="AO18" s="423">
        <f t="shared" si="16"/>
        <v>0</v>
      </c>
      <c r="AP18" s="419"/>
      <c r="AQ18" s="419"/>
      <c r="AR18" s="420"/>
      <c r="AS18" s="420">
        <f t="shared" si="17"/>
        <v>0</v>
      </c>
      <c r="AT18" s="420">
        <f t="shared" si="18"/>
        <v>0</v>
      </c>
      <c r="AU18" s="420"/>
      <c r="AV18" s="420"/>
      <c r="AW18" s="420"/>
      <c r="AX18" s="426">
        <f t="shared" si="19"/>
        <v>0</v>
      </c>
      <c r="AY18" s="420">
        <f t="shared" si="20"/>
        <v>0</v>
      </c>
      <c r="AZ18" s="419"/>
      <c r="BA18" s="420"/>
      <c r="BB18" s="419"/>
      <c r="BC18" s="420">
        <f t="shared" si="21"/>
        <v>0</v>
      </c>
      <c r="BD18" s="427"/>
      <c r="BE18" s="420"/>
      <c r="BF18" s="420"/>
      <c r="BG18" s="420"/>
      <c r="BH18" s="423">
        <f t="shared" si="22"/>
        <v>0</v>
      </c>
      <c r="BI18" s="420">
        <f t="shared" si="23"/>
        <v>0</v>
      </c>
      <c r="BJ18" s="420"/>
      <c r="BK18" s="420"/>
      <c r="BL18" s="420"/>
      <c r="BM18" s="420">
        <f t="shared" si="24"/>
        <v>0</v>
      </c>
      <c r="BN18" s="420">
        <f t="shared" si="25"/>
        <v>0</v>
      </c>
      <c r="BO18" s="419"/>
      <c r="BP18" s="428"/>
      <c r="BQ18" s="420"/>
      <c r="BR18" s="423">
        <f t="shared" si="26"/>
        <v>0</v>
      </c>
      <c r="BS18" s="423">
        <f t="shared" si="27"/>
        <v>0</v>
      </c>
      <c r="BT18" s="420"/>
      <c r="BU18" s="420"/>
      <c r="BV18" s="420"/>
      <c r="BW18" s="420"/>
      <c r="BX18" s="429">
        <f t="shared" si="28"/>
        <v>0</v>
      </c>
      <c r="BY18" s="419"/>
      <c r="BZ18" s="419"/>
      <c r="CA18" s="419"/>
      <c r="CB18" s="420">
        <f t="shared" si="29"/>
        <v>0</v>
      </c>
      <c r="CC18" s="430">
        <f t="shared" si="30"/>
        <v>0</v>
      </c>
      <c r="CD18" s="419"/>
      <c r="CE18" s="419"/>
      <c r="CF18" s="419"/>
      <c r="CG18" s="420">
        <f t="shared" si="31"/>
        <v>0</v>
      </c>
      <c r="CH18" s="423">
        <f t="shared" si="32"/>
        <v>0</v>
      </c>
      <c r="CI18" s="431"/>
      <c r="CJ18" s="431"/>
      <c r="CK18" s="431"/>
      <c r="CL18" s="420">
        <f t="shared" si="33"/>
        <v>0</v>
      </c>
      <c r="CM18" s="423">
        <f t="shared" si="34"/>
        <v>0</v>
      </c>
      <c r="CN18" s="420"/>
      <c r="CO18" s="420"/>
      <c r="CP18" s="420"/>
      <c r="CQ18" s="432"/>
      <c r="CR18" s="432">
        <f t="shared" si="35"/>
        <v>0</v>
      </c>
      <c r="CS18" s="420"/>
      <c r="CT18" s="420"/>
      <c r="CU18" s="420"/>
      <c r="CV18" s="420"/>
      <c r="CW18" s="420">
        <f t="shared" si="36"/>
        <v>0</v>
      </c>
      <c r="CX18" s="419"/>
      <c r="CY18" s="419"/>
      <c r="CZ18" s="419"/>
      <c r="DA18" s="419">
        <f t="shared" si="37"/>
        <v>0</v>
      </c>
      <c r="DB18" s="419">
        <f t="shared" si="38"/>
        <v>0</v>
      </c>
      <c r="DC18" s="419"/>
      <c r="DD18" s="419"/>
      <c r="DE18" s="419"/>
      <c r="DF18" s="420">
        <f t="shared" si="39"/>
        <v>0</v>
      </c>
      <c r="DG18" s="421">
        <f t="shared" si="40"/>
        <v>0</v>
      </c>
      <c r="DH18" s="419"/>
      <c r="DI18" s="419"/>
      <c r="DJ18" s="419"/>
      <c r="DK18" s="420">
        <f t="shared" si="41"/>
        <v>0</v>
      </c>
      <c r="DL18" s="422">
        <f t="shared" si="42"/>
        <v>0</v>
      </c>
      <c r="DM18" s="420"/>
      <c r="DN18" s="420"/>
      <c r="DO18" s="420"/>
      <c r="DP18" s="420">
        <f t="shared" si="43"/>
        <v>0</v>
      </c>
      <c r="DQ18" s="420">
        <f t="shared" si="44"/>
        <v>0</v>
      </c>
      <c r="DR18" s="419"/>
      <c r="DS18" s="419"/>
      <c r="DT18" s="419"/>
      <c r="DU18" s="420">
        <f t="shared" si="45"/>
        <v>0</v>
      </c>
      <c r="DV18" s="423">
        <f t="shared" si="46"/>
        <v>0</v>
      </c>
      <c r="DW18" s="419"/>
      <c r="DX18" s="419"/>
      <c r="DY18" s="419"/>
      <c r="DZ18" s="420">
        <f t="shared" si="47"/>
        <v>0</v>
      </c>
      <c r="EA18" s="423">
        <f t="shared" si="48"/>
        <v>0</v>
      </c>
      <c r="EB18" s="419"/>
      <c r="EC18" s="419"/>
      <c r="ED18" s="420"/>
      <c r="EE18" s="419"/>
      <c r="EF18" s="420">
        <f t="shared" si="49"/>
        <v>0</v>
      </c>
      <c r="EG18" s="419"/>
      <c r="EH18" s="419"/>
      <c r="EI18" s="419"/>
      <c r="EJ18" s="420">
        <f t="shared" si="50"/>
        <v>0</v>
      </c>
      <c r="EK18" s="420">
        <f t="shared" si="51"/>
        <v>0</v>
      </c>
      <c r="EL18" s="419"/>
      <c r="EM18" s="419"/>
      <c r="EN18" s="419"/>
      <c r="EO18" s="419">
        <f t="shared" si="52"/>
        <v>0</v>
      </c>
      <c r="EP18" s="419">
        <f t="shared" si="53"/>
        <v>0</v>
      </c>
      <c r="EQ18" s="419"/>
      <c r="ER18" s="419"/>
      <c r="ES18" s="419"/>
      <c r="ET18" s="419">
        <f t="shared" si="54"/>
        <v>0</v>
      </c>
      <c r="EU18" s="419">
        <f t="shared" si="55"/>
        <v>0</v>
      </c>
      <c r="EV18" s="419"/>
      <c r="EW18" s="419"/>
      <c r="EX18" s="419"/>
      <c r="EY18" s="419">
        <f t="shared" si="56"/>
        <v>0</v>
      </c>
      <c r="EZ18" s="419">
        <f t="shared" si="76"/>
        <v>0</v>
      </c>
      <c r="FA18" s="420"/>
      <c r="FB18" s="420"/>
      <c r="FC18" s="420"/>
      <c r="FD18" s="420">
        <f t="shared" si="57"/>
        <v>0</v>
      </c>
      <c r="FE18" s="420">
        <f t="shared" si="58"/>
        <v>0</v>
      </c>
      <c r="FF18" s="419"/>
      <c r="FG18" s="419"/>
      <c r="FH18" s="419"/>
      <c r="FI18" s="419">
        <f t="shared" si="59"/>
        <v>0</v>
      </c>
      <c r="FJ18" s="419">
        <f t="shared" si="60"/>
        <v>0</v>
      </c>
      <c r="FK18" s="419"/>
      <c r="FL18" s="419"/>
      <c r="FM18" s="419"/>
      <c r="FN18" s="420">
        <f t="shared" si="61"/>
        <v>0</v>
      </c>
      <c r="FO18" s="423">
        <f t="shared" si="62"/>
        <v>0</v>
      </c>
      <c r="FP18" s="419"/>
      <c r="FQ18" s="419"/>
      <c r="FR18" s="419"/>
      <c r="FS18" s="420">
        <f t="shared" si="63"/>
        <v>0</v>
      </c>
      <c r="FT18" s="420">
        <f t="shared" si="64"/>
        <v>0</v>
      </c>
      <c r="FU18" s="419"/>
      <c r="FV18" s="419"/>
      <c r="FW18" s="419"/>
      <c r="FX18" s="420">
        <f t="shared" si="65"/>
        <v>0</v>
      </c>
      <c r="FY18" s="420">
        <f t="shared" si="66"/>
        <v>0</v>
      </c>
      <c r="FZ18" s="419"/>
      <c r="GA18" s="419"/>
      <c r="GB18" s="419"/>
      <c r="GC18" s="420">
        <f t="shared" si="67"/>
        <v>0</v>
      </c>
      <c r="GD18" s="420">
        <f t="shared" si="68"/>
        <v>0</v>
      </c>
      <c r="GE18" s="419"/>
      <c r="GF18" s="419"/>
      <c r="GG18" s="419"/>
      <c r="GH18" s="420">
        <f t="shared" si="69"/>
        <v>0</v>
      </c>
      <c r="GI18" s="423">
        <f t="shared" si="70"/>
        <v>0</v>
      </c>
      <c r="GJ18" s="419"/>
      <c r="GK18" s="419"/>
      <c r="GL18" s="419"/>
      <c r="GM18" s="420">
        <f t="shared" si="71"/>
        <v>0</v>
      </c>
      <c r="GN18" s="420">
        <f t="shared" si="72"/>
        <v>0</v>
      </c>
      <c r="GO18" s="419"/>
      <c r="GP18" s="419"/>
      <c r="GQ18" s="419"/>
      <c r="GR18" s="420">
        <f t="shared" si="77"/>
        <v>0</v>
      </c>
      <c r="GS18" s="423">
        <f t="shared" si="73"/>
        <v>0</v>
      </c>
      <c r="GT18" s="419"/>
      <c r="GU18" s="419"/>
      <c r="GV18" s="419"/>
      <c r="GW18" s="420">
        <f t="shared" si="74"/>
        <v>0</v>
      </c>
      <c r="GX18" s="420">
        <f t="shared" si="75"/>
        <v>0</v>
      </c>
    </row>
    <row r="19" spans="1:206" ht="15">
      <c r="A19" s="414"/>
      <c r="B19" s="415" t="s">
        <v>489</v>
      </c>
      <c r="C19" s="698"/>
      <c r="D19" s="706"/>
      <c r="E19" s="434" t="s">
        <v>124</v>
      </c>
      <c r="F19" s="417">
        <v>0.09</v>
      </c>
      <c r="G19" s="418">
        <f t="shared" si="4"/>
        <v>139287780.49000001</v>
      </c>
      <c r="H19" s="418">
        <f t="shared" si="5"/>
        <v>139287780.45578</v>
      </c>
      <c r="I19" s="418">
        <f t="shared" si="5"/>
        <v>12535900.244286001</v>
      </c>
      <c r="J19" s="418">
        <f t="shared" si="6"/>
        <v>139287780.49206701</v>
      </c>
      <c r="K19" s="438"/>
      <c r="L19" s="438"/>
      <c r="M19" s="424">
        <v>139287780.49000001</v>
      </c>
      <c r="N19" s="424">
        <v>102437344.52</v>
      </c>
      <c r="O19" s="424">
        <v>12535900.244286001</v>
      </c>
      <c r="P19" s="424"/>
      <c r="Q19" s="419"/>
      <c r="R19" s="419"/>
      <c r="S19" s="420"/>
      <c r="T19" s="420">
        <v>0</v>
      </c>
      <c r="U19" s="423">
        <f t="shared" si="9"/>
        <v>0</v>
      </c>
      <c r="V19" s="420"/>
      <c r="W19" s="420"/>
      <c r="X19" s="419"/>
      <c r="Y19" s="419"/>
      <c r="Z19" s="423">
        <f t="shared" si="10"/>
        <v>0</v>
      </c>
      <c r="AA19" s="423"/>
      <c r="AB19" s="440">
        <v>36850435.935779803</v>
      </c>
      <c r="AC19" s="419"/>
      <c r="AD19" s="420">
        <f t="shared" si="11"/>
        <v>0</v>
      </c>
      <c r="AE19" s="423">
        <f t="shared" si="12"/>
        <v>0</v>
      </c>
      <c r="AF19" s="419"/>
      <c r="AG19" s="419"/>
      <c r="AH19" s="419"/>
      <c r="AI19" s="420">
        <f t="shared" si="13"/>
        <v>0</v>
      </c>
      <c r="AJ19" s="423">
        <f t="shared" si="14"/>
        <v>0</v>
      </c>
      <c r="AK19" s="419"/>
      <c r="AL19" s="420"/>
      <c r="AM19" s="419"/>
      <c r="AN19" s="420">
        <f t="shared" si="15"/>
        <v>0</v>
      </c>
      <c r="AO19" s="423">
        <f t="shared" si="16"/>
        <v>0</v>
      </c>
      <c r="AP19" s="419"/>
      <c r="AQ19" s="419"/>
      <c r="AR19" s="419"/>
      <c r="AS19" s="420">
        <f t="shared" si="17"/>
        <v>0</v>
      </c>
      <c r="AT19" s="420">
        <f t="shared" si="18"/>
        <v>0</v>
      </c>
      <c r="AU19" s="420"/>
      <c r="AV19" s="420"/>
      <c r="AW19" s="420"/>
      <c r="AX19" s="426">
        <f t="shared" si="19"/>
        <v>0</v>
      </c>
      <c r="AY19" s="420">
        <f t="shared" si="20"/>
        <v>0</v>
      </c>
      <c r="AZ19" s="419"/>
      <c r="BA19" s="420"/>
      <c r="BB19" s="419"/>
      <c r="BC19" s="420">
        <f t="shared" si="21"/>
        <v>0</v>
      </c>
      <c r="BD19" s="427"/>
      <c r="BE19" s="420"/>
      <c r="BF19" s="420"/>
      <c r="BG19" s="420"/>
      <c r="BH19" s="423">
        <f t="shared" si="22"/>
        <v>0</v>
      </c>
      <c r="BI19" s="420">
        <f t="shared" si="23"/>
        <v>0</v>
      </c>
      <c r="BJ19" s="420"/>
      <c r="BK19" s="420"/>
      <c r="BL19" s="420"/>
      <c r="BM19" s="420">
        <f t="shared" si="24"/>
        <v>0</v>
      </c>
      <c r="BN19" s="420">
        <f t="shared" si="25"/>
        <v>0</v>
      </c>
      <c r="BO19" s="419"/>
      <c r="BP19" s="428"/>
      <c r="BQ19" s="420"/>
      <c r="BR19" s="423">
        <f t="shared" si="26"/>
        <v>0</v>
      </c>
      <c r="BS19" s="423">
        <f t="shared" si="27"/>
        <v>0</v>
      </c>
      <c r="BT19" s="420"/>
      <c r="BU19" s="420"/>
      <c r="BV19" s="420"/>
      <c r="BW19" s="420"/>
      <c r="BX19" s="429">
        <f t="shared" si="28"/>
        <v>0</v>
      </c>
      <c r="BY19" s="419"/>
      <c r="BZ19" s="419"/>
      <c r="CA19" s="419"/>
      <c r="CB19" s="420">
        <f t="shared" si="29"/>
        <v>0</v>
      </c>
      <c r="CC19" s="430">
        <f t="shared" si="30"/>
        <v>0</v>
      </c>
      <c r="CD19" s="419"/>
      <c r="CE19" s="419"/>
      <c r="CF19" s="419"/>
      <c r="CG19" s="420">
        <f t="shared" si="31"/>
        <v>0</v>
      </c>
      <c r="CH19" s="423">
        <f t="shared" si="32"/>
        <v>0</v>
      </c>
      <c r="CI19" s="431"/>
      <c r="CJ19" s="431"/>
      <c r="CK19" s="431"/>
      <c r="CL19" s="420">
        <f t="shared" si="33"/>
        <v>0</v>
      </c>
      <c r="CM19" s="423">
        <f t="shared" si="34"/>
        <v>0</v>
      </c>
      <c r="CN19" s="420"/>
      <c r="CO19" s="420"/>
      <c r="CP19" s="420"/>
      <c r="CQ19" s="432"/>
      <c r="CR19" s="432">
        <f t="shared" si="35"/>
        <v>0</v>
      </c>
      <c r="CS19" s="420"/>
      <c r="CT19" s="420"/>
      <c r="CU19" s="420"/>
      <c r="CV19" s="420"/>
      <c r="CW19" s="420">
        <f t="shared" si="36"/>
        <v>0</v>
      </c>
      <c r="CX19" s="419"/>
      <c r="CY19" s="419"/>
      <c r="CZ19" s="419"/>
      <c r="DA19" s="419">
        <f t="shared" si="37"/>
        <v>0</v>
      </c>
      <c r="DB19" s="419">
        <f t="shared" si="38"/>
        <v>0</v>
      </c>
      <c r="DC19" s="419"/>
      <c r="DD19" s="419"/>
      <c r="DE19" s="419"/>
      <c r="DF19" s="420">
        <f t="shared" si="39"/>
        <v>0</v>
      </c>
      <c r="DG19" s="421">
        <f t="shared" si="40"/>
        <v>0</v>
      </c>
      <c r="DH19" s="419"/>
      <c r="DI19" s="419"/>
      <c r="DJ19" s="419"/>
      <c r="DK19" s="420">
        <f t="shared" si="41"/>
        <v>0</v>
      </c>
      <c r="DL19" s="422">
        <f t="shared" si="42"/>
        <v>0</v>
      </c>
      <c r="DM19" s="420"/>
      <c r="DN19" s="420"/>
      <c r="DO19" s="420"/>
      <c r="DP19" s="420">
        <f t="shared" si="43"/>
        <v>0</v>
      </c>
      <c r="DQ19" s="420">
        <f t="shared" si="44"/>
        <v>0</v>
      </c>
      <c r="DR19" s="419"/>
      <c r="DS19" s="419"/>
      <c r="DT19" s="419"/>
      <c r="DU19" s="420">
        <f t="shared" si="45"/>
        <v>0</v>
      </c>
      <c r="DV19" s="423">
        <f t="shared" si="46"/>
        <v>0</v>
      </c>
      <c r="DW19" s="419"/>
      <c r="DX19" s="419"/>
      <c r="DY19" s="419"/>
      <c r="DZ19" s="420">
        <f t="shared" si="47"/>
        <v>0</v>
      </c>
      <c r="EA19" s="423">
        <f t="shared" si="48"/>
        <v>0</v>
      </c>
      <c r="EB19" s="420"/>
      <c r="EC19" s="419"/>
      <c r="ED19" s="420"/>
      <c r="EE19" s="419"/>
      <c r="EF19" s="420">
        <f t="shared" si="49"/>
        <v>0</v>
      </c>
      <c r="EG19" s="419"/>
      <c r="EH19" s="419"/>
      <c r="EI19" s="419"/>
      <c r="EJ19" s="420">
        <f t="shared" si="50"/>
        <v>0</v>
      </c>
      <c r="EK19" s="420">
        <f t="shared" si="51"/>
        <v>0</v>
      </c>
      <c r="EL19" s="419"/>
      <c r="EM19" s="419"/>
      <c r="EN19" s="419"/>
      <c r="EO19" s="419">
        <f t="shared" si="52"/>
        <v>0</v>
      </c>
      <c r="EP19" s="419">
        <f t="shared" si="53"/>
        <v>0</v>
      </c>
      <c r="EQ19" s="419"/>
      <c r="ER19" s="419"/>
      <c r="ES19" s="419"/>
      <c r="ET19" s="419">
        <f t="shared" si="54"/>
        <v>0</v>
      </c>
      <c r="EU19" s="419">
        <f t="shared" si="55"/>
        <v>0</v>
      </c>
      <c r="EV19" s="419"/>
      <c r="EW19" s="419"/>
      <c r="EX19" s="419"/>
      <c r="EY19" s="419">
        <f t="shared" si="56"/>
        <v>0</v>
      </c>
      <c r="EZ19" s="419">
        <f t="shared" si="76"/>
        <v>0</v>
      </c>
      <c r="FA19" s="420"/>
      <c r="FB19" s="420"/>
      <c r="FC19" s="420"/>
      <c r="FD19" s="420">
        <f t="shared" si="57"/>
        <v>0</v>
      </c>
      <c r="FE19" s="420">
        <f t="shared" si="58"/>
        <v>0</v>
      </c>
      <c r="FF19" s="419"/>
      <c r="FG19" s="419"/>
      <c r="FH19" s="419"/>
      <c r="FI19" s="419">
        <f t="shared" si="59"/>
        <v>0</v>
      </c>
      <c r="FJ19" s="419">
        <f t="shared" si="60"/>
        <v>0</v>
      </c>
      <c r="FK19" s="419"/>
      <c r="FL19" s="419"/>
      <c r="FM19" s="419"/>
      <c r="FN19" s="420">
        <f t="shared" si="61"/>
        <v>0</v>
      </c>
      <c r="FO19" s="423">
        <f t="shared" si="62"/>
        <v>0</v>
      </c>
      <c r="FP19" s="419"/>
      <c r="FQ19" s="419"/>
      <c r="FR19" s="419"/>
      <c r="FS19" s="420">
        <f t="shared" si="63"/>
        <v>0</v>
      </c>
      <c r="FT19" s="420">
        <f t="shared" si="64"/>
        <v>0</v>
      </c>
      <c r="FU19" s="419"/>
      <c r="FV19" s="419"/>
      <c r="FW19" s="419"/>
      <c r="FX19" s="420">
        <f t="shared" si="65"/>
        <v>0</v>
      </c>
      <c r="FY19" s="420">
        <f t="shared" si="66"/>
        <v>0</v>
      </c>
      <c r="FZ19" s="419"/>
      <c r="GA19" s="419"/>
      <c r="GB19" s="419"/>
      <c r="GC19" s="420">
        <f t="shared" si="67"/>
        <v>0</v>
      </c>
      <c r="GD19" s="420">
        <f t="shared" si="68"/>
        <v>0</v>
      </c>
      <c r="GE19" s="419"/>
      <c r="GF19" s="419"/>
      <c r="GG19" s="419"/>
      <c r="GH19" s="420">
        <f t="shared" si="69"/>
        <v>0</v>
      </c>
      <c r="GI19" s="423">
        <f t="shared" si="70"/>
        <v>0</v>
      </c>
      <c r="GJ19" s="419"/>
      <c r="GK19" s="419"/>
      <c r="GL19" s="419"/>
      <c r="GM19" s="420">
        <f t="shared" si="71"/>
        <v>0</v>
      </c>
      <c r="GN19" s="420">
        <f t="shared" si="72"/>
        <v>0</v>
      </c>
      <c r="GO19" s="419"/>
      <c r="GP19" s="419"/>
      <c r="GQ19" s="419"/>
      <c r="GR19" s="420">
        <f t="shared" si="77"/>
        <v>0</v>
      </c>
      <c r="GS19" s="423">
        <f t="shared" si="73"/>
        <v>0</v>
      </c>
      <c r="GT19" s="419"/>
      <c r="GU19" s="419"/>
      <c r="GV19" s="419"/>
      <c r="GW19" s="420">
        <f t="shared" si="74"/>
        <v>0</v>
      </c>
      <c r="GX19" s="420">
        <f t="shared" si="75"/>
        <v>0</v>
      </c>
    </row>
    <row r="20" spans="1:206" ht="15">
      <c r="A20" s="414"/>
      <c r="B20" s="415" t="s">
        <v>489</v>
      </c>
      <c r="C20" s="698"/>
      <c r="D20" s="707"/>
      <c r="E20" s="434" t="s">
        <v>125</v>
      </c>
      <c r="F20" s="417">
        <v>0.06</v>
      </c>
      <c r="G20" s="418">
        <f t="shared" si="4"/>
        <v>5274214.78</v>
      </c>
      <c r="H20" s="418">
        <f t="shared" si="5"/>
        <v>5204278.32</v>
      </c>
      <c r="I20" s="418">
        <f t="shared" si="5"/>
        <v>316452.88867537898</v>
      </c>
      <c r="J20" s="418">
        <f t="shared" si="6"/>
        <v>5274214.8112563202</v>
      </c>
      <c r="K20" s="438"/>
      <c r="L20" s="438"/>
      <c r="M20" s="424">
        <v>5204278.3</v>
      </c>
      <c r="N20" s="424">
        <v>5204278.32</v>
      </c>
      <c r="O20" s="424">
        <v>312256.69819537899</v>
      </c>
      <c r="P20" s="424"/>
      <c r="Q20" s="419"/>
      <c r="R20" s="419"/>
      <c r="S20" s="419"/>
      <c r="T20" s="420">
        <v>0</v>
      </c>
      <c r="U20" s="423">
        <f t="shared" si="9"/>
        <v>0</v>
      </c>
      <c r="V20" s="420"/>
      <c r="W20" s="420"/>
      <c r="X20" s="419"/>
      <c r="Y20" s="419"/>
      <c r="Z20" s="423">
        <f t="shared" si="10"/>
        <v>0</v>
      </c>
      <c r="AA20" s="423"/>
      <c r="AB20" s="425"/>
      <c r="AC20" s="419"/>
      <c r="AD20" s="420">
        <f t="shared" si="11"/>
        <v>0</v>
      </c>
      <c r="AE20" s="423">
        <f t="shared" si="12"/>
        <v>0</v>
      </c>
      <c r="AF20" s="419"/>
      <c r="AG20" s="419"/>
      <c r="AH20" s="420"/>
      <c r="AI20" s="420">
        <f t="shared" si="13"/>
        <v>0</v>
      </c>
      <c r="AJ20" s="423">
        <f t="shared" si="14"/>
        <v>0</v>
      </c>
      <c r="AK20" s="419"/>
      <c r="AL20" s="420"/>
      <c r="AM20" s="419"/>
      <c r="AN20" s="420">
        <f t="shared" si="15"/>
        <v>0</v>
      </c>
      <c r="AO20" s="423">
        <f t="shared" si="16"/>
        <v>0</v>
      </c>
      <c r="AP20" s="419"/>
      <c r="AQ20" s="419"/>
      <c r="AR20" s="420"/>
      <c r="AS20" s="420">
        <f t="shared" si="17"/>
        <v>0</v>
      </c>
      <c r="AT20" s="420">
        <f t="shared" si="18"/>
        <v>0</v>
      </c>
      <c r="AU20" s="420">
        <v>21956.51</v>
      </c>
      <c r="AV20" s="420"/>
      <c r="AW20" s="435">
        <v>1317.39048</v>
      </c>
      <c r="AX20" s="426">
        <f t="shared" si="19"/>
        <v>21956.508000000002</v>
      </c>
      <c r="AY20" s="420">
        <f t="shared" si="20"/>
        <v>-1.99999999676947E-3</v>
      </c>
      <c r="AZ20" s="420">
        <v>23748.84</v>
      </c>
      <c r="BA20" s="420"/>
      <c r="BB20" s="419">
        <v>1424.93</v>
      </c>
      <c r="BC20" s="420">
        <f t="shared" si="21"/>
        <v>23748.833333333299</v>
      </c>
      <c r="BD20" s="427"/>
      <c r="BE20" s="420">
        <v>24231.13</v>
      </c>
      <c r="BF20" s="420"/>
      <c r="BG20" s="420">
        <v>1453.87</v>
      </c>
      <c r="BH20" s="423">
        <f t="shared" si="22"/>
        <v>24231.166666666701</v>
      </c>
      <c r="BI20" s="420">
        <f t="shared" si="23"/>
        <v>3.66666666632227E-2</v>
      </c>
      <c r="BJ20" s="420"/>
      <c r="BK20" s="420"/>
      <c r="BL20" s="420"/>
      <c r="BM20" s="420">
        <f t="shared" si="24"/>
        <v>0</v>
      </c>
      <c r="BN20" s="420">
        <f t="shared" si="25"/>
        <v>0</v>
      </c>
      <c r="BO20" s="419"/>
      <c r="BP20" s="428"/>
      <c r="BQ20" s="420">
        <v>0</v>
      </c>
      <c r="BR20" s="423">
        <f t="shared" si="26"/>
        <v>0</v>
      </c>
      <c r="BS20" s="423">
        <f t="shared" si="27"/>
        <v>0</v>
      </c>
      <c r="BT20" s="420"/>
      <c r="BU20" s="420"/>
      <c r="BV20" s="420"/>
      <c r="BW20" s="420"/>
      <c r="BX20" s="429">
        <f t="shared" si="28"/>
        <v>0</v>
      </c>
      <c r="BY20" s="419"/>
      <c r="BZ20" s="419"/>
      <c r="CA20" s="419"/>
      <c r="CB20" s="420">
        <f t="shared" si="29"/>
        <v>0</v>
      </c>
      <c r="CC20" s="430">
        <f t="shared" si="30"/>
        <v>0</v>
      </c>
      <c r="CD20" s="419"/>
      <c r="CE20" s="419"/>
      <c r="CF20" s="419"/>
      <c r="CG20" s="420">
        <f t="shared" si="31"/>
        <v>0</v>
      </c>
      <c r="CH20" s="423">
        <f t="shared" si="32"/>
        <v>0</v>
      </c>
      <c r="CI20" s="431"/>
      <c r="CJ20" s="431"/>
      <c r="CK20" s="431"/>
      <c r="CL20" s="420">
        <f t="shared" si="33"/>
        <v>0</v>
      </c>
      <c r="CM20" s="423">
        <f t="shared" si="34"/>
        <v>0</v>
      </c>
      <c r="CN20" s="420"/>
      <c r="CO20" s="420"/>
      <c r="CP20" s="420"/>
      <c r="CQ20" s="432"/>
      <c r="CR20" s="432">
        <f t="shared" si="35"/>
        <v>0</v>
      </c>
      <c r="CS20" s="420"/>
      <c r="CT20" s="420"/>
      <c r="CU20" s="420"/>
      <c r="CV20" s="420"/>
      <c r="CW20" s="420">
        <f t="shared" si="36"/>
        <v>0</v>
      </c>
      <c r="CX20" s="419"/>
      <c r="CY20" s="419"/>
      <c r="CZ20" s="419"/>
      <c r="DA20" s="419">
        <f t="shared" si="37"/>
        <v>0</v>
      </c>
      <c r="DB20" s="419">
        <f t="shared" si="38"/>
        <v>0</v>
      </c>
      <c r="DC20" s="419"/>
      <c r="DD20" s="419"/>
      <c r="DE20" s="419"/>
      <c r="DF20" s="420">
        <f t="shared" si="39"/>
        <v>0</v>
      </c>
      <c r="DG20" s="421">
        <f t="shared" si="40"/>
        <v>0</v>
      </c>
      <c r="DH20" s="419"/>
      <c r="DI20" s="419"/>
      <c r="DJ20" s="419"/>
      <c r="DK20" s="420">
        <f t="shared" si="41"/>
        <v>0</v>
      </c>
      <c r="DL20" s="422">
        <f t="shared" si="42"/>
        <v>0</v>
      </c>
      <c r="DM20" s="420"/>
      <c r="DN20" s="420"/>
      <c r="DO20" s="420"/>
      <c r="DP20" s="420">
        <f t="shared" si="43"/>
        <v>0</v>
      </c>
      <c r="DQ20" s="420">
        <f t="shared" si="44"/>
        <v>0</v>
      </c>
      <c r="DR20" s="419"/>
      <c r="DS20" s="419"/>
      <c r="DT20" s="419"/>
      <c r="DU20" s="420">
        <f t="shared" si="45"/>
        <v>0</v>
      </c>
      <c r="DV20" s="423">
        <f t="shared" si="46"/>
        <v>0</v>
      </c>
      <c r="DW20" s="419"/>
      <c r="DX20" s="419"/>
      <c r="DY20" s="419"/>
      <c r="DZ20" s="420">
        <f t="shared" si="47"/>
        <v>0</v>
      </c>
      <c r="EA20" s="423">
        <f t="shared" si="48"/>
        <v>0</v>
      </c>
      <c r="EB20" s="419"/>
      <c r="EC20" s="419"/>
      <c r="ED20" s="420"/>
      <c r="EE20" s="419"/>
      <c r="EF20" s="420">
        <f t="shared" si="49"/>
        <v>0</v>
      </c>
      <c r="EG20" s="419"/>
      <c r="EH20" s="419"/>
      <c r="EI20" s="419"/>
      <c r="EJ20" s="420">
        <f t="shared" si="50"/>
        <v>0</v>
      </c>
      <c r="EK20" s="420">
        <f t="shared" si="51"/>
        <v>0</v>
      </c>
      <c r="EL20" s="419"/>
      <c r="EM20" s="419"/>
      <c r="EN20" s="419"/>
      <c r="EO20" s="419">
        <f t="shared" si="52"/>
        <v>0</v>
      </c>
      <c r="EP20" s="419">
        <f t="shared" si="53"/>
        <v>0</v>
      </c>
      <c r="EQ20" s="419"/>
      <c r="ER20" s="419"/>
      <c r="ES20" s="419"/>
      <c r="ET20" s="419">
        <f t="shared" si="54"/>
        <v>0</v>
      </c>
      <c r="EU20" s="419">
        <f t="shared" si="55"/>
        <v>0</v>
      </c>
      <c r="EV20" s="419"/>
      <c r="EW20" s="419"/>
      <c r="EX20" s="419"/>
      <c r="EY20" s="419">
        <f t="shared" si="56"/>
        <v>0</v>
      </c>
      <c r="EZ20" s="419">
        <f t="shared" si="76"/>
        <v>0</v>
      </c>
      <c r="FA20" s="420"/>
      <c r="FB20" s="420"/>
      <c r="FC20" s="420"/>
      <c r="FD20" s="420">
        <f t="shared" si="57"/>
        <v>0</v>
      </c>
      <c r="FE20" s="420">
        <f t="shared" si="58"/>
        <v>0</v>
      </c>
      <c r="FF20" s="419"/>
      <c r="FG20" s="419"/>
      <c r="FH20" s="419"/>
      <c r="FI20" s="419">
        <f t="shared" si="59"/>
        <v>0</v>
      </c>
      <c r="FJ20" s="419">
        <f t="shared" si="60"/>
        <v>0</v>
      </c>
      <c r="FK20" s="419"/>
      <c r="FL20" s="419"/>
      <c r="FM20" s="419"/>
      <c r="FN20" s="420">
        <f t="shared" si="61"/>
        <v>0</v>
      </c>
      <c r="FO20" s="423">
        <f t="shared" si="62"/>
        <v>0</v>
      </c>
      <c r="FP20" s="419"/>
      <c r="FQ20" s="419"/>
      <c r="FR20" s="419"/>
      <c r="FS20" s="420">
        <f t="shared" si="63"/>
        <v>0</v>
      </c>
      <c r="FT20" s="420">
        <f t="shared" si="64"/>
        <v>0</v>
      </c>
      <c r="FU20" s="419"/>
      <c r="FV20" s="419"/>
      <c r="FW20" s="419"/>
      <c r="FX20" s="420">
        <f t="shared" si="65"/>
        <v>0</v>
      </c>
      <c r="FY20" s="420">
        <f t="shared" si="66"/>
        <v>0</v>
      </c>
      <c r="FZ20" s="419"/>
      <c r="GA20" s="419"/>
      <c r="GB20" s="419"/>
      <c r="GC20" s="420">
        <f t="shared" si="67"/>
        <v>0</v>
      </c>
      <c r="GD20" s="420">
        <f t="shared" si="68"/>
        <v>0</v>
      </c>
      <c r="GE20" s="419"/>
      <c r="GF20" s="419"/>
      <c r="GG20" s="419"/>
      <c r="GH20" s="420">
        <f t="shared" si="69"/>
        <v>0</v>
      </c>
      <c r="GI20" s="423">
        <f t="shared" si="70"/>
        <v>0</v>
      </c>
      <c r="GJ20" s="419"/>
      <c r="GK20" s="419"/>
      <c r="GL20" s="419"/>
      <c r="GM20" s="420">
        <f t="shared" si="71"/>
        <v>0</v>
      </c>
      <c r="GN20" s="420">
        <f t="shared" si="72"/>
        <v>0</v>
      </c>
      <c r="GO20" s="419"/>
      <c r="GP20" s="419"/>
      <c r="GQ20" s="419"/>
      <c r="GR20" s="420">
        <f t="shared" si="77"/>
        <v>0</v>
      </c>
      <c r="GS20" s="423">
        <f t="shared" si="73"/>
        <v>0</v>
      </c>
      <c r="GT20" s="419"/>
      <c r="GU20" s="419"/>
      <c r="GV20" s="419"/>
      <c r="GW20" s="420">
        <f t="shared" si="74"/>
        <v>0</v>
      </c>
      <c r="GX20" s="420">
        <f t="shared" si="75"/>
        <v>0</v>
      </c>
    </row>
    <row r="21" spans="1:206" ht="15">
      <c r="A21" s="414"/>
      <c r="B21" s="415" t="s">
        <v>489</v>
      </c>
      <c r="C21" s="698"/>
      <c r="D21" s="704" t="s">
        <v>491</v>
      </c>
      <c r="E21" s="434" t="s">
        <v>123</v>
      </c>
      <c r="F21" s="417">
        <v>0.13</v>
      </c>
      <c r="G21" s="418">
        <f t="shared" si="4"/>
        <v>83523104.140000001</v>
      </c>
      <c r="H21" s="418">
        <f t="shared" si="5"/>
        <v>84330789.390000001</v>
      </c>
      <c r="I21" s="418">
        <f t="shared" si="5"/>
        <v>10970803.7177215</v>
      </c>
      <c r="J21" s="418">
        <f t="shared" si="6"/>
        <v>84390797.828626901</v>
      </c>
      <c r="K21" s="438"/>
      <c r="L21" s="438"/>
      <c r="M21" s="424">
        <v>83523104.140000001</v>
      </c>
      <c r="N21" s="424">
        <v>84330789.390000001</v>
      </c>
      <c r="O21" s="424">
        <v>10970803.7177215</v>
      </c>
      <c r="P21" s="424"/>
      <c r="Q21" s="419"/>
      <c r="R21" s="419"/>
      <c r="S21" s="419"/>
      <c r="T21" s="420">
        <v>0</v>
      </c>
      <c r="U21" s="423">
        <f t="shared" si="9"/>
        <v>0</v>
      </c>
      <c r="V21" s="420"/>
      <c r="W21" s="420"/>
      <c r="X21" s="419"/>
      <c r="Y21" s="419"/>
      <c r="Z21" s="423">
        <f t="shared" si="10"/>
        <v>0</v>
      </c>
      <c r="AA21" s="423"/>
      <c r="AB21" s="425"/>
      <c r="AC21" s="419"/>
      <c r="AD21" s="420">
        <f t="shared" si="11"/>
        <v>0</v>
      </c>
      <c r="AE21" s="423">
        <f t="shared" si="12"/>
        <v>0</v>
      </c>
      <c r="AF21" s="419"/>
      <c r="AG21" s="419"/>
      <c r="AH21" s="419"/>
      <c r="AI21" s="420">
        <f t="shared" si="13"/>
        <v>0</v>
      </c>
      <c r="AJ21" s="423">
        <f t="shared" si="14"/>
        <v>0</v>
      </c>
      <c r="AK21" s="419"/>
      <c r="AL21" s="420"/>
      <c r="AM21" s="419"/>
      <c r="AN21" s="420">
        <f t="shared" si="15"/>
        <v>0</v>
      </c>
      <c r="AO21" s="423">
        <f t="shared" si="16"/>
        <v>0</v>
      </c>
      <c r="AP21" s="419"/>
      <c r="AQ21" s="419"/>
      <c r="AR21" s="420"/>
      <c r="AS21" s="420">
        <f t="shared" si="17"/>
        <v>0</v>
      </c>
      <c r="AT21" s="420">
        <f t="shared" si="18"/>
        <v>0</v>
      </c>
      <c r="AU21" s="420"/>
      <c r="AV21" s="420"/>
      <c r="AW21" s="420"/>
      <c r="AX21" s="426">
        <f t="shared" si="19"/>
        <v>0</v>
      </c>
      <c r="AY21" s="420">
        <f t="shared" si="20"/>
        <v>0</v>
      </c>
      <c r="AZ21" s="419"/>
      <c r="BA21" s="420"/>
      <c r="BB21" s="419"/>
      <c r="BC21" s="420">
        <f t="shared" si="21"/>
        <v>0</v>
      </c>
      <c r="BD21" s="427"/>
      <c r="BE21" s="420"/>
      <c r="BF21" s="420"/>
      <c r="BG21" s="420"/>
      <c r="BH21" s="423">
        <f t="shared" si="22"/>
        <v>0</v>
      </c>
      <c r="BI21" s="420">
        <f t="shared" si="23"/>
        <v>0</v>
      </c>
      <c r="BJ21" s="420"/>
      <c r="BK21" s="420"/>
      <c r="BL21" s="420"/>
      <c r="BM21" s="420">
        <f t="shared" si="24"/>
        <v>0</v>
      </c>
      <c r="BN21" s="420">
        <f t="shared" si="25"/>
        <v>0</v>
      </c>
      <c r="BO21" s="419"/>
      <c r="BP21" s="428"/>
      <c r="BQ21" s="420"/>
      <c r="BR21" s="423">
        <f t="shared" si="26"/>
        <v>0</v>
      </c>
      <c r="BS21" s="423">
        <f t="shared" si="27"/>
        <v>0</v>
      </c>
      <c r="BT21" s="420"/>
      <c r="BU21" s="420"/>
      <c r="BV21" s="420"/>
      <c r="BW21" s="420"/>
      <c r="BX21" s="429">
        <f t="shared" si="28"/>
        <v>0</v>
      </c>
      <c r="BY21" s="419"/>
      <c r="BZ21" s="419"/>
      <c r="CA21" s="419"/>
      <c r="CB21" s="420">
        <f t="shared" si="29"/>
        <v>0</v>
      </c>
      <c r="CC21" s="430">
        <f t="shared" si="30"/>
        <v>0</v>
      </c>
      <c r="CD21" s="419"/>
      <c r="CE21" s="419"/>
      <c r="CF21" s="419"/>
      <c r="CG21" s="420">
        <f t="shared" si="31"/>
        <v>0</v>
      </c>
      <c r="CH21" s="423">
        <f t="shared" si="32"/>
        <v>0</v>
      </c>
      <c r="CI21" s="431"/>
      <c r="CJ21" s="431"/>
      <c r="CK21" s="431"/>
      <c r="CL21" s="420">
        <f t="shared" si="33"/>
        <v>0</v>
      </c>
      <c r="CM21" s="423">
        <f t="shared" si="34"/>
        <v>0</v>
      </c>
      <c r="CN21" s="420"/>
      <c r="CO21" s="420"/>
      <c r="CP21" s="420"/>
      <c r="CQ21" s="432"/>
      <c r="CR21" s="432">
        <f t="shared" si="35"/>
        <v>0</v>
      </c>
      <c r="CS21" s="420"/>
      <c r="CT21" s="420"/>
      <c r="CU21" s="420"/>
      <c r="CV21" s="420"/>
      <c r="CW21" s="420">
        <f t="shared" si="36"/>
        <v>0</v>
      </c>
      <c r="CX21" s="419"/>
      <c r="CY21" s="419"/>
      <c r="CZ21" s="419"/>
      <c r="DA21" s="419">
        <f t="shared" si="37"/>
        <v>0</v>
      </c>
      <c r="DB21" s="419">
        <f t="shared" si="38"/>
        <v>0</v>
      </c>
      <c r="DC21" s="419"/>
      <c r="DD21" s="419"/>
      <c r="DE21" s="419"/>
      <c r="DF21" s="420">
        <f t="shared" si="39"/>
        <v>0</v>
      </c>
      <c r="DG21" s="421">
        <f t="shared" si="40"/>
        <v>0</v>
      </c>
      <c r="DH21" s="419"/>
      <c r="DI21" s="419"/>
      <c r="DJ21" s="419"/>
      <c r="DK21" s="420">
        <f t="shared" si="41"/>
        <v>0</v>
      </c>
      <c r="DL21" s="422">
        <f t="shared" si="42"/>
        <v>0</v>
      </c>
      <c r="DM21" s="420"/>
      <c r="DN21" s="420"/>
      <c r="DO21" s="420"/>
      <c r="DP21" s="420">
        <f t="shared" si="43"/>
        <v>0</v>
      </c>
      <c r="DQ21" s="420">
        <f t="shared" si="44"/>
        <v>0</v>
      </c>
      <c r="DR21" s="419"/>
      <c r="DS21" s="419"/>
      <c r="DT21" s="419"/>
      <c r="DU21" s="420">
        <f t="shared" si="45"/>
        <v>0</v>
      </c>
      <c r="DV21" s="423">
        <f t="shared" si="46"/>
        <v>0</v>
      </c>
      <c r="DW21" s="419"/>
      <c r="DX21" s="419"/>
      <c r="DY21" s="419"/>
      <c r="DZ21" s="420">
        <f t="shared" si="47"/>
        <v>0</v>
      </c>
      <c r="EA21" s="423">
        <f t="shared" si="48"/>
        <v>0</v>
      </c>
      <c r="EB21" s="419"/>
      <c r="EC21" s="419"/>
      <c r="ED21" s="420"/>
      <c r="EE21" s="419"/>
      <c r="EF21" s="420">
        <f t="shared" si="49"/>
        <v>0</v>
      </c>
      <c r="EG21" s="419"/>
      <c r="EH21" s="419"/>
      <c r="EI21" s="419"/>
      <c r="EJ21" s="420">
        <f t="shared" si="50"/>
        <v>0</v>
      </c>
      <c r="EK21" s="420">
        <f t="shared" si="51"/>
        <v>0</v>
      </c>
      <c r="EL21" s="419"/>
      <c r="EM21" s="419"/>
      <c r="EN21" s="419"/>
      <c r="EO21" s="419">
        <f t="shared" si="52"/>
        <v>0</v>
      </c>
      <c r="EP21" s="419">
        <f t="shared" si="53"/>
        <v>0</v>
      </c>
      <c r="EQ21" s="419"/>
      <c r="ER21" s="419"/>
      <c r="ES21" s="419"/>
      <c r="ET21" s="419">
        <f t="shared" si="54"/>
        <v>0</v>
      </c>
      <c r="EU21" s="419">
        <f t="shared" si="55"/>
        <v>0</v>
      </c>
      <c r="EV21" s="419"/>
      <c r="EW21" s="419"/>
      <c r="EX21" s="419"/>
      <c r="EY21" s="419">
        <f t="shared" si="56"/>
        <v>0</v>
      </c>
      <c r="EZ21" s="419">
        <f t="shared" si="76"/>
        <v>0</v>
      </c>
      <c r="FA21" s="420"/>
      <c r="FB21" s="420"/>
      <c r="FC21" s="420"/>
      <c r="FD21" s="420">
        <f t="shared" si="57"/>
        <v>0</v>
      </c>
      <c r="FE21" s="420">
        <f t="shared" si="58"/>
        <v>0</v>
      </c>
      <c r="FF21" s="419"/>
      <c r="FG21" s="419"/>
      <c r="FH21" s="419"/>
      <c r="FI21" s="419">
        <f t="shared" si="59"/>
        <v>0</v>
      </c>
      <c r="FJ21" s="419">
        <f t="shared" si="60"/>
        <v>0</v>
      </c>
      <c r="FK21" s="419"/>
      <c r="FL21" s="419"/>
      <c r="FM21" s="419"/>
      <c r="FN21" s="420">
        <f t="shared" si="61"/>
        <v>0</v>
      </c>
      <c r="FO21" s="423">
        <f t="shared" si="62"/>
        <v>0</v>
      </c>
      <c r="FP21" s="419"/>
      <c r="FQ21" s="419"/>
      <c r="FR21" s="419"/>
      <c r="FS21" s="420">
        <f t="shared" si="63"/>
        <v>0</v>
      </c>
      <c r="FT21" s="420">
        <f t="shared" si="64"/>
        <v>0</v>
      </c>
      <c r="FU21" s="419"/>
      <c r="FV21" s="419"/>
      <c r="FW21" s="419"/>
      <c r="FX21" s="420">
        <f t="shared" si="65"/>
        <v>0</v>
      </c>
      <c r="FY21" s="420">
        <f t="shared" si="66"/>
        <v>0</v>
      </c>
      <c r="FZ21" s="419"/>
      <c r="GA21" s="419"/>
      <c r="GB21" s="419"/>
      <c r="GC21" s="420">
        <f t="shared" si="67"/>
        <v>0</v>
      </c>
      <c r="GD21" s="420">
        <f t="shared" si="68"/>
        <v>0</v>
      </c>
      <c r="GE21" s="419"/>
      <c r="GF21" s="419"/>
      <c r="GG21" s="419"/>
      <c r="GH21" s="420">
        <f t="shared" si="69"/>
        <v>0</v>
      </c>
      <c r="GI21" s="423">
        <f t="shared" si="70"/>
        <v>0</v>
      </c>
      <c r="GJ21" s="419"/>
      <c r="GK21" s="419"/>
      <c r="GL21" s="419"/>
      <c r="GM21" s="420">
        <f t="shared" si="71"/>
        <v>0</v>
      </c>
      <c r="GN21" s="420">
        <f t="shared" si="72"/>
        <v>0</v>
      </c>
      <c r="GO21" s="419"/>
      <c r="GP21" s="419"/>
      <c r="GQ21" s="419"/>
      <c r="GR21" s="420">
        <f t="shared" si="77"/>
        <v>0</v>
      </c>
      <c r="GS21" s="423">
        <f t="shared" si="73"/>
        <v>0</v>
      </c>
      <c r="GT21" s="419"/>
      <c r="GU21" s="419"/>
      <c r="GV21" s="419"/>
      <c r="GW21" s="420">
        <f t="shared" si="74"/>
        <v>0</v>
      </c>
      <c r="GX21" s="420">
        <f t="shared" si="75"/>
        <v>0</v>
      </c>
    </row>
    <row r="22" spans="1:206" ht="15">
      <c r="A22" s="414"/>
      <c r="B22" s="415" t="s">
        <v>489</v>
      </c>
      <c r="C22" s="698"/>
      <c r="D22" s="706"/>
      <c r="E22" s="434" t="s">
        <v>124</v>
      </c>
      <c r="F22" s="417">
        <v>0.09</v>
      </c>
      <c r="G22" s="418">
        <f t="shared" si="4"/>
        <v>116581370.45999999</v>
      </c>
      <c r="H22" s="418">
        <f t="shared" si="5"/>
        <v>116581370.45999999</v>
      </c>
      <c r="I22" s="418">
        <f t="shared" si="5"/>
        <v>10492323.3416666</v>
      </c>
      <c r="J22" s="418">
        <f t="shared" si="6"/>
        <v>116581370.462962</v>
      </c>
      <c r="K22" s="438"/>
      <c r="L22" s="438"/>
      <c r="M22" s="424">
        <v>116218129.8</v>
      </c>
      <c r="N22" s="424">
        <v>44036697.25</v>
      </c>
      <c r="O22" s="424">
        <v>10459631.6822666</v>
      </c>
      <c r="P22" s="441">
        <v>363240.66</v>
      </c>
      <c r="Q22" s="419"/>
      <c r="R22" s="419"/>
      <c r="S22" s="420"/>
      <c r="T22" s="420">
        <v>0</v>
      </c>
      <c r="U22" s="423">
        <f t="shared" si="9"/>
        <v>0</v>
      </c>
      <c r="V22" s="420"/>
      <c r="W22" s="420"/>
      <c r="X22" s="419"/>
      <c r="Y22" s="419"/>
      <c r="Z22" s="423">
        <f t="shared" si="10"/>
        <v>0</v>
      </c>
      <c r="AA22" s="423"/>
      <c r="AB22" s="440">
        <v>72544673.209999993</v>
      </c>
      <c r="AC22" s="423">
        <f>P22*F22</f>
        <v>32691.6594</v>
      </c>
      <c r="AD22" s="420">
        <f t="shared" si="11"/>
        <v>363240.66</v>
      </c>
      <c r="AE22" s="423">
        <f t="shared" si="12"/>
        <v>363240.66</v>
      </c>
      <c r="AF22" s="419"/>
      <c r="AG22" s="419"/>
      <c r="AH22" s="419"/>
      <c r="AI22" s="420">
        <f t="shared" si="13"/>
        <v>0</v>
      </c>
      <c r="AJ22" s="423">
        <f t="shared" si="14"/>
        <v>0</v>
      </c>
      <c r="AK22" s="419"/>
      <c r="AL22" s="420"/>
      <c r="AM22" s="419"/>
      <c r="AN22" s="420">
        <f t="shared" si="15"/>
        <v>0</v>
      </c>
      <c r="AO22" s="423">
        <f t="shared" si="16"/>
        <v>0</v>
      </c>
      <c r="AP22" s="419"/>
      <c r="AQ22" s="419"/>
      <c r="AR22" s="419"/>
      <c r="AS22" s="420">
        <f t="shared" si="17"/>
        <v>0</v>
      </c>
      <c r="AT22" s="420">
        <f t="shared" si="18"/>
        <v>0</v>
      </c>
      <c r="AU22" s="420"/>
      <c r="AV22" s="420"/>
      <c r="AW22" s="420"/>
      <c r="AX22" s="426">
        <f t="shared" si="19"/>
        <v>0</v>
      </c>
      <c r="AY22" s="420">
        <f t="shared" si="20"/>
        <v>0</v>
      </c>
      <c r="AZ22" s="419"/>
      <c r="BA22" s="420"/>
      <c r="BB22" s="419"/>
      <c r="BC22" s="420">
        <f t="shared" si="21"/>
        <v>0</v>
      </c>
      <c r="BD22" s="427"/>
      <c r="BE22" s="420"/>
      <c r="BF22" s="420"/>
      <c r="BG22" s="420"/>
      <c r="BH22" s="423">
        <f t="shared" si="22"/>
        <v>0</v>
      </c>
      <c r="BI22" s="420">
        <f t="shared" si="23"/>
        <v>0</v>
      </c>
      <c r="BJ22" s="420"/>
      <c r="BK22" s="420"/>
      <c r="BL22" s="420"/>
      <c r="BM22" s="420">
        <f t="shared" si="24"/>
        <v>0</v>
      </c>
      <c r="BN22" s="420">
        <f t="shared" si="25"/>
        <v>0</v>
      </c>
      <c r="BO22" s="419"/>
      <c r="BP22" s="428"/>
      <c r="BQ22" s="420"/>
      <c r="BR22" s="423">
        <f t="shared" si="26"/>
        <v>0</v>
      </c>
      <c r="BS22" s="423">
        <f t="shared" si="27"/>
        <v>0</v>
      </c>
      <c r="BT22" s="420"/>
      <c r="BU22" s="420"/>
      <c r="BV22" s="420"/>
      <c r="BW22" s="420"/>
      <c r="BX22" s="429">
        <f t="shared" si="28"/>
        <v>0</v>
      </c>
      <c r="BY22" s="419"/>
      <c r="BZ22" s="419"/>
      <c r="CA22" s="419"/>
      <c r="CB22" s="420">
        <f t="shared" si="29"/>
        <v>0</v>
      </c>
      <c r="CC22" s="430">
        <f t="shared" si="30"/>
        <v>0</v>
      </c>
      <c r="CD22" s="419"/>
      <c r="CE22" s="419"/>
      <c r="CF22" s="419"/>
      <c r="CG22" s="420">
        <f t="shared" si="31"/>
        <v>0</v>
      </c>
      <c r="CH22" s="423">
        <f t="shared" si="32"/>
        <v>0</v>
      </c>
      <c r="CI22" s="431"/>
      <c r="CJ22" s="431"/>
      <c r="CK22" s="431"/>
      <c r="CL22" s="420">
        <f t="shared" si="33"/>
        <v>0</v>
      </c>
      <c r="CM22" s="423">
        <f t="shared" si="34"/>
        <v>0</v>
      </c>
      <c r="CN22" s="420"/>
      <c r="CO22" s="420"/>
      <c r="CP22" s="420"/>
      <c r="CQ22" s="432"/>
      <c r="CR22" s="432">
        <f t="shared" si="35"/>
        <v>0</v>
      </c>
      <c r="CS22" s="420"/>
      <c r="CT22" s="420"/>
      <c r="CU22" s="420"/>
      <c r="CV22" s="420"/>
      <c r="CW22" s="420">
        <f t="shared" si="36"/>
        <v>0</v>
      </c>
      <c r="CX22" s="419"/>
      <c r="CY22" s="419"/>
      <c r="CZ22" s="419"/>
      <c r="DA22" s="419">
        <f t="shared" si="37"/>
        <v>0</v>
      </c>
      <c r="DB22" s="419">
        <f t="shared" si="38"/>
        <v>0</v>
      </c>
      <c r="DC22" s="419"/>
      <c r="DD22" s="419"/>
      <c r="DE22" s="419"/>
      <c r="DF22" s="420">
        <f t="shared" si="39"/>
        <v>0</v>
      </c>
      <c r="DG22" s="421">
        <f t="shared" si="40"/>
        <v>0</v>
      </c>
      <c r="DH22" s="419"/>
      <c r="DI22" s="419"/>
      <c r="DJ22" s="419"/>
      <c r="DK22" s="420">
        <f t="shared" si="41"/>
        <v>0</v>
      </c>
      <c r="DL22" s="422">
        <f t="shared" si="42"/>
        <v>0</v>
      </c>
      <c r="DM22" s="420"/>
      <c r="DN22" s="420"/>
      <c r="DO22" s="420"/>
      <c r="DP22" s="420">
        <f t="shared" si="43"/>
        <v>0</v>
      </c>
      <c r="DQ22" s="420">
        <f t="shared" si="44"/>
        <v>0</v>
      </c>
      <c r="DR22" s="419"/>
      <c r="DS22" s="419"/>
      <c r="DT22" s="419"/>
      <c r="DU22" s="420">
        <f t="shared" si="45"/>
        <v>0</v>
      </c>
      <c r="DV22" s="423">
        <f t="shared" si="46"/>
        <v>0</v>
      </c>
      <c r="DW22" s="419"/>
      <c r="DX22" s="419"/>
      <c r="DY22" s="419"/>
      <c r="DZ22" s="420">
        <f t="shared" si="47"/>
        <v>0</v>
      </c>
      <c r="EA22" s="423">
        <f t="shared" si="48"/>
        <v>0</v>
      </c>
      <c r="EB22" s="420"/>
      <c r="EC22" s="419"/>
      <c r="ED22" s="420"/>
      <c r="EE22" s="419"/>
      <c r="EF22" s="420">
        <f t="shared" si="49"/>
        <v>0</v>
      </c>
      <c r="EG22" s="419"/>
      <c r="EH22" s="419"/>
      <c r="EI22" s="419"/>
      <c r="EJ22" s="420">
        <f t="shared" si="50"/>
        <v>0</v>
      </c>
      <c r="EK22" s="420">
        <f t="shared" si="51"/>
        <v>0</v>
      </c>
      <c r="EL22" s="419"/>
      <c r="EM22" s="419"/>
      <c r="EN22" s="419"/>
      <c r="EO22" s="419">
        <f t="shared" si="52"/>
        <v>0</v>
      </c>
      <c r="EP22" s="419">
        <f t="shared" si="53"/>
        <v>0</v>
      </c>
      <c r="EQ22" s="419"/>
      <c r="ER22" s="419"/>
      <c r="ES22" s="419"/>
      <c r="ET22" s="419">
        <f t="shared" si="54"/>
        <v>0</v>
      </c>
      <c r="EU22" s="419">
        <f t="shared" si="55"/>
        <v>0</v>
      </c>
      <c r="EV22" s="419"/>
      <c r="EW22" s="419"/>
      <c r="EX22" s="419"/>
      <c r="EY22" s="419">
        <f t="shared" si="56"/>
        <v>0</v>
      </c>
      <c r="EZ22" s="419">
        <f t="shared" si="76"/>
        <v>0</v>
      </c>
      <c r="FA22" s="420"/>
      <c r="FB22" s="420"/>
      <c r="FC22" s="420"/>
      <c r="FD22" s="420">
        <f t="shared" si="57"/>
        <v>0</v>
      </c>
      <c r="FE22" s="420">
        <f t="shared" si="58"/>
        <v>0</v>
      </c>
      <c r="FF22" s="419"/>
      <c r="FG22" s="419"/>
      <c r="FH22" s="419"/>
      <c r="FI22" s="419">
        <f t="shared" si="59"/>
        <v>0</v>
      </c>
      <c r="FJ22" s="419">
        <f t="shared" si="60"/>
        <v>0</v>
      </c>
      <c r="FK22" s="419"/>
      <c r="FL22" s="419"/>
      <c r="FM22" s="419"/>
      <c r="FN22" s="420">
        <f t="shared" si="61"/>
        <v>0</v>
      </c>
      <c r="FO22" s="423">
        <f t="shared" si="62"/>
        <v>0</v>
      </c>
      <c r="FP22" s="419"/>
      <c r="FQ22" s="419"/>
      <c r="FR22" s="419"/>
      <c r="FS22" s="420">
        <f t="shared" si="63"/>
        <v>0</v>
      </c>
      <c r="FT22" s="420">
        <f t="shared" si="64"/>
        <v>0</v>
      </c>
      <c r="FU22" s="419"/>
      <c r="FV22" s="419"/>
      <c r="FW22" s="419"/>
      <c r="FX22" s="420">
        <f t="shared" si="65"/>
        <v>0</v>
      </c>
      <c r="FY22" s="420">
        <f t="shared" si="66"/>
        <v>0</v>
      </c>
      <c r="FZ22" s="419"/>
      <c r="GA22" s="419"/>
      <c r="GB22" s="419"/>
      <c r="GC22" s="420">
        <f t="shared" si="67"/>
        <v>0</v>
      </c>
      <c r="GD22" s="420">
        <f t="shared" si="68"/>
        <v>0</v>
      </c>
      <c r="GE22" s="419"/>
      <c r="GF22" s="419"/>
      <c r="GG22" s="419"/>
      <c r="GH22" s="420">
        <f t="shared" si="69"/>
        <v>0</v>
      </c>
      <c r="GI22" s="423">
        <f t="shared" si="70"/>
        <v>0</v>
      </c>
      <c r="GJ22" s="419"/>
      <c r="GK22" s="419"/>
      <c r="GL22" s="419"/>
      <c r="GM22" s="420">
        <f t="shared" si="71"/>
        <v>0</v>
      </c>
      <c r="GN22" s="420">
        <f t="shared" si="72"/>
        <v>0</v>
      </c>
      <c r="GO22" s="419"/>
      <c r="GP22" s="419"/>
      <c r="GQ22" s="419"/>
      <c r="GR22" s="420">
        <f t="shared" si="77"/>
        <v>0</v>
      </c>
      <c r="GS22" s="423">
        <f t="shared" si="73"/>
        <v>0</v>
      </c>
      <c r="GT22" s="419"/>
      <c r="GU22" s="419"/>
      <c r="GV22" s="419"/>
      <c r="GW22" s="420">
        <f t="shared" si="74"/>
        <v>0</v>
      </c>
      <c r="GX22" s="420">
        <f t="shared" si="75"/>
        <v>0</v>
      </c>
    </row>
    <row r="23" spans="1:206" ht="15">
      <c r="A23" s="414"/>
      <c r="B23" s="415" t="s">
        <v>489</v>
      </c>
      <c r="C23" s="698"/>
      <c r="D23" s="707"/>
      <c r="E23" s="434" t="s">
        <v>125</v>
      </c>
      <c r="F23" s="417">
        <v>0.06</v>
      </c>
      <c r="G23" s="418">
        <f t="shared" si="4"/>
        <v>17136197.780000001</v>
      </c>
      <c r="H23" s="418">
        <f t="shared" si="5"/>
        <v>17066261.300000001</v>
      </c>
      <c r="I23" s="418">
        <f t="shared" si="5"/>
        <v>1028171.8682387701</v>
      </c>
      <c r="J23" s="418">
        <f t="shared" si="6"/>
        <v>17136197.803979501</v>
      </c>
      <c r="K23" s="438"/>
      <c r="L23" s="438"/>
      <c r="M23" s="424">
        <v>17066261.300000001</v>
      </c>
      <c r="N23" s="424">
        <v>0</v>
      </c>
      <c r="O23" s="424">
        <v>1023975.67823877</v>
      </c>
      <c r="P23" s="424"/>
      <c r="Q23" s="419"/>
      <c r="R23" s="419"/>
      <c r="S23" s="419"/>
      <c r="T23" s="420">
        <v>0</v>
      </c>
      <c r="U23" s="423">
        <f t="shared" si="9"/>
        <v>0</v>
      </c>
      <c r="V23" s="420"/>
      <c r="W23" s="420"/>
      <c r="X23" s="419"/>
      <c r="Y23" s="419"/>
      <c r="Z23" s="423">
        <f t="shared" si="10"/>
        <v>0</v>
      </c>
      <c r="AA23" s="423"/>
      <c r="AB23" s="425">
        <v>17066261.300000001</v>
      </c>
      <c r="AC23" s="419"/>
      <c r="AD23" s="420">
        <f t="shared" si="11"/>
        <v>0</v>
      </c>
      <c r="AE23" s="423">
        <f t="shared" si="12"/>
        <v>0</v>
      </c>
      <c r="AF23" s="419"/>
      <c r="AG23" s="419"/>
      <c r="AH23" s="419"/>
      <c r="AI23" s="420">
        <f t="shared" si="13"/>
        <v>0</v>
      </c>
      <c r="AJ23" s="423">
        <f t="shared" si="14"/>
        <v>0</v>
      </c>
      <c r="AK23" s="419"/>
      <c r="AL23" s="420"/>
      <c r="AM23" s="419"/>
      <c r="AN23" s="420">
        <f t="shared" si="15"/>
        <v>0</v>
      </c>
      <c r="AO23" s="423">
        <f t="shared" si="16"/>
        <v>0</v>
      </c>
      <c r="AP23" s="419"/>
      <c r="AQ23" s="419"/>
      <c r="AR23" s="420"/>
      <c r="AS23" s="420">
        <f t="shared" si="17"/>
        <v>0</v>
      </c>
      <c r="AT23" s="420">
        <f t="shared" si="18"/>
        <v>0</v>
      </c>
      <c r="AU23" s="420">
        <v>21956.51</v>
      </c>
      <c r="AV23" s="420"/>
      <c r="AW23" s="435">
        <v>1317.39</v>
      </c>
      <c r="AX23" s="426">
        <f t="shared" si="19"/>
        <v>21956.5</v>
      </c>
      <c r="AY23" s="420">
        <f t="shared" si="20"/>
        <v>-9.9999999947613105E-3</v>
      </c>
      <c r="AZ23" s="420">
        <v>23748.84</v>
      </c>
      <c r="BA23" s="420"/>
      <c r="BB23" s="419">
        <v>1424.93</v>
      </c>
      <c r="BC23" s="420">
        <f t="shared" si="21"/>
        <v>23748.833333333299</v>
      </c>
      <c r="BD23" s="427"/>
      <c r="BE23" s="420">
        <v>24231.13</v>
      </c>
      <c r="BF23" s="420"/>
      <c r="BG23" s="420">
        <v>1453.87</v>
      </c>
      <c r="BH23" s="423">
        <f t="shared" si="22"/>
        <v>24231.166666666701</v>
      </c>
      <c r="BI23" s="420">
        <f t="shared" si="23"/>
        <v>3.66666666632227E-2</v>
      </c>
      <c r="BJ23" s="420"/>
      <c r="BK23" s="420"/>
      <c r="BL23" s="420"/>
      <c r="BM23" s="420">
        <f t="shared" si="24"/>
        <v>0</v>
      </c>
      <c r="BN23" s="420">
        <f t="shared" si="25"/>
        <v>0</v>
      </c>
      <c r="BO23" s="419"/>
      <c r="BP23" s="428"/>
      <c r="BQ23" s="420">
        <v>0</v>
      </c>
      <c r="BR23" s="423">
        <f t="shared" si="26"/>
        <v>0</v>
      </c>
      <c r="BS23" s="423">
        <f t="shared" si="27"/>
        <v>0</v>
      </c>
      <c r="BT23" s="420"/>
      <c r="BU23" s="420"/>
      <c r="BV23" s="420"/>
      <c r="BW23" s="420"/>
      <c r="BX23" s="429">
        <f t="shared" si="28"/>
        <v>0</v>
      </c>
      <c r="BY23" s="419"/>
      <c r="BZ23" s="419"/>
      <c r="CA23" s="419"/>
      <c r="CB23" s="420">
        <f t="shared" si="29"/>
        <v>0</v>
      </c>
      <c r="CC23" s="430">
        <f t="shared" si="30"/>
        <v>0</v>
      </c>
      <c r="CD23" s="419"/>
      <c r="CE23" s="419"/>
      <c r="CF23" s="419"/>
      <c r="CG23" s="420">
        <f t="shared" si="31"/>
        <v>0</v>
      </c>
      <c r="CH23" s="423">
        <f t="shared" si="32"/>
        <v>0</v>
      </c>
      <c r="CI23" s="431"/>
      <c r="CJ23" s="431"/>
      <c r="CK23" s="431"/>
      <c r="CL23" s="420">
        <f t="shared" si="33"/>
        <v>0</v>
      </c>
      <c r="CM23" s="423">
        <f t="shared" si="34"/>
        <v>0</v>
      </c>
      <c r="CN23" s="420"/>
      <c r="CO23" s="420"/>
      <c r="CP23" s="420"/>
      <c r="CQ23" s="432"/>
      <c r="CR23" s="432">
        <f t="shared" si="35"/>
        <v>0</v>
      </c>
      <c r="CS23" s="420"/>
      <c r="CT23" s="420"/>
      <c r="CU23" s="420"/>
      <c r="CV23" s="420"/>
      <c r="CW23" s="420">
        <f t="shared" si="36"/>
        <v>0</v>
      </c>
      <c r="CX23" s="419"/>
      <c r="CY23" s="419"/>
      <c r="CZ23" s="419"/>
      <c r="DA23" s="419">
        <f t="shared" si="37"/>
        <v>0</v>
      </c>
      <c r="DB23" s="419">
        <f t="shared" si="38"/>
        <v>0</v>
      </c>
      <c r="DC23" s="419"/>
      <c r="DD23" s="419"/>
      <c r="DE23" s="419"/>
      <c r="DF23" s="420">
        <f t="shared" si="39"/>
        <v>0</v>
      </c>
      <c r="DG23" s="421">
        <f t="shared" si="40"/>
        <v>0</v>
      </c>
      <c r="DH23" s="419"/>
      <c r="DI23" s="419"/>
      <c r="DJ23" s="419"/>
      <c r="DK23" s="420">
        <f t="shared" si="41"/>
        <v>0</v>
      </c>
      <c r="DL23" s="422">
        <f t="shared" si="42"/>
        <v>0</v>
      </c>
      <c r="DM23" s="420"/>
      <c r="DN23" s="420"/>
      <c r="DO23" s="420"/>
      <c r="DP23" s="420">
        <f t="shared" si="43"/>
        <v>0</v>
      </c>
      <c r="DQ23" s="420">
        <f t="shared" si="44"/>
        <v>0</v>
      </c>
      <c r="DR23" s="419"/>
      <c r="DS23" s="419"/>
      <c r="DT23" s="419"/>
      <c r="DU23" s="420">
        <f t="shared" si="45"/>
        <v>0</v>
      </c>
      <c r="DV23" s="423">
        <f t="shared" si="46"/>
        <v>0</v>
      </c>
      <c r="DW23" s="419"/>
      <c r="DX23" s="419"/>
      <c r="DY23" s="419"/>
      <c r="DZ23" s="420">
        <f t="shared" si="47"/>
        <v>0</v>
      </c>
      <c r="EA23" s="423">
        <f t="shared" si="48"/>
        <v>0</v>
      </c>
      <c r="EB23" s="419"/>
      <c r="EC23" s="419"/>
      <c r="ED23" s="420"/>
      <c r="EE23" s="419"/>
      <c r="EF23" s="420">
        <f t="shared" si="49"/>
        <v>0</v>
      </c>
      <c r="EG23" s="419"/>
      <c r="EH23" s="419"/>
      <c r="EI23" s="419"/>
      <c r="EJ23" s="420">
        <f t="shared" si="50"/>
        <v>0</v>
      </c>
      <c r="EK23" s="420">
        <f t="shared" si="51"/>
        <v>0</v>
      </c>
      <c r="EL23" s="419"/>
      <c r="EM23" s="419"/>
      <c r="EN23" s="419"/>
      <c r="EO23" s="419">
        <f t="shared" si="52"/>
        <v>0</v>
      </c>
      <c r="EP23" s="419">
        <f t="shared" si="53"/>
        <v>0</v>
      </c>
      <c r="EQ23" s="419"/>
      <c r="ER23" s="419"/>
      <c r="ES23" s="419"/>
      <c r="ET23" s="419">
        <f t="shared" si="54"/>
        <v>0</v>
      </c>
      <c r="EU23" s="419">
        <f t="shared" si="55"/>
        <v>0</v>
      </c>
      <c r="EV23" s="419"/>
      <c r="EW23" s="419"/>
      <c r="EX23" s="419"/>
      <c r="EY23" s="419">
        <f t="shared" si="56"/>
        <v>0</v>
      </c>
      <c r="EZ23" s="419">
        <f t="shared" si="76"/>
        <v>0</v>
      </c>
      <c r="FA23" s="420"/>
      <c r="FB23" s="420"/>
      <c r="FC23" s="420"/>
      <c r="FD23" s="420">
        <f t="shared" si="57"/>
        <v>0</v>
      </c>
      <c r="FE23" s="420">
        <f t="shared" si="58"/>
        <v>0</v>
      </c>
      <c r="FF23" s="419"/>
      <c r="FG23" s="419"/>
      <c r="FH23" s="419"/>
      <c r="FI23" s="419">
        <f t="shared" si="59"/>
        <v>0</v>
      </c>
      <c r="FJ23" s="419">
        <f t="shared" si="60"/>
        <v>0</v>
      </c>
      <c r="FK23" s="419"/>
      <c r="FL23" s="419"/>
      <c r="FM23" s="419"/>
      <c r="FN23" s="420">
        <f t="shared" si="61"/>
        <v>0</v>
      </c>
      <c r="FO23" s="423">
        <f t="shared" si="62"/>
        <v>0</v>
      </c>
      <c r="FP23" s="419"/>
      <c r="FQ23" s="419"/>
      <c r="FR23" s="419"/>
      <c r="FS23" s="420">
        <f t="shared" si="63"/>
        <v>0</v>
      </c>
      <c r="FT23" s="420">
        <f t="shared" si="64"/>
        <v>0</v>
      </c>
      <c r="FU23" s="419"/>
      <c r="FV23" s="419"/>
      <c r="FW23" s="419"/>
      <c r="FX23" s="420">
        <f t="shared" si="65"/>
        <v>0</v>
      </c>
      <c r="FY23" s="420">
        <f t="shared" si="66"/>
        <v>0</v>
      </c>
      <c r="FZ23" s="419"/>
      <c r="GA23" s="419"/>
      <c r="GB23" s="419"/>
      <c r="GC23" s="420">
        <f t="shared" si="67"/>
        <v>0</v>
      </c>
      <c r="GD23" s="420">
        <f t="shared" si="68"/>
        <v>0</v>
      </c>
      <c r="GE23" s="419"/>
      <c r="GF23" s="419"/>
      <c r="GG23" s="419"/>
      <c r="GH23" s="420">
        <f t="shared" si="69"/>
        <v>0</v>
      </c>
      <c r="GI23" s="423">
        <f t="shared" si="70"/>
        <v>0</v>
      </c>
      <c r="GJ23" s="419"/>
      <c r="GK23" s="419"/>
      <c r="GL23" s="419"/>
      <c r="GM23" s="420">
        <f t="shared" si="71"/>
        <v>0</v>
      </c>
      <c r="GN23" s="420">
        <f t="shared" si="72"/>
        <v>0</v>
      </c>
      <c r="GO23" s="419"/>
      <c r="GP23" s="419"/>
      <c r="GQ23" s="419"/>
      <c r="GR23" s="420">
        <f t="shared" si="77"/>
        <v>0</v>
      </c>
      <c r="GS23" s="423">
        <f t="shared" si="73"/>
        <v>0</v>
      </c>
      <c r="GT23" s="419"/>
      <c r="GU23" s="419"/>
      <c r="GV23" s="419"/>
      <c r="GW23" s="420">
        <f t="shared" si="74"/>
        <v>0</v>
      </c>
      <c r="GX23" s="420">
        <f t="shared" si="75"/>
        <v>0</v>
      </c>
    </row>
    <row r="24" spans="1:206" ht="15">
      <c r="A24" s="414"/>
      <c r="B24" s="415" t="s">
        <v>492</v>
      </c>
      <c r="C24" s="698"/>
      <c r="D24" s="704" t="s">
        <v>493</v>
      </c>
      <c r="E24" s="434" t="s">
        <v>123</v>
      </c>
      <c r="F24" s="417">
        <v>0.13</v>
      </c>
      <c r="G24" s="418">
        <f t="shared" si="4"/>
        <v>59837203.530773498</v>
      </c>
      <c r="H24" s="418">
        <f t="shared" si="5"/>
        <v>59837203.509999998</v>
      </c>
      <c r="I24" s="418">
        <f t="shared" si="5"/>
        <v>7778836.4601999996</v>
      </c>
      <c r="J24" s="418">
        <f t="shared" si="6"/>
        <v>59837203.539999999</v>
      </c>
      <c r="K24" s="418">
        <f>I24/F24-H24</f>
        <v>2.9999993741512299E-2</v>
      </c>
      <c r="L24" s="418">
        <f>J24-G24</f>
        <v>9.2264935374259897E-3</v>
      </c>
      <c r="M24" s="424">
        <v>59837203.530773498</v>
      </c>
      <c r="N24" s="424">
        <v>40599469.009999998</v>
      </c>
      <c r="O24" s="424">
        <v>7778836.4601999996</v>
      </c>
      <c r="P24" s="424"/>
      <c r="Q24" s="419"/>
      <c r="R24" s="419"/>
      <c r="S24" s="419"/>
      <c r="T24" s="420">
        <v>0</v>
      </c>
      <c r="U24" s="423">
        <f t="shared" si="9"/>
        <v>0</v>
      </c>
      <c r="V24" s="420"/>
      <c r="W24" s="420"/>
      <c r="X24" s="419"/>
      <c r="Y24" s="419"/>
      <c r="Z24" s="423">
        <f t="shared" si="10"/>
        <v>0</v>
      </c>
      <c r="AA24" s="423"/>
      <c r="AB24" s="442">
        <v>19237734.5</v>
      </c>
      <c r="AC24" s="419"/>
      <c r="AD24" s="420">
        <f t="shared" si="11"/>
        <v>0</v>
      </c>
      <c r="AE24" s="423">
        <f t="shared" si="12"/>
        <v>0</v>
      </c>
      <c r="AF24" s="419"/>
      <c r="AG24" s="419"/>
      <c r="AH24" s="419"/>
      <c r="AI24" s="420">
        <f t="shared" si="13"/>
        <v>0</v>
      </c>
      <c r="AJ24" s="423">
        <f t="shared" si="14"/>
        <v>0</v>
      </c>
      <c r="AK24" s="419"/>
      <c r="AL24" s="420"/>
      <c r="AM24" s="419"/>
      <c r="AN24" s="420">
        <f t="shared" si="15"/>
        <v>0</v>
      </c>
      <c r="AO24" s="423">
        <f t="shared" si="16"/>
        <v>0</v>
      </c>
      <c r="AP24" s="419"/>
      <c r="AQ24" s="419"/>
      <c r="AR24" s="420"/>
      <c r="AS24" s="420">
        <f t="shared" si="17"/>
        <v>0</v>
      </c>
      <c r="AT24" s="420">
        <f t="shared" si="18"/>
        <v>0</v>
      </c>
      <c r="AU24" s="420"/>
      <c r="AV24" s="420"/>
      <c r="AW24" s="420"/>
      <c r="AX24" s="426">
        <f t="shared" si="19"/>
        <v>0</v>
      </c>
      <c r="AY24" s="420">
        <f t="shared" si="20"/>
        <v>0</v>
      </c>
      <c r="AZ24" s="419"/>
      <c r="BA24" s="420"/>
      <c r="BB24" s="419"/>
      <c r="BC24" s="420">
        <f t="shared" si="21"/>
        <v>0</v>
      </c>
      <c r="BD24" s="427"/>
      <c r="BE24" s="420"/>
      <c r="BF24" s="420"/>
      <c r="BG24" s="420"/>
      <c r="BH24" s="423">
        <f t="shared" si="22"/>
        <v>0</v>
      </c>
      <c r="BI24" s="420">
        <f t="shared" si="23"/>
        <v>0</v>
      </c>
      <c r="BJ24" s="420"/>
      <c r="BK24" s="420"/>
      <c r="BL24" s="420"/>
      <c r="BM24" s="420">
        <f t="shared" si="24"/>
        <v>0</v>
      </c>
      <c r="BN24" s="420">
        <f t="shared" si="25"/>
        <v>0</v>
      </c>
      <c r="BO24" s="419"/>
      <c r="BP24" s="428"/>
      <c r="BQ24" s="420"/>
      <c r="BR24" s="423">
        <f t="shared" si="26"/>
        <v>0</v>
      </c>
      <c r="BS24" s="423">
        <f t="shared" si="27"/>
        <v>0</v>
      </c>
      <c r="BT24" s="420"/>
      <c r="BU24" s="420"/>
      <c r="BV24" s="420"/>
      <c r="BW24" s="420"/>
      <c r="BX24" s="429">
        <f t="shared" si="28"/>
        <v>0</v>
      </c>
      <c r="BY24" s="419"/>
      <c r="BZ24" s="419"/>
      <c r="CA24" s="419"/>
      <c r="CB24" s="420">
        <f t="shared" si="29"/>
        <v>0</v>
      </c>
      <c r="CC24" s="430">
        <f t="shared" si="30"/>
        <v>0</v>
      </c>
      <c r="CD24" s="419"/>
      <c r="CE24" s="419"/>
      <c r="CF24" s="419"/>
      <c r="CG24" s="420">
        <f t="shared" si="31"/>
        <v>0</v>
      </c>
      <c r="CH24" s="423">
        <f t="shared" si="32"/>
        <v>0</v>
      </c>
      <c r="CI24" s="431"/>
      <c r="CJ24" s="431"/>
      <c r="CK24" s="431"/>
      <c r="CL24" s="420">
        <f t="shared" si="33"/>
        <v>0</v>
      </c>
      <c r="CM24" s="423">
        <f t="shared" si="34"/>
        <v>0</v>
      </c>
      <c r="CN24" s="420"/>
      <c r="CO24" s="420"/>
      <c r="CP24" s="420"/>
      <c r="CQ24" s="432"/>
      <c r="CR24" s="432">
        <f t="shared" si="35"/>
        <v>0</v>
      </c>
      <c r="CS24" s="420"/>
      <c r="CT24" s="420"/>
      <c r="CU24" s="420"/>
      <c r="CV24" s="420"/>
      <c r="CW24" s="420">
        <f t="shared" si="36"/>
        <v>0</v>
      </c>
      <c r="CX24" s="419"/>
      <c r="CY24" s="419"/>
      <c r="CZ24" s="419"/>
      <c r="DA24" s="419">
        <f t="shared" si="37"/>
        <v>0</v>
      </c>
      <c r="DB24" s="419">
        <f t="shared" si="38"/>
        <v>0</v>
      </c>
      <c r="DC24" s="419"/>
      <c r="DD24" s="419"/>
      <c r="DE24" s="419"/>
      <c r="DF24" s="420">
        <f t="shared" si="39"/>
        <v>0</v>
      </c>
      <c r="DG24" s="421">
        <f t="shared" si="40"/>
        <v>0</v>
      </c>
      <c r="DH24" s="419"/>
      <c r="DI24" s="419"/>
      <c r="DJ24" s="419"/>
      <c r="DK24" s="420">
        <f t="shared" si="41"/>
        <v>0</v>
      </c>
      <c r="DL24" s="422">
        <f t="shared" si="42"/>
        <v>0</v>
      </c>
      <c r="DM24" s="420"/>
      <c r="DN24" s="420"/>
      <c r="DO24" s="420"/>
      <c r="DP24" s="420">
        <f t="shared" si="43"/>
        <v>0</v>
      </c>
      <c r="DQ24" s="420">
        <f t="shared" si="44"/>
        <v>0</v>
      </c>
      <c r="DR24" s="419"/>
      <c r="DS24" s="419"/>
      <c r="DT24" s="419"/>
      <c r="DU24" s="420">
        <f t="shared" si="45"/>
        <v>0</v>
      </c>
      <c r="DV24" s="423">
        <f t="shared" si="46"/>
        <v>0</v>
      </c>
      <c r="DW24" s="419"/>
      <c r="DX24" s="419"/>
      <c r="DY24" s="419"/>
      <c r="DZ24" s="420">
        <f t="shared" si="47"/>
        <v>0</v>
      </c>
      <c r="EA24" s="423">
        <f t="shared" si="48"/>
        <v>0</v>
      </c>
      <c r="EB24" s="419"/>
      <c r="EC24" s="419"/>
      <c r="ED24" s="420"/>
      <c r="EE24" s="419"/>
      <c r="EF24" s="420">
        <f t="shared" si="49"/>
        <v>0</v>
      </c>
      <c r="EG24" s="419"/>
      <c r="EH24" s="419"/>
      <c r="EI24" s="419"/>
      <c r="EJ24" s="420">
        <f t="shared" si="50"/>
        <v>0</v>
      </c>
      <c r="EK24" s="420">
        <f t="shared" si="51"/>
        <v>0</v>
      </c>
      <c r="EL24" s="419"/>
      <c r="EM24" s="419"/>
      <c r="EN24" s="419"/>
      <c r="EO24" s="419">
        <f t="shared" si="52"/>
        <v>0</v>
      </c>
      <c r="EP24" s="419">
        <f t="shared" si="53"/>
        <v>0</v>
      </c>
      <c r="EQ24" s="419"/>
      <c r="ER24" s="419"/>
      <c r="ES24" s="419"/>
      <c r="ET24" s="419">
        <f t="shared" si="54"/>
        <v>0</v>
      </c>
      <c r="EU24" s="419">
        <f t="shared" si="55"/>
        <v>0</v>
      </c>
      <c r="EV24" s="419"/>
      <c r="EW24" s="419"/>
      <c r="EX24" s="419"/>
      <c r="EY24" s="419">
        <f t="shared" si="56"/>
        <v>0</v>
      </c>
      <c r="EZ24" s="419">
        <f t="shared" si="76"/>
        <v>0</v>
      </c>
      <c r="FA24" s="420"/>
      <c r="FB24" s="420"/>
      <c r="FC24" s="420"/>
      <c r="FD24" s="420">
        <f t="shared" si="57"/>
        <v>0</v>
      </c>
      <c r="FE24" s="420">
        <f t="shared" si="58"/>
        <v>0</v>
      </c>
      <c r="FF24" s="419"/>
      <c r="FG24" s="419"/>
      <c r="FH24" s="419"/>
      <c r="FI24" s="419">
        <f t="shared" si="59"/>
        <v>0</v>
      </c>
      <c r="FJ24" s="419">
        <f t="shared" si="60"/>
        <v>0</v>
      </c>
      <c r="FK24" s="419"/>
      <c r="FL24" s="419"/>
      <c r="FM24" s="419"/>
      <c r="FN24" s="420">
        <f t="shared" si="61"/>
        <v>0</v>
      </c>
      <c r="FO24" s="423">
        <f t="shared" si="62"/>
        <v>0</v>
      </c>
      <c r="FP24" s="419"/>
      <c r="FQ24" s="419"/>
      <c r="FR24" s="419"/>
      <c r="FS24" s="420">
        <f t="shared" si="63"/>
        <v>0</v>
      </c>
      <c r="FT24" s="420">
        <f t="shared" si="64"/>
        <v>0</v>
      </c>
      <c r="FU24" s="419"/>
      <c r="FV24" s="419"/>
      <c r="FW24" s="419"/>
      <c r="FX24" s="420">
        <f t="shared" si="65"/>
        <v>0</v>
      </c>
      <c r="FY24" s="420">
        <f t="shared" si="66"/>
        <v>0</v>
      </c>
      <c r="FZ24" s="419"/>
      <c r="GA24" s="419"/>
      <c r="GB24" s="419"/>
      <c r="GC24" s="420">
        <f t="shared" si="67"/>
        <v>0</v>
      </c>
      <c r="GD24" s="420">
        <f t="shared" si="68"/>
        <v>0</v>
      </c>
      <c r="GE24" s="419"/>
      <c r="GF24" s="419"/>
      <c r="GG24" s="419"/>
      <c r="GH24" s="420">
        <f t="shared" si="69"/>
        <v>0</v>
      </c>
      <c r="GI24" s="423">
        <f t="shared" si="70"/>
        <v>0</v>
      </c>
      <c r="GJ24" s="419"/>
      <c r="GK24" s="419"/>
      <c r="GL24" s="419"/>
      <c r="GM24" s="420">
        <f t="shared" si="71"/>
        <v>0</v>
      </c>
      <c r="GN24" s="420">
        <f t="shared" si="72"/>
        <v>0</v>
      </c>
      <c r="GO24" s="419"/>
      <c r="GP24" s="419"/>
      <c r="GQ24" s="419"/>
      <c r="GR24" s="420">
        <f t="shared" si="77"/>
        <v>0</v>
      </c>
      <c r="GS24" s="423">
        <f t="shared" si="73"/>
        <v>0</v>
      </c>
      <c r="GT24" s="419"/>
      <c r="GU24" s="419"/>
      <c r="GV24" s="419"/>
      <c r="GW24" s="420">
        <f t="shared" si="74"/>
        <v>0</v>
      </c>
      <c r="GX24" s="420">
        <f t="shared" si="75"/>
        <v>0</v>
      </c>
    </row>
    <row r="25" spans="1:206" ht="15">
      <c r="A25" s="414"/>
      <c r="B25" s="415" t="s">
        <v>492</v>
      </c>
      <c r="C25" s="698"/>
      <c r="D25" s="706"/>
      <c r="E25" s="434" t="s">
        <v>124</v>
      </c>
      <c r="F25" s="417">
        <v>0.09</v>
      </c>
      <c r="G25" s="418">
        <f t="shared" si="4"/>
        <v>58740670.700000003</v>
      </c>
      <c r="H25" s="418">
        <f t="shared" si="5"/>
        <v>58740670.68</v>
      </c>
      <c r="I25" s="418">
        <f t="shared" si="5"/>
        <v>5286660.3626727303</v>
      </c>
      <c r="J25" s="418">
        <f t="shared" si="6"/>
        <v>58740670.696363702</v>
      </c>
      <c r="K25" s="418">
        <f t="shared" ref="K25:K42" si="78">I25/F25-H25</f>
        <v>1.6363665461540201E-2</v>
      </c>
      <c r="L25" s="418">
        <f>J25-G25</f>
        <v>-3.63633781671524E-3</v>
      </c>
      <c r="M25" s="424">
        <v>58329010.640000001</v>
      </c>
      <c r="N25" s="424">
        <v>0</v>
      </c>
      <c r="O25" s="424">
        <v>5249610.9572727298</v>
      </c>
      <c r="P25" s="420">
        <f>2562581.99-2150921.93</f>
        <v>411660.06</v>
      </c>
      <c r="Q25" s="419"/>
      <c r="R25" s="419"/>
      <c r="S25" s="420"/>
      <c r="T25" s="420">
        <v>0</v>
      </c>
      <c r="U25" s="423">
        <f t="shared" si="9"/>
        <v>0</v>
      </c>
      <c r="W25" s="420"/>
      <c r="X25" s="419">
        <v>230632.38</v>
      </c>
      <c r="Y25" s="420">
        <f>X25/F25</f>
        <v>2562582</v>
      </c>
      <c r="Z25" s="423">
        <f t="shared" si="10"/>
        <v>2562582</v>
      </c>
      <c r="AA25" s="423"/>
      <c r="AB25" s="426">
        <v>60891592.619999997</v>
      </c>
      <c r="AC25" s="420"/>
      <c r="AD25" s="420">
        <f t="shared" si="11"/>
        <v>0</v>
      </c>
      <c r="AE25" s="423">
        <f t="shared" si="12"/>
        <v>0</v>
      </c>
      <c r="AF25" s="419"/>
      <c r="AG25" s="420">
        <v>-2150921.94</v>
      </c>
      <c r="AH25" s="423">
        <f>AG25*F25</f>
        <v>-193582.97459999999</v>
      </c>
      <c r="AI25" s="420">
        <f t="shared" si="13"/>
        <v>-2150921.94</v>
      </c>
      <c r="AJ25" s="423">
        <f t="shared" si="14"/>
        <v>-2150921.94</v>
      </c>
      <c r="AK25" s="419"/>
      <c r="AL25" s="420"/>
      <c r="AM25" s="419"/>
      <c r="AN25" s="420">
        <f t="shared" si="15"/>
        <v>0</v>
      </c>
      <c r="AO25" s="423">
        <f t="shared" si="16"/>
        <v>0</v>
      </c>
      <c r="AP25" s="419"/>
      <c r="AQ25" s="419"/>
      <c r="AR25" s="419"/>
      <c r="AS25" s="420">
        <f t="shared" si="17"/>
        <v>0</v>
      </c>
      <c r="AT25" s="420">
        <f t="shared" si="18"/>
        <v>0</v>
      </c>
      <c r="AU25" s="420"/>
      <c r="AV25" s="420"/>
      <c r="AW25" s="420"/>
      <c r="AX25" s="426">
        <f t="shared" si="19"/>
        <v>0</v>
      </c>
      <c r="AY25" s="420">
        <f t="shared" si="20"/>
        <v>0</v>
      </c>
      <c r="AZ25" s="419"/>
      <c r="BA25" s="420"/>
      <c r="BB25" s="419"/>
      <c r="BC25" s="420">
        <f t="shared" si="21"/>
        <v>0</v>
      </c>
      <c r="BD25" s="427"/>
      <c r="BE25" s="420"/>
      <c r="BF25" s="420"/>
      <c r="BG25" s="420"/>
      <c r="BH25" s="423">
        <f t="shared" si="22"/>
        <v>0</v>
      </c>
      <c r="BI25" s="420">
        <f t="shared" si="23"/>
        <v>0</v>
      </c>
      <c r="BJ25" s="420"/>
      <c r="BK25" s="420"/>
      <c r="BL25" s="420"/>
      <c r="BM25" s="420">
        <f t="shared" si="24"/>
        <v>0</v>
      </c>
      <c r="BN25" s="420">
        <f t="shared" si="25"/>
        <v>0</v>
      </c>
      <c r="BO25" s="419"/>
      <c r="BP25" s="428"/>
      <c r="BQ25" s="420"/>
      <c r="BR25" s="423">
        <f t="shared" si="26"/>
        <v>0</v>
      </c>
      <c r="BS25" s="423">
        <f t="shared" si="27"/>
        <v>0</v>
      </c>
      <c r="BT25" s="420"/>
      <c r="BU25" s="420"/>
      <c r="BV25" s="420"/>
      <c r="BW25" s="420"/>
      <c r="BX25" s="429">
        <f t="shared" si="28"/>
        <v>0</v>
      </c>
      <c r="BY25" s="419"/>
      <c r="BZ25" s="419"/>
      <c r="CA25" s="419"/>
      <c r="CB25" s="420">
        <f t="shared" si="29"/>
        <v>0</v>
      </c>
      <c r="CC25" s="430">
        <f t="shared" si="30"/>
        <v>0</v>
      </c>
      <c r="CD25" s="419"/>
      <c r="CE25" s="419"/>
      <c r="CF25" s="419"/>
      <c r="CG25" s="420">
        <f t="shared" si="31"/>
        <v>0</v>
      </c>
      <c r="CH25" s="423">
        <f t="shared" si="32"/>
        <v>0</v>
      </c>
      <c r="CI25" s="431"/>
      <c r="CJ25" s="431"/>
      <c r="CK25" s="431"/>
      <c r="CL25" s="420">
        <f t="shared" si="33"/>
        <v>0</v>
      </c>
      <c r="CM25" s="423">
        <f t="shared" si="34"/>
        <v>0</v>
      </c>
      <c r="CN25" s="420"/>
      <c r="CO25" s="420"/>
      <c r="CP25" s="420"/>
      <c r="CQ25" s="432"/>
      <c r="CR25" s="432">
        <f t="shared" si="35"/>
        <v>0</v>
      </c>
      <c r="CS25" s="420"/>
      <c r="CT25" s="420"/>
      <c r="CU25" s="420"/>
      <c r="CV25" s="420"/>
      <c r="CW25" s="420">
        <f t="shared" si="36"/>
        <v>0</v>
      </c>
      <c r="CX25" s="419"/>
      <c r="CY25" s="419"/>
      <c r="CZ25" s="419"/>
      <c r="DA25" s="419">
        <f t="shared" si="37"/>
        <v>0</v>
      </c>
      <c r="DB25" s="419">
        <f t="shared" si="38"/>
        <v>0</v>
      </c>
      <c r="DC25" s="419"/>
      <c r="DD25" s="419"/>
      <c r="DE25" s="419"/>
      <c r="DF25" s="420">
        <f t="shared" si="39"/>
        <v>0</v>
      </c>
      <c r="DG25" s="421">
        <f t="shared" si="40"/>
        <v>0</v>
      </c>
      <c r="DH25" s="419"/>
      <c r="DI25" s="419"/>
      <c r="DJ25" s="419"/>
      <c r="DK25" s="420">
        <f t="shared" si="41"/>
        <v>0</v>
      </c>
      <c r="DL25" s="422">
        <f t="shared" si="42"/>
        <v>0</v>
      </c>
      <c r="DM25" s="420"/>
      <c r="DN25" s="420"/>
      <c r="DO25" s="420"/>
      <c r="DP25" s="420">
        <f t="shared" si="43"/>
        <v>0</v>
      </c>
      <c r="DQ25" s="420">
        <f t="shared" si="44"/>
        <v>0</v>
      </c>
      <c r="DR25" s="419"/>
      <c r="DS25" s="419"/>
      <c r="DT25" s="419"/>
      <c r="DU25" s="420">
        <f t="shared" si="45"/>
        <v>0</v>
      </c>
      <c r="DV25" s="423">
        <f t="shared" si="46"/>
        <v>0</v>
      </c>
      <c r="DW25" s="419"/>
      <c r="DX25" s="419"/>
      <c r="DY25" s="419"/>
      <c r="DZ25" s="420">
        <f t="shared" si="47"/>
        <v>0</v>
      </c>
      <c r="EA25" s="423">
        <f t="shared" si="48"/>
        <v>0</v>
      </c>
      <c r="EB25" s="420"/>
      <c r="EC25" s="419"/>
      <c r="ED25" s="420"/>
      <c r="EE25" s="419"/>
      <c r="EF25" s="420">
        <f t="shared" si="49"/>
        <v>0</v>
      </c>
      <c r="EG25" s="419"/>
      <c r="EH25" s="419"/>
      <c r="EI25" s="419"/>
      <c r="EJ25" s="420">
        <f t="shared" si="50"/>
        <v>0</v>
      </c>
      <c r="EK25" s="420">
        <f t="shared" si="51"/>
        <v>0</v>
      </c>
      <c r="EL25" s="419"/>
      <c r="EM25" s="419"/>
      <c r="EN25" s="419"/>
      <c r="EO25" s="419">
        <f t="shared" si="52"/>
        <v>0</v>
      </c>
      <c r="EP25" s="419">
        <f t="shared" si="53"/>
        <v>0</v>
      </c>
      <c r="EQ25" s="419"/>
      <c r="ER25" s="419"/>
      <c r="ES25" s="419"/>
      <c r="ET25" s="419">
        <f t="shared" si="54"/>
        <v>0</v>
      </c>
      <c r="EU25" s="419">
        <f t="shared" si="55"/>
        <v>0</v>
      </c>
      <c r="EV25" s="419"/>
      <c r="EW25" s="419"/>
      <c r="EX25" s="419"/>
      <c r="EY25" s="419">
        <f t="shared" si="56"/>
        <v>0</v>
      </c>
      <c r="EZ25" s="419">
        <f t="shared" si="76"/>
        <v>0</v>
      </c>
      <c r="FA25" s="420"/>
      <c r="FB25" s="420"/>
      <c r="FC25" s="420"/>
      <c r="FD25" s="420">
        <f t="shared" si="57"/>
        <v>0</v>
      </c>
      <c r="FE25" s="420">
        <f t="shared" si="58"/>
        <v>0</v>
      </c>
      <c r="FF25" s="419"/>
      <c r="FG25" s="419"/>
      <c r="FH25" s="419"/>
      <c r="FI25" s="419">
        <f t="shared" si="59"/>
        <v>0</v>
      </c>
      <c r="FJ25" s="419">
        <f t="shared" si="60"/>
        <v>0</v>
      </c>
      <c r="FK25" s="419"/>
      <c r="FL25" s="419"/>
      <c r="FM25" s="419"/>
      <c r="FN25" s="420">
        <f t="shared" si="61"/>
        <v>0</v>
      </c>
      <c r="FO25" s="423">
        <f t="shared" si="62"/>
        <v>0</v>
      </c>
      <c r="FP25" s="419"/>
      <c r="FQ25" s="419"/>
      <c r="FR25" s="419"/>
      <c r="FS25" s="420">
        <f t="shared" si="63"/>
        <v>0</v>
      </c>
      <c r="FT25" s="420">
        <f t="shared" si="64"/>
        <v>0</v>
      </c>
      <c r="FU25" s="419"/>
      <c r="FV25" s="419"/>
      <c r="FW25" s="419"/>
      <c r="FX25" s="420">
        <f t="shared" si="65"/>
        <v>0</v>
      </c>
      <c r="FY25" s="420">
        <f t="shared" si="66"/>
        <v>0</v>
      </c>
      <c r="FZ25" s="419"/>
      <c r="GA25" s="419"/>
      <c r="GB25" s="419"/>
      <c r="GC25" s="420">
        <f t="shared" si="67"/>
        <v>0</v>
      </c>
      <c r="GD25" s="420">
        <f t="shared" si="68"/>
        <v>0</v>
      </c>
      <c r="GE25" s="419"/>
      <c r="GF25" s="419"/>
      <c r="GG25" s="419"/>
      <c r="GH25" s="420">
        <f t="shared" si="69"/>
        <v>0</v>
      </c>
      <c r="GI25" s="423">
        <f t="shared" si="70"/>
        <v>0</v>
      </c>
      <c r="GJ25" s="419"/>
      <c r="GK25" s="419"/>
      <c r="GL25" s="419"/>
      <c r="GM25" s="420">
        <f t="shared" si="71"/>
        <v>0</v>
      </c>
      <c r="GN25" s="420">
        <f t="shared" si="72"/>
        <v>0</v>
      </c>
      <c r="GO25" s="419"/>
      <c r="GP25" s="419"/>
      <c r="GQ25" s="419"/>
      <c r="GR25" s="420">
        <f t="shared" si="77"/>
        <v>0</v>
      </c>
      <c r="GS25" s="423">
        <f t="shared" si="73"/>
        <v>0</v>
      </c>
      <c r="GT25" s="419"/>
      <c r="GU25" s="419"/>
      <c r="GV25" s="419"/>
      <c r="GW25" s="420">
        <f t="shared" si="74"/>
        <v>0</v>
      </c>
      <c r="GX25" s="420">
        <f t="shared" si="75"/>
        <v>0</v>
      </c>
    </row>
    <row r="26" spans="1:206" ht="15">
      <c r="A26" s="414"/>
      <c r="B26" s="415" t="s">
        <v>492</v>
      </c>
      <c r="C26" s="698"/>
      <c r="D26" s="707"/>
      <c r="E26" s="434" t="s">
        <v>125</v>
      </c>
      <c r="F26" s="417">
        <v>0.06</v>
      </c>
      <c r="G26" s="418">
        <f t="shared" si="4"/>
        <v>43710.29</v>
      </c>
      <c r="H26" s="418">
        <f t="shared" si="5"/>
        <v>43710.29</v>
      </c>
      <c r="I26" s="418">
        <f t="shared" si="5"/>
        <v>2622.6190499999998</v>
      </c>
      <c r="J26" s="418">
        <f t="shared" si="6"/>
        <v>43710.317499999997</v>
      </c>
      <c r="K26" s="418">
        <f t="shared" si="78"/>
        <v>2.7500000003783501E-2</v>
      </c>
      <c r="L26" s="418">
        <f>J26-G26</f>
        <v>2.7500000003783501E-2</v>
      </c>
      <c r="M26" s="424"/>
      <c r="N26" s="424"/>
      <c r="O26" s="424"/>
      <c r="P26" s="424"/>
      <c r="Q26" s="419"/>
      <c r="R26" s="419"/>
      <c r="S26" s="419"/>
      <c r="T26" s="420">
        <v>0</v>
      </c>
      <c r="U26" s="423">
        <f t="shared" si="9"/>
        <v>0</v>
      </c>
      <c r="V26" s="420"/>
      <c r="W26" s="420"/>
      <c r="X26" s="419"/>
      <c r="Y26" s="420">
        <f t="shared" ref="Y26:Y70" si="79">X26/F26</f>
        <v>0</v>
      </c>
      <c r="Z26" s="423">
        <f t="shared" si="10"/>
        <v>0</v>
      </c>
      <c r="AA26" s="423"/>
      <c r="AB26" s="425"/>
      <c r="AC26" s="419"/>
      <c r="AD26" s="420">
        <f t="shared" si="11"/>
        <v>0</v>
      </c>
      <c r="AE26" s="423">
        <f t="shared" si="12"/>
        <v>0</v>
      </c>
      <c r="AF26" s="419"/>
      <c r="AG26" s="419"/>
      <c r="AH26" s="419"/>
      <c r="AI26" s="420">
        <f t="shared" si="13"/>
        <v>0</v>
      </c>
      <c r="AJ26" s="423">
        <f t="shared" si="14"/>
        <v>0</v>
      </c>
      <c r="AK26" s="419"/>
      <c r="AL26" s="420"/>
      <c r="AM26" s="419"/>
      <c r="AN26" s="420">
        <f t="shared" si="15"/>
        <v>0</v>
      </c>
      <c r="AO26" s="423">
        <f t="shared" si="16"/>
        <v>0</v>
      </c>
      <c r="AP26" s="419"/>
      <c r="AQ26" s="419"/>
      <c r="AR26" s="420"/>
      <c r="AS26" s="420">
        <f t="shared" si="17"/>
        <v>0</v>
      </c>
      <c r="AT26" s="420">
        <f t="shared" si="18"/>
        <v>0</v>
      </c>
      <c r="AU26" s="420">
        <v>13722.82</v>
      </c>
      <c r="AV26" s="420"/>
      <c r="AW26" s="435">
        <v>823.36905000000002</v>
      </c>
      <c r="AX26" s="426">
        <f t="shared" si="19"/>
        <v>13722.817499999999</v>
      </c>
      <c r="AY26" s="420">
        <f t="shared" si="20"/>
        <v>-2.4999999986903298E-3</v>
      </c>
      <c r="AZ26" s="420">
        <v>14843.02</v>
      </c>
      <c r="BA26" s="420"/>
      <c r="BB26" s="419">
        <v>890.58</v>
      </c>
      <c r="BC26" s="420">
        <f t="shared" si="21"/>
        <v>14843</v>
      </c>
      <c r="BD26" s="427"/>
      <c r="BE26" s="420">
        <v>15144.45</v>
      </c>
      <c r="BF26" s="420"/>
      <c r="BG26" s="420">
        <v>908.67</v>
      </c>
      <c r="BH26" s="423">
        <f t="shared" si="22"/>
        <v>15144.5</v>
      </c>
      <c r="BI26" s="420">
        <f t="shared" si="23"/>
        <v>4.9999999999272397E-2</v>
      </c>
      <c r="BJ26" s="420"/>
      <c r="BK26" s="420">
        <v>43710.29</v>
      </c>
      <c r="BL26" s="420"/>
      <c r="BM26" s="420">
        <f t="shared" si="24"/>
        <v>0</v>
      </c>
      <c r="BN26" s="420">
        <f t="shared" si="25"/>
        <v>0</v>
      </c>
      <c r="BO26" s="419"/>
      <c r="BP26" s="428"/>
      <c r="BQ26" s="420">
        <v>0</v>
      </c>
      <c r="BR26" s="423">
        <f t="shared" si="26"/>
        <v>0</v>
      </c>
      <c r="BS26" s="423">
        <f t="shared" si="27"/>
        <v>0</v>
      </c>
      <c r="BT26" s="420"/>
      <c r="BU26" s="420"/>
      <c r="BV26" s="420"/>
      <c r="BW26" s="420"/>
      <c r="BX26" s="429">
        <f t="shared" si="28"/>
        <v>0</v>
      </c>
      <c r="BY26" s="419"/>
      <c r="BZ26" s="419"/>
      <c r="CA26" s="419"/>
      <c r="CB26" s="420">
        <f t="shared" si="29"/>
        <v>0</v>
      </c>
      <c r="CC26" s="430">
        <f t="shared" si="30"/>
        <v>0</v>
      </c>
      <c r="CD26" s="419"/>
      <c r="CE26" s="419"/>
      <c r="CF26" s="419"/>
      <c r="CG26" s="420">
        <f t="shared" si="31"/>
        <v>0</v>
      </c>
      <c r="CH26" s="423">
        <f t="shared" si="32"/>
        <v>0</v>
      </c>
      <c r="CI26" s="431"/>
      <c r="CJ26" s="431"/>
      <c r="CK26" s="431"/>
      <c r="CL26" s="420">
        <f t="shared" si="33"/>
        <v>0</v>
      </c>
      <c r="CM26" s="423">
        <f t="shared" si="34"/>
        <v>0</v>
      </c>
      <c r="CN26" s="420"/>
      <c r="CO26" s="420"/>
      <c r="CP26" s="420"/>
      <c r="CQ26" s="432"/>
      <c r="CR26" s="432">
        <f t="shared" si="35"/>
        <v>0</v>
      </c>
      <c r="CS26" s="420"/>
      <c r="CT26" s="420"/>
      <c r="CU26" s="420"/>
      <c r="CV26" s="420"/>
      <c r="CW26" s="420">
        <f t="shared" si="36"/>
        <v>0</v>
      </c>
      <c r="CX26" s="419"/>
      <c r="CY26" s="419"/>
      <c r="CZ26" s="419"/>
      <c r="DA26" s="419">
        <f t="shared" si="37"/>
        <v>0</v>
      </c>
      <c r="DB26" s="419">
        <f t="shared" si="38"/>
        <v>0</v>
      </c>
      <c r="DC26" s="419"/>
      <c r="DD26" s="419"/>
      <c r="DE26" s="419"/>
      <c r="DF26" s="420">
        <f t="shared" si="39"/>
        <v>0</v>
      </c>
      <c r="DG26" s="421">
        <f t="shared" si="40"/>
        <v>0</v>
      </c>
      <c r="DH26" s="419"/>
      <c r="DI26" s="419"/>
      <c r="DJ26" s="419"/>
      <c r="DK26" s="420">
        <f t="shared" si="41"/>
        <v>0</v>
      </c>
      <c r="DL26" s="422">
        <f t="shared" si="42"/>
        <v>0</v>
      </c>
      <c r="DM26" s="420"/>
      <c r="DN26" s="420"/>
      <c r="DO26" s="420"/>
      <c r="DP26" s="420">
        <f t="shared" si="43"/>
        <v>0</v>
      </c>
      <c r="DQ26" s="420">
        <f t="shared" si="44"/>
        <v>0</v>
      </c>
      <c r="DR26" s="419"/>
      <c r="DS26" s="419"/>
      <c r="DT26" s="419"/>
      <c r="DU26" s="420">
        <f t="shared" si="45"/>
        <v>0</v>
      </c>
      <c r="DV26" s="423">
        <f t="shared" si="46"/>
        <v>0</v>
      </c>
      <c r="DW26" s="419"/>
      <c r="DX26" s="419"/>
      <c r="DY26" s="419"/>
      <c r="DZ26" s="420">
        <f t="shared" si="47"/>
        <v>0</v>
      </c>
      <c r="EA26" s="423">
        <f t="shared" si="48"/>
        <v>0</v>
      </c>
      <c r="EB26" s="419"/>
      <c r="EC26" s="419"/>
      <c r="ED26" s="420"/>
      <c r="EE26" s="419"/>
      <c r="EF26" s="420">
        <f t="shared" si="49"/>
        <v>0</v>
      </c>
      <c r="EG26" s="419"/>
      <c r="EH26" s="419"/>
      <c r="EI26" s="419"/>
      <c r="EJ26" s="420">
        <f t="shared" si="50"/>
        <v>0</v>
      </c>
      <c r="EK26" s="420">
        <f t="shared" si="51"/>
        <v>0</v>
      </c>
      <c r="EL26" s="419"/>
      <c r="EM26" s="419"/>
      <c r="EN26" s="419"/>
      <c r="EO26" s="419">
        <f t="shared" si="52"/>
        <v>0</v>
      </c>
      <c r="EP26" s="419">
        <f t="shared" si="53"/>
        <v>0</v>
      </c>
      <c r="EQ26" s="419"/>
      <c r="ER26" s="419"/>
      <c r="ES26" s="419"/>
      <c r="ET26" s="419">
        <f t="shared" si="54"/>
        <v>0</v>
      </c>
      <c r="EU26" s="419">
        <f t="shared" si="55"/>
        <v>0</v>
      </c>
      <c r="EV26" s="419"/>
      <c r="EW26" s="419"/>
      <c r="EX26" s="419"/>
      <c r="EY26" s="419">
        <f t="shared" si="56"/>
        <v>0</v>
      </c>
      <c r="EZ26" s="419">
        <f t="shared" si="76"/>
        <v>0</v>
      </c>
      <c r="FA26" s="420"/>
      <c r="FB26" s="420"/>
      <c r="FC26" s="420"/>
      <c r="FD26" s="420">
        <f t="shared" si="57"/>
        <v>0</v>
      </c>
      <c r="FE26" s="420">
        <f t="shared" si="58"/>
        <v>0</v>
      </c>
      <c r="FF26" s="419"/>
      <c r="FG26" s="419"/>
      <c r="FH26" s="419"/>
      <c r="FI26" s="419">
        <f t="shared" si="59"/>
        <v>0</v>
      </c>
      <c r="FJ26" s="419">
        <f t="shared" si="60"/>
        <v>0</v>
      </c>
      <c r="FK26" s="419"/>
      <c r="FL26" s="419"/>
      <c r="FM26" s="419"/>
      <c r="FN26" s="420">
        <f t="shared" si="61"/>
        <v>0</v>
      </c>
      <c r="FO26" s="423">
        <f t="shared" si="62"/>
        <v>0</v>
      </c>
      <c r="FP26" s="419"/>
      <c r="FQ26" s="419"/>
      <c r="FR26" s="419"/>
      <c r="FS26" s="420">
        <f t="shared" si="63"/>
        <v>0</v>
      </c>
      <c r="FT26" s="420">
        <f t="shared" si="64"/>
        <v>0</v>
      </c>
      <c r="FU26" s="419"/>
      <c r="FV26" s="419"/>
      <c r="FW26" s="419"/>
      <c r="FX26" s="420">
        <f t="shared" si="65"/>
        <v>0</v>
      </c>
      <c r="FY26" s="420">
        <f t="shared" si="66"/>
        <v>0</v>
      </c>
      <c r="FZ26" s="419"/>
      <c r="GA26" s="419"/>
      <c r="GB26" s="419"/>
      <c r="GC26" s="420">
        <f t="shared" si="67"/>
        <v>0</v>
      </c>
      <c r="GD26" s="420">
        <f t="shared" si="68"/>
        <v>0</v>
      </c>
      <c r="GE26" s="419"/>
      <c r="GF26" s="419"/>
      <c r="GG26" s="419"/>
      <c r="GH26" s="420">
        <f t="shared" si="69"/>
        <v>0</v>
      </c>
      <c r="GI26" s="423">
        <f t="shared" si="70"/>
        <v>0</v>
      </c>
      <c r="GJ26" s="419"/>
      <c r="GK26" s="419"/>
      <c r="GL26" s="419"/>
      <c r="GM26" s="420">
        <f t="shared" si="71"/>
        <v>0</v>
      </c>
      <c r="GN26" s="420">
        <f t="shared" si="72"/>
        <v>0</v>
      </c>
      <c r="GO26" s="419"/>
      <c r="GP26" s="419"/>
      <c r="GQ26" s="419"/>
      <c r="GR26" s="420">
        <f t="shared" si="77"/>
        <v>0</v>
      </c>
      <c r="GS26" s="423">
        <f t="shared" si="73"/>
        <v>0</v>
      </c>
      <c r="GT26" s="419"/>
      <c r="GU26" s="419"/>
      <c r="GV26" s="419"/>
      <c r="GW26" s="420">
        <f t="shared" si="74"/>
        <v>0</v>
      </c>
      <c r="GX26" s="420">
        <f t="shared" si="75"/>
        <v>0</v>
      </c>
    </row>
    <row r="27" spans="1:206" ht="15">
      <c r="A27" s="414"/>
      <c r="B27" s="415" t="s">
        <v>494</v>
      </c>
      <c r="C27" s="698"/>
      <c r="D27" s="704" t="s">
        <v>495</v>
      </c>
      <c r="E27" s="434" t="s">
        <v>123</v>
      </c>
      <c r="F27" s="417">
        <v>0.13</v>
      </c>
      <c r="G27" s="418">
        <f t="shared" si="4"/>
        <v>21603594.010000002</v>
      </c>
      <c r="H27" s="418">
        <f t="shared" si="5"/>
        <v>21603594.010000002</v>
      </c>
      <c r="I27" s="418">
        <f t="shared" si="5"/>
        <v>2808467.25</v>
      </c>
      <c r="J27" s="418">
        <f t="shared" si="6"/>
        <v>21603594.230769198</v>
      </c>
      <c r="K27" s="418">
        <f t="shared" si="78"/>
        <v>0.22076922655105599</v>
      </c>
      <c r="L27" s="418">
        <f t="shared" ref="L27:L42" si="80">J27-G27</f>
        <v>0.22076922655105599</v>
      </c>
      <c r="M27" s="424">
        <v>21603594.010000002</v>
      </c>
      <c r="N27" s="424">
        <v>21603594.010000002</v>
      </c>
      <c r="O27" s="424">
        <v>2808467.25</v>
      </c>
      <c r="P27" s="424"/>
      <c r="Q27" s="419"/>
      <c r="R27" s="419"/>
      <c r="S27" s="419"/>
      <c r="T27" s="420">
        <v>0</v>
      </c>
      <c r="U27" s="423">
        <f t="shared" si="9"/>
        <v>0</v>
      </c>
      <c r="V27" s="420"/>
      <c r="W27" s="420"/>
      <c r="X27" s="419"/>
      <c r="Y27" s="420">
        <f t="shared" si="79"/>
        <v>0</v>
      </c>
      <c r="Z27" s="423">
        <f t="shared" si="10"/>
        <v>0</v>
      </c>
      <c r="AA27" s="423"/>
      <c r="AB27" s="443"/>
      <c r="AC27" s="419"/>
      <c r="AD27" s="420">
        <f t="shared" si="11"/>
        <v>0</v>
      </c>
      <c r="AE27" s="423">
        <f t="shared" si="12"/>
        <v>0</v>
      </c>
      <c r="AF27" s="419"/>
      <c r="AG27" s="419"/>
      <c r="AH27" s="419"/>
      <c r="AI27" s="420">
        <f t="shared" si="13"/>
        <v>0</v>
      </c>
      <c r="AJ27" s="423">
        <f t="shared" si="14"/>
        <v>0</v>
      </c>
      <c r="AK27" s="419"/>
      <c r="AL27" s="420"/>
      <c r="AM27" s="419"/>
      <c r="AN27" s="420">
        <f t="shared" si="15"/>
        <v>0</v>
      </c>
      <c r="AO27" s="423">
        <f t="shared" si="16"/>
        <v>0</v>
      </c>
      <c r="AP27" s="419"/>
      <c r="AQ27" s="419"/>
      <c r="AR27" s="420"/>
      <c r="AS27" s="420">
        <f t="shared" si="17"/>
        <v>0</v>
      </c>
      <c r="AT27" s="420">
        <f t="shared" si="18"/>
        <v>0</v>
      </c>
      <c r="AU27" s="420"/>
      <c r="AV27" s="420"/>
      <c r="AW27" s="420"/>
      <c r="AX27" s="426">
        <f t="shared" si="19"/>
        <v>0</v>
      </c>
      <c r="AY27" s="420">
        <f t="shared" si="20"/>
        <v>0</v>
      </c>
      <c r="AZ27" s="419"/>
      <c r="BA27" s="420"/>
      <c r="BB27" s="419"/>
      <c r="BC27" s="420">
        <f t="shared" si="21"/>
        <v>0</v>
      </c>
      <c r="BD27" s="427"/>
      <c r="BE27" s="420"/>
      <c r="BF27" s="420"/>
      <c r="BG27" s="420"/>
      <c r="BH27" s="423">
        <f t="shared" si="22"/>
        <v>0</v>
      </c>
      <c r="BI27" s="420">
        <f t="shared" si="23"/>
        <v>0</v>
      </c>
      <c r="BJ27" s="420"/>
      <c r="BK27" s="420"/>
      <c r="BL27" s="420"/>
      <c r="BM27" s="420">
        <f t="shared" si="24"/>
        <v>0</v>
      </c>
      <c r="BN27" s="420">
        <f t="shared" si="25"/>
        <v>0</v>
      </c>
      <c r="BO27" s="419"/>
      <c r="BP27" s="428"/>
      <c r="BQ27" s="420"/>
      <c r="BR27" s="423">
        <f t="shared" si="26"/>
        <v>0</v>
      </c>
      <c r="BS27" s="423">
        <f t="shared" si="27"/>
        <v>0</v>
      </c>
      <c r="BT27" s="420"/>
      <c r="BU27" s="420"/>
      <c r="BV27" s="420"/>
      <c r="BW27" s="420"/>
      <c r="BX27" s="429">
        <f t="shared" si="28"/>
        <v>0</v>
      </c>
      <c r="BY27" s="419"/>
      <c r="BZ27" s="419"/>
      <c r="CA27" s="419"/>
      <c r="CB27" s="420">
        <f t="shared" si="29"/>
        <v>0</v>
      </c>
      <c r="CC27" s="430">
        <f t="shared" si="30"/>
        <v>0</v>
      </c>
      <c r="CD27" s="419"/>
      <c r="CE27" s="419"/>
      <c r="CF27" s="419"/>
      <c r="CG27" s="420">
        <f t="shared" si="31"/>
        <v>0</v>
      </c>
      <c r="CH27" s="423">
        <f t="shared" si="32"/>
        <v>0</v>
      </c>
      <c r="CI27" s="431"/>
      <c r="CJ27" s="431"/>
      <c r="CK27" s="431"/>
      <c r="CL27" s="420">
        <f t="shared" si="33"/>
        <v>0</v>
      </c>
      <c r="CM27" s="423">
        <f t="shared" si="34"/>
        <v>0</v>
      </c>
      <c r="CN27" s="420"/>
      <c r="CO27" s="420"/>
      <c r="CP27" s="420"/>
      <c r="CQ27" s="432"/>
      <c r="CR27" s="432">
        <f t="shared" si="35"/>
        <v>0</v>
      </c>
      <c r="CS27" s="420"/>
      <c r="CT27" s="420"/>
      <c r="CU27" s="420"/>
      <c r="CV27" s="420"/>
      <c r="CW27" s="420">
        <f t="shared" si="36"/>
        <v>0</v>
      </c>
      <c r="CX27" s="419"/>
      <c r="CY27" s="419"/>
      <c r="CZ27" s="419"/>
      <c r="DA27" s="419">
        <f t="shared" si="37"/>
        <v>0</v>
      </c>
      <c r="DB27" s="419">
        <f t="shared" si="38"/>
        <v>0</v>
      </c>
      <c r="DC27" s="419"/>
      <c r="DD27" s="419"/>
      <c r="DE27" s="419"/>
      <c r="DF27" s="420">
        <f t="shared" si="39"/>
        <v>0</v>
      </c>
      <c r="DG27" s="421">
        <f t="shared" si="40"/>
        <v>0</v>
      </c>
      <c r="DH27" s="419"/>
      <c r="DI27" s="419"/>
      <c r="DJ27" s="419"/>
      <c r="DK27" s="420">
        <f t="shared" si="41"/>
        <v>0</v>
      </c>
      <c r="DL27" s="422">
        <f t="shared" si="42"/>
        <v>0</v>
      </c>
      <c r="DM27" s="420"/>
      <c r="DN27" s="420"/>
      <c r="DO27" s="420"/>
      <c r="DP27" s="420">
        <f t="shared" si="43"/>
        <v>0</v>
      </c>
      <c r="DQ27" s="420">
        <f t="shared" si="44"/>
        <v>0</v>
      </c>
      <c r="DR27" s="419"/>
      <c r="DS27" s="419"/>
      <c r="DT27" s="419"/>
      <c r="DU27" s="420">
        <f t="shared" si="45"/>
        <v>0</v>
      </c>
      <c r="DV27" s="423">
        <f t="shared" si="46"/>
        <v>0</v>
      </c>
      <c r="DW27" s="419"/>
      <c r="DX27" s="419"/>
      <c r="DY27" s="419"/>
      <c r="DZ27" s="420">
        <f t="shared" si="47"/>
        <v>0</v>
      </c>
      <c r="EA27" s="423">
        <f t="shared" si="48"/>
        <v>0</v>
      </c>
      <c r="EB27" s="419"/>
      <c r="EC27" s="419"/>
      <c r="ED27" s="420"/>
      <c r="EE27" s="419"/>
      <c r="EF27" s="420">
        <f t="shared" si="49"/>
        <v>0</v>
      </c>
      <c r="EG27" s="419"/>
      <c r="EH27" s="419"/>
      <c r="EI27" s="419"/>
      <c r="EJ27" s="420">
        <f t="shared" si="50"/>
        <v>0</v>
      </c>
      <c r="EK27" s="420">
        <f t="shared" si="51"/>
        <v>0</v>
      </c>
      <c r="EL27" s="419"/>
      <c r="EM27" s="419"/>
      <c r="EN27" s="419"/>
      <c r="EO27" s="419">
        <f t="shared" si="52"/>
        <v>0</v>
      </c>
      <c r="EP27" s="419">
        <f t="shared" si="53"/>
        <v>0</v>
      </c>
      <c r="EQ27" s="419"/>
      <c r="ER27" s="419"/>
      <c r="ES27" s="419"/>
      <c r="ET27" s="419">
        <f t="shared" si="54"/>
        <v>0</v>
      </c>
      <c r="EU27" s="419">
        <f t="shared" si="55"/>
        <v>0</v>
      </c>
      <c r="EV27" s="419"/>
      <c r="EW27" s="419"/>
      <c r="EX27" s="419"/>
      <c r="EY27" s="419">
        <f t="shared" si="56"/>
        <v>0</v>
      </c>
      <c r="EZ27" s="419">
        <f t="shared" si="76"/>
        <v>0</v>
      </c>
      <c r="FA27" s="420"/>
      <c r="FB27" s="420"/>
      <c r="FC27" s="420"/>
      <c r="FD27" s="420">
        <f t="shared" si="57"/>
        <v>0</v>
      </c>
      <c r="FE27" s="420">
        <f t="shared" si="58"/>
        <v>0</v>
      </c>
      <c r="FF27" s="419"/>
      <c r="FG27" s="419"/>
      <c r="FH27" s="419"/>
      <c r="FI27" s="419">
        <f t="shared" si="59"/>
        <v>0</v>
      </c>
      <c r="FJ27" s="419">
        <f t="shared" si="60"/>
        <v>0</v>
      </c>
      <c r="FK27" s="419"/>
      <c r="FL27" s="419"/>
      <c r="FM27" s="419"/>
      <c r="FN27" s="420">
        <f t="shared" si="61"/>
        <v>0</v>
      </c>
      <c r="FO27" s="423">
        <f t="shared" si="62"/>
        <v>0</v>
      </c>
      <c r="FP27" s="419"/>
      <c r="FQ27" s="419"/>
      <c r="FR27" s="419"/>
      <c r="FS27" s="420">
        <f t="shared" si="63"/>
        <v>0</v>
      </c>
      <c r="FT27" s="420">
        <f t="shared" si="64"/>
        <v>0</v>
      </c>
      <c r="FU27" s="419"/>
      <c r="FV27" s="419"/>
      <c r="FW27" s="419"/>
      <c r="FX27" s="420">
        <f t="shared" si="65"/>
        <v>0</v>
      </c>
      <c r="FY27" s="420">
        <f t="shared" si="66"/>
        <v>0</v>
      </c>
      <c r="FZ27" s="419"/>
      <c r="GA27" s="419"/>
      <c r="GB27" s="419"/>
      <c r="GC27" s="420">
        <f t="shared" si="67"/>
        <v>0</v>
      </c>
      <c r="GD27" s="420">
        <f t="shared" si="68"/>
        <v>0</v>
      </c>
      <c r="GE27" s="419"/>
      <c r="GF27" s="419"/>
      <c r="GG27" s="419"/>
      <c r="GH27" s="420">
        <f t="shared" si="69"/>
        <v>0</v>
      </c>
      <c r="GI27" s="423">
        <f t="shared" si="70"/>
        <v>0</v>
      </c>
      <c r="GJ27" s="419"/>
      <c r="GK27" s="419"/>
      <c r="GL27" s="419"/>
      <c r="GM27" s="420">
        <f t="shared" si="71"/>
        <v>0</v>
      </c>
      <c r="GN27" s="420">
        <f t="shared" si="72"/>
        <v>0</v>
      </c>
      <c r="GO27" s="419"/>
      <c r="GP27" s="419"/>
      <c r="GQ27" s="419"/>
      <c r="GR27" s="420">
        <f t="shared" si="77"/>
        <v>0</v>
      </c>
      <c r="GS27" s="423">
        <f t="shared" si="73"/>
        <v>0</v>
      </c>
      <c r="GT27" s="419"/>
      <c r="GU27" s="419"/>
      <c r="GV27" s="419"/>
      <c r="GW27" s="420">
        <f t="shared" si="74"/>
        <v>0</v>
      </c>
      <c r="GX27" s="420">
        <f t="shared" si="75"/>
        <v>0</v>
      </c>
    </row>
    <row r="28" spans="1:206" ht="15">
      <c r="A28" s="414"/>
      <c r="B28" s="415" t="s">
        <v>494</v>
      </c>
      <c r="C28" s="698"/>
      <c r="D28" s="706"/>
      <c r="E28" s="434" t="s">
        <v>124</v>
      </c>
      <c r="F28" s="417">
        <v>0.09</v>
      </c>
      <c r="G28" s="418">
        <f t="shared" si="4"/>
        <v>7011909.0800000001</v>
      </c>
      <c r="H28" s="418">
        <f t="shared" si="5"/>
        <v>7011909.0800000001</v>
      </c>
      <c r="I28" s="418">
        <f t="shared" si="5"/>
        <v>631071.82999999996</v>
      </c>
      <c r="J28" s="418">
        <f t="shared" si="6"/>
        <v>7011909.2222222202</v>
      </c>
      <c r="K28" s="418">
        <f t="shared" si="78"/>
        <v>0.14222222194075601</v>
      </c>
      <c r="L28" s="418">
        <f t="shared" si="80"/>
        <v>0.14222222194075601</v>
      </c>
      <c r="M28" s="424">
        <v>7011909.0800000001</v>
      </c>
      <c r="N28" s="424">
        <v>7011909.0800000001</v>
      </c>
      <c r="O28" s="424">
        <v>631071.82999999996</v>
      </c>
      <c r="P28" s="424"/>
      <c r="Q28" s="419"/>
      <c r="R28" s="419"/>
      <c r="S28" s="420"/>
      <c r="T28" s="420">
        <v>0</v>
      </c>
      <c r="U28" s="423">
        <f t="shared" si="9"/>
        <v>0</v>
      </c>
      <c r="V28" s="420"/>
      <c r="W28" s="420"/>
      <c r="X28" s="419"/>
      <c r="Y28" s="420">
        <f t="shared" si="79"/>
        <v>0</v>
      </c>
      <c r="Z28" s="423">
        <f t="shared" si="10"/>
        <v>0</v>
      </c>
      <c r="AA28" s="423"/>
      <c r="AB28" s="419"/>
      <c r="AC28" s="419"/>
      <c r="AD28" s="420">
        <f t="shared" si="11"/>
        <v>0</v>
      </c>
      <c r="AE28" s="423">
        <f t="shared" si="12"/>
        <v>0</v>
      </c>
      <c r="AF28" s="419"/>
      <c r="AG28" s="419"/>
      <c r="AH28" s="419"/>
      <c r="AI28" s="420">
        <f t="shared" si="13"/>
        <v>0</v>
      </c>
      <c r="AJ28" s="423">
        <f t="shared" si="14"/>
        <v>0</v>
      </c>
      <c r="AK28" s="419"/>
      <c r="AL28" s="420"/>
      <c r="AM28" s="419"/>
      <c r="AN28" s="420">
        <f t="shared" si="15"/>
        <v>0</v>
      </c>
      <c r="AO28" s="423">
        <f t="shared" si="16"/>
        <v>0</v>
      </c>
      <c r="AP28" s="419"/>
      <c r="AQ28" s="419"/>
      <c r="AR28" s="419"/>
      <c r="AS28" s="420">
        <f t="shared" si="17"/>
        <v>0</v>
      </c>
      <c r="AT28" s="420">
        <f t="shared" si="18"/>
        <v>0</v>
      </c>
      <c r="AU28" s="420"/>
      <c r="AV28" s="420"/>
      <c r="AW28" s="420"/>
      <c r="AX28" s="426">
        <f t="shared" si="19"/>
        <v>0</v>
      </c>
      <c r="AY28" s="420">
        <f t="shared" si="20"/>
        <v>0</v>
      </c>
      <c r="AZ28" s="419"/>
      <c r="BA28" s="420"/>
      <c r="BB28" s="419"/>
      <c r="BC28" s="420">
        <f t="shared" si="21"/>
        <v>0</v>
      </c>
      <c r="BD28" s="427"/>
      <c r="BE28" s="420"/>
      <c r="BF28" s="420"/>
      <c r="BG28" s="420"/>
      <c r="BH28" s="423">
        <f t="shared" si="22"/>
        <v>0</v>
      </c>
      <c r="BI28" s="420">
        <f t="shared" si="23"/>
        <v>0</v>
      </c>
      <c r="BJ28" s="420"/>
      <c r="BK28" s="420"/>
      <c r="BL28" s="420"/>
      <c r="BM28" s="420">
        <f t="shared" si="24"/>
        <v>0</v>
      </c>
      <c r="BN28" s="420">
        <f t="shared" si="25"/>
        <v>0</v>
      </c>
      <c r="BO28" s="419"/>
      <c r="BP28" s="428"/>
      <c r="BQ28" s="420"/>
      <c r="BR28" s="423">
        <f t="shared" si="26"/>
        <v>0</v>
      </c>
      <c r="BS28" s="423">
        <f t="shared" si="27"/>
        <v>0</v>
      </c>
      <c r="BT28" s="420"/>
      <c r="BU28" s="420"/>
      <c r="BV28" s="420"/>
      <c r="BW28" s="420"/>
      <c r="BX28" s="429">
        <f t="shared" si="28"/>
        <v>0</v>
      </c>
      <c r="BY28" s="419"/>
      <c r="BZ28" s="419"/>
      <c r="CA28" s="419"/>
      <c r="CB28" s="420">
        <f t="shared" si="29"/>
        <v>0</v>
      </c>
      <c r="CC28" s="430">
        <f t="shared" si="30"/>
        <v>0</v>
      </c>
      <c r="CD28" s="419"/>
      <c r="CE28" s="419"/>
      <c r="CF28" s="419"/>
      <c r="CG28" s="420">
        <f t="shared" si="31"/>
        <v>0</v>
      </c>
      <c r="CH28" s="423">
        <f t="shared" si="32"/>
        <v>0</v>
      </c>
      <c r="CI28" s="431"/>
      <c r="CJ28" s="431"/>
      <c r="CK28" s="431"/>
      <c r="CL28" s="420">
        <f t="shared" si="33"/>
        <v>0</v>
      </c>
      <c r="CM28" s="423">
        <f t="shared" si="34"/>
        <v>0</v>
      </c>
      <c r="CN28" s="420"/>
      <c r="CO28" s="420"/>
      <c r="CP28" s="420"/>
      <c r="CQ28" s="432"/>
      <c r="CR28" s="432">
        <f t="shared" si="35"/>
        <v>0</v>
      </c>
      <c r="CS28" s="420"/>
      <c r="CT28" s="420"/>
      <c r="CU28" s="420"/>
      <c r="CV28" s="420"/>
      <c r="CW28" s="420">
        <f t="shared" si="36"/>
        <v>0</v>
      </c>
      <c r="CX28" s="419"/>
      <c r="CY28" s="419"/>
      <c r="CZ28" s="419"/>
      <c r="DA28" s="419">
        <f t="shared" si="37"/>
        <v>0</v>
      </c>
      <c r="DB28" s="419">
        <f t="shared" si="38"/>
        <v>0</v>
      </c>
      <c r="DC28" s="419"/>
      <c r="DD28" s="419"/>
      <c r="DE28" s="419"/>
      <c r="DF28" s="420">
        <f t="shared" si="39"/>
        <v>0</v>
      </c>
      <c r="DG28" s="421">
        <f t="shared" si="40"/>
        <v>0</v>
      </c>
      <c r="DH28" s="419"/>
      <c r="DI28" s="419"/>
      <c r="DJ28" s="419"/>
      <c r="DK28" s="420">
        <f t="shared" si="41"/>
        <v>0</v>
      </c>
      <c r="DL28" s="422">
        <f t="shared" si="42"/>
        <v>0</v>
      </c>
      <c r="DM28" s="420"/>
      <c r="DN28" s="420"/>
      <c r="DO28" s="420"/>
      <c r="DP28" s="420">
        <f t="shared" si="43"/>
        <v>0</v>
      </c>
      <c r="DQ28" s="420">
        <f t="shared" si="44"/>
        <v>0</v>
      </c>
      <c r="DR28" s="419"/>
      <c r="DS28" s="419"/>
      <c r="DT28" s="419"/>
      <c r="DU28" s="420">
        <f t="shared" si="45"/>
        <v>0</v>
      </c>
      <c r="DV28" s="423">
        <f t="shared" si="46"/>
        <v>0</v>
      </c>
      <c r="DW28" s="419"/>
      <c r="DX28" s="419"/>
      <c r="DY28" s="419"/>
      <c r="DZ28" s="420">
        <f t="shared" si="47"/>
        <v>0</v>
      </c>
      <c r="EA28" s="423">
        <f t="shared" si="48"/>
        <v>0</v>
      </c>
      <c r="EB28" s="420"/>
      <c r="EC28" s="419"/>
      <c r="ED28" s="420"/>
      <c r="EE28" s="419"/>
      <c r="EF28" s="420">
        <f t="shared" si="49"/>
        <v>0</v>
      </c>
      <c r="EG28" s="419"/>
      <c r="EH28" s="419"/>
      <c r="EI28" s="419"/>
      <c r="EJ28" s="420">
        <f t="shared" si="50"/>
        <v>0</v>
      </c>
      <c r="EK28" s="420">
        <f t="shared" si="51"/>
        <v>0</v>
      </c>
      <c r="EL28" s="419"/>
      <c r="EM28" s="419"/>
      <c r="EN28" s="419"/>
      <c r="EO28" s="419">
        <f t="shared" si="52"/>
        <v>0</v>
      </c>
      <c r="EP28" s="419">
        <f t="shared" si="53"/>
        <v>0</v>
      </c>
      <c r="EQ28" s="419"/>
      <c r="ER28" s="419"/>
      <c r="ES28" s="419"/>
      <c r="ET28" s="419">
        <f t="shared" si="54"/>
        <v>0</v>
      </c>
      <c r="EU28" s="419">
        <f t="shared" si="55"/>
        <v>0</v>
      </c>
      <c r="EV28" s="419"/>
      <c r="EW28" s="419"/>
      <c r="EX28" s="419"/>
      <c r="EY28" s="419">
        <f t="shared" si="56"/>
        <v>0</v>
      </c>
      <c r="EZ28" s="419">
        <f t="shared" si="76"/>
        <v>0</v>
      </c>
      <c r="FA28" s="420"/>
      <c r="FB28" s="420"/>
      <c r="FC28" s="420"/>
      <c r="FD28" s="420">
        <f t="shared" si="57"/>
        <v>0</v>
      </c>
      <c r="FE28" s="420">
        <f t="shared" si="58"/>
        <v>0</v>
      </c>
      <c r="FF28" s="419"/>
      <c r="FG28" s="419"/>
      <c r="FH28" s="419"/>
      <c r="FI28" s="419">
        <f t="shared" si="59"/>
        <v>0</v>
      </c>
      <c r="FJ28" s="419">
        <f t="shared" si="60"/>
        <v>0</v>
      </c>
      <c r="FK28" s="419"/>
      <c r="FL28" s="419"/>
      <c r="FM28" s="419"/>
      <c r="FN28" s="420">
        <f t="shared" si="61"/>
        <v>0</v>
      </c>
      <c r="FO28" s="423">
        <f t="shared" si="62"/>
        <v>0</v>
      </c>
      <c r="FP28" s="419"/>
      <c r="FQ28" s="419"/>
      <c r="FR28" s="419"/>
      <c r="FS28" s="420">
        <f t="shared" si="63"/>
        <v>0</v>
      </c>
      <c r="FT28" s="420">
        <f t="shared" si="64"/>
        <v>0</v>
      </c>
      <c r="FU28" s="419"/>
      <c r="FV28" s="419"/>
      <c r="FW28" s="419"/>
      <c r="FX28" s="420">
        <f t="shared" si="65"/>
        <v>0</v>
      </c>
      <c r="FY28" s="420">
        <f t="shared" si="66"/>
        <v>0</v>
      </c>
      <c r="FZ28" s="419"/>
      <c r="GA28" s="419"/>
      <c r="GB28" s="419"/>
      <c r="GC28" s="420">
        <f t="shared" si="67"/>
        <v>0</v>
      </c>
      <c r="GD28" s="420">
        <f t="shared" si="68"/>
        <v>0</v>
      </c>
      <c r="GE28" s="419"/>
      <c r="GF28" s="419"/>
      <c r="GG28" s="419"/>
      <c r="GH28" s="420">
        <f t="shared" si="69"/>
        <v>0</v>
      </c>
      <c r="GI28" s="423">
        <f t="shared" si="70"/>
        <v>0</v>
      </c>
      <c r="GJ28" s="419"/>
      <c r="GK28" s="419"/>
      <c r="GL28" s="419"/>
      <c r="GM28" s="420">
        <f t="shared" si="71"/>
        <v>0</v>
      </c>
      <c r="GN28" s="420">
        <f t="shared" si="72"/>
        <v>0</v>
      </c>
      <c r="GO28" s="419"/>
      <c r="GP28" s="419"/>
      <c r="GQ28" s="419"/>
      <c r="GR28" s="420">
        <f t="shared" si="77"/>
        <v>0</v>
      </c>
      <c r="GS28" s="423">
        <f t="shared" si="73"/>
        <v>0</v>
      </c>
      <c r="GT28" s="419"/>
      <c r="GU28" s="419"/>
      <c r="GV28" s="419"/>
      <c r="GW28" s="420">
        <f t="shared" si="74"/>
        <v>0</v>
      </c>
      <c r="GX28" s="420">
        <f t="shared" si="75"/>
        <v>0</v>
      </c>
    </row>
    <row r="29" spans="1:206" ht="15">
      <c r="A29" s="414"/>
      <c r="B29" s="415" t="s">
        <v>494</v>
      </c>
      <c r="C29" s="698"/>
      <c r="D29" s="707"/>
      <c r="E29" s="434" t="s">
        <v>125</v>
      </c>
      <c r="F29" s="417">
        <v>0.06</v>
      </c>
      <c r="G29" s="418">
        <f t="shared" si="4"/>
        <v>2003490.56</v>
      </c>
      <c r="H29" s="418">
        <f t="shared" si="5"/>
        <v>2003490.56</v>
      </c>
      <c r="I29" s="418">
        <f t="shared" si="5"/>
        <v>120209.44</v>
      </c>
      <c r="J29" s="418">
        <f t="shared" si="6"/>
        <v>2003490.66666667</v>
      </c>
      <c r="K29" s="418">
        <f t="shared" si="78"/>
        <v>0.106666666688398</v>
      </c>
      <c r="L29" s="418">
        <f t="shared" si="80"/>
        <v>0.106666666688398</v>
      </c>
      <c r="M29" s="424">
        <v>2003490.56</v>
      </c>
      <c r="N29" s="424">
        <v>2003490.56</v>
      </c>
      <c r="O29" s="424">
        <v>120209.44</v>
      </c>
      <c r="P29" s="424"/>
      <c r="Q29" s="419"/>
      <c r="R29" s="419"/>
      <c r="S29" s="419"/>
      <c r="T29" s="420">
        <v>0</v>
      </c>
      <c r="U29" s="423">
        <f t="shared" si="9"/>
        <v>0</v>
      </c>
      <c r="V29" s="420"/>
      <c r="W29" s="420"/>
      <c r="X29" s="419"/>
      <c r="Y29" s="420">
        <f t="shared" si="79"/>
        <v>0</v>
      </c>
      <c r="Z29" s="423">
        <f t="shared" si="10"/>
        <v>0</v>
      </c>
      <c r="AA29" s="423"/>
      <c r="AB29" s="425"/>
      <c r="AC29" s="419"/>
      <c r="AD29" s="420">
        <f t="shared" si="11"/>
        <v>0</v>
      </c>
      <c r="AE29" s="423">
        <f t="shared" si="12"/>
        <v>0</v>
      </c>
      <c r="AF29" s="419"/>
      <c r="AG29" s="419"/>
      <c r="AH29" s="419"/>
      <c r="AI29" s="420">
        <f t="shared" si="13"/>
        <v>0</v>
      </c>
      <c r="AJ29" s="423">
        <f t="shared" si="14"/>
        <v>0</v>
      </c>
      <c r="AK29" s="419"/>
      <c r="AL29" s="420"/>
      <c r="AM29" s="419"/>
      <c r="AN29" s="420">
        <f t="shared" si="15"/>
        <v>0</v>
      </c>
      <c r="AO29" s="423">
        <f t="shared" si="16"/>
        <v>0</v>
      </c>
      <c r="AP29" s="419"/>
      <c r="AQ29" s="419"/>
      <c r="AR29" s="420"/>
      <c r="AS29" s="420">
        <f t="shared" si="17"/>
        <v>0</v>
      </c>
      <c r="AT29" s="420">
        <f t="shared" si="18"/>
        <v>0</v>
      </c>
      <c r="AU29" s="420"/>
      <c r="AV29" s="420"/>
      <c r="AW29" s="420"/>
      <c r="AX29" s="426">
        <f t="shared" si="19"/>
        <v>0</v>
      </c>
      <c r="AY29" s="420">
        <f t="shared" si="20"/>
        <v>0</v>
      </c>
      <c r="AZ29" s="420"/>
      <c r="BA29" s="420"/>
      <c r="BB29" s="419"/>
      <c r="BC29" s="420">
        <f t="shared" si="21"/>
        <v>0</v>
      </c>
      <c r="BD29" s="427"/>
      <c r="BE29" s="420"/>
      <c r="BF29" s="420"/>
      <c r="BG29" s="420"/>
      <c r="BH29" s="423">
        <f t="shared" si="22"/>
        <v>0</v>
      </c>
      <c r="BI29" s="420">
        <f t="shared" si="23"/>
        <v>0</v>
      </c>
      <c r="BJ29" s="420"/>
      <c r="BK29" s="420"/>
      <c r="BL29" s="420"/>
      <c r="BM29" s="420">
        <f t="shared" si="24"/>
        <v>0</v>
      </c>
      <c r="BN29" s="420">
        <f t="shared" si="25"/>
        <v>0</v>
      </c>
      <c r="BO29" s="419"/>
      <c r="BP29" s="428"/>
      <c r="BQ29" s="420">
        <v>0</v>
      </c>
      <c r="BR29" s="423">
        <f t="shared" si="26"/>
        <v>0</v>
      </c>
      <c r="BS29" s="423">
        <f t="shared" si="27"/>
        <v>0</v>
      </c>
      <c r="BT29" s="420"/>
      <c r="BU29" s="420"/>
      <c r="BV29" s="420"/>
      <c r="BW29" s="420"/>
      <c r="BX29" s="429">
        <f t="shared" si="28"/>
        <v>0</v>
      </c>
      <c r="BY29" s="419"/>
      <c r="BZ29" s="419"/>
      <c r="CA29" s="419"/>
      <c r="CB29" s="420">
        <f t="shared" si="29"/>
        <v>0</v>
      </c>
      <c r="CC29" s="430">
        <f t="shared" si="30"/>
        <v>0</v>
      </c>
      <c r="CD29" s="419"/>
      <c r="CE29" s="419"/>
      <c r="CF29" s="419"/>
      <c r="CG29" s="420">
        <f t="shared" si="31"/>
        <v>0</v>
      </c>
      <c r="CH29" s="423">
        <f t="shared" si="32"/>
        <v>0</v>
      </c>
      <c r="CI29" s="431"/>
      <c r="CJ29" s="431"/>
      <c r="CK29" s="431"/>
      <c r="CL29" s="420">
        <f t="shared" si="33"/>
        <v>0</v>
      </c>
      <c r="CM29" s="423">
        <f t="shared" si="34"/>
        <v>0</v>
      </c>
      <c r="CN29" s="420"/>
      <c r="CO29" s="420"/>
      <c r="CP29" s="420"/>
      <c r="CQ29" s="432"/>
      <c r="CR29" s="432">
        <f t="shared" si="35"/>
        <v>0</v>
      </c>
      <c r="CS29" s="420"/>
      <c r="CT29" s="420"/>
      <c r="CU29" s="420"/>
      <c r="CV29" s="420"/>
      <c r="CW29" s="420">
        <f t="shared" si="36"/>
        <v>0</v>
      </c>
      <c r="CX29" s="419"/>
      <c r="CY29" s="419"/>
      <c r="CZ29" s="419"/>
      <c r="DA29" s="419">
        <f t="shared" si="37"/>
        <v>0</v>
      </c>
      <c r="DB29" s="419">
        <f t="shared" si="38"/>
        <v>0</v>
      </c>
      <c r="DC29" s="419"/>
      <c r="DD29" s="419"/>
      <c r="DE29" s="419"/>
      <c r="DF29" s="420">
        <f t="shared" si="39"/>
        <v>0</v>
      </c>
      <c r="DG29" s="421">
        <f t="shared" si="40"/>
        <v>0</v>
      </c>
      <c r="DH29" s="419"/>
      <c r="DI29" s="419"/>
      <c r="DJ29" s="419"/>
      <c r="DK29" s="420">
        <f t="shared" si="41"/>
        <v>0</v>
      </c>
      <c r="DL29" s="422">
        <f t="shared" si="42"/>
        <v>0</v>
      </c>
      <c r="DM29" s="420"/>
      <c r="DN29" s="420"/>
      <c r="DO29" s="420"/>
      <c r="DP29" s="420">
        <f t="shared" si="43"/>
        <v>0</v>
      </c>
      <c r="DQ29" s="420">
        <f t="shared" si="44"/>
        <v>0</v>
      </c>
      <c r="DR29" s="419"/>
      <c r="DS29" s="419"/>
      <c r="DT29" s="419"/>
      <c r="DU29" s="420">
        <f t="shared" si="45"/>
        <v>0</v>
      </c>
      <c r="DV29" s="423">
        <f t="shared" si="46"/>
        <v>0</v>
      </c>
      <c r="DW29" s="419"/>
      <c r="DX29" s="419"/>
      <c r="DY29" s="419"/>
      <c r="DZ29" s="420">
        <f t="shared" si="47"/>
        <v>0</v>
      </c>
      <c r="EA29" s="423">
        <f t="shared" si="48"/>
        <v>0</v>
      </c>
      <c r="EB29" s="419"/>
      <c r="EC29" s="419"/>
      <c r="ED29" s="420"/>
      <c r="EE29" s="419"/>
      <c r="EF29" s="420">
        <f t="shared" si="49"/>
        <v>0</v>
      </c>
      <c r="EG29" s="419"/>
      <c r="EH29" s="419"/>
      <c r="EI29" s="419"/>
      <c r="EJ29" s="420">
        <f t="shared" si="50"/>
        <v>0</v>
      </c>
      <c r="EK29" s="420">
        <f t="shared" si="51"/>
        <v>0</v>
      </c>
      <c r="EL29" s="419"/>
      <c r="EM29" s="419"/>
      <c r="EN29" s="419"/>
      <c r="EO29" s="419">
        <f t="shared" si="52"/>
        <v>0</v>
      </c>
      <c r="EP29" s="419">
        <f t="shared" si="53"/>
        <v>0</v>
      </c>
      <c r="EQ29" s="419"/>
      <c r="ER29" s="419"/>
      <c r="ES29" s="419"/>
      <c r="ET29" s="419">
        <f t="shared" si="54"/>
        <v>0</v>
      </c>
      <c r="EU29" s="419">
        <f t="shared" si="55"/>
        <v>0</v>
      </c>
      <c r="EV29" s="419"/>
      <c r="EW29" s="419"/>
      <c r="EX29" s="419"/>
      <c r="EY29" s="419">
        <f t="shared" si="56"/>
        <v>0</v>
      </c>
      <c r="EZ29" s="419">
        <f t="shared" si="76"/>
        <v>0</v>
      </c>
      <c r="FA29" s="420"/>
      <c r="FB29" s="420"/>
      <c r="FC29" s="420"/>
      <c r="FD29" s="420">
        <f t="shared" si="57"/>
        <v>0</v>
      </c>
      <c r="FE29" s="420">
        <f t="shared" si="58"/>
        <v>0</v>
      </c>
      <c r="FF29" s="419"/>
      <c r="FG29" s="419"/>
      <c r="FH29" s="419"/>
      <c r="FI29" s="419">
        <f t="shared" si="59"/>
        <v>0</v>
      </c>
      <c r="FJ29" s="419">
        <f t="shared" si="60"/>
        <v>0</v>
      </c>
      <c r="FK29" s="419"/>
      <c r="FL29" s="419"/>
      <c r="FM29" s="419"/>
      <c r="FN29" s="420">
        <f t="shared" si="61"/>
        <v>0</v>
      </c>
      <c r="FO29" s="423">
        <f t="shared" si="62"/>
        <v>0</v>
      </c>
      <c r="FP29" s="419"/>
      <c r="FQ29" s="419"/>
      <c r="FR29" s="419"/>
      <c r="FS29" s="420">
        <f t="shared" si="63"/>
        <v>0</v>
      </c>
      <c r="FT29" s="420">
        <f t="shared" si="64"/>
        <v>0</v>
      </c>
      <c r="FU29" s="419"/>
      <c r="FV29" s="419"/>
      <c r="FW29" s="419"/>
      <c r="FX29" s="420">
        <f t="shared" si="65"/>
        <v>0</v>
      </c>
      <c r="FY29" s="420">
        <f t="shared" si="66"/>
        <v>0</v>
      </c>
      <c r="FZ29" s="419"/>
      <c r="GA29" s="419"/>
      <c r="GB29" s="419"/>
      <c r="GC29" s="420">
        <f t="shared" si="67"/>
        <v>0</v>
      </c>
      <c r="GD29" s="420">
        <f t="shared" si="68"/>
        <v>0</v>
      </c>
      <c r="GE29" s="419"/>
      <c r="GF29" s="419"/>
      <c r="GG29" s="419"/>
      <c r="GH29" s="420">
        <f t="shared" si="69"/>
        <v>0</v>
      </c>
      <c r="GI29" s="423">
        <f t="shared" si="70"/>
        <v>0</v>
      </c>
      <c r="GJ29" s="419"/>
      <c r="GK29" s="419"/>
      <c r="GL29" s="419"/>
      <c r="GM29" s="420">
        <f t="shared" si="71"/>
        <v>0</v>
      </c>
      <c r="GN29" s="420">
        <f t="shared" si="72"/>
        <v>0</v>
      </c>
      <c r="GO29" s="419"/>
      <c r="GP29" s="419"/>
      <c r="GQ29" s="419"/>
      <c r="GR29" s="420">
        <f t="shared" si="77"/>
        <v>0</v>
      </c>
      <c r="GS29" s="423">
        <f t="shared" si="73"/>
        <v>0</v>
      </c>
      <c r="GT29" s="419"/>
      <c r="GU29" s="419"/>
      <c r="GV29" s="419"/>
      <c r="GW29" s="420">
        <f t="shared" si="74"/>
        <v>0</v>
      </c>
      <c r="GX29" s="420">
        <f t="shared" si="75"/>
        <v>0</v>
      </c>
    </row>
    <row r="30" spans="1:206" ht="15">
      <c r="A30" s="414"/>
      <c r="B30" s="415" t="s">
        <v>496</v>
      </c>
      <c r="C30" s="698"/>
      <c r="D30" s="704" t="s">
        <v>497</v>
      </c>
      <c r="E30" s="434" t="s">
        <v>123</v>
      </c>
      <c r="F30" s="417">
        <v>0.13</v>
      </c>
      <c r="G30" s="418">
        <f t="shared" si="4"/>
        <v>64076360.964092702</v>
      </c>
      <c r="H30" s="418">
        <f t="shared" si="5"/>
        <v>64076360.950000003</v>
      </c>
      <c r="I30" s="418">
        <f t="shared" si="5"/>
        <v>8329926.9253320498</v>
      </c>
      <c r="J30" s="418">
        <f t="shared" si="6"/>
        <v>64076360.964092702</v>
      </c>
      <c r="K30" s="418">
        <f t="shared" si="78"/>
        <v>1.4092683792114299E-2</v>
      </c>
      <c r="L30" s="418">
        <f t="shared" si="80"/>
        <v>0</v>
      </c>
      <c r="M30" s="424">
        <v>64076360.964092702</v>
      </c>
      <c r="N30" s="424">
        <v>64021517.520000003</v>
      </c>
      <c r="O30" s="424">
        <v>8329926.9253320498</v>
      </c>
      <c r="P30" s="424"/>
      <c r="Q30" s="419"/>
      <c r="R30" s="419"/>
      <c r="S30" s="419"/>
      <c r="T30" s="420">
        <v>0</v>
      </c>
      <c r="U30" s="423">
        <f t="shared" ref="U30:U70" si="81">T30-Q30</f>
        <v>0</v>
      </c>
      <c r="V30" s="420"/>
      <c r="W30" s="420"/>
      <c r="X30" s="419"/>
      <c r="Y30" s="420">
        <f t="shared" si="79"/>
        <v>0</v>
      </c>
      <c r="Z30" s="423">
        <f t="shared" si="10"/>
        <v>0</v>
      </c>
      <c r="AA30" s="423"/>
      <c r="AB30" s="440">
        <v>54843.43</v>
      </c>
      <c r="AC30" s="419"/>
      <c r="AD30" s="420">
        <f t="shared" si="11"/>
        <v>0</v>
      </c>
      <c r="AE30" s="423">
        <f t="shared" si="12"/>
        <v>0</v>
      </c>
      <c r="AF30" s="419"/>
      <c r="AG30" s="419"/>
      <c r="AH30" s="419"/>
      <c r="AI30" s="420">
        <f t="shared" si="13"/>
        <v>0</v>
      </c>
      <c r="AJ30" s="423">
        <f t="shared" si="14"/>
        <v>0</v>
      </c>
      <c r="AK30" s="419"/>
      <c r="AL30" s="420"/>
      <c r="AM30" s="419"/>
      <c r="AN30" s="420">
        <f t="shared" si="15"/>
        <v>0</v>
      </c>
      <c r="AO30" s="423">
        <f t="shared" si="16"/>
        <v>0</v>
      </c>
      <c r="AP30" s="419"/>
      <c r="AQ30" s="419"/>
      <c r="AR30" s="420"/>
      <c r="AS30" s="420">
        <f t="shared" si="17"/>
        <v>0</v>
      </c>
      <c r="AT30" s="420">
        <f t="shared" si="18"/>
        <v>0</v>
      </c>
      <c r="AU30" s="420"/>
      <c r="AV30" s="420"/>
      <c r="AW30" s="420"/>
      <c r="AX30" s="426">
        <f t="shared" si="19"/>
        <v>0</v>
      </c>
      <c r="AY30" s="420">
        <f t="shared" si="20"/>
        <v>0</v>
      </c>
      <c r="AZ30" s="419"/>
      <c r="BA30" s="420"/>
      <c r="BB30" s="419"/>
      <c r="BC30" s="420">
        <f t="shared" si="21"/>
        <v>0</v>
      </c>
      <c r="BD30" s="427"/>
      <c r="BE30" s="420"/>
      <c r="BF30" s="420"/>
      <c r="BG30" s="420"/>
      <c r="BH30" s="423">
        <f t="shared" si="22"/>
        <v>0</v>
      </c>
      <c r="BI30" s="420">
        <f t="shared" si="23"/>
        <v>0</v>
      </c>
      <c r="BJ30" s="420"/>
      <c r="BK30" s="420"/>
      <c r="BL30" s="420"/>
      <c r="BM30" s="420">
        <f t="shared" si="24"/>
        <v>0</v>
      </c>
      <c r="BN30" s="420">
        <f t="shared" si="25"/>
        <v>0</v>
      </c>
      <c r="BO30" s="419"/>
      <c r="BP30" s="428"/>
      <c r="BQ30" s="420"/>
      <c r="BR30" s="423">
        <f t="shared" si="26"/>
        <v>0</v>
      </c>
      <c r="BS30" s="423">
        <f t="shared" si="27"/>
        <v>0</v>
      </c>
      <c r="BT30" s="420"/>
      <c r="BU30" s="420"/>
      <c r="BV30" s="420"/>
      <c r="BW30" s="420"/>
      <c r="BX30" s="429">
        <f t="shared" si="28"/>
        <v>0</v>
      </c>
      <c r="BY30" s="419"/>
      <c r="BZ30" s="419"/>
      <c r="CA30" s="419"/>
      <c r="CB30" s="420">
        <f t="shared" si="29"/>
        <v>0</v>
      </c>
      <c r="CC30" s="430">
        <f t="shared" si="30"/>
        <v>0</v>
      </c>
      <c r="CD30" s="419"/>
      <c r="CE30" s="419"/>
      <c r="CF30" s="419"/>
      <c r="CG30" s="420">
        <f t="shared" si="31"/>
        <v>0</v>
      </c>
      <c r="CH30" s="423">
        <f t="shared" si="32"/>
        <v>0</v>
      </c>
      <c r="CI30" s="431"/>
      <c r="CJ30" s="431"/>
      <c r="CK30" s="431"/>
      <c r="CL30" s="420">
        <f t="shared" si="33"/>
        <v>0</v>
      </c>
      <c r="CM30" s="423">
        <f t="shared" si="34"/>
        <v>0</v>
      </c>
      <c r="CN30" s="420"/>
      <c r="CO30" s="420"/>
      <c r="CP30" s="420"/>
      <c r="CQ30" s="432"/>
      <c r="CR30" s="432">
        <f t="shared" si="35"/>
        <v>0</v>
      </c>
      <c r="CS30" s="420"/>
      <c r="CT30" s="420"/>
      <c r="CU30" s="420"/>
      <c r="CV30" s="420"/>
      <c r="CW30" s="420">
        <f t="shared" si="36"/>
        <v>0</v>
      </c>
      <c r="CX30" s="419"/>
      <c r="CY30" s="419"/>
      <c r="CZ30" s="419"/>
      <c r="DA30" s="419">
        <f t="shared" si="37"/>
        <v>0</v>
      </c>
      <c r="DB30" s="419">
        <f t="shared" si="38"/>
        <v>0</v>
      </c>
      <c r="DC30" s="419"/>
      <c r="DD30" s="419"/>
      <c r="DE30" s="419"/>
      <c r="DF30" s="420">
        <f t="shared" si="39"/>
        <v>0</v>
      </c>
      <c r="DG30" s="421">
        <f t="shared" si="40"/>
        <v>0</v>
      </c>
      <c r="DH30" s="419"/>
      <c r="DI30" s="419"/>
      <c r="DJ30" s="419"/>
      <c r="DK30" s="420">
        <f t="shared" si="41"/>
        <v>0</v>
      </c>
      <c r="DL30" s="422">
        <f t="shared" si="42"/>
        <v>0</v>
      </c>
      <c r="DM30" s="420"/>
      <c r="DN30" s="420"/>
      <c r="DO30" s="420"/>
      <c r="DP30" s="420">
        <f t="shared" si="43"/>
        <v>0</v>
      </c>
      <c r="DQ30" s="420">
        <f t="shared" si="44"/>
        <v>0</v>
      </c>
      <c r="DR30" s="419"/>
      <c r="DS30" s="419"/>
      <c r="DT30" s="419"/>
      <c r="DU30" s="420">
        <f t="shared" si="45"/>
        <v>0</v>
      </c>
      <c r="DV30" s="423">
        <f t="shared" si="46"/>
        <v>0</v>
      </c>
      <c r="DW30" s="419"/>
      <c r="DX30" s="419"/>
      <c r="DY30" s="419"/>
      <c r="DZ30" s="420">
        <f t="shared" si="47"/>
        <v>0</v>
      </c>
      <c r="EA30" s="423">
        <f t="shared" si="48"/>
        <v>0</v>
      </c>
      <c r="EB30" s="419"/>
      <c r="EC30" s="419"/>
      <c r="ED30" s="420"/>
      <c r="EE30" s="419"/>
      <c r="EF30" s="420">
        <f t="shared" si="49"/>
        <v>0</v>
      </c>
      <c r="EG30" s="419"/>
      <c r="EH30" s="419"/>
      <c r="EI30" s="419"/>
      <c r="EJ30" s="420">
        <f t="shared" si="50"/>
        <v>0</v>
      </c>
      <c r="EK30" s="420">
        <f t="shared" si="51"/>
        <v>0</v>
      </c>
      <c r="EL30" s="419"/>
      <c r="EM30" s="419"/>
      <c r="EN30" s="419"/>
      <c r="EO30" s="419">
        <f t="shared" si="52"/>
        <v>0</v>
      </c>
      <c r="EP30" s="419">
        <f t="shared" si="53"/>
        <v>0</v>
      </c>
      <c r="EQ30" s="419"/>
      <c r="ER30" s="419"/>
      <c r="ES30" s="419"/>
      <c r="ET30" s="419">
        <f t="shared" si="54"/>
        <v>0</v>
      </c>
      <c r="EU30" s="419">
        <f t="shared" si="55"/>
        <v>0</v>
      </c>
      <c r="EV30" s="419"/>
      <c r="EW30" s="419"/>
      <c r="EX30" s="419"/>
      <c r="EY30" s="419">
        <f t="shared" si="56"/>
        <v>0</v>
      </c>
      <c r="EZ30" s="419">
        <f t="shared" si="76"/>
        <v>0</v>
      </c>
      <c r="FA30" s="420"/>
      <c r="FB30" s="420"/>
      <c r="FC30" s="420"/>
      <c r="FD30" s="420">
        <f t="shared" si="57"/>
        <v>0</v>
      </c>
      <c r="FE30" s="420">
        <f t="shared" si="58"/>
        <v>0</v>
      </c>
      <c r="FF30" s="419"/>
      <c r="FG30" s="419"/>
      <c r="FH30" s="419"/>
      <c r="FI30" s="419">
        <f t="shared" si="59"/>
        <v>0</v>
      </c>
      <c r="FJ30" s="419">
        <f t="shared" si="60"/>
        <v>0</v>
      </c>
      <c r="FK30" s="419"/>
      <c r="FL30" s="419"/>
      <c r="FM30" s="419"/>
      <c r="FN30" s="420">
        <f t="shared" si="61"/>
        <v>0</v>
      </c>
      <c r="FO30" s="423">
        <f t="shared" si="62"/>
        <v>0</v>
      </c>
      <c r="FP30" s="419"/>
      <c r="FQ30" s="419"/>
      <c r="FR30" s="419"/>
      <c r="FS30" s="420">
        <f t="shared" si="63"/>
        <v>0</v>
      </c>
      <c r="FT30" s="420">
        <f t="shared" si="64"/>
        <v>0</v>
      </c>
      <c r="FU30" s="419"/>
      <c r="FV30" s="419"/>
      <c r="FW30" s="419"/>
      <c r="FX30" s="420">
        <f t="shared" si="65"/>
        <v>0</v>
      </c>
      <c r="FY30" s="420">
        <f t="shared" si="66"/>
        <v>0</v>
      </c>
      <c r="FZ30" s="419"/>
      <c r="GA30" s="419"/>
      <c r="GB30" s="419"/>
      <c r="GC30" s="420">
        <f t="shared" si="67"/>
        <v>0</v>
      </c>
      <c r="GD30" s="420">
        <f t="shared" si="68"/>
        <v>0</v>
      </c>
      <c r="GE30" s="419"/>
      <c r="GF30" s="419"/>
      <c r="GG30" s="419"/>
      <c r="GH30" s="420">
        <f t="shared" si="69"/>
        <v>0</v>
      </c>
      <c r="GI30" s="423">
        <f t="shared" si="70"/>
        <v>0</v>
      </c>
      <c r="GJ30" s="419"/>
      <c r="GK30" s="419"/>
      <c r="GL30" s="419"/>
      <c r="GM30" s="420">
        <f t="shared" si="71"/>
        <v>0</v>
      </c>
      <c r="GN30" s="420">
        <f t="shared" si="72"/>
        <v>0</v>
      </c>
      <c r="GO30" s="419"/>
      <c r="GP30" s="419"/>
      <c r="GQ30" s="419"/>
      <c r="GR30" s="420">
        <f t="shared" si="77"/>
        <v>0</v>
      </c>
      <c r="GS30" s="423">
        <f t="shared" si="73"/>
        <v>0</v>
      </c>
      <c r="GT30" s="419"/>
      <c r="GU30" s="419"/>
      <c r="GV30" s="419"/>
      <c r="GW30" s="420">
        <f t="shared" si="74"/>
        <v>0</v>
      </c>
      <c r="GX30" s="420">
        <f t="shared" si="75"/>
        <v>0</v>
      </c>
    </row>
    <row r="31" spans="1:206" ht="15">
      <c r="A31" s="414"/>
      <c r="B31" s="415" t="s">
        <v>496</v>
      </c>
      <c r="C31" s="698"/>
      <c r="D31" s="706"/>
      <c r="E31" s="434" t="s">
        <v>124</v>
      </c>
      <c r="F31" s="417">
        <v>0.09</v>
      </c>
      <c r="G31" s="418">
        <f t="shared" si="4"/>
        <v>109887465.61633299</v>
      </c>
      <c r="H31" s="418">
        <f t="shared" si="5"/>
        <v>109887465.51000001</v>
      </c>
      <c r="I31" s="418">
        <f t="shared" si="5"/>
        <v>9889871.9058883097</v>
      </c>
      <c r="J31" s="418">
        <f t="shared" si="6"/>
        <v>109887465.62098099</v>
      </c>
      <c r="K31" s="418">
        <f t="shared" si="78"/>
        <v>0.110981211066246</v>
      </c>
      <c r="L31" s="418">
        <f t="shared" si="80"/>
        <v>4.6482235193252598E-3</v>
      </c>
      <c r="M31" s="424">
        <v>109887465.61633299</v>
      </c>
      <c r="N31" s="424">
        <v>109591558.92</v>
      </c>
      <c r="O31" s="424">
        <v>9889871.9058883097</v>
      </c>
      <c r="P31" s="424"/>
      <c r="Q31" s="419"/>
      <c r="R31" s="419"/>
      <c r="S31" s="420"/>
      <c r="T31" s="420">
        <v>0</v>
      </c>
      <c r="U31" s="423">
        <f t="shared" si="81"/>
        <v>0</v>
      </c>
      <c r="V31" s="420"/>
      <c r="W31" s="420"/>
      <c r="X31" s="419"/>
      <c r="Y31" s="420">
        <f t="shared" si="79"/>
        <v>0</v>
      </c>
      <c r="Z31" s="423">
        <f t="shared" si="10"/>
        <v>0</v>
      </c>
      <c r="AA31" s="423"/>
      <c r="AB31" s="425">
        <v>295906.59000000003</v>
      </c>
      <c r="AC31" s="419"/>
      <c r="AD31" s="420">
        <f t="shared" si="11"/>
        <v>0</v>
      </c>
      <c r="AE31" s="423">
        <f t="shared" si="12"/>
        <v>0</v>
      </c>
      <c r="AF31" s="419"/>
      <c r="AG31" s="419"/>
      <c r="AH31" s="419"/>
      <c r="AI31" s="420">
        <f t="shared" si="13"/>
        <v>0</v>
      </c>
      <c r="AJ31" s="423">
        <f t="shared" si="14"/>
        <v>0</v>
      </c>
      <c r="AK31" s="419"/>
      <c r="AL31" s="420"/>
      <c r="AM31" s="419"/>
      <c r="AN31" s="420">
        <f t="shared" si="15"/>
        <v>0</v>
      </c>
      <c r="AO31" s="423">
        <f t="shared" si="16"/>
        <v>0</v>
      </c>
      <c r="AP31" s="419"/>
      <c r="AQ31" s="419"/>
      <c r="AR31" s="419"/>
      <c r="AS31" s="420">
        <f t="shared" si="17"/>
        <v>0</v>
      </c>
      <c r="AT31" s="420">
        <f t="shared" si="18"/>
        <v>0</v>
      </c>
      <c r="AU31" s="420"/>
      <c r="AV31" s="420"/>
      <c r="AW31" s="420"/>
      <c r="AX31" s="426">
        <f t="shared" si="19"/>
        <v>0</v>
      </c>
      <c r="AY31" s="420">
        <f t="shared" si="20"/>
        <v>0</v>
      </c>
      <c r="AZ31" s="419"/>
      <c r="BA31" s="420"/>
      <c r="BB31" s="419"/>
      <c r="BC31" s="420">
        <f t="shared" si="21"/>
        <v>0</v>
      </c>
      <c r="BD31" s="427"/>
      <c r="BE31" s="420"/>
      <c r="BF31" s="420"/>
      <c r="BG31" s="420"/>
      <c r="BH31" s="423">
        <f t="shared" si="22"/>
        <v>0</v>
      </c>
      <c r="BI31" s="420">
        <f t="shared" si="23"/>
        <v>0</v>
      </c>
      <c r="BJ31" s="420"/>
      <c r="BK31" s="420"/>
      <c r="BL31" s="420"/>
      <c r="BM31" s="420">
        <f t="shared" si="24"/>
        <v>0</v>
      </c>
      <c r="BN31" s="420">
        <f t="shared" si="25"/>
        <v>0</v>
      </c>
      <c r="BO31" s="419"/>
      <c r="BP31" s="428"/>
      <c r="BQ31" s="420"/>
      <c r="BR31" s="423">
        <f t="shared" si="26"/>
        <v>0</v>
      </c>
      <c r="BS31" s="423">
        <f t="shared" si="27"/>
        <v>0</v>
      </c>
      <c r="BT31" s="420"/>
      <c r="BU31" s="420"/>
      <c r="BV31" s="420"/>
      <c r="BW31" s="420"/>
      <c r="BX31" s="429">
        <f t="shared" si="28"/>
        <v>0</v>
      </c>
      <c r="BY31" s="419"/>
      <c r="BZ31" s="419"/>
      <c r="CA31" s="419"/>
      <c r="CB31" s="420">
        <f t="shared" si="29"/>
        <v>0</v>
      </c>
      <c r="CC31" s="430">
        <f t="shared" si="30"/>
        <v>0</v>
      </c>
      <c r="CD31" s="419"/>
      <c r="CE31" s="419"/>
      <c r="CF31" s="419"/>
      <c r="CG31" s="420">
        <f t="shared" si="31"/>
        <v>0</v>
      </c>
      <c r="CH31" s="423">
        <f t="shared" si="32"/>
        <v>0</v>
      </c>
      <c r="CI31" s="431"/>
      <c r="CJ31" s="431"/>
      <c r="CK31" s="431"/>
      <c r="CL31" s="420">
        <f t="shared" si="33"/>
        <v>0</v>
      </c>
      <c r="CM31" s="423">
        <f t="shared" si="34"/>
        <v>0</v>
      </c>
      <c r="CN31" s="420"/>
      <c r="CO31" s="420"/>
      <c r="CP31" s="420"/>
      <c r="CQ31" s="432"/>
      <c r="CR31" s="432">
        <f t="shared" si="35"/>
        <v>0</v>
      </c>
      <c r="CS31" s="420"/>
      <c r="CT31" s="420"/>
      <c r="CU31" s="420"/>
      <c r="CV31" s="420"/>
      <c r="CW31" s="420">
        <f t="shared" si="36"/>
        <v>0</v>
      </c>
      <c r="CX31" s="419"/>
      <c r="CY31" s="419"/>
      <c r="CZ31" s="419"/>
      <c r="DA31" s="419">
        <f t="shared" si="37"/>
        <v>0</v>
      </c>
      <c r="DB31" s="419">
        <f t="shared" si="38"/>
        <v>0</v>
      </c>
      <c r="DC31" s="419"/>
      <c r="DD31" s="419"/>
      <c r="DE31" s="419"/>
      <c r="DF31" s="420">
        <f t="shared" si="39"/>
        <v>0</v>
      </c>
      <c r="DG31" s="421">
        <f t="shared" si="40"/>
        <v>0</v>
      </c>
      <c r="DH31" s="419"/>
      <c r="DI31" s="419"/>
      <c r="DJ31" s="419"/>
      <c r="DK31" s="420">
        <f t="shared" si="41"/>
        <v>0</v>
      </c>
      <c r="DL31" s="422">
        <f t="shared" si="42"/>
        <v>0</v>
      </c>
      <c r="DM31" s="420"/>
      <c r="DN31" s="420"/>
      <c r="DO31" s="420"/>
      <c r="DP31" s="420">
        <f t="shared" si="43"/>
        <v>0</v>
      </c>
      <c r="DQ31" s="420">
        <f t="shared" si="44"/>
        <v>0</v>
      </c>
      <c r="DR31" s="419"/>
      <c r="DS31" s="419"/>
      <c r="DT31" s="419"/>
      <c r="DU31" s="420">
        <f t="shared" si="45"/>
        <v>0</v>
      </c>
      <c r="DV31" s="423">
        <f t="shared" si="46"/>
        <v>0</v>
      </c>
      <c r="DW31" s="419"/>
      <c r="DX31" s="419"/>
      <c r="DY31" s="419"/>
      <c r="DZ31" s="420">
        <f t="shared" si="47"/>
        <v>0</v>
      </c>
      <c r="EA31" s="423">
        <f t="shared" si="48"/>
        <v>0</v>
      </c>
      <c r="EB31" s="420"/>
      <c r="EC31" s="419"/>
      <c r="ED31" s="420"/>
      <c r="EE31" s="419"/>
      <c r="EF31" s="420">
        <f t="shared" si="49"/>
        <v>0</v>
      </c>
      <c r="EG31" s="419"/>
      <c r="EH31" s="419"/>
      <c r="EI31" s="419"/>
      <c r="EJ31" s="420">
        <f t="shared" si="50"/>
        <v>0</v>
      </c>
      <c r="EK31" s="420">
        <f t="shared" si="51"/>
        <v>0</v>
      </c>
      <c r="EL31" s="419"/>
      <c r="EM31" s="419"/>
      <c r="EN31" s="419"/>
      <c r="EO31" s="419">
        <f t="shared" si="52"/>
        <v>0</v>
      </c>
      <c r="EP31" s="419">
        <f t="shared" si="53"/>
        <v>0</v>
      </c>
      <c r="EQ31" s="419"/>
      <c r="ER31" s="419"/>
      <c r="ES31" s="419"/>
      <c r="ET31" s="419">
        <f t="shared" si="54"/>
        <v>0</v>
      </c>
      <c r="EU31" s="419">
        <f t="shared" si="55"/>
        <v>0</v>
      </c>
      <c r="EV31" s="419"/>
      <c r="EW31" s="419"/>
      <c r="EX31" s="419"/>
      <c r="EY31" s="419">
        <f t="shared" si="56"/>
        <v>0</v>
      </c>
      <c r="EZ31" s="419">
        <f t="shared" si="76"/>
        <v>0</v>
      </c>
      <c r="FA31" s="420"/>
      <c r="FB31" s="420"/>
      <c r="FC31" s="420"/>
      <c r="FD31" s="420">
        <f t="shared" si="57"/>
        <v>0</v>
      </c>
      <c r="FE31" s="420">
        <f t="shared" si="58"/>
        <v>0</v>
      </c>
      <c r="FF31" s="419"/>
      <c r="FG31" s="419"/>
      <c r="FH31" s="419"/>
      <c r="FI31" s="419">
        <f t="shared" si="59"/>
        <v>0</v>
      </c>
      <c r="FJ31" s="419">
        <f t="shared" si="60"/>
        <v>0</v>
      </c>
      <c r="FK31" s="419"/>
      <c r="FL31" s="419"/>
      <c r="FM31" s="419"/>
      <c r="FN31" s="420">
        <f t="shared" si="61"/>
        <v>0</v>
      </c>
      <c r="FO31" s="423">
        <f t="shared" si="62"/>
        <v>0</v>
      </c>
      <c r="FP31" s="419"/>
      <c r="FQ31" s="419"/>
      <c r="FR31" s="419"/>
      <c r="FS31" s="420">
        <f t="shared" si="63"/>
        <v>0</v>
      </c>
      <c r="FT31" s="420">
        <f t="shared" si="64"/>
        <v>0</v>
      </c>
      <c r="FU31" s="419"/>
      <c r="FV31" s="419"/>
      <c r="FW31" s="419"/>
      <c r="FX31" s="420">
        <f t="shared" si="65"/>
        <v>0</v>
      </c>
      <c r="FY31" s="420">
        <f t="shared" si="66"/>
        <v>0</v>
      </c>
      <c r="FZ31" s="419"/>
      <c r="GA31" s="419"/>
      <c r="GB31" s="419"/>
      <c r="GC31" s="420">
        <f t="shared" si="67"/>
        <v>0</v>
      </c>
      <c r="GD31" s="420">
        <f t="shared" si="68"/>
        <v>0</v>
      </c>
      <c r="GE31" s="419"/>
      <c r="GF31" s="419"/>
      <c r="GG31" s="419"/>
      <c r="GH31" s="420">
        <f t="shared" si="69"/>
        <v>0</v>
      </c>
      <c r="GI31" s="423">
        <f t="shared" si="70"/>
        <v>0</v>
      </c>
      <c r="GJ31" s="419"/>
      <c r="GK31" s="419"/>
      <c r="GL31" s="419"/>
      <c r="GM31" s="420">
        <f t="shared" si="71"/>
        <v>0</v>
      </c>
      <c r="GN31" s="420">
        <f t="shared" si="72"/>
        <v>0</v>
      </c>
      <c r="GO31" s="419"/>
      <c r="GP31" s="419"/>
      <c r="GQ31" s="419"/>
      <c r="GR31" s="420">
        <f t="shared" si="77"/>
        <v>0</v>
      </c>
      <c r="GS31" s="423">
        <f t="shared" si="73"/>
        <v>0</v>
      </c>
      <c r="GT31" s="419"/>
      <c r="GU31" s="419"/>
      <c r="GV31" s="419"/>
      <c r="GW31" s="420">
        <f t="shared" si="74"/>
        <v>0</v>
      </c>
      <c r="GX31" s="420">
        <f t="shared" si="75"/>
        <v>0</v>
      </c>
    </row>
    <row r="32" spans="1:206" ht="15">
      <c r="A32" s="414"/>
      <c r="B32" s="415" t="s">
        <v>496</v>
      </c>
      <c r="C32" s="698"/>
      <c r="D32" s="707"/>
      <c r="E32" s="434" t="s">
        <v>125</v>
      </c>
      <c r="F32" s="417">
        <v>0.06</v>
      </c>
      <c r="G32" s="418">
        <f t="shared" si="4"/>
        <v>3490</v>
      </c>
      <c r="H32" s="418">
        <f t="shared" si="5"/>
        <v>0</v>
      </c>
      <c r="I32" s="418">
        <f t="shared" si="5"/>
        <v>209.4</v>
      </c>
      <c r="J32" s="418">
        <f t="shared" si="6"/>
        <v>3490</v>
      </c>
      <c r="K32" s="418">
        <f t="shared" si="78"/>
        <v>3490</v>
      </c>
      <c r="L32" s="418">
        <f t="shared" si="80"/>
        <v>0</v>
      </c>
      <c r="M32" s="424"/>
      <c r="N32" s="424"/>
      <c r="O32" s="424"/>
      <c r="P32" s="424"/>
      <c r="Q32" s="419"/>
      <c r="R32" s="419"/>
      <c r="S32" s="419"/>
      <c r="T32" s="420">
        <v>0</v>
      </c>
      <c r="U32" s="423">
        <f t="shared" si="81"/>
        <v>0</v>
      </c>
      <c r="V32" s="420"/>
      <c r="W32" s="420"/>
      <c r="X32" s="419"/>
      <c r="Y32" s="420">
        <f t="shared" si="79"/>
        <v>0</v>
      </c>
      <c r="Z32" s="423">
        <f t="shared" si="10"/>
        <v>0</v>
      </c>
      <c r="AA32" s="423"/>
      <c r="AB32" s="419"/>
      <c r="AC32" s="419"/>
      <c r="AD32" s="420">
        <f t="shared" si="11"/>
        <v>0</v>
      </c>
      <c r="AE32" s="423">
        <f t="shared" si="12"/>
        <v>0</v>
      </c>
      <c r="AF32" s="419"/>
      <c r="AG32" s="419"/>
      <c r="AH32" s="419"/>
      <c r="AI32" s="420">
        <f t="shared" si="13"/>
        <v>0</v>
      </c>
      <c r="AJ32" s="423">
        <f t="shared" si="14"/>
        <v>0</v>
      </c>
      <c r="AK32" s="419"/>
      <c r="AL32" s="420"/>
      <c r="AM32" s="419"/>
      <c r="AN32" s="420">
        <f t="shared" si="15"/>
        <v>0</v>
      </c>
      <c r="AO32" s="423">
        <f t="shared" si="16"/>
        <v>0</v>
      </c>
      <c r="AP32" s="419"/>
      <c r="AQ32" s="419"/>
      <c r="AR32" s="420"/>
      <c r="AS32" s="420">
        <f t="shared" si="17"/>
        <v>0</v>
      </c>
      <c r="AT32" s="420">
        <f t="shared" si="18"/>
        <v>0</v>
      </c>
      <c r="AU32" s="420"/>
      <c r="AV32" s="420"/>
      <c r="AW32" s="420"/>
      <c r="AX32" s="426">
        <f t="shared" si="19"/>
        <v>0</v>
      </c>
      <c r="AY32" s="420">
        <f t="shared" si="20"/>
        <v>0</v>
      </c>
      <c r="AZ32" s="420"/>
      <c r="BA32" s="420"/>
      <c r="BB32" s="419"/>
      <c r="BC32" s="420">
        <f t="shared" si="21"/>
        <v>0</v>
      </c>
      <c r="BD32" s="427"/>
      <c r="BE32" s="420"/>
      <c r="BF32" s="420"/>
      <c r="BG32" s="420"/>
      <c r="BH32" s="423">
        <f t="shared" si="22"/>
        <v>0</v>
      </c>
      <c r="BI32" s="420">
        <f t="shared" si="23"/>
        <v>0</v>
      </c>
      <c r="BJ32" s="420"/>
      <c r="BK32" s="420"/>
      <c r="BL32" s="420"/>
      <c r="BM32" s="420">
        <f t="shared" si="24"/>
        <v>0</v>
      </c>
      <c r="BN32" s="420">
        <f t="shared" si="25"/>
        <v>0</v>
      </c>
      <c r="BO32" s="419"/>
      <c r="BP32" s="428"/>
      <c r="BQ32" s="420">
        <v>0</v>
      </c>
      <c r="BR32" s="423">
        <f t="shared" si="26"/>
        <v>0</v>
      </c>
      <c r="BS32" s="423">
        <f t="shared" si="27"/>
        <v>0</v>
      </c>
      <c r="BT32" s="420"/>
      <c r="BU32" s="420"/>
      <c r="BV32" s="420"/>
      <c r="BW32" s="420"/>
      <c r="BX32" s="429">
        <f t="shared" si="28"/>
        <v>0</v>
      </c>
      <c r="BY32" s="419"/>
      <c r="BZ32" s="419"/>
      <c r="CA32" s="419"/>
      <c r="CB32" s="420">
        <f t="shared" si="29"/>
        <v>0</v>
      </c>
      <c r="CC32" s="430">
        <f t="shared" si="30"/>
        <v>0</v>
      </c>
      <c r="CD32" s="419"/>
      <c r="CE32" s="419"/>
      <c r="CF32" s="419"/>
      <c r="CG32" s="420">
        <f t="shared" si="31"/>
        <v>0</v>
      </c>
      <c r="CH32" s="423">
        <f t="shared" si="32"/>
        <v>0</v>
      </c>
      <c r="CI32" s="431"/>
      <c r="CJ32" s="431"/>
      <c r="CK32" s="431"/>
      <c r="CL32" s="420">
        <f t="shared" si="33"/>
        <v>0</v>
      </c>
      <c r="CM32" s="423">
        <f t="shared" si="34"/>
        <v>0</v>
      </c>
      <c r="CN32" s="420"/>
      <c r="CO32" s="420"/>
      <c r="CP32" s="420"/>
      <c r="CQ32" s="432"/>
      <c r="CR32" s="432">
        <f t="shared" si="35"/>
        <v>0</v>
      </c>
      <c r="CS32" s="420"/>
      <c r="CT32" s="420"/>
      <c r="CU32" s="420"/>
      <c r="CV32" s="420"/>
      <c r="CW32" s="420">
        <f t="shared" si="36"/>
        <v>0</v>
      </c>
      <c r="CX32" s="419"/>
      <c r="CY32" s="419"/>
      <c r="CZ32" s="419"/>
      <c r="DA32" s="419">
        <f t="shared" si="37"/>
        <v>0</v>
      </c>
      <c r="DB32" s="419">
        <f t="shared" si="38"/>
        <v>0</v>
      </c>
      <c r="DC32" s="419">
        <v>3490</v>
      </c>
      <c r="DD32" s="419"/>
      <c r="DE32" s="419">
        <v>209.4</v>
      </c>
      <c r="DF32" s="420">
        <f t="shared" si="39"/>
        <v>3490</v>
      </c>
      <c r="DG32" s="421">
        <f t="shared" si="40"/>
        <v>0</v>
      </c>
      <c r="DH32" s="419"/>
      <c r="DI32" s="419"/>
      <c r="DJ32" s="419"/>
      <c r="DK32" s="420">
        <f t="shared" si="41"/>
        <v>0</v>
      </c>
      <c r="DL32" s="422">
        <f t="shared" si="42"/>
        <v>0</v>
      </c>
      <c r="DM32" s="420"/>
      <c r="DN32" s="420"/>
      <c r="DO32" s="420"/>
      <c r="DP32" s="420">
        <f t="shared" si="43"/>
        <v>0</v>
      </c>
      <c r="DQ32" s="420">
        <f t="shared" si="44"/>
        <v>0</v>
      </c>
      <c r="DR32" s="419"/>
      <c r="DS32" s="419"/>
      <c r="DT32" s="419"/>
      <c r="DU32" s="420">
        <f t="shared" si="45"/>
        <v>0</v>
      </c>
      <c r="DV32" s="423">
        <f t="shared" si="46"/>
        <v>0</v>
      </c>
      <c r="DW32" s="419"/>
      <c r="DX32" s="419"/>
      <c r="DY32" s="419"/>
      <c r="DZ32" s="420">
        <f t="shared" si="47"/>
        <v>0</v>
      </c>
      <c r="EA32" s="423">
        <f t="shared" si="48"/>
        <v>0</v>
      </c>
      <c r="EB32" s="419"/>
      <c r="EC32" s="419"/>
      <c r="ED32" s="420"/>
      <c r="EE32" s="419"/>
      <c r="EF32" s="420">
        <f t="shared" si="49"/>
        <v>0</v>
      </c>
      <c r="EG32" s="419"/>
      <c r="EH32" s="419"/>
      <c r="EI32" s="419"/>
      <c r="EJ32" s="420">
        <f t="shared" si="50"/>
        <v>0</v>
      </c>
      <c r="EK32" s="420">
        <f t="shared" si="51"/>
        <v>0</v>
      </c>
      <c r="EL32" s="419"/>
      <c r="EM32" s="419"/>
      <c r="EN32" s="419"/>
      <c r="EO32" s="419">
        <f t="shared" si="52"/>
        <v>0</v>
      </c>
      <c r="EP32" s="419">
        <f t="shared" si="53"/>
        <v>0</v>
      </c>
      <c r="EQ32" s="419"/>
      <c r="ER32" s="419"/>
      <c r="ES32" s="419"/>
      <c r="ET32" s="419">
        <f t="shared" si="54"/>
        <v>0</v>
      </c>
      <c r="EU32" s="419">
        <f t="shared" si="55"/>
        <v>0</v>
      </c>
      <c r="EV32" s="419"/>
      <c r="EW32" s="419"/>
      <c r="EX32" s="419"/>
      <c r="EY32" s="419">
        <f t="shared" si="56"/>
        <v>0</v>
      </c>
      <c r="EZ32" s="419">
        <f t="shared" si="76"/>
        <v>0</v>
      </c>
      <c r="FA32" s="420"/>
      <c r="FB32" s="420"/>
      <c r="FC32" s="420"/>
      <c r="FD32" s="420">
        <f t="shared" si="57"/>
        <v>0</v>
      </c>
      <c r="FE32" s="420">
        <f t="shared" si="58"/>
        <v>0</v>
      </c>
      <c r="FF32" s="419"/>
      <c r="FG32" s="419"/>
      <c r="FH32" s="419"/>
      <c r="FI32" s="419">
        <f t="shared" si="59"/>
        <v>0</v>
      </c>
      <c r="FJ32" s="419">
        <f t="shared" si="60"/>
        <v>0</v>
      </c>
      <c r="FK32" s="419"/>
      <c r="FL32" s="419"/>
      <c r="FM32" s="419"/>
      <c r="FN32" s="420">
        <f t="shared" si="61"/>
        <v>0</v>
      </c>
      <c r="FO32" s="423">
        <f t="shared" si="62"/>
        <v>0</v>
      </c>
      <c r="FP32" s="419"/>
      <c r="FQ32" s="419"/>
      <c r="FR32" s="419"/>
      <c r="FS32" s="420">
        <f t="shared" si="63"/>
        <v>0</v>
      </c>
      <c r="FT32" s="420">
        <f t="shared" si="64"/>
        <v>0</v>
      </c>
      <c r="FU32" s="419"/>
      <c r="FV32" s="419"/>
      <c r="FW32" s="419"/>
      <c r="FX32" s="420">
        <f t="shared" si="65"/>
        <v>0</v>
      </c>
      <c r="FY32" s="420">
        <f t="shared" si="66"/>
        <v>0</v>
      </c>
      <c r="FZ32" s="419"/>
      <c r="GA32" s="419"/>
      <c r="GB32" s="419"/>
      <c r="GC32" s="420">
        <f t="shared" si="67"/>
        <v>0</v>
      </c>
      <c r="GD32" s="420">
        <f t="shared" si="68"/>
        <v>0</v>
      </c>
      <c r="GE32" s="419"/>
      <c r="GF32" s="419"/>
      <c r="GG32" s="419"/>
      <c r="GH32" s="420">
        <f t="shared" si="69"/>
        <v>0</v>
      </c>
      <c r="GI32" s="423">
        <f t="shared" si="70"/>
        <v>0</v>
      </c>
      <c r="GJ32" s="419"/>
      <c r="GK32" s="419"/>
      <c r="GL32" s="419"/>
      <c r="GM32" s="420">
        <f t="shared" si="71"/>
        <v>0</v>
      </c>
      <c r="GN32" s="420">
        <f t="shared" si="72"/>
        <v>0</v>
      </c>
      <c r="GO32" s="419"/>
      <c r="GP32" s="419"/>
      <c r="GQ32" s="419"/>
      <c r="GR32" s="420">
        <f t="shared" si="77"/>
        <v>0</v>
      </c>
      <c r="GS32" s="423">
        <f t="shared" si="73"/>
        <v>0</v>
      </c>
      <c r="GT32" s="419"/>
      <c r="GU32" s="419"/>
      <c r="GV32" s="419"/>
      <c r="GW32" s="420">
        <f t="shared" si="74"/>
        <v>0</v>
      </c>
      <c r="GX32" s="420">
        <f t="shared" si="75"/>
        <v>0</v>
      </c>
    </row>
    <row r="33" spans="1:206" ht="15">
      <c r="A33" s="414"/>
      <c r="B33" s="415" t="s">
        <v>496</v>
      </c>
      <c r="C33" s="698"/>
      <c r="D33" s="704" t="s">
        <v>498</v>
      </c>
      <c r="E33" s="434" t="s">
        <v>123</v>
      </c>
      <c r="F33" s="417">
        <v>0.13</v>
      </c>
      <c r="G33" s="418">
        <f t="shared" si="4"/>
        <v>32603041.309599999</v>
      </c>
      <c r="H33" s="418">
        <f t="shared" si="5"/>
        <v>32603041.300000001</v>
      </c>
      <c r="I33" s="418">
        <f t="shared" si="5"/>
        <v>4238395.3702480001</v>
      </c>
      <c r="J33" s="418">
        <f t="shared" si="6"/>
        <v>32603041.309599999</v>
      </c>
      <c r="K33" s="418">
        <f t="shared" si="78"/>
        <v>9.5999985933303798E-3</v>
      </c>
      <c r="L33" s="418">
        <f t="shared" si="80"/>
        <v>0</v>
      </c>
      <c r="M33" s="424">
        <v>32321412.989599999</v>
      </c>
      <c r="N33" s="424">
        <v>0</v>
      </c>
      <c r="O33" s="424">
        <v>4201783.6886480004</v>
      </c>
      <c r="P33" s="424"/>
      <c r="Q33" s="444">
        <v>281628.32</v>
      </c>
      <c r="R33" s="419"/>
      <c r="S33" s="420">
        <v>36611.681600000004</v>
      </c>
      <c r="T33" s="420">
        <v>281628.32</v>
      </c>
      <c r="U33" s="423">
        <f t="shared" si="81"/>
        <v>0</v>
      </c>
      <c r="V33" s="420"/>
      <c r="W33" s="420"/>
      <c r="X33" s="419"/>
      <c r="Y33" s="420">
        <f t="shared" si="79"/>
        <v>0</v>
      </c>
      <c r="Z33" s="423">
        <f t="shared" si="10"/>
        <v>0</v>
      </c>
      <c r="AA33" s="423"/>
      <c r="AB33" s="419">
        <v>32603041.300000001</v>
      </c>
      <c r="AC33" s="419"/>
      <c r="AD33" s="420">
        <f t="shared" si="11"/>
        <v>0</v>
      </c>
      <c r="AE33" s="423">
        <f t="shared" si="12"/>
        <v>0</v>
      </c>
      <c r="AF33" s="419"/>
      <c r="AG33" s="419"/>
      <c r="AH33" s="419"/>
      <c r="AI33" s="420">
        <f t="shared" si="13"/>
        <v>0</v>
      </c>
      <c r="AJ33" s="423">
        <f t="shared" si="14"/>
        <v>0</v>
      </c>
      <c r="AK33" s="419"/>
      <c r="AL33" s="420"/>
      <c r="AM33" s="419"/>
      <c r="AN33" s="420">
        <f t="shared" si="15"/>
        <v>0</v>
      </c>
      <c r="AO33" s="423">
        <f t="shared" si="16"/>
        <v>0</v>
      </c>
      <c r="AP33" s="419"/>
      <c r="AQ33" s="419"/>
      <c r="AR33" s="420"/>
      <c r="AS33" s="420">
        <f t="shared" si="17"/>
        <v>0</v>
      </c>
      <c r="AT33" s="420">
        <f t="shared" si="18"/>
        <v>0</v>
      </c>
      <c r="AU33" s="420"/>
      <c r="AV33" s="420"/>
      <c r="AW33" s="420"/>
      <c r="AX33" s="426">
        <f t="shared" si="19"/>
        <v>0</v>
      </c>
      <c r="AY33" s="420">
        <f t="shared" si="20"/>
        <v>0</v>
      </c>
      <c r="AZ33" s="419"/>
      <c r="BA33" s="420"/>
      <c r="BB33" s="419"/>
      <c r="BC33" s="420">
        <f t="shared" si="21"/>
        <v>0</v>
      </c>
      <c r="BD33" s="427"/>
      <c r="BE33" s="420"/>
      <c r="BF33" s="420"/>
      <c r="BG33" s="420"/>
      <c r="BH33" s="423">
        <f t="shared" si="22"/>
        <v>0</v>
      </c>
      <c r="BI33" s="420">
        <f t="shared" si="23"/>
        <v>0</v>
      </c>
      <c r="BJ33" s="420"/>
      <c r="BK33" s="420"/>
      <c r="BL33" s="420"/>
      <c r="BM33" s="420">
        <f t="shared" si="24"/>
        <v>0</v>
      </c>
      <c r="BN33" s="420">
        <f t="shared" si="25"/>
        <v>0</v>
      </c>
      <c r="BO33" s="419"/>
      <c r="BP33" s="428"/>
      <c r="BQ33" s="420"/>
      <c r="BR33" s="423">
        <f t="shared" si="26"/>
        <v>0</v>
      </c>
      <c r="BS33" s="423">
        <f t="shared" si="27"/>
        <v>0</v>
      </c>
      <c r="BT33" s="420"/>
      <c r="BU33" s="420"/>
      <c r="BV33" s="420"/>
      <c r="BW33" s="420"/>
      <c r="BX33" s="429">
        <f t="shared" si="28"/>
        <v>0</v>
      </c>
      <c r="BY33" s="419"/>
      <c r="BZ33" s="419"/>
      <c r="CA33" s="419"/>
      <c r="CB33" s="420">
        <f t="shared" si="29"/>
        <v>0</v>
      </c>
      <c r="CC33" s="430">
        <f t="shared" si="30"/>
        <v>0</v>
      </c>
      <c r="CD33" s="419"/>
      <c r="CE33" s="419"/>
      <c r="CF33" s="419"/>
      <c r="CG33" s="420">
        <f t="shared" si="31"/>
        <v>0</v>
      </c>
      <c r="CH33" s="423">
        <f t="shared" si="32"/>
        <v>0</v>
      </c>
      <c r="CI33" s="431"/>
      <c r="CJ33" s="431"/>
      <c r="CK33" s="431"/>
      <c r="CL33" s="420">
        <f t="shared" si="33"/>
        <v>0</v>
      </c>
      <c r="CM33" s="423">
        <f t="shared" si="34"/>
        <v>0</v>
      </c>
      <c r="CN33" s="420"/>
      <c r="CO33" s="420"/>
      <c r="CP33" s="420"/>
      <c r="CQ33" s="432"/>
      <c r="CR33" s="432">
        <f t="shared" si="35"/>
        <v>0</v>
      </c>
      <c r="CS33" s="420"/>
      <c r="CT33" s="420"/>
      <c r="CU33" s="420"/>
      <c r="CV33" s="420"/>
      <c r="CW33" s="420">
        <f t="shared" si="36"/>
        <v>0</v>
      </c>
      <c r="CX33" s="419"/>
      <c r="CY33" s="419"/>
      <c r="CZ33" s="419"/>
      <c r="DA33" s="419">
        <f t="shared" si="37"/>
        <v>0</v>
      </c>
      <c r="DB33" s="419">
        <f t="shared" si="38"/>
        <v>0</v>
      </c>
      <c r="DC33" s="419"/>
      <c r="DD33" s="419"/>
      <c r="DE33" s="419"/>
      <c r="DF33" s="420">
        <f t="shared" si="39"/>
        <v>0</v>
      </c>
      <c r="DG33" s="421">
        <f t="shared" si="40"/>
        <v>0</v>
      </c>
      <c r="DH33" s="419"/>
      <c r="DI33" s="419"/>
      <c r="DJ33" s="419"/>
      <c r="DK33" s="420">
        <f t="shared" si="41"/>
        <v>0</v>
      </c>
      <c r="DL33" s="422">
        <f t="shared" si="42"/>
        <v>0</v>
      </c>
      <c r="DM33" s="420"/>
      <c r="DN33" s="420"/>
      <c r="DO33" s="420"/>
      <c r="DP33" s="420">
        <f t="shared" si="43"/>
        <v>0</v>
      </c>
      <c r="DQ33" s="420">
        <f t="shared" si="44"/>
        <v>0</v>
      </c>
      <c r="DR33" s="419"/>
      <c r="DS33" s="419"/>
      <c r="DT33" s="419"/>
      <c r="DU33" s="420">
        <f t="shared" si="45"/>
        <v>0</v>
      </c>
      <c r="DV33" s="423">
        <f t="shared" si="46"/>
        <v>0</v>
      </c>
      <c r="DW33" s="419"/>
      <c r="DX33" s="419"/>
      <c r="DY33" s="419"/>
      <c r="DZ33" s="420">
        <f t="shared" si="47"/>
        <v>0</v>
      </c>
      <c r="EA33" s="423">
        <f t="shared" si="48"/>
        <v>0</v>
      </c>
      <c r="EB33" s="419"/>
      <c r="EC33" s="419"/>
      <c r="ED33" s="420"/>
      <c r="EE33" s="419"/>
      <c r="EF33" s="420">
        <f t="shared" si="49"/>
        <v>0</v>
      </c>
      <c r="EG33" s="419"/>
      <c r="EH33" s="419"/>
      <c r="EI33" s="419"/>
      <c r="EJ33" s="420">
        <f t="shared" si="50"/>
        <v>0</v>
      </c>
      <c r="EK33" s="420">
        <f t="shared" si="51"/>
        <v>0</v>
      </c>
      <c r="EL33" s="419"/>
      <c r="EM33" s="419"/>
      <c r="EN33" s="419"/>
      <c r="EO33" s="419">
        <f t="shared" si="52"/>
        <v>0</v>
      </c>
      <c r="EP33" s="419">
        <f t="shared" si="53"/>
        <v>0</v>
      </c>
      <c r="EQ33" s="419"/>
      <c r="ER33" s="419"/>
      <c r="ES33" s="419"/>
      <c r="ET33" s="419">
        <f t="shared" si="54"/>
        <v>0</v>
      </c>
      <c r="EU33" s="419">
        <f t="shared" si="55"/>
        <v>0</v>
      </c>
      <c r="EV33" s="419"/>
      <c r="EW33" s="419"/>
      <c r="EX33" s="419"/>
      <c r="EY33" s="419">
        <f t="shared" si="56"/>
        <v>0</v>
      </c>
      <c r="EZ33" s="419">
        <f t="shared" si="76"/>
        <v>0</v>
      </c>
      <c r="FA33" s="420"/>
      <c r="FB33" s="420"/>
      <c r="FC33" s="420"/>
      <c r="FD33" s="420">
        <f t="shared" si="57"/>
        <v>0</v>
      </c>
      <c r="FE33" s="420">
        <f t="shared" si="58"/>
        <v>0</v>
      </c>
      <c r="FF33" s="419"/>
      <c r="FG33" s="419"/>
      <c r="FH33" s="419"/>
      <c r="FI33" s="419">
        <f t="shared" si="59"/>
        <v>0</v>
      </c>
      <c r="FJ33" s="419">
        <f t="shared" si="60"/>
        <v>0</v>
      </c>
      <c r="FK33" s="419"/>
      <c r="FL33" s="419"/>
      <c r="FM33" s="419"/>
      <c r="FN33" s="420">
        <f t="shared" si="61"/>
        <v>0</v>
      </c>
      <c r="FO33" s="423">
        <f t="shared" si="62"/>
        <v>0</v>
      </c>
      <c r="FP33" s="419"/>
      <c r="FQ33" s="419"/>
      <c r="FR33" s="419"/>
      <c r="FS33" s="420">
        <f t="shared" si="63"/>
        <v>0</v>
      </c>
      <c r="FT33" s="420">
        <f t="shared" si="64"/>
        <v>0</v>
      </c>
      <c r="FU33" s="419"/>
      <c r="FV33" s="419"/>
      <c r="FW33" s="419"/>
      <c r="FX33" s="420">
        <f t="shared" si="65"/>
        <v>0</v>
      </c>
      <c r="FY33" s="420">
        <f t="shared" si="66"/>
        <v>0</v>
      </c>
      <c r="FZ33" s="419"/>
      <c r="GA33" s="419"/>
      <c r="GB33" s="419"/>
      <c r="GC33" s="420">
        <f t="shared" si="67"/>
        <v>0</v>
      </c>
      <c r="GD33" s="420">
        <f t="shared" si="68"/>
        <v>0</v>
      </c>
      <c r="GE33" s="419"/>
      <c r="GF33" s="419"/>
      <c r="GG33" s="419"/>
      <c r="GH33" s="420">
        <f t="shared" si="69"/>
        <v>0</v>
      </c>
      <c r="GI33" s="423">
        <f t="shared" si="70"/>
        <v>0</v>
      </c>
      <c r="GJ33" s="419"/>
      <c r="GK33" s="419"/>
      <c r="GL33" s="419"/>
      <c r="GM33" s="420">
        <f t="shared" si="71"/>
        <v>0</v>
      </c>
      <c r="GN33" s="420">
        <f t="shared" si="72"/>
        <v>0</v>
      </c>
      <c r="GO33" s="419"/>
      <c r="GP33" s="419"/>
      <c r="GQ33" s="419"/>
      <c r="GR33" s="420">
        <f t="shared" si="77"/>
        <v>0</v>
      </c>
      <c r="GS33" s="423">
        <f t="shared" si="73"/>
        <v>0</v>
      </c>
      <c r="GT33" s="419"/>
      <c r="GU33" s="419"/>
      <c r="GV33" s="419"/>
      <c r="GW33" s="420">
        <f t="shared" si="74"/>
        <v>0</v>
      </c>
      <c r="GX33" s="420">
        <f t="shared" si="75"/>
        <v>0</v>
      </c>
    </row>
    <row r="34" spans="1:206" ht="15">
      <c r="A34" s="414"/>
      <c r="B34" s="415" t="s">
        <v>496</v>
      </c>
      <c r="C34" s="698"/>
      <c r="D34" s="706"/>
      <c r="E34" s="434" t="s">
        <v>124</v>
      </c>
      <c r="F34" s="417">
        <v>0.09</v>
      </c>
      <c r="G34" s="418">
        <f t="shared" si="4"/>
        <v>27044036.699247699</v>
      </c>
      <c r="H34" s="418">
        <f t="shared" si="5"/>
        <v>27044036.690000001</v>
      </c>
      <c r="I34" s="418">
        <f t="shared" si="5"/>
        <v>2433963.3029322899</v>
      </c>
      <c r="J34" s="418">
        <f t="shared" si="6"/>
        <v>27044036.699247699</v>
      </c>
      <c r="K34" s="418">
        <f t="shared" si="78"/>
        <v>9.2477053403854405E-3</v>
      </c>
      <c r="L34" s="418">
        <f t="shared" si="80"/>
        <v>0</v>
      </c>
      <c r="M34" s="424">
        <v>23130233.032000002</v>
      </c>
      <c r="N34" s="424">
        <v>3839999.96</v>
      </c>
      <c r="O34" s="424">
        <v>2081720.97288</v>
      </c>
      <c r="P34" s="441">
        <v>935779.81724770402</v>
      </c>
      <c r="Q34" s="444">
        <v>2978023.85</v>
      </c>
      <c r="R34" s="419"/>
      <c r="S34" s="420">
        <v>268022.14649999997</v>
      </c>
      <c r="T34" s="420">
        <v>2978023.85</v>
      </c>
      <c r="U34" s="423">
        <f t="shared" si="81"/>
        <v>0</v>
      </c>
      <c r="V34" s="420"/>
      <c r="W34" s="420"/>
      <c r="X34" s="419"/>
      <c r="Y34" s="420">
        <f t="shared" si="79"/>
        <v>0</v>
      </c>
      <c r="Z34" s="423">
        <f t="shared" si="10"/>
        <v>0</v>
      </c>
      <c r="AA34" s="423"/>
      <c r="AB34" s="419">
        <v>23204036.73</v>
      </c>
      <c r="AC34" s="423">
        <f>P34*F34</f>
        <v>84220.183552293398</v>
      </c>
      <c r="AD34" s="420">
        <f t="shared" si="11"/>
        <v>935779.81724770402</v>
      </c>
      <c r="AE34" s="423">
        <f t="shared" si="12"/>
        <v>935779.81724770402</v>
      </c>
      <c r="AF34" s="419"/>
      <c r="AG34" s="419"/>
      <c r="AH34" s="419"/>
      <c r="AI34" s="420">
        <f t="shared" si="13"/>
        <v>0</v>
      </c>
      <c r="AJ34" s="423">
        <f t="shared" si="14"/>
        <v>0</v>
      </c>
      <c r="AK34" s="419"/>
      <c r="AL34" s="420"/>
      <c r="AM34" s="419"/>
      <c r="AN34" s="420">
        <f t="shared" si="15"/>
        <v>0</v>
      </c>
      <c r="AO34" s="423">
        <f t="shared" si="16"/>
        <v>0</v>
      </c>
      <c r="AP34" s="419"/>
      <c r="AQ34" s="419"/>
      <c r="AR34" s="419"/>
      <c r="AS34" s="420">
        <f t="shared" si="17"/>
        <v>0</v>
      </c>
      <c r="AT34" s="420">
        <f t="shared" si="18"/>
        <v>0</v>
      </c>
      <c r="AU34" s="420"/>
      <c r="AV34" s="420"/>
      <c r="AW34" s="420"/>
      <c r="AX34" s="426">
        <f t="shared" si="19"/>
        <v>0</v>
      </c>
      <c r="AY34" s="420">
        <f t="shared" si="20"/>
        <v>0</v>
      </c>
      <c r="AZ34" s="419"/>
      <c r="BA34" s="420"/>
      <c r="BB34" s="419"/>
      <c r="BC34" s="420">
        <f t="shared" si="21"/>
        <v>0</v>
      </c>
      <c r="BD34" s="427"/>
      <c r="BE34" s="420"/>
      <c r="BF34" s="420"/>
      <c r="BG34" s="420"/>
      <c r="BH34" s="423">
        <f t="shared" si="22"/>
        <v>0</v>
      </c>
      <c r="BI34" s="420">
        <f t="shared" si="23"/>
        <v>0</v>
      </c>
      <c r="BJ34" s="420"/>
      <c r="BK34" s="420"/>
      <c r="BL34" s="420"/>
      <c r="BM34" s="420">
        <f t="shared" si="24"/>
        <v>0</v>
      </c>
      <c r="BN34" s="420">
        <f t="shared" si="25"/>
        <v>0</v>
      </c>
      <c r="BO34" s="419"/>
      <c r="BP34" s="428"/>
      <c r="BQ34" s="420"/>
      <c r="BR34" s="423">
        <f t="shared" si="26"/>
        <v>0</v>
      </c>
      <c r="BS34" s="423">
        <f t="shared" si="27"/>
        <v>0</v>
      </c>
      <c r="BT34" s="420"/>
      <c r="BU34" s="420"/>
      <c r="BV34" s="420"/>
      <c r="BW34" s="420"/>
      <c r="BX34" s="429">
        <f t="shared" si="28"/>
        <v>0</v>
      </c>
      <c r="BY34" s="419"/>
      <c r="BZ34" s="419"/>
      <c r="CA34" s="419"/>
      <c r="CB34" s="420">
        <f t="shared" si="29"/>
        <v>0</v>
      </c>
      <c r="CC34" s="430">
        <f t="shared" si="30"/>
        <v>0</v>
      </c>
      <c r="CD34" s="419"/>
      <c r="CE34" s="419"/>
      <c r="CF34" s="419"/>
      <c r="CG34" s="420">
        <f t="shared" si="31"/>
        <v>0</v>
      </c>
      <c r="CH34" s="423">
        <f t="shared" si="32"/>
        <v>0</v>
      </c>
      <c r="CI34" s="431"/>
      <c r="CJ34" s="431"/>
      <c r="CK34" s="431"/>
      <c r="CL34" s="420">
        <f t="shared" si="33"/>
        <v>0</v>
      </c>
      <c r="CM34" s="423">
        <f t="shared" si="34"/>
        <v>0</v>
      </c>
      <c r="CN34" s="420"/>
      <c r="CO34" s="420"/>
      <c r="CP34" s="420"/>
      <c r="CQ34" s="432"/>
      <c r="CR34" s="432">
        <f t="shared" si="35"/>
        <v>0</v>
      </c>
      <c r="CS34" s="420"/>
      <c r="CT34" s="420"/>
      <c r="CU34" s="420"/>
      <c r="CV34" s="420"/>
      <c r="CW34" s="420">
        <f t="shared" si="36"/>
        <v>0</v>
      </c>
      <c r="CX34" s="419"/>
      <c r="CY34" s="419"/>
      <c r="CZ34" s="419"/>
      <c r="DA34" s="419">
        <f t="shared" si="37"/>
        <v>0</v>
      </c>
      <c r="DB34" s="419">
        <f t="shared" si="38"/>
        <v>0</v>
      </c>
      <c r="DC34" s="419"/>
      <c r="DD34" s="419"/>
      <c r="DE34" s="419"/>
      <c r="DF34" s="420">
        <f t="shared" si="39"/>
        <v>0</v>
      </c>
      <c r="DG34" s="421">
        <f t="shared" si="40"/>
        <v>0</v>
      </c>
      <c r="DH34" s="419"/>
      <c r="DI34" s="419"/>
      <c r="DJ34" s="419"/>
      <c r="DK34" s="420">
        <f t="shared" si="41"/>
        <v>0</v>
      </c>
      <c r="DL34" s="422">
        <f t="shared" si="42"/>
        <v>0</v>
      </c>
      <c r="DM34" s="420"/>
      <c r="DN34" s="420"/>
      <c r="DO34" s="420"/>
      <c r="DP34" s="420">
        <f t="shared" si="43"/>
        <v>0</v>
      </c>
      <c r="DQ34" s="420">
        <f t="shared" si="44"/>
        <v>0</v>
      </c>
      <c r="DR34" s="419"/>
      <c r="DS34" s="419"/>
      <c r="DT34" s="419"/>
      <c r="DU34" s="420">
        <f t="shared" si="45"/>
        <v>0</v>
      </c>
      <c r="DV34" s="423">
        <f t="shared" si="46"/>
        <v>0</v>
      </c>
      <c r="DW34" s="419"/>
      <c r="DX34" s="419"/>
      <c r="DY34" s="419"/>
      <c r="DZ34" s="420">
        <f t="shared" si="47"/>
        <v>0</v>
      </c>
      <c r="EA34" s="423">
        <f t="shared" si="48"/>
        <v>0</v>
      </c>
      <c r="EB34" s="420"/>
      <c r="EC34" s="419"/>
      <c r="ED34" s="420"/>
      <c r="EE34" s="419"/>
      <c r="EF34" s="420">
        <f t="shared" si="49"/>
        <v>0</v>
      </c>
      <c r="EG34" s="419"/>
      <c r="EH34" s="419"/>
      <c r="EI34" s="419"/>
      <c r="EJ34" s="420">
        <f t="shared" si="50"/>
        <v>0</v>
      </c>
      <c r="EK34" s="420">
        <f t="shared" si="51"/>
        <v>0</v>
      </c>
      <c r="EL34" s="419"/>
      <c r="EM34" s="419"/>
      <c r="EN34" s="419"/>
      <c r="EO34" s="419">
        <f t="shared" si="52"/>
        <v>0</v>
      </c>
      <c r="EP34" s="419">
        <f t="shared" si="53"/>
        <v>0</v>
      </c>
      <c r="EQ34" s="419"/>
      <c r="ER34" s="419"/>
      <c r="ES34" s="419"/>
      <c r="ET34" s="419">
        <f t="shared" si="54"/>
        <v>0</v>
      </c>
      <c r="EU34" s="419">
        <f t="shared" si="55"/>
        <v>0</v>
      </c>
      <c r="EV34" s="419"/>
      <c r="EW34" s="419"/>
      <c r="EX34" s="419"/>
      <c r="EY34" s="419">
        <f t="shared" si="56"/>
        <v>0</v>
      </c>
      <c r="EZ34" s="419">
        <f t="shared" si="76"/>
        <v>0</v>
      </c>
      <c r="FA34" s="420"/>
      <c r="FB34" s="420"/>
      <c r="FC34" s="420"/>
      <c r="FD34" s="420">
        <f t="shared" si="57"/>
        <v>0</v>
      </c>
      <c r="FE34" s="420">
        <f t="shared" si="58"/>
        <v>0</v>
      </c>
      <c r="FF34" s="419"/>
      <c r="FG34" s="419"/>
      <c r="FH34" s="419"/>
      <c r="FI34" s="419">
        <f t="shared" si="59"/>
        <v>0</v>
      </c>
      <c r="FJ34" s="419">
        <f t="shared" si="60"/>
        <v>0</v>
      </c>
      <c r="FK34" s="419"/>
      <c r="FL34" s="419"/>
      <c r="FM34" s="419"/>
      <c r="FN34" s="420">
        <f t="shared" si="61"/>
        <v>0</v>
      </c>
      <c r="FO34" s="423">
        <f t="shared" si="62"/>
        <v>0</v>
      </c>
      <c r="FP34" s="419"/>
      <c r="FQ34" s="419"/>
      <c r="FR34" s="419"/>
      <c r="FS34" s="420">
        <f t="shared" si="63"/>
        <v>0</v>
      </c>
      <c r="FT34" s="420">
        <f t="shared" si="64"/>
        <v>0</v>
      </c>
      <c r="FU34" s="419"/>
      <c r="FV34" s="419"/>
      <c r="FW34" s="419"/>
      <c r="FX34" s="420">
        <f t="shared" si="65"/>
        <v>0</v>
      </c>
      <c r="FY34" s="420">
        <f t="shared" si="66"/>
        <v>0</v>
      </c>
      <c r="FZ34" s="419"/>
      <c r="GA34" s="419"/>
      <c r="GB34" s="419"/>
      <c r="GC34" s="420">
        <f t="shared" si="67"/>
        <v>0</v>
      </c>
      <c r="GD34" s="420">
        <f t="shared" si="68"/>
        <v>0</v>
      </c>
      <c r="GE34" s="419"/>
      <c r="GF34" s="419"/>
      <c r="GG34" s="419"/>
      <c r="GH34" s="420">
        <f t="shared" si="69"/>
        <v>0</v>
      </c>
      <c r="GI34" s="423">
        <f t="shared" si="70"/>
        <v>0</v>
      </c>
      <c r="GJ34" s="419"/>
      <c r="GK34" s="419"/>
      <c r="GL34" s="419"/>
      <c r="GM34" s="420">
        <f t="shared" si="71"/>
        <v>0</v>
      </c>
      <c r="GN34" s="420">
        <f t="shared" si="72"/>
        <v>0</v>
      </c>
      <c r="GO34" s="419"/>
      <c r="GP34" s="419"/>
      <c r="GQ34" s="419"/>
      <c r="GR34" s="420">
        <f t="shared" si="77"/>
        <v>0</v>
      </c>
      <c r="GS34" s="423">
        <f t="shared" si="73"/>
        <v>0</v>
      </c>
      <c r="GT34" s="419"/>
      <c r="GU34" s="419"/>
      <c r="GV34" s="419"/>
      <c r="GW34" s="420">
        <f t="shared" si="74"/>
        <v>0</v>
      </c>
      <c r="GX34" s="420">
        <f t="shared" si="75"/>
        <v>0</v>
      </c>
    </row>
    <row r="35" spans="1:206" ht="15">
      <c r="A35" s="414"/>
      <c r="B35" s="415" t="s">
        <v>496</v>
      </c>
      <c r="C35" s="698"/>
      <c r="D35" s="707"/>
      <c r="E35" s="434" t="s">
        <v>125</v>
      </c>
      <c r="F35" s="417">
        <v>0.06</v>
      </c>
      <c r="G35" s="418">
        <f t="shared" si="4"/>
        <v>0</v>
      </c>
      <c r="H35" s="418">
        <f t="shared" si="5"/>
        <v>0</v>
      </c>
      <c r="I35" s="418">
        <f t="shared" si="5"/>
        <v>0</v>
      </c>
      <c r="J35" s="418">
        <f t="shared" si="6"/>
        <v>0</v>
      </c>
      <c r="K35" s="418">
        <f t="shared" si="78"/>
        <v>0</v>
      </c>
      <c r="L35" s="418">
        <f t="shared" si="80"/>
        <v>0</v>
      </c>
      <c r="M35" s="424"/>
      <c r="N35" s="424"/>
      <c r="O35" s="424"/>
      <c r="P35" s="424"/>
      <c r="Q35" s="419"/>
      <c r="R35" s="419"/>
      <c r="S35" s="419"/>
      <c r="T35" s="420">
        <v>0</v>
      </c>
      <c r="U35" s="423">
        <f t="shared" si="81"/>
        <v>0</v>
      </c>
      <c r="V35" s="420"/>
      <c r="W35" s="420"/>
      <c r="X35" s="419"/>
      <c r="Y35" s="420">
        <f t="shared" si="79"/>
        <v>0</v>
      </c>
      <c r="Z35" s="423">
        <f t="shared" si="10"/>
        <v>0</v>
      </c>
      <c r="AA35" s="423"/>
      <c r="AB35" s="419"/>
      <c r="AC35" s="419"/>
      <c r="AD35" s="420">
        <f t="shared" si="11"/>
        <v>0</v>
      </c>
      <c r="AE35" s="423">
        <f t="shared" si="12"/>
        <v>0</v>
      </c>
      <c r="AF35" s="419"/>
      <c r="AG35" s="419"/>
      <c r="AH35" s="419"/>
      <c r="AI35" s="420">
        <f t="shared" si="13"/>
        <v>0</v>
      </c>
      <c r="AJ35" s="423">
        <f t="shared" si="14"/>
        <v>0</v>
      </c>
      <c r="AK35" s="419"/>
      <c r="AL35" s="420"/>
      <c r="AM35" s="419"/>
      <c r="AN35" s="420">
        <f t="shared" si="15"/>
        <v>0</v>
      </c>
      <c r="AO35" s="423">
        <f t="shared" si="16"/>
        <v>0</v>
      </c>
      <c r="AP35" s="419"/>
      <c r="AQ35" s="419"/>
      <c r="AR35" s="420"/>
      <c r="AS35" s="420">
        <f t="shared" si="17"/>
        <v>0</v>
      </c>
      <c r="AT35" s="420">
        <f t="shared" si="18"/>
        <v>0</v>
      </c>
      <c r="AU35" s="420"/>
      <c r="AV35" s="420"/>
      <c r="AW35" s="420"/>
      <c r="AX35" s="426">
        <f t="shared" si="19"/>
        <v>0</v>
      </c>
      <c r="AY35" s="420">
        <f t="shared" si="20"/>
        <v>0</v>
      </c>
      <c r="AZ35" s="420"/>
      <c r="BA35" s="420"/>
      <c r="BB35" s="419"/>
      <c r="BC35" s="420">
        <f t="shared" si="21"/>
        <v>0</v>
      </c>
      <c r="BD35" s="427"/>
      <c r="BE35" s="420"/>
      <c r="BF35" s="420"/>
      <c r="BG35" s="420"/>
      <c r="BH35" s="423">
        <f t="shared" si="22"/>
        <v>0</v>
      </c>
      <c r="BI35" s="420">
        <f t="shared" si="23"/>
        <v>0</v>
      </c>
      <c r="BJ35" s="420"/>
      <c r="BK35" s="420"/>
      <c r="BL35" s="420"/>
      <c r="BM35" s="420">
        <f t="shared" si="24"/>
        <v>0</v>
      </c>
      <c r="BN35" s="420">
        <f t="shared" si="25"/>
        <v>0</v>
      </c>
      <c r="BO35" s="419"/>
      <c r="BP35" s="428"/>
      <c r="BQ35" s="420">
        <v>0</v>
      </c>
      <c r="BR35" s="423">
        <f t="shared" si="26"/>
        <v>0</v>
      </c>
      <c r="BS35" s="423">
        <f t="shared" si="27"/>
        <v>0</v>
      </c>
      <c r="BT35" s="420"/>
      <c r="BU35" s="420"/>
      <c r="BV35" s="420"/>
      <c r="BW35" s="420"/>
      <c r="BX35" s="429">
        <f t="shared" si="28"/>
        <v>0</v>
      </c>
      <c r="BY35" s="419"/>
      <c r="BZ35" s="419"/>
      <c r="CA35" s="419"/>
      <c r="CB35" s="420">
        <f t="shared" si="29"/>
        <v>0</v>
      </c>
      <c r="CC35" s="430">
        <f t="shared" si="30"/>
        <v>0</v>
      </c>
      <c r="CD35" s="419"/>
      <c r="CE35" s="419"/>
      <c r="CF35" s="419"/>
      <c r="CG35" s="420">
        <f t="shared" si="31"/>
        <v>0</v>
      </c>
      <c r="CH35" s="423">
        <f t="shared" si="32"/>
        <v>0</v>
      </c>
      <c r="CI35" s="431"/>
      <c r="CJ35" s="431"/>
      <c r="CK35" s="431"/>
      <c r="CL35" s="420">
        <f t="shared" si="33"/>
        <v>0</v>
      </c>
      <c r="CM35" s="423">
        <f t="shared" si="34"/>
        <v>0</v>
      </c>
      <c r="CN35" s="420"/>
      <c r="CO35" s="420"/>
      <c r="CP35" s="420"/>
      <c r="CQ35" s="432"/>
      <c r="CR35" s="432">
        <f t="shared" si="35"/>
        <v>0</v>
      </c>
      <c r="CS35" s="420"/>
      <c r="CT35" s="420"/>
      <c r="CU35" s="420"/>
      <c r="CV35" s="420"/>
      <c r="CW35" s="420">
        <f t="shared" si="36"/>
        <v>0</v>
      </c>
      <c r="CX35" s="419"/>
      <c r="CY35" s="419"/>
      <c r="CZ35" s="419"/>
      <c r="DA35" s="419">
        <f t="shared" si="37"/>
        <v>0</v>
      </c>
      <c r="DB35" s="419">
        <f t="shared" si="38"/>
        <v>0</v>
      </c>
      <c r="DC35" s="419"/>
      <c r="DD35" s="419"/>
      <c r="DE35" s="419"/>
      <c r="DF35" s="420">
        <f t="shared" si="39"/>
        <v>0</v>
      </c>
      <c r="DG35" s="421">
        <f t="shared" si="40"/>
        <v>0</v>
      </c>
      <c r="DH35" s="419"/>
      <c r="DI35" s="419"/>
      <c r="DJ35" s="419"/>
      <c r="DK35" s="420">
        <f t="shared" si="41"/>
        <v>0</v>
      </c>
      <c r="DL35" s="422">
        <f t="shared" si="42"/>
        <v>0</v>
      </c>
      <c r="DM35" s="420"/>
      <c r="DN35" s="420"/>
      <c r="DO35" s="420"/>
      <c r="DP35" s="420">
        <f t="shared" si="43"/>
        <v>0</v>
      </c>
      <c r="DQ35" s="420">
        <f t="shared" si="44"/>
        <v>0</v>
      </c>
      <c r="DR35" s="419"/>
      <c r="DS35" s="419"/>
      <c r="DT35" s="419"/>
      <c r="DU35" s="420">
        <f t="shared" si="45"/>
        <v>0</v>
      </c>
      <c r="DV35" s="423">
        <f t="shared" si="46"/>
        <v>0</v>
      </c>
      <c r="DW35" s="419"/>
      <c r="DX35" s="419"/>
      <c r="DY35" s="419"/>
      <c r="DZ35" s="420">
        <f t="shared" si="47"/>
        <v>0</v>
      </c>
      <c r="EA35" s="423">
        <f t="shared" si="48"/>
        <v>0</v>
      </c>
      <c r="EB35" s="419"/>
      <c r="EC35" s="419"/>
      <c r="ED35" s="420"/>
      <c r="EE35" s="419"/>
      <c r="EF35" s="420">
        <f t="shared" si="49"/>
        <v>0</v>
      </c>
      <c r="EG35" s="419"/>
      <c r="EH35" s="419"/>
      <c r="EI35" s="419"/>
      <c r="EJ35" s="420">
        <f t="shared" si="50"/>
        <v>0</v>
      </c>
      <c r="EK35" s="420">
        <f t="shared" si="51"/>
        <v>0</v>
      </c>
      <c r="EL35" s="419"/>
      <c r="EM35" s="419"/>
      <c r="EN35" s="419"/>
      <c r="EO35" s="419">
        <f t="shared" si="52"/>
        <v>0</v>
      </c>
      <c r="EP35" s="419">
        <f t="shared" si="53"/>
        <v>0</v>
      </c>
      <c r="EQ35" s="419"/>
      <c r="ER35" s="419"/>
      <c r="ES35" s="419"/>
      <c r="ET35" s="419">
        <f t="shared" si="54"/>
        <v>0</v>
      </c>
      <c r="EU35" s="419">
        <f t="shared" si="55"/>
        <v>0</v>
      </c>
      <c r="EV35" s="419"/>
      <c r="EW35" s="419"/>
      <c r="EX35" s="419"/>
      <c r="EY35" s="419">
        <f t="shared" si="56"/>
        <v>0</v>
      </c>
      <c r="EZ35" s="419">
        <f t="shared" si="76"/>
        <v>0</v>
      </c>
      <c r="FA35" s="420"/>
      <c r="FB35" s="420"/>
      <c r="FC35" s="420"/>
      <c r="FD35" s="420">
        <f t="shared" si="57"/>
        <v>0</v>
      </c>
      <c r="FE35" s="420">
        <f t="shared" si="58"/>
        <v>0</v>
      </c>
      <c r="FF35" s="419"/>
      <c r="FG35" s="419"/>
      <c r="FH35" s="419"/>
      <c r="FI35" s="419">
        <f t="shared" si="59"/>
        <v>0</v>
      </c>
      <c r="FJ35" s="419">
        <f t="shared" si="60"/>
        <v>0</v>
      </c>
      <c r="FK35" s="419"/>
      <c r="FL35" s="419"/>
      <c r="FM35" s="419"/>
      <c r="FN35" s="420">
        <f t="shared" si="61"/>
        <v>0</v>
      </c>
      <c r="FO35" s="423">
        <f t="shared" si="62"/>
        <v>0</v>
      </c>
      <c r="FP35" s="419"/>
      <c r="FQ35" s="419"/>
      <c r="FR35" s="419"/>
      <c r="FS35" s="420">
        <f t="shared" si="63"/>
        <v>0</v>
      </c>
      <c r="FT35" s="420">
        <f t="shared" si="64"/>
        <v>0</v>
      </c>
      <c r="FU35" s="419"/>
      <c r="FV35" s="419"/>
      <c r="FW35" s="419"/>
      <c r="FX35" s="420">
        <f t="shared" si="65"/>
        <v>0</v>
      </c>
      <c r="FY35" s="420">
        <f t="shared" si="66"/>
        <v>0</v>
      </c>
      <c r="FZ35" s="419"/>
      <c r="GA35" s="419"/>
      <c r="GB35" s="419"/>
      <c r="GC35" s="420">
        <f t="shared" si="67"/>
        <v>0</v>
      </c>
      <c r="GD35" s="420">
        <f t="shared" si="68"/>
        <v>0</v>
      </c>
      <c r="GE35" s="419"/>
      <c r="GF35" s="419"/>
      <c r="GG35" s="419"/>
      <c r="GH35" s="420">
        <f t="shared" si="69"/>
        <v>0</v>
      </c>
      <c r="GI35" s="423">
        <f t="shared" si="70"/>
        <v>0</v>
      </c>
      <c r="GJ35" s="419"/>
      <c r="GK35" s="419"/>
      <c r="GL35" s="419"/>
      <c r="GM35" s="420">
        <f t="shared" si="71"/>
        <v>0</v>
      </c>
      <c r="GN35" s="420">
        <f t="shared" si="72"/>
        <v>0</v>
      </c>
      <c r="GO35" s="419"/>
      <c r="GP35" s="419"/>
      <c r="GQ35" s="419"/>
      <c r="GR35" s="420">
        <f t="shared" si="77"/>
        <v>0</v>
      </c>
      <c r="GS35" s="423">
        <f t="shared" si="73"/>
        <v>0</v>
      </c>
      <c r="GT35" s="419"/>
      <c r="GU35" s="419"/>
      <c r="GV35" s="419"/>
      <c r="GW35" s="420">
        <f t="shared" si="74"/>
        <v>0</v>
      </c>
      <c r="GX35" s="420">
        <f t="shared" si="75"/>
        <v>0</v>
      </c>
    </row>
    <row r="36" spans="1:206" ht="15">
      <c r="A36" s="414"/>
      <c r="B36" s="415" t="s">
        <v>499</v>
      </c>
      <c r="C36" s="698"/>
      <c r="D36" s="704" t="s">
        <v>500</v>
      </c>
      <c r="E36" s="714" t="s">
        <v>123</v>
      </c>
      <c r="F36" s="417">
        <v>0.16</v>
      </c>
      <c r="G36" s="418">
        <f t="shared" si="4"/>
        <v>0</v>
      </c>
      <c r="H36" s="418">
        <f t="shared" si="5"/>
        <v>27837931.140000001</v>
      </c>
      <c r="I36" s="418">
        <f t="shared" si="5"/>
        <v>4454068.92</v>
      </c>
      <c r="J36" s="418">
        <f t="shared" si="6"/>
        <v>27837930.75</v>
      </c>
      <c r="K36" s="418">
        <f t="shared" si="78"/>
        <v>-0.390000000596046</v>
      </c>
      <c r="L36" s="418">
        <f t="shared" si="80"/>
        <v>27837930.75</v>
      </c>
      <c r="M36" s="424"/>
      <c r="N36" s="424">
        <v>27837931.140000001</v>
      </c>
      <c r="O36" s="424">
        <v>4454068.92</v>
      </c>
      <c r="P36" s="424"/>
      <c r="Q36" s="419"/>
      <c r="R36" s="419"/>
      <c r="S36" s="419"/>
      <c r="T36" s="420">
        <v>0</v>
      </c>
      <c r="U36" s="423">
        <f t="shared" si="81"/>
        <v>0</v>
      </c>
      <c r="V36" s="420"/>
      <c r="W36" s="420"/>
      <c r="X36" s="419"/>
      <c r="Y36" s="420">
        <f t="shared" si="79"/>
        <v>0</v>
      </c>
      <c r="Z36" s="423">
        <f t="shared" si="10"/>
        <v>0</v>
      </c>
      <c r="AA36" s="423"/>
      <c r="AB36" s="419"/>
      <c r="AC36" s="419"/>
      <c r="AD36" s="420">
        <f t="shared" si="11"/>
        <v>0</v>
      </c>
      <c r="AE36" s="423">
        <f t="shared" si="12"/>
        <v>0</v>
      </c>
      <c r="AF36" s="419"/>
      <c r="AG36" s="419"/>
      <c r="AH36" s="419"/>
      <c r="AI36" s="420">
        <f t="shared" si="13"/>
        <v>0</v>
      </c>
      <c r="AJ36" s="423">
        <f t="shared" si="14"/>
        <v>0</v>
      </c>
      <c r="AK36" s="419"/>
      <c r="AL36" s="420"/>
      <c r="AM36" s="419"/>
      <c r="AN36" s="420">
        <f t="shared" si="15"/>
        <v>0</v>
      </c>
      <c r="AO36" s="423">
        <f t="shared" si="16"/>
        <v>0</v>
      </c>
      <c r="AP36" s="419"/>
      <c r="AQ36" s="419"/>
      <c r="AR36" s="419"/>
      <c r="AS36" s="420">
        <f t="shared" si="17"/>
        <v>0</v>
      </c>
      <c r="AT36" s="420">
        <f t="shared" si="18"/>
        <v>0</v>
      </c>
      <c r="AU36" s="420"/>
      <c r="AV36" s="420"/>
      <c r="AW36" s="420"/>
      <c r="AX36" s="426">
        <f t="shared" si="19"/>
        <v>0</v>
      </c>
      <c r="AY36" s="420">
        <f t="shared" si="20"/>
        <v>0</v>
      </c>
      <c r="AZ36" s="419"/>
      <c r="BA36" s="420"/>
      <c r="BB36" s="419"/>
      <c r="BC36" s="420">
        <f t="shared" si="21"/>
        <v>0</v>
      </c>
      <c r="BD36" s="427"/>
      <c r="BE36" s="420"/>
      <c r="BF36" s="420"/>
      <c r="BG36" s="420"/>
      <c r="BH36" s="423">
        <f t="shared" si="22"/>
        <v>0</v>
      </c>
      <c r="BI36" s="420">
        <f t="shared" si="23"/>
        <v>0</v>
      </c>
      <c r="BJ36" s="420"/>
      <c r="BK36" s="420"/>
      <c r="BL36" s="420"/>
      <c r="BM36" s="420">
        <f t="shared" si="24"/>
        <v>0</v>
      </c>
      <c r="BN36" s="420">
        <f t="shared" si="25"/>
        <v>0</v>
      </c>
      <c r="BO36" s="419"/>
      <c r="BP36" s="428"/>
      <c r="BQ36" s="420"/>
      <c r="BR36" s="423">
        <f t="shared" si="26"/>
        <v>0</v>
      </c>
      <c r="BS36" s="423">
        <f t="shared" si="27"/>
        <v>0</v>
      </c>
      <c r="BT36" s="420"/>
      <c r="BU36" s="420"/>
      <c r="BV36" s="420"/>
      <c r="BW36" s="420"/>
      <c r="BX36" s="429">
        <f t="shared" si="28"/>
        <v>0</v>
      </c>
      <c r="BY36" s="419"/>
      <c r="BZ36" s="419"/>
      <c r="CA36" s="419"/>
      <c r="CB36" s="420">
        <f t="shared" si="29"/>
        <v>0</v>
      </c>
      <c r="CC36" s="430">
        <f t="shared" si="30"/>
        <v>0</v>
      </c>
      <c r="CD36" s="419"/>
      <c r="CE36" s="419"/>
      <c r="CF36" s="419"/>
      <c r="CG36" s="420">
        <f t="shared" si="31"/>
        <v>0</v>
      </c>
      <c r="CH36" s="423">
        <f t="shared" si="32"/>
        <v>0</v>
      </c>
      <c r="CI36" s="431"/>
      <c r="CJ36" s="431"/>
      <c r="CK36" s="431"/>
      <c r="CL36" s="420">
        <f t="shared" si="33"/>
        <v>0</v>
      </c>
      <c r="CM36" s="423">
        <f t="shared" si="34"/>
        <v>0</v>
      </c>
      <c r="CN36" s="420"/>
      <c r="CO36" s="420"/>
      <c r="CP36" s="420"/>
      <c r="CQ36" s="432"/>
      <c r="CR36" s="432">
        <f t="shared" si="35"/>
        <v>0</v>
      </c>
      <c r="CS36" s="420"/>
      <c r="CT36" s="420"/>
      <c r="CU36" s="420"/>
      <c r="CV36" s="420"/>
      <c r="CW36" s="420">
        <f t="shared" si="36"/>
        <v>0</v>
      </c>
      <c r="CX36" s="419"/>
      <c r="CY36" s="419"/>
      <c r="CZ36" s="419"/>
      <c r="DA36" s="419">
        <f t="shared" si="37"/>
        <v>0</v>
      </c>
      <c r="DB36" s="419">
        <f t="shared" si="38"/>
        <v>0</v>
      </c>
      <c r="DC36" s="419"/>
      <c r="DD36" s="419"/>
      <c r="DE36" s="419"/>
      <c r="DF36" s="420">
        <f t="shared" si="39"/>
        <v>0</v>
      </c>
      <c r="DG36" s="421">
        <f t="shared" si="40"/>
        <v>0</v>
      </c>
      <c r="DH36" s="419"/>
      <c r="DI36" s="419"/>
      <c r="DJ36" s="419"/>
      <c r="DK36" s="420">
        <f t="shared" si="41"/>
        <v>0</v>
      </c>
      <c r="DL36" s="422">
        <f t="shared" si="42"/>
        <v>0</v>
      </c>
      <c r="DM36" s="420"/>
      <c r="DN36" s="420"/>
      <c r="DO36" s="420"/>
      <c r="DP36" s="420">
        <f t="shared" si="43"/>
        <v>0</v>
      </c>
      <c r="DQ36" s="420">
        <f t="shared" si="44"/>
        <v>0</v>
      </c>
      <c r="DR36" s="419"/>
      <c r="DS36" s="419"/>
      <c r="DT36" s="419"/>
      <c r="DU36" s="420">
        <f t="shared" si="45"/>
        <v>0</v>
      </c>
      <c r="DV36" s="423">
        <f t="shared" si="46"/>
        <v>0</v>
      </c>
      <c r="DW36" s="419"/>
      <c r="DX36" s="419"/>
      <c r="DY36" s="419"/>
      <c r="DZ36" s="420">
        <f t="shared" si="47"/>
        <v>0</v>
      </c>
      <c r="EA36" s="423">
        <f t="shared" si="48"/>
        <v>0</v>
      </c>
      <c r="EB36" s="419"/>
      <c r="EC36" s="419"/>
      <c r="ED36" s="420"/>
      <c r="EE36" s="419"/>
      <c r="EF36" s="420">
        <f t="shared" si="49"/>
        <v>0</v>
      </c>
      <c r="EG36" s="419"/>
      <c r="EH36" s="419"/>
      <c r="EI36" s="419"/>
      <c r="EJ36" s="420">
        <f t="shared" si="50"/>
        <v>0</v>
      </c>
      <c r="EK36" s="420">
        <f t="shared" si="51"/>
        <v>0</v>
      </c>
      <c r="EL36" s="419"/>
      <c r="EM36" s="419"/>
      <c r="EN36" s="419"/>
      <c r="EO36" s="419">
        <f t="shared" si="52"/>
        <v>0</v>
      </c>
      <c r="EP36" s="419">
        <f t="shared" si="53"/>
        <v>0</v>
      </c>
      <c r="EQ36" s="419"/>
      <c r="ER36" s="419"/>
      <c r="ES36" s="419"/>
      <c r="ET36" s="419">
        <f t="shared" si="54"/>
        <v>0</v>
      </c>
      <c r="EU36" s="419">
        <f t="shared" si="55"/>
        <v>0</v>
      </c>
      <c r="EV36" s="419"/>
      <c r="EW36" s="419"/>
      <c r="EX36" s="419"/>
      <c r="EY36" s="419">
        <f t="shared" si="56"/>
        <v>0</v>
      </c>
      <c r="EZ36" s="419">
        <f t="shared" si="76"/>
        <v>0</v>
      </c>
      <c r="FA36" s="420"/>
      <c r="FB36" s="420"/>
      <c r="FC36" s="420"/>
      <c r="FD36" s="420">
        <f t="shared" si="57"/>
        <v>0</v>
      </c>
      <c r="FE36" s="420">
        <f t="shared" si="58"/>
        <v>0</v>
      </c>
      <c r="FF36" s="419"/>
      <c r="FG36" s="419"/>
      <c r="FH36" s="419"/>
      <c r="FI36" s="419">
        <f t="shared" si="59"/>
        <v>0</v>
      </c>
      <c r="FJ36" s="419">
        <f t="shared" si="60"/>
        <v>0</v>
      </c>
      <c r="FK36" s="419"/>
      <c r="FL36" s="419"/>
      <c r="FM36" s="419"/>
      <c r="FN36" s="420">
        <f t="shared" si="61"/>
        <v>0</v>
      </c>
      <c r="FO36" s="423">
        <f t="shared" si="62"/>
        <v>0</v>
      </c>
      <c r="FP36" s="419"/>
      <c r="FQ36" s="419"/>
      <c r="FR36" s="419"/>
      <c r="FS36" s="420">
        <f t="shared" si="63"/>
        <v>0</v>
      </c>
      <c r="FT36" s="420">
        <f t="shared" si="64"/>
        <v>0</v>
      </c>
      <c r="FU36" s="419"/>
      <c r="FV36" s="419"/>
      <c r="FW36" s="419"/>
      <c r="FX36" s="420">
        <f t="shared" si="65"/>
        <v>0</v>
      </c>
      <c r="FY36" s="420">
        <f t="shared" si="66"/>
        <v>0</v>
      </c>
      <c r="FZ36" s="419"/>
      <c r="GA36" s="419"/>
      <c r="GB36" s="419"/>
      <c r="GC36" s="420">
        <f t="shared" si="67"/>
        <v>0</v>
      </c>
      <c r="GD36" s="420">
        <f t="shared" si="68"/>
        <v>0</v>
      </c>
      <c r="GE36" s="419"/>
      <c r="GF36" s="419"/>
      <c r="GG36" s="419"/>
      <c r="GH36" s="420">
        <f t="shared" si="69"/>
        <v>0</v>
      </c>
      <c r="GI36" s="423">
        <f t="shared" si="70"/>
        <v>0</v>
      </c>
      <c r="GJ36" s="419"/>
      <c r="GK36" s="419"/>
      <c r="GL36" s="419"/>
      <c r="GM36" s="420">
        <f t="shared" si="71"/>
        <v>0</v>
      </c>
      <c r="GN36" s="420">
        <f t="shared" si="72"/>
        <v>0</v>
      </c>
      <c r="GO36" s="419"/>
      <c r="GP36" s="419"/>
      <c r="GQ36" s="419"/>
      <c r="GR36" s="420">
        <f t="shared" si="77"/>
        <v>0</v>
      </c>
      <c r="GS36" s="423">
        <f t="shared" si="73"/>
        <v>0</v>
      </c>
      <c r="GT36" s="419"/>
      <c r="GU36" s="419"/>
      <c r="GV36" s="419"/>
      <c r="GW36" s="420">
        <f t="shared" si="74"/>
        <v>0</v>
      </c>
      <c r="GX36" s="420">
        <f t="shared" si="75"/>
        <v>0</v>
      </c>
    </row>
    <row r="37" spans="1:206" ht="15">
      <c r="A37" s="414"/>
      <c r="B37" s="415" t="s">
        <v>499</v>
      </c>
      <c r="C37" s="698"/>
      <c r="D37" s="705"/>
      <c r="E37" s="715"/>
      <c r="F37" s="417">
        <v>0.13</v>
      </c>
      <c r="G37" s="418">
        <f t="shared" si="4"/>
        <v>30506031.670000002</v>
      </c>
      <c r="H37" s="418">
        <f t="shared" si="5"/>
        <v>6515513.21</v>
      </c>
      <c r="I37" s="418">
        <f t="shared" si="5"/>
        <v>346853.06652495603</v>
      </c>
      <c r="J37" s="418">
        <f t="shared" si="6"/>
        <v>2668100.5117304302</v>
      </c>
      <c r="K37" s="418">
        <f t="shared" si="78"/>
        <v>-3847412.6982695698</v>
      </c>
      <c r="L37" s="418">
        <f t="shared" si="80"/>
        <v>-27837931.158269599</v>
      </c>
      <c r="M37" s="424">
        <v>27837931.140000001</v>
      </c>
      <c r="N37" s="424">
        <v>0</v>
      </c>
      <c r="O37" s="424">
        <v>0</v>
      </c>
      <c r="Q37" s="419"/>
      <c r="R37" s="419"/>
      <c r="S37" s="419"/>
      <c r="T37" s="420">
        <v>0</v>
      </c>
      <c r="U37" s="423">
        <f t="shared" si="81"/>
        <v>0</v>
      </c>
      <c r="V37" s="420"/>
      <c r="W37" s="420"/>
      <c r="X37" s="419"/>
      <c r="Y37" s="420">
        <f t="shared" si="79"/>
        <v>0</v>
      </c>
      <c r="Z37" s="423">
        <f t="shared" si="10"/>
        <v>0</v>
      </c>
      <c r="AA37" s="423"/>
      <c r="AB37" s="419"/>
      <c r="AC37" s="419"/>
      <c r="AD37" s="420">
        <f t="shared" si="11"/>
        <v>0</v>
      </c>
      <c r="AE37" s="423">
        <f t="shared" si="12"/>
        <v>0</v>
      </c>
      <c r="AF37" s="419"/>
      <c r="AG37" s="419"/>
      <c r="AH37" s="420">
        <v>-40754.673475043499</v>
      </c>
      <c r="AI37" s="420">
        <f t="shared" si="13"/>
        <v>-313497.48826956499</v>
      </c>
      <c r="AJ37" s="423">
        <f t="shared" si="14"/>
        <v>-313497.48826956499</v>
      </c>
      <c r="AK37" s="419"/>
      <c r="AL37" s="420"/>
      <c r="AM37" s="419"/>
      <c r="AN37" s="420">
        <f t="shared" si="15"/>
        <v>0</v>
      </c>
      <c r="AO37" s="423">
        <f t="shared" si="16"/>
        <v>0</v>
      </c>
      <c r="AP37" s="419"/>
      <c r="AQ37" s="419"/>
      <c r="AR37" s="420">
        <v>40754.67</v>
      </c>
      <c r="AS37" s="420">
        <f t="shared" si="17"/>
        <v>313497.46153846203</v>
      </c>
      <c r="AT37" s="420">
        <f t="shared" si="18"/>
        <v>313497.46153846203</v>
      </c>
      <c r="AU37" s="420"/>
      <c r="AV37" s="420"/>
      <c r="AW37" s="420"/>
      <c r="AX37" s="426">
        <f t="shared" si="19"/>
        <v>0</v>
      </c>
      <c r="AY37" s="420">
        <f t="shared" si="20"/>
        <v>0</v>
      </c>
      <c r="AZ37" s="419"/>
      <c r="BA37" s="420"/>
      <c r="BB37" s="419"/>
      <c r="BC37" s="420">
        <f t="shared" si="21"/>
        <v>0</v>
      </c>
      <c r="BD37" s="427"/>
      <c r="BE37" s="420"/>
      <c r="BF37" s="420"/>
      <c r="BG37" s="420"/>
      <c r="BH37" s="423">
        <f t="shared" si="22"/>
        <v>0</v>
      </c>
      <c r="BI37" s="420">
        <f t="shared" si="23"/>
        <v>0</v>
      </c>
      <c r="BJ37" s="420"/>
      <c r="BK37" s="420"/>
      <c r="BL37" s="420"/>
      <c r="BM37" s="420">
        <f t="shared" si="24"/>
        <v>0</v>
      </c>
      <c r="BN37" s="420">
        <f t="shared" si="25"/>
        <v>0</v>
      </c>
      <c r="BO37" s="433">
        <v>528762.93000000005</v>
      </c>
      <c r="BP37" s="428"/>
      <c r="BQ37" s="420">
        <v>68739.179999999993</v>
      </c>
      <c r="BR37" s="423">
        <f t="shared" si="26"/>
        <v>528762.92307692301</v>
      </c>
      <c r="BS37" s="423">
        <f t="shared" si="27"/>
        <v>-6.9230770459398601E-3</v>
      </c>
      <c r="BT37" s="445">
        <v>7700.43</v>
      </c>
      <c r="BU37" s="420"/>
      <c r="BV37" s="420">
        <v>1001.06</v>
      </c>
      <c r="BW37" s="420">
        <v>7700.43</v>
      </c>
      <c r="BX37" s="429">
        <f t="shared" si="28"/>
        <v>0</v>
      </c>
      <c r="BY37" s="419"/>
      <c r="BZ37" s="419"/>
      <c r="CA37" s="419"/>
      <c r="CB37" s="420">
        <f t="shared" si="29"/>
        <v>0</v>
      </c>
      <c r="CC37" s="430">
        <f t="shared" si="30"/>
        <v>0</v>
      </c>
      <c r="CD37" s="419"/>
      <c r="CE37" s="419"/>
      <c r="CF37" s="419"/>
      <c r="CG37" s="420">
        <f t="shared" si="31"/>
        <v>0</v>
      </c>
      <c r="CH37" s="423">
        <f t="shared" si="32"/>
        <v>0</v>
      </c>
      <c r="CI37" s="431"/>
      <c r="CJ37" s="431"/>
      <c r="CK37" s="431"/>
      <c r="CL37" s="420">
        <f t="shared" si="33"/>
        <v>0</v>
      </c>
      <c r="CM37" s="423">
        <f t="shared" si="34"/>
        <v>0</v>
      </c>
      <c r="CN37" s="420"/>
      <c r="CO37" s="420"/>
      <c r="CP37" s="420"/>
      <c r="CQ37" s="432"/>
      <c r="CR37" s="432">
        <f t="shared" si="35"/>
        <v>0</v>
      </c>
      <c r="CS37" s="420"/>
      <c r="CT37" s="420"/>
      <c r="CU37" s="420"/>
      <c r="CV37" s="420"/>
      <c r="CW37" s="420">
        <f t="shared" si="36"/>
        <v>0</v>
      </c>
      <c r="CX37" s="419"/>
      <c r="CY37" s="419"/>
      <c r="CZ37" s="419"/>
      <c r="DA37" s="419">
        <f t="shared" si="37"/>
        <v>0</v>
      </c>
      <c r="DB37" s="419">
        <f t="shared" si="38"/>
        <v>0</v>
      </c>
      <c r="DC37" s="419"/>
      <c r="DD37" s="419"/>
      <c r="DE37" s="419"/>
      <c r="DF37" s="420">
        <f t="shared" si="39"/>
        <v>0</v>
      </c>
      <c r="DG37" s="421">
        <f t="shared" si="40"/>
        <v>0</v>
      </c>
      <c r="DH37" s="419"/>
      <c r="DI37" s="419"/>
      <c r="DJ37" s="419"/>
      <c r="DK37" s="420">
        <f t="shared" si="41"/>
        <v>0</v>
      </c>
      <c r="DL37" s="422">
        <f t="shared" si="42"/>
        <v>0</v>
      </c>
      <c r="DM37" s="420"/>
      <c r="DN37" s="420"/>
      <c r="DO37" s="420"/>
      <c r="DP37" s="420">
        <f t="shared" si="43"/>
        <v>0</v>
      </c>
      <c r="DQ37" s="420">
        <f t="shared" si="44"/>
        <v>0</v>
      </c>
      <c r="DR37" s="419"/>
      <c r="DS37" s="419"/>
      <c r="DT37" s="419"/>
      <c r="DU37" s="420">
        <f t="shared" si="45"/>
        <v>0</v>
      </c>
      <c r="DV37" s="423">
        <f t="shared" si="46"/>
        <v>0</v>
      </c>
      <c r="DW37" s="419"/>
      <c r="DX37" s="419"/>
      <c r="DY37" s="419"/>
      <c r="DZ37" s="420">
        <f t="shared" si="47"/>
        <v>0</v>
      </c>
      <c r="EA37" s="423">
        <f t="shared" si="48"/>
        <v>0</v>
      </c>
      <c r="EB37" s="419"/>
      <c r="EC37" s="419"/>
      <c r="ED37" s="420"/>
      <c r="EE37" s="419"/>
      <c r="EF37" s="420">
        <f t="shared" si="49"/>
        <v>0</v>
      </c>
      <c r="EG37" s="419"/>
      <c r="EH37" s="419"/>
      <c r="EI37" s="419"/>
      <c r="EJ37" s="420">
        <f t="shared" si="50"/>
        <v>0</v>
      </c>
      <c r="EK37" s="420">
        <f t="shared" si="51"/>
        <v>0</v>
      </c>
      <c r="EL37" s="419"/>
      <c r="EM37" s="419"/>
      <c r="EN37" s="419"/>
      <c r="EO37" s="419">
        <f t="shared" si="52"/>
        <v>0</v>
      </c>
      <c r="EP37" s="419">
        <f t="shared" si="53"/>
        <v>0</v>
      </c>
      <c r="EQ37" s="419"/>
      <c r="ER37" s="419"/>
      <c r="ES37" s="419"/>
      <c r="ET37" s="419">
        <f t="shared" si="54"/>
        <v>0</v>
      </c>
      <c r="EU37" s="419">
        <f t="shared" si="55"/>
        <v>0</v>
      </c>
      <c r="EV37" s="419"/>
      <c r="EW37" s="419"/>
      <c r="EX37" s="419"/>
      <c r="EY37" s="419">
        <f t="shared" si="56"/>
        <v>0</v>
      </c>
      <c r="EZ37" s="419">
        <f t="shared" si="76"/>
        <v>0</v>
      </c>
      <c r="FA37" s="420"/>
      <c r="FB37" s="420"/>
      <c r="FC37" s="420"/>
      <c r="FD37" s="420">
        <f t="shared" si="57"/>
        <v>0</v>
      </c>
      <c r="FE37" s="420">
        <f t="shared" si="58"/>
        <v>0</v>
      </c>
      <c r="FF37" s="419">
        <v>2131637.17</v>
      </c>
      <c r="FG37" s="419"/>
      <c r="FH37" s="419">
        <v>277112.83</v>
      </c>
      <c r="FI37" s="419">
        <f t="shared" si="59"/>
        <v>2131637.1538461498</v>
      </c>
      <c r="FJ37" s="419">
        <f t="shared" si="60"/>
        <v>-0.02</v>
      </c>
      <c r="FK37" s="419"/>
      <c r="FL37" s="420">
        <v>6515513.21</v>
      </c>
      <c r="FM37" s="419"/>
      <c r="FN37" s="420">
        <f t="shared" si="61"/>
        <v>0</v>
      </c>
      <c r="FO37" s="423">
        <f t="shared" si="62"/>
        <v>0</v>
      </c>
      <c r="FP37" s="419"/>
      <c r="FQ37" s="419"/>
      <c r="FR37" s="419"/>
      <c r="FS37" s="420">
        <f t="shared" si="63"/>
        <v>0</v>
      </c>
      <c r="FT37" s="420">
        <f t="shared" si="64"/>
        <v>0</v>
      </c>
      <c r="FU37" s="419"/>
      <c r="FV37" s="419"/>
      <c r="FW37" s="419"/>
      <c r="FX37" s="420">
        <f t="shared" si="65"/>
        <v>0</v>
      </c>
      <c r="FY37" s="420">
        <f t="shared" si="66"/>
        <v>0</v>
      </c>
      <c r="FZ37" s="419"/>
      <c r="GA37" s="419"/>
      <c r="GB37" s="419"/>
      <c r="GC37" s="420">
        <f t="shared" si="67"/>
        <v>0</v>
      </c>
      <c r="GD37" s="420">
        <f t="shared" si="68"/>
        <v>0</v>
      </c>
      <c r="GE37" s="419"/>
      <c r="GF37" s="419"/>
      <c r="GG37" s="419"/>
      <c r="GH37" s="420">
        <f t="shared" si="69"/>
        <v>0</v>
      </c>
      <c r="GI37" s="423">
        <f t="shared" si="70"/>
        <v>0</v>
      </c>
      <c r="GJ37" s="419"/>
      <c r="GK37" s="419"/>
      <c r="GL37" s="419"/>
      <c r="GM37" s="420">
        <f t="shared" si="71"/>
        <v>0</v>
      </c>
      <c r="GN37" s="420">
        <f t="shared" si="72"/>
        <v>0</v>
      </c>
      <c r="GO37" s="419"/>
      <c r="GP37" s="419"/>
      <c r="GQ37" s="419"/>
      <c r="GR37" s="420">
        <f t="shared" si="77"/>
        <v>0</v>
      </c>
      <c r="GS37" s="423">
        <f t="shared" si="73"/>
        <v>0</v>
      </c>
      <c r="GT37" s="419"/>
      <c r="GU37" s="419"/>
      <c r="GV37" s="419"/>
      <c r="GW37" s="420">
        <f t="shared" si="74"/>
        <v>0</v>
      </c>
      <c r="GX37" s="420">
        <f t="shared" si="75"/>
        <v>0</v>
      </c>
    </row>
    <row r="38" spans="1:206" ht="15">
      <c r="A38" s="414"/>
      <c r="B38" s="415" t="s">
        <v>499</v>
      </c>
      <c r="C38" s="698"/>
      <c r="D38" s="706"/>
      <c r="E38" s="434" t="s">
        <v>124</v>
      </c>
      <c r="F38" s="417">
        <v>0.09</v>
      </c>
      <c r="G38" s="418">
        <f t="shared" si="4"/>
        <v>133494597.12</v>
      </c>
      <c r="H38" s="418">
        <f t="shared" si="5"/>
        <v>154721899.22999999</v>
      </c>
      <c r="I38" s="418">
        <f t="shared" si="5"/>
        <v>12014513.740800001</v>
      </c>
      <c r="J38" s="418">
        <f t="shared" si="6"/>
        <v>133494597.12</v>
      </c>
      <c r="K38" s="418">
        <f t="shared" si="78"/>
        <v>-21227302.109999999</v>
      </c>
      <c r="L38" s="418">
        <f t="shared" si="80"/>
        <v>0</v>
      </c>
      <c r="M38" s="424">
        <v>132517997.12</v>
      </c>
      <c r="N38" s="424">
        <v>0</v>
      </c>
      <c r="O38" s="424">
        <v>11926619.740800001</v>
      </c>
      <c r="P38" s="424"/>
      <c r="Q38" s="419"/>
      <c r="R38" s="419"/>
      <c r="S38" s="420"/>
      <c r="T38" s="420">
        <v>0</v>
      </c>
      <c r="U38" s="423">
        <f t="shared" si="81"/>
        <v>0</v>
      </c>
      <c r="V38" s="420"/>
      <c r="W38" s="420"/>
      <c r="X38" s="419"/>
      <c r="Y38" s="420">
        <f t="shared" si="79"/>
        <v>0</v>
      </c>
      <c r="Z38" s="423">
        <f t="shared" si="10"/>
        <v>0</v>
      </c>
      <c r="AA38" s="423"/>
      <c r="AB38" s="419">
        <v>5994000</v>
      </c>
      <c r="AC38" s="419"/>
      <c r="AD38" s="420">
        <f t="shared" si="11"/>
        <v>0</v>
      </c>
      <c r="AE38" s="423">
        <f t="shared" si="12"/>
        <v>0</v>
      </c>
      <c r="AF38" s="419"/>
      <c r="AG38" s="420">
        <v>91743119.269999996</v>
      </c>
      <c r="AH38" s="420">
        <v>0</v>
      </c>
      <c r="AI38" s="420">
        <f t="shared" si="13"/>
        <v>0</v>
      </c>
      <c r="AJ38" s="423">
        <f t="shared" si="14"/>
        <v>0</v>
      </c>
      <c r="AK38" s="419"/>
      <c r="AL38" s="420"/>
      <c r="AM38" s="419"/>
      <c r="AN38" s="420">
        <f t="shared" si="15"/>
        <v>0</v>
      </c>
      <c r="AO38" s="423">
        <f t="shared" si="16"/>
        <v>0</v>
      </c>
      <c r="AP38" s="419"/>
      <c r="AQ38" s="419"/>
      <c r="AR38" s="419"/>
      <c r="AS38" s="420">
        <f t="shared" si="17"/>
        <v>0</v>
      </c>
      <c r="AT38" s="420">
        <f t="shared" si="18"/>
        <v>0</v>
      </c>
      <c r="AU38" s="420"/>
      <c r="AV38" s="420"/>
      <c r="AW38" s="420"/>
      <c r="AX38" s="426">
        <f t="shared" si="19"/>
        <v>0</v>
      </c>
      <c r="AY38" s="420">
        <f t="shared" si="20"/>
        <v>0</v>
      </c>
      <c r="AZ38" s="419"/>
      <c r="BA38" s="420"/>
      <c r="BB38" s="419"/>
      <c r="BC38" s="420">
        <f t="shared" si="21"/>
        <v>0</v>
      </c>
      <c r="BD38" s="427"/>
      <c r="BE38" s="420"/>
      <c r="BF38" s="420"/>
      <c r="BG38" s="420"/>
      <c r="BH38" s="423">
        <f t="shared" si="22"/>
        <v>0</v>
      </c>
      <c r="BI38" s="420">
        <f t="shared" si="23"/>
        <v>0</v>
      </c>
      <c r="BJ38" s="420"/>
      <c r="BK38" s="420"/>
      <c r="BL38" s="420"/>
      <c r="BM38" s="420">
        <f t="shared" si="24"/>
        <v>0</v>
      </c>
      <c r="BN38" s="420">
        <f t="shared" si="25"/>
        <v>0</v>
      </c>
      <c r="BO38" s="419"/>
      <c r="BP38" s="428"/>
      <c r="BQ38" s="420"/>
      <c r="BR38" s="423">
        <f t="shared" si="26"/>
        <v>0</v>
      </c>
      <c r="BS38" s="423">
        <f t="shared" si="27"/>
        <v>0</v>
      </c>
      <c r="BT38" s="445">
        <v>-11400</v>
      </c>
      <c r="BU38" s="420"/>
      <c r="BV38" s="420">
        <v>-1026</v>
      </c>
      <c r="BW38" s="420">
        <v>-11400</v>
      </c>
      <c r="BX38" s="429">
        <f t="shared" si="28"/>
        <v>0</v>
      </c>
      <c r="BY38" s="419">
        <v>988000</v>
      </c>
      <c r="BZ38" s="419"/>
      <c r="CA38" s="419">
        <v>88920</v>
      </c>
      <c r="CB38" s="420">
        <f t="shared" si="29"/>
        <v>988000</v>
      </c>
      <c r="CC38" s="430">
        <f t="shared" si="30"/>
        <v>0</v>
      </c>
      <c r="CD38" s="419"/>
      <c r="CE38" s="419"/>
      <c r="CF38" s="419"/>
      <c r="CG38" s="420">
        <f t="shared" si="31"/>
        <v>0</v>
      </c>
      <c r="CH38" s="423">
        <f t="shared" si="32"/>
        <v>0</v>
      </c>
      <c r="CI38" s="431"/>
      <c r="CJ38" s="431"/>
      <c r="CK38" s="431"/>
      <c r="CL38" s="420">
        <f t="shared" si="33"/>
        <v>0</v>
      </c>
      <c r="CM38" s="423">
        <f t="shared" si="34"/>
        <v>0</v>
      </c>
      <c r="CN38" s="420"/>
      <c r="CO38" s="420"/>
      <c r="CP38" s="420"/>
      <c r="CQ38" s="432"/>
      <c r="CR38" s="432">
        <f t="shared" si="35"/>
        <v>0</v>
      </c>
      <c r="CS38" s="420"/>
      <c r="CT38" s="420"/>
      <c r="CU38" s="420"/>
      <c r="CV38" s="420"/>
      <c r="CW38" s="420">
        <f t="shared" si="36"/>
        <v>0</v>
      </c>
      <c r="CX38" s="419"/>
      <c r="CY38" s="419"/>
      <c r="CZ38" s="419"/>
      <c r="DA38" s="419">
        <f t="shared" si="37"/>
        <v>0</v>
      </c>
      <c r="DB38" s="419">
        <f t="shared" si="38"/>
        <v>0</v>
      </c>
      <c r="DC38" s="419"/>
      <c r="DD38" s="419"/>
      <c r="DE38" s="419"/>
      <c r="DF38" s="420">
        <f t="shared" si="39"/>
        <v>0</v>
      </c>
      <c r="DG38" s="421">
        <f t="shared" si="40"/>
        <v>0</v>
      </c>
      <c r="DH38" s="419"/>
      <c r="DI38" s="419"/>
      <c r="DJ38" s="419"/>
      <c r="DK38" s="420">
        <f t="shared" si="41"/>
        <v>0</v>
      </c>
      <c r="DL38" s="422">
        <f t="shared" si="42"/>
        <v>0</v>
      </c>
      <c r="DM38" s="420"/>
      <c r="DN38" s="420"/>
      <c r="DO38" s="420"/>
      <c r="DP38" s="420">
        <f t="shared" si="43"/>
        <v>0</v>
      </c>
      <c r="DQ38" s="420">
        <f t="shared" si="44"/>
        <v>0</v>
      </c>
      <c r="DR38" s="419"/>
      <c r="DS38" s="419"/>
      <c r="DT38" s="419"/>
      <c r="DU38" s="420">
        <f t="shared" si="45"/>
        <v>0</v>
      </c>
      <c r="DV38" s="423">
        <f t="shared" si="46"/>
        <v>0</v>
      </c>
      <c r="DW38" s="419"/>
      <c r="DX38" s="419"/>
      <c r="DY38" s="419"/>
      <c r="DZ38" s="420">
        <f t="shared" si="47"/>
        <v>0</v>
      </c>
      <c r="EA38" s="423">
        <f t="shared" si="48"/>
        <v>0</v>
      </c>
      <c r="EB38" s="420"/>
      <c r="EC38" s="419"/>
      <c r="ED38" s="420"/>
      <c r="EE38" s="419"/>
      <c r="EF38" s="420">
        <f t="shared" si="49"/>
        <v>0</v>
      </c>
      <c r="EG38" s="419"/>
      <c r="EH38" s="419"/>
      <c r="EI38" s="419"/>
      <c r="EJ38" s="420">
        <f t="shared" si="50"/>
        <v>0</v>
      </c>
      <c r="EK38" s="420">
        <f t="shared" si="51"/>
        <v>0</v>
      </c>
      <c r="EL38" s="419"/>
      <c r="EM38" s="419"/>
      <c r="EN38" s="419"/>
      <c r="EO38" s="419">
        <f t="shared" si="52"/>
        <v>0</v>
      </c>
      <c r="EP38" s="419">
        <f t="shared" si="53"/>
        <v>0</v>
      </c>
      <c r="EQ38" s="419"/>
      <c r="ER38" s="419"/>
      <c r="ES38" s="419"/>
      <c r="ET38" s="419">
        <f t="shared" si="54"/>
        <v>0</v>
      </c>
      <c r="EU38" s="419">
        <f t="shared" si="55"/>
        <v>0</v>
      </c>
      <c r="EV38" s="419"/>
      <c r="EW38" s="419">
        <v>50000000</v>
      </c>
      <c r="EX38" s="419"/>
      <c r="EY38" s="419">
        <f t="shared" si="56"/>
        <v>0</v>
      </c>
      <c r="EZ38" s="419">
        <f t="shared" si="76"/>
        <v>0</v>
      </c>
      <c r="FA38" s="420"/>
      <c r="FB38" s="420"/>
      <c r="FC38" s="420"/>
      <c r="FD38" s="420">
        <f t="shared" si="57"/>
        <v>0</v>
      </c>
      <c r="FE38" s="420">
        <f t="shared" si="58"/>
        <v>0</v>
      </c>
      <c r="FF38" s="419"/>
      <c r="FG38" s="419"/>
      <c r="FH38" s="419"/>
      <c r="FI38" s="419">
        <f t="shared" si="59"/>
        <v>0</v>
      </c>
      <c r="FJ38" s="419">
        <f t="shared" si="60"/>
        <v>0</v>
      </c>
      <c r="FK38" s="419"/>
      <c r="FL38" s="419">
        <v>6984779.96</v>
      </c>
      <c r="FM38" s="419"/>
      <c r="FN38" s="420">
        <f t="shared" si="61"/>
        <v>0</v>
      </c>
      <c r="FO38" s="423">
        <f t="shared" si="62"/>
        <v>0</v>
      </c>
      <c r="FP38" s="419"/>
      <c r="FQ38" s="419"/>
      <c r="FR38" s="419"/>
      <c r="FS38" s="420">
        <f t="shared" si="63"/>
        <v>0</v>
      </c>
      <c r="FT38" s="420">
        <f t="shared" si="64"/>
        <v>0</v>
      </c>
      <c r="FU38" s="419"/>
      <c r="FV38" s="419"/>
      <c r="FW38" s="419"/>
      <c r="FX38" s="420">
        <f t="shared" si="65"/>
        <v>0</v>
      </c>
      <c r="FY38" s="420">
        <f t="shared" si="66"/>
        <v>0</v>
      </c>
      <c r="FZ38" s="419"/>
      <c r="GA38" s="419"/>
      <c r="GB38" s="419"/>
      <c r="GC38" s="420">
        <f t="shared" si="67"/>
        <v>0</v>
      </c>
      <c r="GD38" s="420">
        <f t="shared" si="68"/>
        <v>0</v>
      </c>
      <c r="GE38" s="419"/>
      <c r="GF38" s="419"/>
      <c r="GG38" s="419"/>
      <c r="GH38" s="420">
        <f t="shared" si="69"/>
        <v>0</v>
      </c>
      <c r="GI38" s="423">
        <f t="shared" si="70"/>
        <v>0</v>
      </c>
      <c r="GJ38" s="419"/>
      <c r="GK38" s="419"/>
      <c r="GL38" s="419"/>
      <c r="GM38" s="420">
        <f t="shared" si="71"/>
        <v>0</v>
      </c>
      <c r="GN38" s="420">
        <f t="shared" si="72"/>
        <v>0</v>
      </c>
      <c r="GO38" s="419"/>
      <c r="GP38" s="419"/>
      <c r="GQ38" s="419"/>
      <c r="GR38" s="420">
        <f t="shared" si="77"/>
        <v>0</v>
      </c>
      <c r="GS38" s="423">
        <f t="shared" si="73"/>
        <v>0</v>
      </c>
      <c r="GT38" s="419"/>
      <c r="GU38" s="419"/>
      <c r="GV38" s="419"/>
      <c r="GW38" s="420">
        <f t="shared" si="74"/>
        <v>0</v>
      </c>
      <c r="GX38" s="420">
        <f t="shared" si="75"/>
        <v>0</v>
      </c>
    </row>
    <row r="39" spans="1:206" ht="15">
      <c r="A39" s="414"/>
      <c r="B39" s="415" t="s">
        <v>499</v>
      </c>
      <c r="C39" s="698"/>
      <c r="D39" s="707"/>
      <c r="E39" s="434" t="s">
        <v>125</v>
      </c>
      <c r="F39" s="417">
        <v>0.06</v>
      </c>
      <c r="G39" s="418">
        <f t="shared" si="4"/>
        <v>3754538.87</v>
      </c>
      <c r="H39" s="418">
        <f t="shared" si="5"/>
        <v>325968.49</v>
      </c>
      <c r="I39" s="418">
        <f t="shared" si="5"/>
        <v>225272.35464999999</v>
      </c>
      <c r="J39" s="418">
        <f t="shared" si="6"/>
        <v>3754539.2441666699</v>
      </c>
      <c r="K39" s="418">
        <f t="shared" si="78"/>
        <v>3428570.7541666701</v>
      </c>
      <c r="L39" s="418">
        <f t="shared" si="80"/>
        <v>0.37416666559875</v>
      </c>
      <c r="M39" s="424">
        <v>3432060.37</v>
      </c>
      <c r="N39" s="424">
        <v>0</v>
      </c>
      <c r="O39" s="424">
        <v>205923.62</v>
      </c>
      <c r="P39" s="424"/>
      <c r="Q39" s="419"/>
      <c r="R39" s="419"/>
      <c r="S39" s="419"/>
      <c r="T39" s="420">
        <v>0</v>
      </c>
      <c r="U39" s="423">
        <f t="shared" si="81"/>
        <v>0</v>
      </c>
      <c r="V39" s="420"/>
      <c r="W39" s="420"/>
      <c r="X39" s="419"/>
      <c r="Y39" s="420">
        <f t="shared" si="79"/>
        <v>0</v>
      </c>
      <c r="Z39" s="423">
        <f t="shared" si="10"/>
        <v>0</v>
      </c>
      <c r="AA39" s="423"/>
      <c r="AB39" s="419"/>
      <c r="AC39" s="419"/>
      <c r="AD39" s="420">
        <f t="shared" si="11"/>
        <v>0</v>
      </c>
      <c r="AE39" s="423">
        <f t="shared" si="12"/>
        <v>0</v>
      </c>
      <c r="AF39" s="419"/>
      <c r="AG39" s="419"/>
      <c r="AH39" s="419"/>
      <c r="AI39" s="420">
        <f t="shared" si="13"/>
        <v>0</v>
      </c>
      <c r="AJ39" s="423">
        <f t="shared" si="14"/>
        <v>0</v>
      </c>
      <c r="AK39" s="419"/>
      <c r="AL39" s="420"/>
      <c r="AM39" s="419"/>
      <c r="AN39" s="420">
        <f t="shared" si="15"/>
        <v>0</v>
      </c>
      <c r="AO39" s="423">
        <f t="shared" si="16"/>
        <v>0</v>
      </c>
      <c r="AP39" s="419"/>
      <c r="AQ39" s="419"/>
      <c r="AR39" s="420"/>
      <c r="AS39" s="420">
        <f t="shared" si="17"/>
        <v>0</v>
      </c>
      <c r="AT39" s="420">
        <f t="shared" si="18"/>
        <v>0</v>
      </c>
      <c r="AU39" s="420">
        <v>13722.82</v>
      </c>
      <c r="AV39" s="420"/>
      <c r="AW39" s="435">
        <v>823.36905000000002</v>
      </c>
      <c r="AX39" s="426">
        <f t="shared" si="19"/>
        <v>13722.817499999999</v>
      </c>
      <c r="AY39" s="420">
        <f t="shared" si="20"/>
        <v>-2.4999999986903298E-3</v>
      </c>
      <c r="AZ39" s="420">
        <v>14843.02</v>
      </c>
      <c r="BA39" s="420"/>
      <c r="BB39" s="419">
        <v>890.58</v>
      </c>
      <c r="BC39" s="420">
        <f t="shared" si="21"/>
        <v>14843</v>
      </c>
      <c r="BD39" s="427"/>
      <c r="BE39" s="420">
        <v>15144.45</v>
      </c>
      <c r="BF39" s="420"/>
      <c r="BG39" s="420">
        <v>908.67</v>
      </c>
      <c r="BH39" s="423">
        <f t="shared" si="22"/>
        <v>15144.5</v>
      </c>
      <c r="BI39" s="420">
        <f t="shared" si="23"/>
        <v>4.9999999999272397E-2</v>
      </c>
      <c r="BJ39" s="420">
        <v>19643.439999999999</v>
      </c>
      <c r="BK39" s="420"/>
      <c r="BL39" s="420">
        <v>1178.6099999999999</v>
      </c>
      <c r="BM39" s="420">
        <f t="shared" si="24"/>
        <v>19643.5</v>
      </c>
      <c r="BN39" s="420">
        <f t="shared" si="25"/>
        <v>6.00000000013097E-2</v>
      </c>
      <c r="BO39" s="419">
        <v>24445.79</v>
      </c>
      <c r="BP39" s="428"/>
      <c r="BQ39" s="420">
        <v>1466.7474</v>
      </c>
      <c r="BR39" s="423">
        <f t="shared" si="26"/>
        <v>24445.79</v>
      </c>
      <c r="BS39" s="423">
        <f t="shared" si="27"/>
        <v>0</v>
      </c>
      <c r="BT39" s="420">
        <v>15189.23</v>
      </c>
      <c r="BU39" s="420"/>
      <c r="BV39" s="420">
        <v>911.35</v>
      </c>
      <c r="BW39" s="420">
        <v>15189.23</v>
      </c>
      <c r="BX39" s="429">
        <f t="shared" si="28"/>
        <v>0</v>
      </c>
      <c r="BY39" s="419">
        <v>48914.52</v>
      </c>
      <c r="BZ39" s="419"/>
      <c r="CA39" s="419">
        <v>2934.87</v>
      </c>
      <c r="CB39" s="420">
        <f t="shared" si="29"/>
        <v>48914.5</v>
      </c>
      <c r="CC39" s="430">
        <f t="shared" si="30"/>
        <v>-1.9999999996798599E-2</v>
      </c>
      <c r="CD39" s="419">
        <v>8889.94</v>
      </c>
      <c r="CE39" s="419"/>
      <c r="CF39" s="419">
        <v>533.4</v>
      </c>
      <c r="CG39" s="420">
        <f t="shared" si="31"/>
        <v>8890</v>
      </c>
      <c r="CH39" s="423">
        <f t="shared" si="32"/>
        <v>5.9999999999490697E-2</v>
      </c>
      <c r="CI39" s="431">
        <v>5262.3</v>
      </c>
      <c r="CJ39" s="431"/>
      <c r="CK39" s="431">
        <v>315.74</v>
      </c>
      <c r="CL39" s="420">
        <f t="shared" si="33"/>
        <v>5262.3333333333303</v>
      </c>
      <c r="CM39" s="423">
        <f t="shared" si="34"/>
        <v>3.3333333333757799E-2</v>
      </c>
      <c r="CN39" s="420">
        <v>5946.21</v>
      </c>
      <c r="CO39" s="420"/>
      <c r="CP39" s="420">
        <v>356.77</v>
      </c>
      <c r="CQ39" s="432">
        <v>5946.21</v>
      </c>
      <c r="CR39" s="432">
        <f t="shared" si="35"/>
        <v>0</v>
      </c>
      <c r="CS39" s="420">
        <v>5966.55</v>
      </c>
      <c r="CT39" s="420"/>
      <c r="CU39" s="420">
        <v>357.99</v>
      </c>
      <c r="CV39" s="420">
        <v>5966.55</v>
      </c>
      <c r="CW39" s="420">
        <f t="shared" si="36"/>
        <v>0</v>
      </c>
      <c r="CX39" s="419">
        <v>1781.96</v>
      </c>
      <c r="CY39" s="419"/>
      <c r="CZ39" s="419">
        <v>106.92</v>
      </c>
      <c r="DA39" s="419">
        <f t="shared" si="37"/>
        <v>1782</v>
      </c>
      <c r="DB39" s="419">
        <f t="shared" si="38"/>
        <v>0.04</v>
      </c>
      <c r="DC39" s="419"/>
      <c r="DD39" s="419"/>
      <c r="DE39" s="419"/>
      <c r="DF39" s="420">
        <f t="shared" si="39"/>
        <v>0</v>
      </c>
      <c r="DG39" s="421">
        <f t="shared" si="40"/>
        <v>0</v>
      </c>
      <c r="DH39" s="419">
        <v>3490</v>
      </c>
      <c r="DI39" s="419"/>
      <c r="DJ39" s="419">
        <v>209.4</v>
      </c>
      <c r="DK39" s="420">
        <f t="shared" si="41"/>
        <v>3490</v>
      </c>
      <c r="DL39" s="422">
        <f t="shared" si="42"/>
        <v>0</v>
      </c>
      <c r="DM39" s="420">
        <v>4526.29</v>
      </c>
      <c r="DN39" s="420"/>
      <c r="DO39" s="420">
        <v>271.58</v>
      </c>
      <c r="DP39" s="420">
        <f t="shared" si="43"/>
        <v>4526.3333333333303</v>
      </c>
      <c r="DQ39" s="420">
        <f t="shared" si="44"/>
        <v>4.33333333330665E-2</v>
      </c>
      <c r="DR39" s="419">
        <v>4129.5</v>
      </c>
      <c r="DS39" s="419"/>
      <c r="DT39" s="419">
        <v>247.77</v>
      </c>
      <c r="DU39" s="420">
        <f t="shared" si="45"/>
        <v>4129.5</v>
      </c>
      <c r="DV39" s="423">
        <f t="shared" si="46"/>
        <v>0</v>
      </c>
      <c r="DW39" s="419">
        <v>4167.9799999999996</v>
      </c>
      <c r="DX39" s="419"/>
      <c r="DY39" s="419">
        <v>250.08</v>
      </c>
      <c r="DZ39" s="420">
        <f t="shared" si="47"/>
        <v>4168</v>
      </c>
      <c r="EA39" s="423">
        <f t="shared" si="48"/>
        <v>0.02</v>
      </c>
      <c r="EB39" s="420">
        <v>8764.4699999999993</v>
      </c>
      <c r="EC39" s="419"/>
      <c r="ED39" s="420">
        <v>525.8682</v>
      </c>
      <c r="EE39" s="419">
        <v>8764.4699999999993</v>
      </c>
      <c r="EF39" s="420">
        <f t="shared" si="49"/>
        <v>0</v>
      </c>
      <c r="EG39" s="419">
        <v>22411.79</v>
      </c>
      <c r="EH39" s="419">
        <v>208318.47</v>
      </c>
      <c r="EI39" s="419">
        <v>1344.71</v>
      </c>
      <c r="EJ39" s="420">
        <f t="shared" si="50"/>
        <v>22411.83</v>
      </c>
      <c r="EK39" s="420">
        <f t="shared" si="51"/>
        <v>0.04</v>
      </c>
      <c r="EL39" s="419">
        <v>2036.6</v>
      </c>
      <c r="EN39" s="419">
        <v>122.2</v>
      </c>
      <c r="EO39" s="419">
        <f t="shared" si="52"/>
        <v>2036.67</v>
      </c>
      <c r="EP39" s="419">
        <f t="shared" si="53"/>
        <v>7.0000000000000007E-2</v>
      </c>
      <c r="EQ39" s="419">
        <v>2528.88</v>
      </c>
      <c r="ER39" s="419"/>
      <c r="ES39" s="419">
        <v>151.72999999999999</v>
      </c>
      <c r="ET39" s="419">
        <f t="shared" si="54"/>
        <v>2528.83</v>
      </c>
      <c r="EU39" s="419">
        <f t="shared" si="55"/>
        <v>-0.05</v>
      </c>
      <c r="EV39" s="419">
        <v>2601.2800000000002</v>
      </c>
      <c r="EW39" s="419">
        <v>26977.27</v>
      </c>
      <c r="EX39" s="419">
        <v>156.08000000000001</v>
      </c>
      <c r="EY39" s="419">
        <f t="shared" si="56"/>
        <v>2601.33</v>
      </c>
      <c r="EZ39" s="419">
        <f t="shared" si="76"/>
        <v>0.05</v>
      </c>
      <c r="FA39" s="420"/>
      <c r="FB39" s="420"/>
      <c r="FC39" s="420"/>
      <c r="FD39" s="420">
        <f t="shared" si="57"/>
        <v>0</v>
      </c>
      <c r="FE39" s="420">
        <f t="shared" si="58"/>
        <v>0</v>
      </c>
      <c r="FF39" s="419">
        <v>19872.09</v>
      </c>
      <c r="FG39" s="419"/>
      <c r="FH39" s="419">
        <v>1192.33</v>
      </c>
      <c r="FI39" s="419">
        <f t="shared" si="59"/>
        <v>19872.166666666701</v>
      </c>
      <c r="FJ39" s="419">
        <f t="shared" si="60"/>
        <v>0.08</v>
      </c>
      <c r="FK39" s="419">
        <v>38111.29</v>
      </c>
      <c r="FL39" s="419"/>
      <c r="FM39" s="419">
        <v>2286.6799999999998</v>
      </c>
      <c r="FN39" s="420">
        <f t="shared" si="61"/>
        <v>38111.33</v>
      </c>
      <c r="FO39" s="423">
        <f t="shared" si="62"/>
        <v>0.04</v>
      </c>
      <c r="FP39" s="431">
        <v>30088.1</v>
      </c>
      <c r="FQ39" s="431">
        <v>0</v>
      </c>
      <c r="FR39" s="431">
        <v>1805.29</v>
      </c>
      <c r="FS39" s="420">
        <f t="shared" si="63"/>
        <v>30088.17</v>
      </c>
      <c r="FT39" s="420">
        <f t="shared" si="64"/>
        <v>6.9999999999709003E-2</v>
      </c>
      <c r="FU39" s="419"/>
      <c r="FV39" s="419"/>
      <c r="FW39" s="419"/>
      <c r="FX39" s="420">
        <f t="shared" si="65"/>
        <v>0</v>
      </c>
      <c r="FY39" s="420">
        <f t="shared" si="66"/>
        <v>0</v>
      </c>
      <c r="FZ39" s="419"/>
      <c r="GA39" s="419"/>
      <c r="GB39" s="419"/>
      <c r="GC39" s="420">
        <f t="shared" si="67"/>
        <v>0</v>
      </c>
      <c r="GD39" s="420">
        <f t="shared" si="68"/>
        <v>0</v>
      </c>
      <c r="GE39" s="419"/>
      <c r="GF39" s="419">
        <v>90672.75</v>
      </c>
      <c r="GG39" s="419"/>
      <c r="GH39" s="420">
        <f t="shared" si="69"/>
        <v>0</v>
      </c>
      <c r="GI39" s="423">
        <f t="shared" si="70"/>
        <v>0</v>
      </c>
      <c r="GJ39" s="419"/>
      <c r="GK39" s="419"/>
      <c r="GL39" s="419"/>
      <c r="GM39" s="420">
        <f t="shared" si="71"/>
        <v>0</v>
      </c>
      <c r="GN39" s="420">
        <f t="shared" si="72"/>
        <v>0</v>
      </c>
      <c r="GO39" s="419"/>
      <c r="GP39" s="419"/>
      <c r="GQ39" s="419"/>
      <c r="GR39" s="420">
        <f t="shared" si="77"/>
        <v>0</v>
      </c>
      <c r="GS39" s="423">
        <f t="shared" si="73"/>
        <v>0</v>
      </c>
      <c r="GT39" s="419"/>
      <c r="GU39" s="419"/>
      <c r="GV39" s="419"/>
      <c r="GW39" s="420">
        <f t="shared" si="74"/>
        <v>0</v>
      </c>
      <c r="GX39" s="420">
        <f t="shared" si="75"/>
        <v>0</v>
      </c>
    </row>
    <row r="40" spans="1:206" ht="15">
      <c r="A40" s="414"/>
      <c r="B40" s="415" t="s">
        <v>499</v>
      </c>
      <c r="C40" s="698"/>
      <c r="D40" s="704" t="s">
        <v>501</v>
      </c>
      <c r="E40" s="434" t="s">
        <v>123</v>
      </c>
      <c r="F40" s="417">
        <v>0.13</v>
      </c>
      <c r="G40" s="418">
        <f t="shared" si="4"/>
        <v>45003963.390000001</v>
      </c>
      <c r="H40" s="418">
        <f t="shared" si="5"/>
        <v>41156550.700000003</v>
      </c>
      <c r="I40" s="418">
        <f t="shared" si="5"/>
        <v>5850515.2432559999</v>
      </c>
      <c r="J40" s="418">
        <f t="shared" si="6"/>
        <v>45003963.409661502</v>
      </c>
      <c r="K40" s="418">
        <f t="shared" si="78"/>
        <v>3847412.7096615401</v>
      </c>
      <c r="L40" s="418">
        <f t="shared" si="80"/>
        <v>1.96615383028984E-2</v>
      </c>
      <c r="M40" s="424">
        <v>45317460.869999997</v>
      </c>
      <c r="N40" s="424">
        <v>0</v>
      </c>
      <c r="O40" s="424">
        <v>5891269.9132559998</v>
      </c>
      <c r="P40" s="424">
        <v>-313497.48</v>
      </c>
      <c r="Q40" s="419"/>
      <c r="R40" s="419"/>
      <c r="S40" s="419"/>
      <c r="T40" s="420">
        <v>0</v>
      </c>
      <c r="U40" s="423">
        <f t="shared" si="81"/>
        <v>0</v>
      </c>
      <c r="V40" s="420"/>
      <c r="W40" s="420"/>
      <c r="X40" s="419"/>
      <c r="Y40" s="420">
        <f t="shared" si="79"/>
        <v>0</v>
      </c>
      <c r="Z40" s="423">
        <f t="shared" si="10"/>
        <v>0</v>
      </c>
      <c r="AA40" s="423"/>
      <c r="AB40" s="419"/>
      <c r="AC40" s="419"/>
      <c r="AD40" s="420">
        <f t="shared" si="11"/>
        <v>0</v>
      </c>
      <c r="AE40" s="423">
        <f t="shared" si="12"/>
        <v>0</v>
      </c>
      <c r="AF40" s="419"/>
      <c r="AG40" s="419"/>
      <c r="AI40" s="420">
        <f t="shared" si="13"/>
        <v>0</v>
      </c>
      <c r="AJ40" s="423">
        <f t="shared" si="14"/>
        <v>0</v>
      </c>
      <c r="AK40" s="419"/>
      <c r="AL40" s="420"/>
      <c r="AM40" s="419"/>
      <c r="AN40" s="420">
        <f t="shared" si="15"/>
        <v>0</v>
      </c>
      <c r="AO40" s="423">
        <f t="shared" si="16"/>
        <v>0</v>
      </c>
      <c r="AP40" s="420"/>
      <c r="AQ40" s="419"/>
      <c r="AR40" s="420">
        <v>-40754.67</v>
      </c>
      <c r="AS40" s="420">
        <f t="shared" si="17"/>
        <v>-313497.46153846203</v>
      </c>
      <c r="AT40" s="420">
        <f t="shared" si="18"/>
        <v>-313497.46153846203</v>
      </c>
      <c r="AU40" s="420"/>
      <c r="AV40" s="420"/>
      <c r="AW40" s="420"/>
      <c r="AX40" s="426">
        <f t="shared" si="19"/>
        <v>0</v>
      </c>
      <c r="AY40" s="420">
        <f t="shared" si="20"/>
        <v>0</v>
      </c>
      <c r="AZ40" s="419"/>
      <c r="BA40" s="420"/>
      <c r="BB40" s="419"/>
      <c r="BC40" s="420">
        <f t="shared" si="21"/>
        <v>0</v>
      </c>
      <c r="BD40" s="427"/>
      <c r="BE40" s="420"/>
      <c r="BF40" s="420"/>
      <c r="BG40" s="420"/>
      <c r="BH40" s="423">
        <f t="shared" si="22"/>
        <v>0</v>
      </c>
      <c r="BI40" s="420">
        <f t="shared" si="23"/>
        <v>0</v>
      </c>
      <c r="BJ40" s="420"/>
      <c r="BK40" s="420"/>
      <c r="BL40" s="420"/>
      <c r="BM40" s="420">
        <f t="shared" si="24"/>
        <v>0</v>
      </c>
      <c r="BN40" s="420">
        <f t="shared" si="25"/>
        <v>0</v>
      </c>
      <c r="BO40" s="419"/>
      <c r="BP40" s="428"/>
      <c r="BQ40" s="420"/>
      <c r="BR40" s="423">
        <f t="shared" si="26"/>
        <v>0</v>
      </c>
      <c r="BS40" s="423">
        <f t="shared" si="27"/>
        <v>0</v>
      </c>
      <c r="BT40" s="420"/>
      <c r="BU40" s="420"/>
      <c r="BV40" s="420"/>
      <c r="BW40" s="420"/>
      <c r="BX40" s="429">
        <f t="shared" si="28"/>
        <v>0</v>
      </c>
      <c r="BY40" s="419"/>
      <c r="BZ40" s="419"/>
      <c r="CA40" s="419"/>
      <c r="CB40" s="420">
        <f t="shared" si="29"/>
        <v>0</v>
      </c>
      <c r="CC40" s="430">
        <f t="shared" si="30"/>
        <v>0</v>
      </c>
      <c r="CD40" s="419"/>
      <c r="CE40" s="419"/>
      <c r="CF40" s="419"/>
      <c r="CG40" s="420">
        <f t="shared" si="31"/>
        <v>0</v>
      </c>
      <c r="CH40" s="423">
        <f t="shared" si="32"/>
        <v>0</v>
      </c>
      <c r="CI40" s="431"/>
      <c r="CJ40" s="431"/>
      <c r="CK40" s="431"/>
      <c r="CL40" s="420">
        <f t="shared" si="33"/>
        <v>0</v>
      </c>
      <c r="CM40" s="423">
        <f t="shared" si="34"/>
        <v>0</v>
      </c>
      <c r="CN40" s="420"/>
      <c r="CO40" s="420"/>
      <c r="CP40" s="420"/>
      <c r="CQ40" s="432"/>
      <c r="CR40" s="432">
        <f t="shared" si="35"/>
        <v>0</v>
      </c>
      <c r="CS40" s="420"/>
      <c r="CT40" s="420"/>
      <c r="CU40" s="420"/>
      <c r="CV40" s="420"/>
      <c r="CW40" s="420">
        <f t="shared" si="36"/>
        <v>0</v>
      </c>
      <c r="CX40" s="419"/>
      <c r="CY40" s="419"/>
      <c r="CZ40" s="419"/>
      <c r="DA40" s="419">
        <f t="shared" si="37"/>
        <v>0</v>
      </c>
      <c r="DB40" s="419">
        <f t="shared" si="38"/>
        <v>0</v>
      </c>
      <c r="DC40" s="419"/>
      <c r="DD40" s="419"/>
      <c r="DE40" s="419"/>
      <c r="DF40" s="420">
        <f t="shared" si="39"/>
        <v>0</v>
      </c>
      <c r="DG40" s="421">
        <f t="shared" si="40"/>
        <v>0</v>
      </c>
      <c r="DH40" s="419"/>
      <c r="DI40" s="419"/>
      <c r="DJ40" s="419"/>
      <c r="DK40" s="420">
        <f t="shared" si="41"/>
        <v>0</v>
      </c>
      <c r="DL40" s="422">
        <f t="shared" si="42"/>
        <v>0</v>
      </c>
      <c r="DM40" s="420"/>
      <c r="DN40" s="420"/>
      <c r="DO40" s="420"/>
      <c r="DP40" s="420">
        <f t="shared" si="43"/>
        <v>0</v>
      </c>
      <c r="DQ40" s="420">
        <f t="shared" si="44"/>
        <v>0</v>
      </c>
      <c r="DR40" s="419"/>
      <c r="DS40" s="419"/>
      <c r="DT40" s="419"/>
      <c r="DU40" s="420">
        <f t="shared" si="45"/>
        <v>0</v>
      </c>
      <c r="DV40" s="423">
        <f t="shared" si="46"/>
        <v>0</v>
      </c>
      <c r="DW40" s="419"/>
      <c r="DX40" s="419"/>
      <c r="DY40" s="419"/>
      <c r="DZ40" s="420">
        <f t="shared" si="47"/>
        <v>0</v>
      </c>
      <c r="EA40" s="423">
        <f t="shared" si="48"/>
        <v>0</v>
      </c>
      <c r="EB40" s="419"/>
      <c r="EC40" s="419"/>
      <c r="ED40" s="420"/>
      <c r="EE40" s="419"/>
      <c r="EF40" s="420">
        <f t="shared" si="49"/>
        <v>0</v>
      </c>
      <c r="EG40" s="419"/>
      <c r="EH40" s="419"/>
      <c r="EI40" s="419"/>
      <c r="EJ40" s="420">
        <f t="shared" si="50"/>
        <v>0</v>
      </c>
      <c r="EK40" s="420">
        <f t="shared" si="51"/>
        <v>0</v>
      </c>
      <c r="EL40" s="419"/>
      <c r="EM40" s="419"/>
      <c r="EN40" s="419"/>
      <c r="EO40" s="419">
        <f t="shared" si="52"/>
        <v>0</v>
      </c>
      <c r="EP40" s="419">
        <f t="shared" si="53"/>
        <v>0</v>
      </c>
      <c r="EQ40" s="419"/>
      <c r="ER40" s="419"/>
      <c r="ES40" s="419"/>
      <c r="ET40" s="419">
        <f t="shared" si="54"/>
        <v>0</v>
      </c>
      <c r="EU40" s="419">
        <f t="shared" si="55"/>
        <v>0</v>
      </c>
      <c r="EV40" s="419"/>
      <c r="EW40" s="419"/>
      <c r="EX40" s="419"/>
      <c r="EY40" s="419">
        <f t="shared" si="56"/>
        <v>0</v>
      </c>
      <c r="EZ40" s="419">
        <f t="shared" si="76"/>
        <v>0</v>
      </c>
      <c r="FA40" s="420"/>
      <c r="FB40" s="420"/>
      <c r="FC40" s="420"/>
      <c r="FD40" s="420">
        <f t="shared" si="57"/>
        <v>0</v>
      </c>
      <c r="FE40" s="420">
        <f t="shared" si="58"/>
        <v>0</v>
      </c>
      <c r="FF40" s="419"/>
      <c r="FG40" s="419"/>
      <c r="FH40" s="419"/>
      <c r="FI40" s="419">
        <f t="shared" si="59"/>
        <v>0</v>
      </c>
      <c r="FJ40" s="419">
        <f t="shared" si="60"/>
        <v>0</v>
      </c>
      <c r="FK40" s="419"/>
      <c r="FL40" s="419">
        <v>41156550.700000003</v>
      </c>
      <c r="FM40" s="419"/>
      <c r="FN40" s="420">
        <f t="shared" si="61"/>
        <v>0</v>
      </c>
      <c r="FO40" s="423">
        <f t="shared" si="62"/>
        <v>0</v>
      </c>
      <c r="FP40" s="419"/>
      <c r="FQ40" s="419"/>
      <c r="FR40" s="419"/>
      <c r="FS40" s="420">
        <f t="shared" si="63"/>
        <v>0</v>
      </c>
      <c r="FT40" s="420">
        <f t="shared" si="64"/>
        <v>0</v>
      </c>
      <c r="FU40" s="419"/>
      <c r="FV40" s="419"/>
      <c r="FW40" s="419"/>
      <c r="FX40" s="420">
        <f t="shared" si="65"/>
        <v>0</v>
      </c>
      <c r="FY40" s="420">
        <f t="shared" si="66"/>
        <v>0</v>
      </c>
      <c r="FZ40" s="419"/>
      <c r="GA40" s="419"/>
      <c r="GB40" s="419"/>
      <c r="GC40" s="420">
        <f t="shared" si="67"/>
        <v>0</v>
      </c>
      <c r="GD40" s="420">
        <f t="shared" si="68"/>
        <v>0</v>
      </c>
      <c r="GE40" s="419"/>
      <c r="GF40" s="419"/>
      <c r="GG40" s="419"/>
      <c r="GH40" s="420">
        <f t="shared" si="69"/>
        <v>0</v>
      </c>
      <c r="GI40" s="423">
        <f t="shared" si="70"/>
        <v>0</v>
      </c>
      <c r="GJ40" s="419"/>
      <c r="GK40" s="419"/>
      <c r="GL40" s="419"/>
      <c r="GM40" s="420">
        <f t="shared" si="71"/>
        <v>0</v>
      </c>
      <c r="GN40" s="420">
        <f t="shared" si="72"/>
        <v>0</v>
      </c>
      <c r="GO40" s="419"/>
      <c r="GP40" s="419"/>
      <c r="GQ40" s="419"/>
      <c r="GR40" s="420">
        <f t="shared" si="77"/>
        <v>0</v>
      </c>
      <c r="GS40" s="423">
        <f t="shared" si="73"/>
        <v>0</v>
      </c>
      <c r="GT40" s="419"/>
      <c r="GU40" s="419"/>
      <c r="GV40" s="419"/>
      <c r="GW40" s="420">
        <f t="shared" si="74"/>
        <v>0</v>
      </c>
      <c r="GX40" s="420">
        <f t="shared" si="75"/>
        <v>0</v>
      </c>
    </row>
    <row r="41" spans="1:206" ht="15">
      <c r="A41" s="414"/>
      <c r="B41" s="415" t="s">
        <v>499</v>
      </c>
      <c r="C41" s="698"/>
      <c r="D41" s="706"/>
      <c r="E41" s="434" t="s">
        <v>124</v>
      </c>
      <c r="F41" s="417">
        <v>0.09</v>
      </c>
      <c r="G41" s="418">
        <f t="shared" si="4"/>
        <v>58034266.200000003</v>
      </c>
      <c r="H41" s="418">
        <f t="shared" si="5"/>
        <v>36806964.07</v>
      </c>
      <c r="I41" s="418">
        <f t="shared" si="5"/>
        <v>5223083.97</v>
      </c>
      <c r="J41" s="418">
        <f t="shared" si="6"/>
        <v>58034266.333333299</v>
      </c>
      <c r="K41" s="418">
        <f t="shared" si="78"/>
        <v>21227302.263333298</v>
      </c>
      <c r="L41" s="418">
        <f t="shared" si="80"/>
        <v>0.133333340287209</v>
      </c>
      <c r="M41" s="424">
        <v>54954660</v>
      </c>
      <c r="N41" s="424">
        <v>0</v>
      </c>
      <c r="O41" s="424">
        <v>4945919.4000000004</v>
      </c>
      <c r="P41" s="424"/>
      <c r="Q41" s="419"/>
      <c r="R41" s="419"/>
      <c r="S41" s="420"/>
      <c r="T41" s="420">
        <v>0</v>
      </c>
      <c r="U41" s="423">
        <f t="shared" si="81"/>
        <v>0</v>
      </c>
      <c r="V41" s="420"/>
      <c r="W41" s="420"/>
      <c r="X41" s="419"/>
      <c r="Y41" s="420">
        <f t="shared" si="79"/>
        <v>0</v>
      </c>
      <c r="Z41" s="423">
        <f t="shared" si="10"/>
        <v>0</v>
      </c>
      <c r="AA41" s="423"/>
      <c r="AB41" s="419"/>
      <c r="AC41" s="419"/>
      <c r="AD41" s="420">
        <f t="shared" si="11"/>
        <v>0</v>
      </c>
      <c r="AE41" s="423">
        <f t="shared" si="12"/>
        <v>0</v>
      </c>
      <c r="AF41" s="419"/>
      <c r="AG41" s="419"/>
      <c r="AH41" s="419"/>
      <c r="AI41" s="420">
        <f t="shared" si="13"/>
        <v>0</v>
      </c>
      <c r="AJ41" s="423">
        <f t="shared" si="14"/>
        <v>0</v>
      </c>
      <c r="AK41" s="419"/>
      <c r="AL41" s="420"/>
      <c r="AM41" s="419"/>
      <c r="AN41" s="420">
        <f t="shared" si="15"/>
        <v>0</v>
      </c>
      <c r="AO41" s="423">
        <f t="shared" si="16"/>
        <v>0</v>
      </c>
      <c r="AP41" s="419"/>
      <c r="AQ41" s="419"/>
      <c r="AR41" s="419"/>
      <c r="AS41" s="420">
        <f t="shared" si="17"/>
        <v>0</v>
      </c>
      <c r="AT41" s="420">
        <f t="shared" si="18"/>
        <v>0</v>
      </c>
      <c r="AU41" s="420"/>
      <c r="AV41" s="420"/>
      <c r="AW41" s="420"/>
      <c r="AX41" s="426">
        <f t="shared" si="19"/>
        <v>0</v>
      </c>
      <c r="AY41" s="420">
        <f t="shared" si="20"/>
        <v>0</v>
      </c>
      <c r="AZ41" s="419"/>
      <c r="BA41" s="420"/>
      <c r="BB41" s="419"/>
      <c r="BC41" s="420">
        <f t="shared" si="21"/>
        <v>0</v>
      </c>
      <c r="BD41" s="427"/>
      <c r="BE41" s="420"/>
      <c r="BF41" s="420"/>
      <c r="BG41" s="420"/>
      <c r="BH41" s="423">
        <f t="shared" si="22"/>
        <v>0</v>
      </c>
      <c r="BI41" s="420">
        <f t="shared" si="23"/>
        <v>0</v>
      </c>
      <c r="BJ41" s="420"/>
      <c r="BK41" s="420"/>
      <c r="BL41" s="420"/>
      <c r="BM41" s="420">
        <f t="shared" si="24"/>
        <v>0</v>
      </c>
      <c r="BN41" s="420">
        <f t="shared" si="25"/>
        <v>0</v>
      </c>
      <c r="BO41" s="419"/>
      <c r="BP41" s="428"/>
      <c r="BQ41" s="420"/>
      <c r="BR41" s="423">
        <f t="shared" si="26"/>
        <v>0</v>
      </c>
      <c r="BS41" s="423">
        <f t="shared" si="27"/>
        <v>0</v>
      </c>
      <c r="BT41" s="420"/>
      <c r="BU41" s="420"/>
      <c r="BV41" s="420"/>
      <c r="BW41" s="420"/>
      <c r="BX41" s="429">
        <f t="shared" si="28"/>
        <v>0</v>
      </c>
      <c r="BY41" s="419"/>
      <c r="BZ41" s="419"/>
      <c r="CA41" s="419"/>
      <c r="CB41" s="420">
        <f t="shared" si="29"/>
        <v>0</v>
      </c>
      <c r="CC41" s="430">
        <f t="shared" si="30"/>
        <v>0</v>
      </c>
      <c r="CD41" s="419"/>
      <c r="CE41" s="419"/>
      <c r="CF41" s="419"/>
      <c r="CG41" s="420">
        <f t="shared" si="31"/>
        <v>0</v>
      </c>
      <c r="CH41" s="423">
        <f t="shared" si="32"/>
        <v>0</v>
      </c>
      <c r="CI41" s="431"/>
      <c r="CJ41" s="431"/>
      <c r="CK41" s="431"/>
      <c r="CL41" s="420">
        <f t="shared" si="33"/>
        <v>0</v>
      </c>
      <c r="CM41" s="423">
        <f t="shared" si="34"/>
        <v>0</v>
      </c>
      <c r="CN41" s="420"/>
      <c r="CO41" s="420"/>
      <c r="CP41" s="420"/>
      <c r="CQ41" s="432"/>
      <c r="CR41" s="432">
        <f t="shared" si="35"/>
        <v>0</v>
      </c>
      <c r="CS41" s="420"/>
      <c r="CT41" s="420"/>
      <c r="CU41" s="420"/>
      <c r="CV41" s="420"/>
      <c r="CW41" s="420">
        <f t="shared" si="36"/>
        <v>0</v>
      </c>
      <c r="CX41" s="419"/>
      <c r="CY41" s="419"/>
      <c r="CZ41" s="419"/>
      <c r="DA41" s="419">
        <f t="shared" si="37"/>
        <v>0</v>
      </c>
      <c r="DB41" s="419">
        <f t="shared" si="38"/>
        <v>0</v>
      </c>
      <c r="DC41" s="419"/>
      <c r="DD41" s="419"/>
      <c r="DE41" s="419"/>
      <c r="DF41" s="420">
        <f t="shared" si="39"/>
        <v>0</v>
      </c>
      <c r="DG41" s="421">
        <f t="shared" si="40"/>
        <v>0</v>
      </c>
      <c r="DH41" s="419"/>
      <c r="DI41" s="419"/>
      <c r="DJ41" s="419"/>
      <c r="DK41" s="420">
        <f t="shared" si="41"/>
        <v>0</v>
      </c>
      <c r="DL41" s="422">
        <f t="shared" si="42"/>
        <v>0</v>
      </c>
      <c r="DM41" s="420"/>
      <c r="DN41" s="420"/>
      <c r="DO41" s="420"/>
      <c r="DP41" s="420">
        <f t="shared" si="43"/>
        <v>0</v>
      </c>
      <c r="DQ41" s="420">
        <f t="shared" si="44"/>
        <v>0</v>
      </c>
      <c r="DR41" s="419"/>
      <c r="DS41" s="419"/>
      <c r="DT41" s="419"/>
      <c r="DU41" s="420">
        <f t="shared" si="45"/>
        <v>0</v>
      </c>
      <c r="DV41" s="423">
        <f t="shared" si="46"/>
        <v>0</v>
      </c>
      <c r="DW41" s="419"/>
      <c r="DX41" s="419"/>
      <c r="DY41" s="419"/>
      <c r="DZ41" s="420">
        <f t="shared" si="47"/>
        <v>0</v>
      </c>
      <c r="EA41" s="423">
        <f t="shared" si="48"/>
        <v>0</v>
      </c>
      <c r="EB41" s="420"/>
      <c r="EC41" s="419"/>
      <c r="ED41" s="420"/>
      <c r="EE41" s="419"/>
      <c r="EF41" s="420">
        <f t="shared" si="49"/>
        <v>0</v>
      </c>
      <c r="EG41" s="419"/>
      <c r="EH41" s="419"/>
      <c r="EI41" s="419"/>
      <c r="EJ41" s="420">
        <f t="shared" si="50"/>
        <v>0</v>
      </c>
      <c r="EK41" s="420">
        <f t="shared" si="51"/>
        <v>0</v>
      </c>
      <c r="EL41" s="419"/>
      <c r="EM41" s="419"/>
      <c r="EN41" s="419"/>
      <c r="EO41" s="419">
        <f t="shared" si="52"/>
        <v>0</v>
      </c>
      <c r="EP41" s="419">
        <f t="shared" si="53"/>
        <v>0</v>
      </c>
      <c r="EQ41" s="419"/>
      <c r="ER41" s="419"/>
      <c r="ES41" s="419"/>
      <c r="ET41" s="419">
        <f t="shared" si="54"/>
        <v>0</v>
      </c>
      <c r="EU41" s="419">
        <f t="shared" si="55"/>
        <v>0</v>
      </c>
      <c r="EV41" s="419"/>
      <c r="EW41" s="419"/>
      <c r="EX41" s="419"/>
      <c r="EY41" s="419">
        <f t="shared" si="56"/>
        <v>0</v>
      </c>
      <c r="EZ41" s="419">
        <f t="shared" si="76"/>
        <v>0</v>
      </c>
      <c r="FA41" s="420"/>
      <c r="FB41" s="420"/>
      <c r="FC41" s="420"/>
      <c r="FD41" s="420">
        <f t="shared" si="57"/>
        <v>0</v>
      </c>
      <c r="FE41" s="420">
        <f t="shared" si="58"/>
        <v>0</v>
      </c>
      <c r="FF41" s="446">
        <v>3079606.2</v>
      </c>
      <c r="FG41" s="419"/>
      <c r="FH41" s="447">
        <v>277164.57</v>
      </c>
      <c r="FI41" s="419">
        <f t="shared" si="59"/>
        <v>3079606.3333333302</v>
      </c>
      <c r="FJ41" s="419">
        <f t="shared" si="60"/>
        <v>0.13</v>
      </c>
      <c r="FK41" s="419"/>
      <c r="FL41" s="419">
        <v>36806964.07</v>
      </c>
      <c r="FM41" s="419"/>
      <c r="FN41" s="420">
        <f t="shared" si="61"/>
        <v>0</v>
      </c>
      <c r="FO41" s="423">
        <f t="shared" si="62"/>
        <v>0</v>
      </c>
      <c r="FP41" s="419"/>
      <c r="FQ41" s="419"/>
      <c r="FR41" s="419"/>
      <c r="FS41" s="420">
        <f t="shared" si="63"/>
        <v>0</v>
      </c>
      <c r="FT41" s="420">
        <f t="shared" si="64"/>
        <v>0</v>
      </c>
      <c r="FU41" s="419"/>
      <c r="FV41" s="419"/>
      <c r="FW41" s="419"/>
      <c r="FX41" s="420">
        <f t="shared" si="65"/>
        <v>0</v>
      </c>
      <c r="FY41" s="420">
        <f t="shared" si="66"/>
        <v>0</v>
      </c>
      <c r="FZ41" s="419"/>
      <c r="GA41" s="419"/>
      <c r="GB41" s="419"/>
      <c r="GC41" s="420">
        <f t="shared" si="67"/>
        <v>0</v>
      </c>
      <c r="GD41" s="420">
        <f t="shared" si="68"/>
        <v>0</v>
      </c>
      <c r="GE41" s="419"/>
      <c r="GF41" s="419"/>
      <c r="GG41" s="419"/>
      <c r="GH41" s="420">
        <f t="shared" si="69"/>
        <v>0</v>
      </c>
      <c r="GI41" s="423">
        <f t="shared" si="70"/>
        <v>0</v>
      </c>
      <c r="GJ41" s="419"/>
      <c r="GK41" s="419"/>
      <c r="GL41" s="419"/>
      <c r="GM41" s="420">
        <f t="shared" si="71"/>
        <v>0</v>
      </c>
      <c r="GN41" s="420">
        <f t="shared" si="72"/>
        <v>0</v>
      </c>
      <c r="GO41" s="419"/>
      <c r="GP41" s="419"/>
      <c r="GQ41" s="419"/>
      <c r="GR41" s="420">
        <f t="shared" si="77"/>
        <v>0</v>
      </c>
      <c r="GS41" s="423">
        <f t="shared" si="73"/>
        <v>0</v>
      </c>
      <c r="GT41" s="419"/>
      <c r="GU41" s="419"/>
      <c r="GV41" s="419"/>
      <c r="GW41" s="420">
        <f t="shared" si="74"/>
        <v>0</v>
      </c>
      <c r="GX41" s="420">
        <f t="shared" si="75"/>
        <v>0</v>
      </c>
    </row>
    <row r="42" spans="1:206" ht="15">
      <c r="A42" s="414"/>
      <c r="B42" s="415" t="s">
        <v>499</v>
      </c>
      <c r="C42" s="698"/>
      <c r="D42" s="707"/>
      <c r="E42" s="434" t="s">
        <v>125</v>
      </c>
      <c r="F42" s="417">
        <v>0.06</v>
      </c>
      <c r="G42" s="418">
        <f t="shared" si="4"/>
        <v>5181033.37</v>
      </c>
      <c r="H42" s="418">
        <f t="shared" si="5"/>
        <v>8613093.7699999996</v>
      </c>
      <c r="I42" s="418">
        <f t="shared" si="5"/>
        <v>310861.99614</v>
      </c>
      <c r="J42" s="418">
        <f t="shared" si="6"/>
        <v>5181033.2690000003</v>
      </c>
      <c r="K42" s="418">
        <f t="shared" si="78"/>
        <v>-3432060.5010000002</v>
      </c>
      <c r="L42" s="418">
        <f t="shared" si="80"/>
        <v>-0.10099999979138399</v>
      </c>
      <c r="M42" s="424">
        <v>3432855.27</v>
      </c>
      <c r="N42" s="424">
        <v>0</v>
      </c>
      <c r="O42" s="424">
        <v>205971.31614000001</v>
      </c>
      <c r="P42" s="424"/>
      <c r="Q42" s="419"/>
      <c r="R42" s="448"/>
      <c r="S42" s="448"/>
      <c r="T42" s="420">
        <v>0</v>
      </c>
      <c r="U42" s="423">
        <f t="shared" si="81"/>
        <v>0</v>
      </c>
      <c r="V42" s="420"/>
      <c r="W42" s="420"/>
      <c r="X42" s="419"/>
      <c r="Y42" s="420">
        <f t="shared" si="79"/>
        <v>0</v>
      </c>
      <c r="Z42" s="423">
        <f t="shared" si="10"/>
        <v>0</v>
      </c>
      <c r="AA42" s="423"/>
      <c r="AB42" s="419"/>
      <c r="AC42" s="419"/>
      <c r="AD42" s="420">
        <f t="shared" si="11"/>
        <v>0</v>
      </c>
      <c r="AE42" s="423">
        <f t="shared" si="12"/>
        <v>0</v>
      </c>
      <c r="AF42" s="419"/>
      <c r="AG42" s="419"/>
      <c r="AH42" s="419"/>
      <c r="AI42" s="420">
        <f t="shared" si="13"/>
        <v>0</v>
      </c>
      <c r="AJ42" s="423">
        <f t="shared" si="14"/>
        <v>0</v>
      </c>
      <c r="AK42" s="419"/>
      <c r="AL42" s="420"/>
      <c r="AM42" s="419"/>
      <c r="AN42" s="420">
        <f t="shared" si="15"/>
        <v>0</v>
      </c>
      <c r="AO42" s="423">
        <f t="shared" si="16"/>
        <v>0</v>
      </c>
      <c r="AP42" s="419"/>
      <c r="AQ42" s="419"/>
      <c r="AR42" s="420"/>
      <c r="AS42" s="420">
        <f t="shared" si="17"/>
        <v>0</v>
      </c>
      <c r="AT42" s="420">
        <f t="shared" si="18"/>
        <v>0</v>
      </c>
      <c r="AU42" s="420"/>
      <c r="AV42" s="420"/>
      <c r="AW42" s="420"/>
      <c r="AX42" s="426">
        <f t="shared" si="19"/>
        <v>0</v>
      </c>
      <c r="AY42" s="420">
        <f t="shared" si="20"/>
        <v>0</v>
      </c>
      <c r="AZ42" s="420"/>
      <c r="BA42" s="420"/>
      <c r="BB42" s="419"/>
      <c r="BC42" s="420">
        <f t="shared" si="21"/>
        <v>0</v>
      </c>
      <c r="BD42" s="427"/>
      <c r="BE42" s="420"/>
      <c r="BF42" s="420"/>
      <c r="BG42" s="420"/>
      <c r="BH42" s="423">
        <f t="shared" si="22"/>
        <v>0</v>
      </c>
      <c r="BI42" s="420">
        <f t="shared" si="23"/>
        <v>0</v>
      </c>
      <c r="BJ42" s="420"/>
      <c r="BK42" s="420"/>
      <c r="BL42" s="420"/>
      <c r="BM42" s="420">
        <f t="shared" si="24"/>
        <v>0</v>
      </c>
      <c r="BN42" s="420">
        <f t="shared" si="25"/>
        <v>0</v>
      </c>
      <c r="BO42" s="419"/>
      <c r="BP42" s="428"/>
      <c r="BQ42" s="420">
        <v>0</v>
      </c>
      <c r="BR42" s="423">
        <f t="shared" si="26"/>
        <v>0</v>
      </c>
      <c r="BS42" s="423">
        <f t="shared" si="27"/>
        <v>0</v>
      </c>
      <c r="BT42" s="420"/>
      <c r="BU42" s="420"/>
      <c r="BV42" s="420"/>
      <c r="BW42" s="420"/>
      <c r="BX42" s="429">
        <f t="shared" si="28"/>
        <v>0</v>
      </c>
      <c r="BY42" s="419"/>
      <c r="BZ42" s="419"/>
      <c r="CA42" s="419"/>
      <c r="CB42" s="420">
        <f t="shared" si="29"/>
        <v>0</v>
      </c>
      <c r="CC42" s="430">
        <f t="shared" si="30"/>
        <v>0</v>
      </c>
      <c r="CD42" s="419"/>
      <c r="CE42" s="419"/>
      <c r="CF42" s="419"/>
      <c r="CG42" s="420">
        <f t="shared" si="31"/>
        <v>0</v>
      </c>
      <c r="CH42" s="423">
        <f t="shared" si="32"/>
        <v>0</v>
      </c>
      <c r="CI42" s="431"/>
      <c r="CJ42" s="431"/>
      <c r="CK42" s="431"/>
      <c r="CL42" s="420">
        <f t="shared" si="33"/>
        <v>0</v>
      </c>
      <c r="CM42" s="423">
        <f t="shared" si="34"/>
        <v>0</v>
      </c>
      <c r="CN42" s="420"/>
      <c r="CO42" s="420"/>
      <c r="CP42" s="420"/>
      <c r="CQ42" s="432"/>
      <c r="CR42" s="432">
        <f t="shared" si="35"/>
        <v>0</v>
      </c>
      <c r="CS42" s="420"/>
      <c r="CT42" s="420"/>
      <c r="CU42" s="420"/>
      <c r="CV42" s="420"/>
      <c r="CW42" s="420">
        <f t="shared" si="36"/>
        <v>0</v>
      </c>
      <c r="CX42" s="419"/>
      <c r="CY42" s="419"/>
      <c r="CZ42" s="419"/>
      <c r="DA42" s="419">
        <f t="shared" si="37"/>
        <v>0</v>
      </c>
      <c r="DB42" s="419">
        <f t="shared" si="38"/>
        <v>0</v>
      </c>
      <c r="DC42" s="419"/>
      <c r="DD42" s="419"/>
      <c r="DE42" s="419"/>
      <c r="DF42" s="420">
        <f t="shared" si="39"/>
        <v>0</v>
      </c>
      <c r="DG42" s="421">
        <f t="shared" si="40"/>
        <v>0</v>
      </c>
      <c r="DH42" s="419"/>
      <c r="DI42" s="419"/>
      <c r="DJ42" s="419"/>
      <c r="DK42" s="420">
        <f t="shared" si="41"/>
        <v>0</v>
      </c>
      <c r="DL42" s="422">
        <f t="shared" si="42"/>
        <v>0</v>
      </c>
      <c r="DM42" s="420"/>
      <c r="DN42" s="420"/>
      <c r="DO42" s="420"/>
      <c r="DP42" s="420">
        <f t="shared" si="43"/>
        <v>0</v>
      </c>
      <c r="DQ42" s="420">
        <f t="shared" si="44"/>
        <v>0</v>
      </c>
      <c r="DR42" s="419"/>
      <c r="DS42" s="419"/>
      <c r="DT42" s="419"/>
      <c r="DU42" s="420">
        <f t="shared" si="45"/>
        <v>0</v>
      </c>
      <c r="DV42" s="423">
        <f t="shared" si="46"/>
        <v>0</v>
      </c>
      <c r="DW42" s="419"/>
      <c r="DX42" s="419"/>
      <c r="DY42" s="419"/>
      <c r="DZ42" s="420">
        <f t="shared" si="47"/>
        <v>0</v>
      </c>
      <c r="EA42" s="423">
        <f t="shared" si="48"/>
        <v>0</v>
      </c>
      <c r="EB42" s="419"/>
      <c r="EC42" s="419"/>
      <c r="ED42" s="420"/>
      <c r="EE42" s="419"/>
      <c r="EF42" s="420">
        <f t="shared" si="49"/>
        <v>0</v>
      </c>
      <c r="EG42" s="419"/>
      <c r="EH42" s="419"/>
      <c r="EI42" s="419"/>
      <c r="EJ42" s="420">
        <f t="shared" si="50"/>
        <v>0</v>
      </c>
      <c r="EK42" s="420">
        <f t="shared" si="51"/>
        <v>0</v>
      </c>
      <c r="EL42" s="419"/>
      <c r="EM42" s="419"/>
      <c r="EN42" s="419"/>
      <c r="EO42" s="419">
        <f t="shared" si="52"/>
        <v>0</v>
      </c>
      <c r="EP42" s="419">
        <f t="shared" si="53"/>
        <v>0</v>
      </c>
      <c r="EQ42" s="419"/>
      <c r="ER42" s="419"/>
      <c r="ES42" s="419"/>
      <c r="ET42" s="419">
        <f t="shared" si="54"/>
        <v>0</v>
      </c>
      <c r="EU42" s="419">
        <f t="shared" si="55"/>
        <v>0</v>
      </c>
      <c r="EV42" s="419"/>
      <c r="EW42" s="419">
        <v>6864915.6399999997</v>
      </c>
      <c r="EX42" s="419"/>
      <c r="EY42" s="419">
        <f t="shared" si="56"/>
        <v>0</v>
      </c>
      <c r="EZ42" s="419">
        <f t="shared" si="76"/>
        <v>0</v>
      </c>
      <c r="FA42" s="420"/>
      <c r="FB42" s="420"/>
      <c r="FC42" s="420"/>
      <c r="FD42" s="420">
        <f t="shared" si="57"/>
        <v>0</v>
      </c>
      <c r="FE42" s="420">
        <f t="shared" si="58"/>
        <v>0</v>
      </c>
      <c r="FF42" s="419">
        <v>1748178.1</v>
      </c>
      <c r="FG42" s="419"/>
      <c r="FH42" s="419">
        <v>104890.68</v>
      </c>
      <c r="FI42" s="419">
        <f t="shared" si="59"/>
        <v>1748178</v>
      </c>
      <c r="FJ42" s="419">
        <f t="shared" si="60"/>
        <v>-0.1</v>
      </c>
      <c r="FK42" s="419"/>
      <c r="FL42" s="419">
        <v>1748178.13</v>
      </c>
      <c r="FM42" s="419"/>
      <c r="FN42" s="420">
        <f t="shared" si="61"/>
        <v>0</v>
      </c>
      <c r="FO42" s="423">
        <f t="shared" si="62"/>
        <v>0</v>
      </c>
      <c r="FP42" s="419"/>
      <c r="FQ42" s="419"/>
      <c r="FR42" s="419"/>
      <c r="FS42" s="420">
        <f t="shared" si="63"/>
        <v>0</v>
      </c>
      <c r="FT42" s="420">
        <f t="shared" si="64"/>
        <v>0</v>
      </c>
      <c r="FU42" s="419"/>
      <c r="FV42" s="419"/>
      <c r="FW42" s="419"/>
      <c r="FX42" s="420">
        <f t="shared" si="65"/>
        <v>0</v>
      </c>
      <c r="FY42" s="420">
        <f t="shared" si="66"/>
        <v>0</v>
      </c>
      <c r="FZ42" s="419"/>
      <c r="GA42" s="419"/>
      <c r="GB42" s="419"/>
      <c r="GC42" s="420">
        <f t="shared" si="67"/>
        <v>0</v>
      </c>
      <c r="GD42" s="420">
        <f t="shared" si="68"/>
        <v>0</v>
      </c>
      <c r="GE42" s="419"/>
      <c r="GF42" s="419"/>
      <c r="GG42" s="419"/>
      <c r="GH42" s="420">
        <f t="shared" si="69"/>
        <v>0</v>
      </c>
      <c r="GI42" s="423">
        <f t="shared" si="70"/>
        <v>0</v>
      </c>
      <c r="GJ42" s="419"/>
      <c r="GK42" s="419"/>
      <c r="GL42" s="419"/>
      <c r="GM42" s="420">
        <f t="shared" si="71"/>
        <v>0</v>
      </c>
      <c r="GN42" s="420">
        <f t="shared" si="72"/>
        <v>0</v>
      </c>
      <c r="GO42" s="419"/>
      <c r="GP42" s="419"/>
      <c r="GQ42" s="419"/>
      <c r="GR42" s="420">
        <f t="shared" si="77"/>
        <v>0</v>
      </c>
      <c r="GS42" s="423">
        <f t="shared" si="73"/>
        <v>0</v>
      </c>
      <c r="GT42" s="419"/>
      <c r="GU42" s="419"/>
      <c r="GV42" s="419"/>
      <c r="GW42" s="420">
        <f t="shared" si="74"/>
        <v>0</v>
      </c>
      <c r="GX42" s="420">
        <f t="shared" si="75"/>
        <v>0</v>
      </c>
    </row>
    <row r="43" spans="1:206" ht="15">
      <c r="A43" s="414"/>
      <c r="B43" s="415" t="s">
        <v>502</v>
      </c>
      <c r="C43" s="698"/>
      <c r="D43" s="704" t="s">
        <v>503</v>
      </c>
      <c r="E43" s="714" t="s">
        <v>123</v>
      </c>
      <c r="F43" s="417">
        <v>0.16</v>
      </c>
      <c r="G43" s="418">
        <f t="shared" si="4"/>
        <v>286222.46999999997</v>
      </c>
      <c r="H43" s="418">
        <f t="shared" si="5"/>
        <v>5762453.6014285702</v>
      </c>
      <c r="I43" s="418">
        <f t="shared" si="5"/>
        <v>921992.57622857101</v>
      </c>
      <c r="J43" s="418">
        <f t="shared" si="6"/>
        <v>5762453.6014285702</v>
      </c>
      <c r="K43" s="438"/>
      <c r="L43" s="438"/>
      <c r="M43" s="424">
        <v>286222.46999999997</v>
      </c>
      <c r="N43" s="424">
        <v>5762453.6014285702</v>
      </c>
      <c r="O43" s="424">
        <v>921992.57622857101</v>
      </c>
      <c r="P43" s="424"/>
      <c r="Q43" s="419"/>
      <c r="R43" s="419"/>
      <c r="S43" s="419"/>
      <c r="T43" s="420">
        <v>0</v>
      </c>
      <c r="U43" s="423">
        <f t="shared" si="81"/>
        <v>0</v>
      </c>
      <c r="V43" s="420"/>
      <c r="W43" s="420"/>
      <c r="X43" s="419"/>
      <c r="Y43" s="420">
        <f t="shared" si="79"/>
        <v>0</v>
      </c>
      <c r="Z43" s="423">
        <f t="shared" si="10"/>
        <v>0</v>
      </c>
      <c r="AA43" s="423"/>
      <c r="AB43" s="419"/>
      <c r="AC43" s="419"/>
      <c r="AD43" s="420">
        <f t="shared" si="11"/>
        <v>0</v>
      </c>
      <c r="AE43" s="423">
        <f t="shared" si="12"/>
        <v>0</v>
      </c>
      <c r="AF43" s="419"/>
      <c r="AG43" s="419"/>
      <c r="AH43" s="419"/>
      <c r="AI43" s="420">
        <f t="shared" si="13"/>
        <v>0</v>
      </c>
      <c r="AJ43" s="423">
        <f t="shared" si="14"/>
        <v>0</v>
      </c>
      <c r="AK43" s="419"/>
      <c r="AL43" s="420"/>
      <c r="AM43" s="419"/>
      <c r="AN43" s="420">
        <f t="shared" si="15"/>
        <v>0</v>
      </c>
      <c r="AO43" s="423">
        <f t="shared" si="16"/>
        <v>0</v>
      </c>
      <c r="AP43" s="419"/>
      <c r="AQ43" s="419"/>
      <c r="AR43" s="419"/>
      <c r="AS43" s="420">
        <f t="shared" si="17"/>
        <v>0</v>
      </c>
      <c r="AT43" s="420">
        <f t="shared" si="18"/>
        <v>0</v>
      </c>
      <c r="AU43" s="420"/>
      <c r="AV43" s="420"/>
      <c r="AW43" s="420"/>
      <c r="AX43" s="426">
        <f t="shared" si="19"/>
        <v>0</v>
      </c>
      <c r="AY43" s="420">
        <f t="shared" si="20"/>
        <v>0</v>
      </c>
      <c r="AZ43" s="419"/>
      <c r="BA43" s="420"/>
      <c r="BB43" s="419"/>
      <c r="BC43" s="420">
        <f t="shared" si="21"/>
        <v>0</v>
      </c>
      <c r="BD43" s="427">
        <f t="shared" ref="BD43:BD91" si="82">BC43-AZ43</f>
        <v>0</v>
      </c>
      <c r="BE43" s="420"/>
      <c r="BF43" s="420"/>
      <c r="BG43" s="420"/>
      <c r="BH43" s="423">
        <f t="shared" si="22"/>
        <v>0</v>
      </c>
      <c r="BI43" s="420">
        <f t="shared" si="23"/>
        <v>0</v>
      </c>
      <c r="BJ43" s="420"/>
      <c r="BK43" s="420"/>
      <c r="BL43" s="420"/>
      <c r="BM43" s="420">
        <f t="shared" si="24"/>
        <v>0</v>
      </c>
      <c r="BN43" s="420">
        <f t="shared" si="25"/>
        <v>0</v>
      </c>
      <c r="BO43" s="419"/>
      <c r="BP43" s="428"/>
      <c r="BQ43" s="420"/>
      <c r="BR43" s="423">
        <f t="shared" si="26"/>
        <v>0</v>
      </c>
      <c r="BS43" s="423">
        <f t="shared" si="27"/>
        <v>0</v>
      </c>
      <c r="BT43" s="420"/>
      <c r="BU43" s="420"/>
      <c r="BV43" s="420"/>
      <c r="BW43" s="420"/>
      <c r="BX43" s="429">
        <f t="shared" si="28"/>
        <v>0</v>
      </c>
      <c r="BY43" s="419"/>
      <c r="BZ43" s="419"/>
      <c r="CA43" s="419"/>
      <c r="CB43" s="420">
        <f t="shared" si="29"/>
        <v>0</v>
      </c>
      <c r="CC43" s="430">
        <f t="shared" si="30"/>
        <v>0</v>
      </c>
      <c r="CD43" s="419"/>
      <c r="CE43" s="419"/>
      <c r="CF43" s="419"/>
      <c r="CG43" s="420">
        <f t="shared" si="31"/>
        <v>0</v>
      </c>
      <c r="CH43" s="423">
        <f t="shared" si="32"/>
        <v>0</v>
      </c>
      <c r="CI43" s="431"/>
      <c r="CJ43" s="431"/>
      <c r="CK43" s="431"/>
      <c r="CL43" s="420">
        <f t="shared" si="33"/>
        <v>0</v>
      </c>
      <c r="CM43" s="423">
        <f t="shared" si="34"/>
        <v>0</v>
      </c>
      <c r="CN43" s="420"/>
      <c r="CO43" s="420"/>
      <c r="CP43" s="420"/>
      <c r="CQ43" s="432"/>
      <c r="CR43" s="432">
        <f t="shared" si="35"/>
        <v>0</v>
      </c>
      <c r="CS43" s="420"/>
      <c r="CT43" s="420"/>
      <c r="CU43" s="420"/>
      <c r="CV43" s="420"/>
      <c r="CW43" s="420">
        <f t="shared" si="36"/>
        <v>0</v>
      </c>
      <c r="CX43" s="419"/>
      <c r="CY43" s="419"/>
      <c r="CZ43" s="419"/>
      <c r="DA43" s="419">
        <f t="shared" si="37"/>
        <v>0</v>
      </c>
      <c r="DB43" s="419">
        <f t="shared" si="38"/>
        <v>0</v>
      </c>
      <c r="DC43" s="419"/>
      <c r="DD43" s="419"/>
      <c r="DE43" s="419"/>
      <c r="DF43" s="420">
        <f t="shared" si="39"/>
        <v>0</v>
      </c>
      <c r="DG43" s="421">
        <f t="shared" si="40"/>
        <v>0</v>
      </c>
      <c r="DH43" s="419"/>
      <c r="DI43" s="419"/>
      <c r="DJ43" s="419"/>
      <c r="DK43" s="420">
        <f t="shared" si="41"/>
        <v>0</v>
      </c>
      <c r="DL43" s="422">
        <f t="shared" si="42"/>
        <v>0</v>
      </c>
      <c r="DM43" s="420"/>
      <c r="DN43" s="420"/>
      <c r="DO43" s="420"/>
      <c r="DP43" s="420">
        <f t="shared" si="43"/>
        <v>0</v>
      </c>
      <c r="DQ43" s="420">
        <f t="shared" si="44"/>
        <v>0</v>
      </c>
      <c r="DR43" s="419"/>
      <c r="DS43" s="419"/>
      <c r="DT43" s="419"/>
      <c r="DU43" s="420">
        <f t="shared" si="45"/>
        <v>0</v>
      </c>
      <c r="DV43" s="423">
        <f t="shared" si="46"/>
        <v>0</v>
      </c>
      <c r="DW43" s="419"/>
      <c r="DX43" s="419"/>
      <c r="DY43" s="419"/>
      <c r="DZ43" s="420">
        <f t="shared" si="47"/>
        <v>0</v>
      </c>
      <c r="EA43" s="423">
        <f t="shared" si="48"/>
        <v>0</v>
      </c>
      <c r="EB43" s="419"/>
      <c r="EC43" s="419"/>
      <c r="ED43" s="420"/>
      <c r="EE43" s="419"/>
      <c r="EF43" s="420">
        <f t="shared" si="49"/>
        <v>0</v>
      </c>
      <c r="EG43" s="419"/>
      <c r="EH43" s="419"/>
      <c r="EI43" s="419"/>
      <c r="EJ43" s="420">
        <f t="shared" si="50"/>
        <v>0</v>
      </c>
      <c r="EK43" s="420">
        <f t="shared" si="51"/>
        <v>0</v>
      </c>
      <c r="EL43" s="419"/>
      <c r="EM43" s="419"/>
      <c r="EN43" s="419"/>
      <c r="EO43" s="419">
        <f t="shared" si="52"/>
        <v>0</v>
      </c>
      <c r="EP43" s="419">
        <f t="shared" si="53"/>
        <v>0</v>
      </c>
      <c r="EQ43" s="419"/>
      <c r="ER43" s="419"/>
      <c r="ES43" s="419"/>
      <c r="ET43" s="419">
        <f t="shared" si="54"/>
        <v>0</v>
      </c>
      <c r="EU43" s="419">
        <f t="shared" si="55"/>
        <v>0</v>
      </c>
      <c r="EV43" s="419"/>
      <c r="EW43" s="419"/>
      <c r="EX43" s="419"/>
      <c r="EY43" s="419">
        <f t="shared" si="56"/>
        <v>0</v>
      </c>
      <c r="EZ43" s="419">
        <f t="shared" si="76"/>
        <v>0</v>
      </c>
      <c r="FA43" s="420"/>
      <c r="FB43" s="420"/>
      <c r="FC43" s="420"/>
      <c r="FD43" s="420">
        <f t="shared" si="57"/>
        <v>0</v>
      </c>
      <c r="FE43" s="420">
        <f t="shared" si="58"/>
        <v>0</v>
      </c>
      <c r="FF43" s="419"/>
      <c r="FG43" s="419"/>
      <c r="FH43" s="419"/>
      <c r="FI43" s="419">
        <f t="shared" si="59"/>
        <v>0</v>
      </c>
      <c r="FJ43" s="419">
        <f t="shared" si="60"/>
        <v>0</v>
      </c>
      <c r="FK43" s="419"/>
      <c r="FL43" s="419"/>
      <c r="FM43" s="419"/>
      <c r="FN43" s="420">
        <f t="shared" si="61"/>
        <v>0</v>
      </c>
      <c r="FO43" s="423">
        <f t="shared" si="62"/>
        <v>0</v>
      </c>
      <c r="FP43" s="419"/>
      <c r="FQ43" s="419"/>
      <c r="FR43" s="419"/>
      <c r="FS43" s="420">
        <f t="shared" si="63"/>
        <v>0</v>
      </c>
      <c r="FT43" s="420">
        <f t="shared" si="64"/>
        <v>0</v>
      </c>
      <c r="FU43" s="419"/>
      <c r="FV43" s="419"/>
      <c r="FW43" s="419"/>
      <c r="FX43" s="420">
        <f t="shared" si="65"/>
        <v>0</v>
      </c>
      <c r="FY43" s="420">
        <f t="shared" si="66"/>
        <v>0</v>
      </c>
      <c r="FZ43" s="419"/>
      <c r="GA43" s="419"/>
      <c r="GB43" s="419"/>
      <c r="GC43" s="420">
        <f t="shared" si="67"/>
        <v>0</v>
      </c>
      <c r="GD43" s="420">
        <f t="shared" si="68"/>
        <v>0</v>
      </c>
      <c r="GE43" s="419"/>
      <c r="GF43" s="419"/>
      <c r="GG43" s="419"/>
      <c r="GH43" s="420">
        <f t="shared" si="69"/>
        <v>0</v>
      </c>
      <c r="GI43" s="423">
        <f t="shared" si="70"/>
        <v>0</v>
      </c>
      <c r="GJ43" s="419"/>
      <c r="GK43" s="419"/>
      <c r="GL43" s="419"/>
      <c r="GM43" s="420">
        <f t="shared" si="71"/>
        <v>0</v>
      </c>
      <c r="GN43" s="420">
        <f t="shared" si="72"/>
        <v>0</v>
      </c>
      <c r="GO43" s="419"/>
      <c r="GP43" s="419"/>
      <c r="GQ43" s="419"/>
      <c r="GR43" s="420">
        <f t="shared" si="77"/>
        <v>0</v>
      </c>
      <c r="GS43" s="423">
        <f t="shared" si="73"/>
        <v>0</v>
      </c>
      <c r="GT43" s="419"/>
      <c r="GU43" s="419"/>
      <c r="GV43" s="419"/>
      <c r="GW43" s="420">
        <f t="shared" si="74"/>
        <v>0</v>
      </c>
      <c r="GX43" s="420">
        <f t="shared" si="75"/>
        <v>0</v>
      </c>
    </row>
    <row r="44" spans="1:206" ht="15">
      <c r="A44" s="414"/>
      <c r="B44" s="415" t="s">
        <v>502</v>
      </c>
      <c r="C44" s="698"/>
      <c r="D44" s="705"/>
      <c r="E44" s="715"/>
      <c r="F44" s="417">
        <v>0.13</v>
      </c>
      <c r="G44" s="418">
        <f t="shared" si="4"/>
        <v>314857.77</v>
      </c>
      <c r="H44" s="418">
        <f t="shared" si="5"/>
        <v>0</v>
      </c>
      <c r="I44" s="418">
        <f t="shared" si="5"/>
        <v>48957.308968285601</v>
      </c>
      <c r="J44" s="418">
        <f t="shared" si="6"/>
        <v>376594.68437142798</v>
      </c>
      <c r="K44" s="438"/>
      <c r="L44" s="438"/>
      <c r="M44" s="424">
        <v>314857.77</v>
      </c>
      <c r="N44" s="424">
        <v>0</v>
      </c>
      <c r="O44" s="424">
        <v>48957.308968285601</v>
      </c>
      <c r="P44" s="424"/>
      <c r="Q44" s="419"/>
      <c r="R44" s="419"/>
      <c r="S44" s="419"/>
      <c r="T44" s="420">
        <v>0</v>
      </c>
      <c r="U44" s="423">
        <f t="shared" si="81"/>
        <v>0</v>
      </c>
      <c r="V44" s="420"/>
      <c r="W44" s="420"/>
      <c r="X44" s="419"/>
      <c r="Y44" s="420">
        <f t="shared" si="79"/>
        <v>0</v>
      </c>
      <c r="Z44" s="423">
        <f t="shared" si="10"/>
        <v>0</v>
      </c>
      <c r="AA44" s="423"/>
      <c r="AB44" s="419"/>
      <c r="AC44" s="419"/>
      <c r="AD44" s="420">
        <f t="shared" si="11"/>
        <v>0</v>
      </c>
      <c r="AE44" s="423">
        <f t="shared" si="12"/>
        <v>0</v>
      </c>
      <c r="AF44" s="419"/>
      <c r="AG44" s="419"/>
      <c r="AH44" s="419"/>
      <c r="AI44" s="420">
        <f t="shared" si="13"/>
        <v>0</v>
      </c>
      <c r="AJ44" s="423">
        <f t="shared" si="14"/>
        <v>0</v>
      </c>
      <c r="AK44" s="419"/>
      <c r="AL44" s="420"/>
      <c r="AM44" s="419"/>
      <c r="AN44" s="420">
        <f t="shared" si="15"/>
        <v>0</v>
      </c>
      <c r="AO44" s="423">
        <f t="shared" si="16"/>
        <v>0</v>
      </c>
      <c r="AP44" s="419"/>
      <c r="AQ44" s="419"/>
      <c r="AR44" s="420"/>
      <c r="AS44" s="420">
        <f t="shared" si="17"/>
        <v>0</v>
      </c>
      <c r="AT44" s="420">
        <f t="shared" si="18"/>
        <v>0</v>
      </c>
      <c r="AU44" s="420"/>
      <c r="AV44" s="420"/>
      <c r="AW44" s="420"/>
      <c r="AX44" s="426">
        <f t="shared" si="19"/>
        <v>0</v>
      </c>
      <c r="AY44" s="420">
        <f t="shared" si="20"/>
        <v>0</v>
      </c>
      <c r="AZ44" s="419"/>
      <c r="BA44" s="420"/>
      <c r="BB44" s="419"/>
      <c r="BC44" s="420">
        <f t="shared" si="21"/>
        <v>0</v>
      </c>
      <c r="BD44" s="427">
        <f t="shared" si="82"/>
        <v>0</v>
      </c>
      <c r="BE44" s="420"/>
      <c r="BF44" s="420"/>
      <c r="BG44" s="420"/>
      <c r="BH44" s="423">
        <f t="shared" si="22"/>
        <v>0</v>
      </c>
      <c r="BI44" s="420">
        <f t="shared" si="23"/>
        <v>0</v>
      </c>
      <c r="BJ44" s="420"/>
      <c r="BK44" s="420"/>
      <c r="BL44" s="420"/>
      <c r="BM44" s="420">
        <f t="shared" si="24"/>
        <v>0</v>
      </c>
      <c r="BN44" s="420">
        <f t="shared" si="25"/>
        <v>0</v>
      </c>
      <c r="BO44" s="419"/>
      <c r="BP44" s="428"/>
      <c r="BQ44" s="420"/>
      <c r="BR44" s="423">
        <f t="shared" si="26"/>
        <v>0</v>
      </c>
      <c r="BS44" s="423">
        <f t="shared" si="27"/>
        <v>0</v>
      </c>
      <c r="BT44" s="420"/>
      <c r="BU44" s="420"/>
      <c r="BV44" s="420"/>
      <c r="BW44" s="420"/>
      <c r="BX44" s="429">
        <f t="shared" si="28"/>
        <v>0</v>
      </c>
      <c r="BY44" s="419"/>
      <c r="BZ44" s="419"/>
      <c r="CA44" s="419"/>
      <c r="CB44" s="420">
        <f t="shared" si="29"/>
        <v>0</v>
      </c>
      <c r="CC44" s="430">
        <f t="shared" si="30"/>
        <v>0</v>
      </c>
      <c r="CD44" s="419"/>
      <c r="CE44" s="419"/>
      <c r="CF44" s="419"/>
      <c r="CG44" s="420">
        <f t="shared" si="31"/>
        <v>0</v>
      </c>
      <c r="CH44" s="423">
        <f t="shared" si="32"/>
        <v>0</v>
      </c>
      <c r="CI44" s="431"/>
      <c r="CJ44" s="431"/>
      <c r="CK44" s="431"/>
      <c r="CL44" s="420">
        <f t="shared" si="33"/>
        <v>0</v>
      </c>
      <c r="CM44" s="423">
        <f t="shared" si="34"/>
        <v>0</v>
      </c>
      <c r="CN44" s="420"/>
      <c r="CO44" s="420"/>
      <c r="CP44" s="420"/>
      <c r="CQ44" s="432"/>
      <c r="CR44" s="432">
        <f t="shared" si="35"/>
        <v>0</v>
      </c>
      <c r="CS44" s="420"/>
      <c r="CT44" s="420"/>
      <c r="CU44" s="420"/>
      <c r="CV44" s="420"/>
      <c r="CW44" s="420">
        <f t="shared" si="36"/>
        <v>0</v>
      </c>
      <c r="CX44" s="419"/>
      <c r="CY44" s="419"/>
      <c r="CZ44" s="419"/>
      <c r="DA44" s="419">
        <f t="shared" si="37"/>
        <v>0</v>
      </c>
      <c r="DB44" s="419">
        <f t="shared" si="38"/>
        <v>0</v>
      </c>
      <c r="DC44" s="419"/>
      <c r="DD44" s="419"/>
      <c r="DE44" s="419"/>
      <c r="DF44" s="420">
        <f t="shared" si="39"/>
        <v>0</v>
      </c>
      <c r="DG44" s="421">
        <f t="shared" si="40"/>
        <v>0</v>
      </c>
      <c r="DH44" s="419"/>
      <c r="DI44" s="419"/>
      <c r="DJ44" s="419"/>
      <c r="DK44" s="420">
        <f t="shared" si="41"/>
        <v>0</v>
      </c>
      <c r="DL44" s="422">
        <f t="shared" si="42"/>
        <v>0</v>
      </c>
      <c r="DM44" s="420"/>
      <c r="DN44" s="420"/>
      <c r="DO44" s="420"/>
      <c r="DP44" s="420">
        <f t="shared" si="43"/>
        <v>0</v>
      </c>
      <c r="DQ44" s="420">
        <f t="shared" si="44"/>
        <v>0</v>
      </c>
      <c r="DR44" s="419"/>
      <c r="DS44" s="419"/>
      <c r="DT44" s="419"/>
      <c r="DU44" s="420">
        <f t="shared" si="45"/>
        <v>0</v>
      </c>
      <c r="DV44" s="423">
        <f t="shared" si="46"/>
        <v>0</v>
      </c>
      <c r="DW44" s="419"/>
      <c r="DX44" s="419"/>
      <c r="DY44" s="419"/>
      <c r="DZ44" s="420">
        <f t="shared" si="47"/>
        <v>0</v>
      </c>
      <c r="EA44" s="423">
        <f t="shared" si="48"/>
        <v>0</v>
      </c>
      <c r="EB44" s="419"/>
      <c r="EC44" s="419"/>
      <c r="ED44" s="420"/>
      <c r="EE44" s="419"/>
      <c r="EF44" s="420">
        <f t="shared" si="49"/>
        <v>0</v>
      </c>
      <c r="EG44" s="419"/>
      <c r="EH44" s="419"/>
      <c r="EI44" s="419"/>
      <c r="EJ44" s="420">
        <f t="shared" si="50"/>
        <v>0</v>
      </c>
      <c r="EK44" s="420">
        <f t="shared" si="51"/>
        <v>0</v>
      </c>
      <c r="EL44" s="419"/>
      <c r="EM44" s="419"/>
      <c r="EN44" s="419"/>
      <c r="EO44" s="419">
        <f t="shared" si="52"/>
        <v>0</v>
      </c>
      <c r="EP44" s="419">
        <f t="shared" si="53"/>
        <v>0</v>
      </c>
      <c r="EQ44" s="419"/>
      <c r="ER44" s="419"/>
      <c r="ES44" s="419"/>
      <c r="ET44" s="419">
        <f t="shared" si="54"/>
        <v>0</v>
      </c>
      <c r="EU44" s="419">
        <f t="shared" si="55"/>
        <v>0</v>
      </c>
      <c r="EV44" s="419"/>
      <c r="EW44" s="419"/>
      <c r="EX44" s="419"/>
      <c r="EY44" s="419">
        <f t="shared" si="56"/>
        <v>0</v>
      </c>
      <c r="EZ44" s="419">
        <f t="shared" si="76"/>
        <v>0</v>
      </c>
      <c r="FA44" s="420"/>
      <c r="FB44" s="420"/>
      <c r="FC44" s="420"/>
      <c r="FD44" s="420">
        <f t="shared" si="57"/>
        <v>0</v>
      </c>
      <c r="FE44" s="420">
        <f t="shared" si="58"/>
        <v>0</v>
      </c>
      <c r="FF44" s="419"/>
      <c r="FG44" s="419"/>
      <c r="FH44" s="419"/>
      <c r="FI44" s="419">
        <f t="shared" si="59"/>
        <v>0</v>
      </c>
      <c r="FJ44" s="419">
        <f t="shared" si="60"/>
        <v>0</v>
      </c>
      <c r="FK44" s="419"/>
      <c r="FL44" s="419"/>
      <c r="FM44" s="419"/>
      <c r="FN44" s="420">
        <f t="shared" si="61"/>
        <v>0</v>
      </c>
      <c r="FO44" s="423">
        <f t="shared" si="62"/>
        <v>0</v>
      </c>
      <c r="FP44" s="419"/>
      <c r="FQ44" s="419"/>
      <c r="FR44" s="419"/>
      <c r="FS44" s="420">
        <f t="shared" si="63"/>
        <v>0</v>
      </c>
      <c r="FT44" s="420">
        <f t="shared" si="64"/>
        <v>0</v>
      </c>
      <c r="FU44" s="419"/>
      <c r="FV44" s="419"/>
      <c r="FW44" s="419"/>
      <c r="FX44" s="420">
        <f t="shared" si="65"/>
        <v>0</v>
      </c>
      <c r="FY44" s="420">
        <f t="shared" si="66"/>
        <v>0</v>
      </c>
      <c r="FZ44" s="419"/>
      <c r="GA44" s="419"/>
      <c r="GB44" s="419"/>
      <c r="GC44" s="420">
        <f t="shared" si="67"/>
        <v>0</v>
      </c>
      <c r="GD44" s="420">
        <f t="shared" si="68"/>
        <v>0</v>
      </c>
      <c r="GE44" s="419"/>
      <c r="GF44" s="419"/>
      <c r="GG44" s="419"/>
      <c r="GH44" s="420">
        <f t="shared" si="69"/>
        <v>0</v>
      </c>
      <c r="GI44" s="423">
        <f t="shared" si="70"/>
        <v>0</v>
      </c>
      <c r="GJ44" s="419"/>
      <c r="GK44" s="419"/>
      <c r="GL44" s="419"/>
      <c r="GM44" s="420">
        <f t="shared" si="71"/>
        <v>0</v>
      </c>
      <c r="GN44" s="420">
        <f t="shared" si="72"/>
        <v>0</v>
      </c>
      <c r="GO44" s="419"/>
      <c r="GP44" s="419"/>
      <c r="GQ44" s="419"/>
      <c r="GR44" s="420">
        <f t="shared" si="77"/>
        <v>0</v>
      </c>
      <c r="GS44" s="423">
        <f t="shared" si="73"/>
        <v>0</v>
      </c>
      <c r="GT44" s="419"/>
      <c r="GU44" s="419"/>
      <c r="GV44" s="419"/>
      <c r="GW44" s="420">
        <f t="shared" si="74"/>
        <v>0</v>
      </c>
      <c r="GX44" s="420">
        <f t="shared" si="75"/>
        <v>0</v>
      </c>
    </row>
    <row r="45" spans="1:206" ht="15">
      <c r="A45" s="414"/>
      <c r="B45" s="415" t="s">
        <v>502</v>
      </c>
      <c r="C45" s="698"/>
      <c r="D45" s="705"/>
      <c r="E45" s="714" t="s">
        <v>124</v>
      </c>
      <c r="F45" s="417">
        <v>0.1</v>
      </c>
      <c r="G45" s="418">
        <f t="shared" si="4"/>
        <v>10136576.76</v>
      </c>
      <c r="H45" s="418">
        <f t="shared" si="5"/>
        <v>10136576.84</v>
      </c>
      <c r="I45" s="418">
        <f t="shared" si="5"/>
        <v>1013657.68</v>
      </c>
      <c r="J45" s="418">
        <f t="shared" si="6"/>
        <v>10136576.800000001</v>
      </c>
      <c r="K45" s="438"/>
      <c r="L45" s="438"/>
      <c r="M45" s="424">
        <v>10136576.76</v>
      </c>
      <c r="N45" s="424">
        <v>10136576.84</v>
      </c>
      <c r="O45" s="424">
        <v>1013657.68</v>
      </c>
      <c r="P45" s="424"/>
      <c r="Q45" s="419"/>
      <c r="R45" s="419"/>
      <c r="S45" s="419"/>
      <c r="T45" s="420">
        <v>0</v>
      </c>
      <c r="U45" s="423">
        <f t="shared" si="81"/>
        <v>0</v>
      </c>
      <c r="V45" s="420"/>
      <c r="W45" s="420"/>
      <c r="X45" s="419"/>
      <c r="Y45" s="420">
        <f t="shared" si="79"/>
        <v>0</v>
      </c>
      <c r="Z45" s="423">
        <f t="shared" si="10"/>
        <v>0</v>
      </c>
      <c r="AA45" s="423"/>
      <c r="AB45" s="419"/>
      <c r="AC45" s="419"/>
      <c r="AD45" s="420">
        <f t="shared" si="11"/>
        <v>0</v>
      </c>
      <c r="AE45" s="423">
        <f t="shared" si="12"/>
        <v>0</v>
      </c>
      <c r="AF45" s="419"/>
      <c r="AG45" s="419"/>
      <c r="AH45" s="419"/>
      <c r="AI45" s="420">
        <f t="shared" si="13"/>
        <v>0</v>
      </c>
      <c r="AJ45" s="423">
        <f t="shared" si="14"/>
        <v>0</v>
      </c>
      <c r="AK45" s="419"/>
      <c r="AL45" s="420"/>
      <c r="AM45" s="419"/>
      <c r="AN45" s="420">
        <f t="shared" si="15"/>
        <v>0</v>
      </c>
      <c r="AO45" s="423">
        <f t="shared" si="16"/>
        <v>0</v>
      </c>
      <c r="AP45" s="419"/>
      <c r="AQ45" s="419"/>
      <c r="AR45" s="419"/>
      <c r="AS45" s="420">
        <f t="shared" si="17"/>
        <v>0</v>
      </c>
      <c r="AT45" s="420">
        <f t="shared" si="18"/>
        <v>0</v>
      </c>
      <c r="AU45" s="420"/>
      <c r="AV45" s="420"/>
      <c r="AW45" s="420"/>
      <c r="AX45" s="426">
        <f t="shared" si="19"/>
        <v>0</v>
      </c>
      <c r="AY45" s="420">
        <f t="shared" si="20"/>
        <v>0</v>
      </c>
      <c r="AZ45" s="419"/>
      <c r="BA45" s="420"/>
      <c r="BB45" s="419"/>
      <c r="BC45" s="420">
        <f t="shared" si="21"/>
        <v>0</v>
      </c>
      <c r="BD45" s="427">
        <f t="shared" si="82"/>
        <v>0</v>
      </c>
      <c r="BE45" s="420"/>
      <c r="BF45" s="420"/>
      <c r="BG45" s="420"/>
      <c r="BH45" s="423">
        <f t="shared" si="22"/>
        <v>0</v>
      </c>
      <c r="BI45" s="420">
        <f t="shared" si="23"/>
        <v>0</v>
      </c>
      <c r="BJ45" s="420"/>
      <c r="BK45" s="420"/>
      <c r="BL45" s="420"/>
      <c r="BM45" s="420">
        <f t="shared" si="24"/>
        <v>0</v>
      </c>
      <c r="BN45" s="420">
        <f t="shared" si="25"/>
        <v>0</v>
      </c>
      <c r="BO45" s="419"/>
      <c r="BP45" s="428"/>
      <c r="BQ45" s="420"/>
      <c r="BR45" s="423">
        <f t="shared" si="26"/>
        <v>0</v>
      </c>
      <c r="BS45" s="423">
        <f t="shared" si="27"/>
        <v>0</v>
      </c>
      <c r="BT45" s="420"/>
      <c r="BU45" s="420"/>
      <c r="BV45" s="420"/>
      <c r="BW45" s="420"/>
      <c r="BX45" s="429">
        <f t="shared" si="28"/>
        <v>0</v>
      </c>
      <c r="BY45" s="419"/>
      <c r="BZ45" s="419"/>
      <c r="CA45" s="419"/>
      <c r="CB45" s="420">
        <f t="shared" si="29"/>
        <v>0</v>
      </c>
      <c r="CC45" s="430">
        <f t="shared" si="30"/>
        <v>0</v>
      </c>
      <c r="CD45" s="419"/>
      <c r="CE45" s="419"/>
      <c r="CF45" s="419"/>
      <c r="CG45" s="420">
        <f t="shared" si="31"/>
        <v>0</v>
      </c>
      <c r="CH45" s="423">
        <f t="shared" si="32"/>
        <v>0</v>
      </c>
      <c r="CI45" s="431"/>
      <c r="CJ45" s="431"/>
      <c r="CK45" s="431"/>
      <c r="CL45" s="420">
        <f t="shared" si="33"/>
        <v>0</v>
      </c>
      <c r="CM45" s="423">
        <f t="shared" si="34"/>
        <v>0</v>
      </c>
      <c r="CN45" s="420"/>
      <c r="CO45" s="420"/>
      <c r="CP45" s="420"/>
      <c r="CQ45" s="432"/>
      <c r="CR45" s="432">
        <f t="shared" si="35"/>
        <v>0</v>
      </c>
      <c r="CS45" s="420"/>
      <c r="CT45" s="420"/>
      <c r="CU45" s="420"/>
      <c r="CV45" s="420"/>
      <c r="CW45" s="420">
        <f t="shared" si="36"/>
        <v>0</v>
      </c>
      <c r="CX45" s="419"/>
      <c r="CY45" s="419"/>
      <c r="CZ45" s="419"/>
      <c r="DA45" s="419">
        <f t="shared" si="37"/>
        <v>0</v>
      </c>
      <c r="DB45" s="419">
        <f t="shared" si="38"/>
        <v>0</v>
      </c>
      <c r="DC45" s="419"/>
      <c r="DD45" s="419"/>
      <c r="DE45" s="419"/>
      <c r="DF45" s="420">
        <f t="shared" si="39"/>
        <v>0</v>
      </c>
      <c r="DG45" s="421">
        <f t="shared" si="40"/>
        <v>0</v>
      </c>
      <c r="DH45" s="419"/>
      <c r="DI45" s="419"/>
      <c r="DJ45" s="419"/>
      <c r="DK45" s="420">
        <f t="shared" si="41"/>
        <v>0</v>
      </c>
      <c r="DL45" s="422">
        <f t="shared" si="42"/>
        <v>0</v>
      </c>
      <c r="DM45" s="420"/>
      <c r="DN45" s="420"/>
      <c r="DO45" s="420"/>
      <c r="DP45" s="420">
        <f t="shared" si="43"/>
        <v>0</v>
      </c>
      <c r="DQ45" s="420">
        <f t="shared" si="44"/>
        <v>0</v>
      </c>
      <c r="DR45" s="419"/>
      <c r="DS45" s="419"/>
      <c r="DT45" s="419"/>
      <c r="DU45" s="420">
        <f t="shared" si="45"/>
        <v>0</v>
      </c>
      <c r="DV45" s="423">
        <f t="shared" si="46"/>
        <v>0</v>
      </c>
      <c r="DW45" s="419"/>
      <c r="DX45" s="419"/>
      <c r="DY45" s="419"/>
      <c r="DZ45" s="420">
        <f t="shared" si="47"/>
        <v>0</v>
      </c>
      <c r="EA45" s="423">
        <f t="shared" si="48"/>
        <v>0</v>
      </c>
      <c r="EB45" s="419"/>
      <c r="EC45" s="419"/>
      <c r="ED45" s="420"/>
      <c r="EE45" s="419"/>
      <c r="EF45" s="420">
        <f t="shared" si="49"/>
        <v>0</v>
      </c>
      <c r="EG45" s="419"/>
      <c r="EH45" s="419"/>
      <c r="EI45" s="419"/>
      <c r="EJ45" s="420">
        <f t="shared" si="50"/>
        <v>0</v>
      </c>
      <c r="EK45" s="420">
        <f t="shared" si="51"/>
        <v>0</v>
      </c>
      <c r="EL45" s="419"/>
      <c r="EM45" s="419"/>
      <c r="EN45" s="419"/>
      <c r="EO45" s="419">
        <f t="shared" si="52"/>
        <v>0</v>
      </c>
      <c r="EP45" s="419">
        <f t="shared" si="53"/>
        <v>0</v>
      </c>
      <c r="EQ45" s="419"/>
      <c r="ER45" s="419"/>
      <c r="ES45" s="419"/>
      <c r="ET45" s="419">
        <f t="shared" si="54"/>
        <v>0</v>
      </c>
      <c r="EU45" s="419">
        <f t="shared" si="55"/>
        <v>0</v>
      </c>
      <c r="EV45" s="419"/>
      <c r="EW45" s="419"/>
      <c r="EX45" s="419"/>
      <c r="EY45" s="419">
        <f t="shared" si="56"/>
        <v>0</v>
      </c>
      <c r="EZ45" s="419">
        <f t="shared" si="76"/>
        <v>0</v>
      </c>
      <c r="FA45" s="420"/>
      <c r="FB45" s="420"/>
      <c r="FC45" s="420"/>
      <c r="FD45" s="420">
        <f t="shared" si="57"/>
        <v>0</v>
      </c>
      <c r="FE45" s="420">
        <f t="shared" si="58"/>
        <v>0</v>
      </c>
      <c r="FF45" s="419"/>
      <c r="FG45" s="419"/>
      <c r="FH45" s="419"/>
      <c r="FI45" s="419">
        <f t="shared" si="59"/>
        <v>0</v>
      </c>
      <c r="FJ45" s="419">
        <f t="shared" si="60"/>
        <v>0</v>
      </c>
      <c r="FK45" s="419"/>
      <c r="FL45" s="419"/>
      <c r="FM45" s="419"/>
      <c r="FN45" s="420">
        <f t="shared" si="61"/>
        <v>0</v>
      </c>
      <c r="FO45" s="423">
        <f t="shared" si="62"/>
        <v>0</v>
      </c>
      <c r="FP45" s="419"/>
      <c r="FQ45" s="419"/>
      <c r="FR45" s="419"/>
      <c r="FS45" s="420">
        <f t="shared" si="63"/>
        <v>0</v>
      </c>
      <c r="FT45" s="420">
        <f t="shared" si="64"/>
        <v>0</v>
      </c>
      <c r="FU45" s="419"/>
      <c r="FV45" s="419"/>
      <c r="FW45" s="419"/>
      <c r="FX45" s="420">
        <f t="shared" si="65"/>
        <v>0</v>
      </c>
      <c r="FY45" s="420">
        <f t="shared" si="66"/>
        <v>0</v>
      </c>
      <c r="FZ45" s="419"/>
      <c r="GA45" s="419"/>
      <c r="GB45" s="419"/>
      <c r="GC45" s="420">
        <f t="shared" si="67"/>
        <v>0</v>
      </c>
      <c r="GD45" s="420">
        <f t="shared" si="68"/>
        <v>0</v>
      </c>
      <c r="GE45" s="419"/>
      <c r="GF45" s="419"/>
      <c r="GG45" s="419"/>
      <c r="GH45" s="420">
        <f t="shared" si="69"/>
        <v>0</v>
      </c>
      <c r="GI45" s="423">
        <f t="shared" si="70"/>
        <v>0</v>
      </c>
      <c r="GJ45" s="419"/>
      <c r="GK45" s="419"/>
      <c r="GL45" s="419"/>
      <c r="GM45" s="420">
        <f t="shared" si="71"/>
        <v>0</v>
      </c>
      <c r="GN45" s="420">
        <f t="shared" si="72"/>
        <v>0</v>
      </c>
      <c r="GO45" s="419"/>
      <c r="GP45" s="419"/>
      <c r="GQ45" s="419"/>
      <c r="GR45" s="420">
        <f t="shared" si="77"/>
        <v>0</v>
      </c>
      <c r="GS45" s="423">
        <f t="shared" si="73"/>
        <v>0</v>
      </c>
      <c r="GT45" s="419"/>
      <c r="GU45" s="419"/>
      <c r="GV45" s="419"/>
      <c r="GW45" s="420">
        <f t="shared" si="74"/>
        <v>0</v>
      </c>
      <c r="GX45" s="420">
        <f t="shared" si="75"/>
        <v>0</v>
      </c>
    </row>
    <row r="46" spans="1:206" ht="15">
      <c r="A46" s="414"/>
      <c r="B46" s="415" t="s">
        <v>502</v>
      </c>
      <c r="C46" s="698"/>
      <c r="D46" s="706"/>
      <c r="E46" s="715"/>
      <c r="F46" s="417">
        <v>0.09</v>
      </c>
      <c r="G46" s="418">
        <f t="shared" si="4"/>
        <v>1752149.0859630001</v>
      </c>
      <c r="H46" s="418">
        <f t="shared" si="5"/>
        <v>0</v>
      </c>
      <c r="I46" s="418">
        <f t="shared" si="5"/>
        <v>-82525.119263999804</v>
      </c>
      <c r="J46" s="418">
        <f t="shared" si="6"/>
        <v>-916945.76959999802</v>
      </c>
      <c r="K46" s="438"/>
      <c r="L46" s="438"/>
      <c r="M46" s="424">
        <v>1667899.745963</v>
      </c>
      <c r="N46" s="424">
        <v>0</v>
      </c>
      <c r="O46" s="424">
        <v>-90107.559863999806</v>
      </c>
      <c r="P46" s="424"/>
      <c r="Q46" s="444">
        <v>84249.34</v>
      </c>
      <c r="R46" s="419"/>
      <c r="S46" s="420">
        <v>7582.4405999999999</v>
      </c>
      <c r="T46" s="420">
        <v>84249.34</v>
      </c>
      <c r="U46" s="423">
        <f t="shared" si="81"/>
        <v>0</v>
      </c>
      <c r="V46" s="420"/>
      <c r="W46" s="420"/>
      <c r="X46" s="419"/>
      <c r="Y46" s="420">
        <f t="shared" si="79"/>
        <v>0</v>
      </c>
      <c r="Z46" s="423">
        <f t="shared" si="10"/>
        <v>0</v>
      </c>
      <c r="AA46" s="423"/>
      <c r="AB46" s="419"/>
      <c r="AC46" s="419"/>
      <c r="AD46" s="420">
        <f t="shared" si="11"/>
        <v>0</v>
      </c>
      <c r="AE46" s="423">
        <f t="shared" si="12"/>
        <v>0</v>
      </c>
      <c r="AF46" s="419"/>
      <c r="AG46" s="419"/>
      <c r="AH46" s="419"/>
      <c r="AI46" s="420">
        <f t="shared" si="13"/>
        <v>0</v>
      </c>
      <c r="AJ46" s="423">
        <f t="shared" si="14"/>
        <v>0</v>
      </c>
      <c r="AK46" s="419"/>
      <c r="AL46" s="420"/>
      <c r="AM46" s="419"/>
      <c r="AN46" s="420">
        <f t="shared" si="15"/>
        <v>0</v>
      </c>
      <c r="AO46" s="423">
        <f t="shared" si="16"/>
        <v>0</v>
      </c>
      <c r="AP46" s="419"/>
      <c r="AQ46" s="419"/>
      <c r="AR46" s="419"/>
      <c r="AS46" s="420">
        <f t="shared" si="17"/>
        <v>0</v>
      </c>
      <c r="AT46" s="420">
        <f t="shared" si="18"/>
        <v>0</v>
      </c>
      <c r="AU46" s="420"/>
      <c r="AV46" s="420"/>
      <c r="AW46" s="420"/>
      <c r="AX46" s="426">
        <f t="shared" si="19"/>
        <v>0</v>
      </c>
      <c r="AY46" s="420">
        <f t="shared" si="20"/>
        <v>0</v>
      </c>
      <c r="AZ46" s="419"/>
      <c r="BA46" s="420"/>
      <c r="BB46" s="419"/>
      <c r="BC46" s="420">
        <f t="shared" si="21"/>
        <v>0</v>
      </c>
      <c r="BD46" s="427">
        <f t="shared" si="82"/>
        <v>0</v>
      </c>
      <c r="BE46" s="420"/>
      <c r="BF46" s="420"/>
      <c r="BG46" s="420"/>
      <c r="BH46" s="423">
        <f t="shared" si="22"/>
        <v>0</v>
      </c>
      <c r="BI46" s="420">
        <f t="shared" si="23"/>
        <v>0</v>
      </c>
      <c r="BJ46" s="420"/>
      <c r="BK46" s="420"/>
      <c r="BL46" s="420"/>
      <c r="BM46" s="420">
        <f t="shared" si="24"/>
        <v>0</v>
      </c>
      <c r="BN46" s="420">
        <f t="shared" si="25"/>
        <v>0</v>
      </c>
      <c r="BO46" s="419"/>
      <c r="BP46" s="428"/>
      <c r="BQ46" s="420"/>
      <c r="BR46" s="423">
        <f t="shared" si="26"/>
        <v>0</v>
      </c>
      <c r="BS46" s="423">
        <f t="shared" si="27"/>
        <v>0</v>
      </c>
      <c r="BT46" s="420"/>
      <c r="BU46" s="420"/>
      <c r="BV46" s="420"/>
      <c r="BW46" s="420"/>
      <c r="BX46" s="429">
        <f t="shared" si="28"/>
        <v>0</v>
      </c>
      <c r="BY46" s="419"/>
      <c r="BZ46" s="419"/>
      <c r="CA46" s="419"/>
      <c r="CB46" s="420">
        <f t="shared" si="29"/>
        <v>0</v>
      </c>
      <c r="CC46" s="430">
        <f t="shared" si="30"/>
        <v>0</v>
      </c>
      <c r="CD46" s="419"/>
      <c r="CE46" s="419"/>
      <c r="CF46" s="419"/>
      <c r="CG46" s="420">
        <f t="shared" si="31"/>
        <v>0</v>
      </c>
      <c r="CH46" s="423">
        <f t="shared" si="32"/>
        <v>0</v>
      </c>
      <c r="CI46" s="431"/>
      <c r="CJ46" s="431"/>
      <c r="CK46" s="431"/>
      <c r="CL46" s="420">
        <f t="shared" si="33"/>
        <v>0</v>
      </c>
      <c r="CM46" s="423">
        <f t="shared" si="34"/>
        <v>0</v>
      </c>
      <c r="CN46" s="420"/>
      <c r="CO46" s="420"/>
      <c r="CP46" s="420"/>
      <c r="CQ46" s="432"/>
      <c r="CR46" s="432">
        <f t="shared" si="35"/>
        <v>0</v>
      </c>
      <c r="CS46" s="420"/>
      <c r="CT46" s="420"/>
      <c r="CU46" s="420"/>
      <c r="CV46" s="420"/>
      <c r="CW46" s="420">
        <f t="shared" si="36"/>
        <v>0</v>
      </c>
      <c r="CX46" s="419"/>
      <c r="CY46" s="419"/>
      <c r="CZ46" s="419"/>
      <c r="DA46" s="419">
        <f t="shared" si="37"/>
        <v>0</v>
      </c>
      <c r="DB46" s="419">
        <f t="shared" si="38"/>
        <v>0</v>
      </c>
      <c r="DC46" s="419"/>
      <c r="DD46" s="419"/>
      <c r="DE46" s="419"/>
      <c r="DF46" s="420">
        <f t="shared" si="39"/>
        <v>0</v>
      </c>
      <c r="DG46" s="421">
        <f t="shared" si="40"/>
        <v>0</v>
      </c>
      <c r="DH46" s="419"/>
      <c r="DI46" s="419"/>
      <c r="DJ46" s="419"/>
      <c r="DK46" s="420">
        <f t="shared" si="41"/>
        <v>0</v>
      </c>
      <c r="DL46" s="422">
        <f t="shared" si="42"/>
        <v>0</v>
      </c>
      <c r="DM46" s="420"/>
      <c r="DN46" s="420"/>
      <c r="DO46" s="420"/>
      <c r="DP46" s="420">
        <f t="shared" si="43"/>
        <v>0</v>
      </c>
      <c r="DQ46" s="420">
        <f t="shared" si="44"/>
        <v>0</v>
      </c>
      <c r="DR46" s="419"/>
      <c r="DS46" s="419"/>
      <c r="DT46" s="419"/>
      <c r="DU46" s="420">
        <f t="shared" si="45"/>
        <v>0</v>
      </c>
      <c r="DV46" s="423">
        <f t="shared" si="46"/>
        <v>0</v>
      </c>
      <c r="DW46" s="419"/>
      <c r="DX46" s="419"/>
      <c r="DY46" s="419"/>
      <c r="DZ46" s="420">
        <f t="shared" si="47"/>
        <v>0</v>
      </c>
      <c r="EA46" s="423">
        <f t="shared" si="48"/>
        <v>0</v>
      </c>
      <c r="EB46" s="420"/>
      <c r="EC46" s="419"/>
      <c r="ED46" s="420"/>
      <c r="EE46" s="419"/>
      <c r="EF46" s="420">
        <f t="shared" si="49"/>
        <v>0</v>
      </c>
      <c r="EG46" s="419"/>
      <c r="EH46" s="419"/>
      <c r="EI46" s="419"/>
      <c r="EJ46" s="420">
        <f t="shared" si="50"/>
        <v>0</v>
      </c>
      <c r="EK46" s="420">
        <f t="shared" si="51"/>
        <v>0</v>
      </c>
      <c r="EL46" s="419"/>
      <c r="EM46" s="419"/>
      <c r="EN46" s="419"/>
      <c r="EO46" s="419">
        <f t="shared" si="52"/>
        <v>0</v>
      </c>
      <c r="EP46" s="419">
        <f t="shared" si="53"/>
        <v>0</v>
      </c>
      <c r="EQ46" s="419"/>
      <c r="ER46" s="419"/>
      <c r="ES46" s="419"/>
      <c r="ET46" s="419">
        <f t="shared" si="54"/>
        <v>0</v>
      </c>
      <c r="EU46" s="419">
        <f t="shared" si="55"/>
        <v>0</v>
      </c>
      <c r="EV46" s="419"/>
      <c r="EW46" s="419"/>
      <c r="EX46" s="419"/>
      <c r="EY46" s="419">
        <f t="shared" si="56"/>
        <v>0</v>
      </c>
      <c r="EZ46" s="419">
        <f t="shared" si="76"/>
        <v>0</v>
      </c>
      <c r="FA46" s="420"/>
      <c r="FB46" s="420"/>
      <c r="FC46" s="420"/>
      <c r="FD46" s="420">
        <f t="shared" si="57"/>
        <v>0</v>
      </c>
      <c r="FE46" s="420">
        <f t="shared" si="58"/>
        <v>0</v>
      </c>
      <c r="FF46" s="419"/>
      <c r="FG46" s="419"/>
      <c r="FH46" s="419"/>
      <c r="FI46" s="419">
        <f t="shared" si="59"/>
        <v>0</v>
      </c>
      <c r="FJ46" s="419">
        <f t="shared" si="60"/>
        <v>0</v>
      </c>
      <c r="FK46" s="419"/>
      <c r="FL46" s="419"/>
      <c r="FM46" s="419"/>
      <c r="FN46" s="420">
        <f t="shared" si="61"/>
        <v>0</v>
      </c>
      <c r="FO46" s="423">
        <f t="shared" si="62"/>
        <v>0</v>
      </c>
      <c r="FP46" s="419"/>
      <c r="FQ46" s="419"/>
      <c r="FR46" s="419"/>
      <c r="FS46" s="420">
        <f t="shared" si="63"/>
        <v>0</v>
      </c>
      <c r="FT46" s="420">
        <f t="shared" si="64"/>
        <v>0</v>
      </c>
      <c r="FU46" s="419"/>
      <c r="FV46" s="419"/>
      <c r="FW46" s="419"/>
      <c r="FX46" s="420">
        <f t="shared" si="65"/>
        <v>0</v>
      </c>
      <c r="FY46" s="420">
        <f t="shared" si="66"/>
        <v>0</v>
      </c>
      <c r="FZ46" s="419"/>
      <c r="GA46" s="419"/>
      <c r="GB46" s="419"/>
      <c r="GC46" s="420">
        <f t="shared" si="67"/>
        <v>0</v>
      </c>
      <c r="GD46" s="420">
        <f t="shared" si="68"/>
        <v>0</v>
      </c>
      <c r="GE46" s="419"/>
      <c r="GF46" s="419"/>
      <c r="GG46" s="419"/>
      <c r="GH46" s="420">
        <f t="shared" si="69"/>
        <v>0</v>
      </c>
      <c r="GI46" s="423">
        <f t="shared" si="70"/>
        <v>0</v>
      </c>
      <c r="GJ46" s="419"/>
      <c r="GK46" s="419"/>
      <c r="GL46" s="419"/>
      <c r="GM46" s="420">
        <f t="shared" si="71"/>
        <v>0</v>
      </c>
      <c r="GN46" s="420">
        <f t="shared" si="72"/>
        <v>0</v>
      </c>
      <c r="GO46" s="419"/>
      <c r="GP46" s="419"/>
      <c r="GQ46" s="419"/>
      <c r="GR46" s="420">
        <f t="shared" si="77"/>
        <v>0</v>
      </c>
      <c r="GS46" s="423">
        <f t="shared" si="73"/>
        <v>0</v>
      </c>
      <c r="GT46" s="419"/>
      <c r="GU46" s="419"/>
      <c r="GV46" s="419"/>
      <c r="GW46" s="420">
        <f t="shared" si="74"/>
        <v>0</v>
      </c>
      <c r="GX46" s="420">
        <f t="shared" si="75"/>
        <v>0</v>
      </c>
    </row>
    <row r="47" spans="1:206" ht="15">
      <c r="A47" s="414"/>
      <c r="B47" s="415" t="s">
        <v>502</v>
      </c>
      <c r="C47" s="698"/>
      <c r="D47" s="707"/>
      <c r="E47" s="434" t="s">
        <v>125</v>
      </c>
      <c r="F47" s="417">
        <v>0.06</v>
      </c>
      <c r="G47" s="418">
        <f t="shared" si="4"/>
        <v>1676556.01</v>
      </c>
      <c r="H47" s="418">
        <f t="shared" si="5"/>
        <v>0</v>
      </c>
      <c r="I47" s="418">
        <f t="shared" si="5"/>
        <v>100593.33800857099</v>
      </c>
      <c r="J47" s="418">
        <f t="shared" si="6"/>
        <v>1676555.63347619</v>
      </c>
      <c r="K47" s="438"/>
      <c r="L47" s="438"/>
      <c r="M47" s="424">
        <v>1641347.72</v>
      </c>
      <c r="N47" s="424">
        <v>0</v>
      </c>
      <c r="O47" s="424">
        <v>98480.863028571403</v>
      </c>
      <c r="P47" s="424"/>
      <c r="Q47" s="419"/>
      <c r="R47" s="419"/>
      <c r="S47" s="420"/>
      <c r="T47" s="420">
        <v>0</v>
      </c>
      <c r="U47" s="423">
        <f t="shared" si="81"/>
        <v>0</v>
      </c>
      <c r="V47" s="420"/>
      <c r="W47" s="420"/>
      <c r="X47" s="419"/>
      <c r="Y47" s="420">
        <f t="shared" si="79"/>
        <v>0</v>
      </c>
      <c r="Z47" s="423">
        <f t="shared" si="10"/>
        <v>0</v>
      </c>
      <c r="AA47" s="423"/>
      <c r="AB47" s="419"/>
      <c r="AC47" s="419"/>
      <c r="AD47" s="420">
        <f t="shared" si="11"/>
        <v>0</v>
      </c>
      <c r="AE47" s="423">
        <f t="shared" si="12"/>
        <v>0</v>
      </c>
      <c r="AF47" s="419"/>
      <c r="AG47" s="419"/>
      <c r="AH47" s="419"/>
      <c r="AI47" s="420">
        <f t="shared" si="13"/>
        <v>0</v>
      </c>
      <c r="AJ47" s="423">
        <f t="shared" si="14"/>
        <v>0</v>
      </c>
      <c r="AK47" s="419"/>
      <c r="AL47" s="420"/>
      <c r="AM47" s="419"/>
      <c r="AN47" s="420">
        <f t="shared" si="15"/>
        <v>0</v>
      </c>
      <c r="AO47" s="423">
        <f t="shared" si="16"/>
        <v>0</v>
      </c>
      <c r="AP47" s="419"/>
      <c r="AQ47" s="419"/>
      <c r="AR47" s="420"/>
      <c r="AS47" s="420">
        <f t="shared" si="17"/>
        <v>0</v>
      </c>
      <c r="AT47" s="420">
        <f t="shared" si="18"/>
        <v>0</v>
      </c>
      <c r="AU47" s="420">
        <v>2030.98</v>
      </c>
      <c r="AV47" s="420"/>
      <c r="AW47" s="435">
        <v>121.85838</v>
      </c>
      <c r="AX47" s="426">
        <f t="shared" si="19"/>
        <v>2030.973</v>
      </c>
      <c r="AY47" s="420">
        <f t="shared" si="20"/>
        <v>-7.00000000006185E-3</v>
      </c>
      <c r="AZ47" s="420">
        <v>2196.77</v>
      </c>
      <c r="BA47" s="420"/>
      <c r="BB47" s="419">
        <v>131.81</v>
      </c>
      <c r="BC47" s="420">
        <f t="shared" si="21"/>
        <v>2196.8333333333298</v>
      </c>
      <c r="BD47" s="427">
        <f t="shared" si="82"/>
        <v>6.3333333333503106E-2</v>
      </c>
      <c r="BE47" s="392">
        <v>2241.38</v>
      </c>
      <c r="BF47" s="420"/>
      <c r="BG47" s="392">
        <v>134.47999999999999</v>
      </c>
      <c r="BH47" s="423">
        <f t="shared" si="22"/>
        <v>2241.3333333333298</v>
      </c>
      <c r="BI47" s="420">
        <f t="shared" si="23"/>
        <v>-4.6666666667078999E-2</v>
      </c>
      <c r="BJ47" s="420">
        <v>2907.23</v>
      </c>
      <c r="BK47" s="420"/>
      <c r="BL47" s="420">
        <v>174.43</v>
      </c>
      <c r="BM47" s="420">
        <f t="shared" si="24"/>
        <v>2907.1666666666702</v>
      </c>
      <c r="BN47" s="420">
        <f t="shared" si="25"/>
        <v>-6.33333333330484E-2</v>
      </c>
      <c r="BO47" s="419">
        <v>3617.97</v>
      </c>
      <c r="BP47" s="428"/>
      <c r="BQ47" s="420">
        <v>217.07820000000001</v>
      </c>
      <c r="BR47" s="423">
        <f t="shared" si="26"/>
        <v>3617.97</v>
      </c>
      <c r="BS47" s="423">
        <f t="shared" si="27"/>
        <v>0</v>
      </c>
      <c r="BT47" s="420">
        <v>2248.0100000000002</v>
      </c>
      <c r="BU47" s="420"/>
      <c r="BV47" s="420">
        <v>134.88</v>
      </c>
      <c r="BW47" s="420">
        <v>2248.0100000000002</v>
      </c>
      <c r="BX47" s="429">
        <f t="shared" si="28"/>
        <v>0</v>
      </c>
      <c r="BY47" s="419">
        <v>7239.18</v>
      </c>
      <c r="BZ47" s="419"/>
      <c r="CA47" s="419">
        <v>434.35</v>
      </c>
      <c r="CB47" s="420">
        <f t="shared" si="29"/>
        <v>7239.1666666666697</v>
      </c>
      <c r="CC47" s="430">
        <f t="shared" si="30"/>
        <v>-1.33333333333212E-2</v>
      </c>
      <c r="CD47" s="419">
        <v>1315.41</v>
      </c>
      <c r="CE47" s="419"/>
      <c r="CF47" s="419">
        <v>78.92</v>
      </c>
      <c r="CG47" s="420">
        <f t="shared" si="31"/>
        <v>1315.3333333333301</v>
      </c>
      <c r="CH47" s="423">
        <f t="shared" si="32"/>
        <v>-7.6666666666596897E-2</v>
      </c>
      <c r="CI47" s="431">
        <v>778.82</v>
      </c>
      <c r="CJ47" s="431"/>
      <c r="CK47" s="431">
        <v>46.73</v>
      </c>
      <c r="CL47" s="420">
        <f t="shared" si="33"/>
        <v>778.83333333333303</v>
      </c>
      <c r="CM47" s="423">
        <f t="shared" si="34"/>
        <v>1.3333333333207501E-2</v>
      </c>
      <c r="CN47" s="420">
        <v>880.04</v>
      </c>
      <c r="CO47" s="420"/>
      <c r="CP47" s="420">
        <v>52.8</v>
      </c>
      <c r="CQ47" s="432">
        <v>880.04</v>
      </c>
      <c r="CR47" s="432">
        <f t="shared" si="35"/>
        <v>0</v>
      </c>
      <c r="CS47" s="420">
        <v>883.05</v>
      </c>
      <c r="CT47" s="420"/>
      <c r="CU47" s="420">
        <v>52.98</v>
      </c>
      <c r="CV47" s="420">
        <v>883.05</v>
      </c>
      <c r="CW47" s="420">
        <f t="shared" si="36"/>
        <v>0</v>
      </c>
      <c r="CX47" s="419">
        <v>263.73</v>
      </c>
      <c r="CY47" s="419"/>
      <c r="CZ47" s="419">
        <v>15.82</v>
      </c>
      <c r="DA47" s="419">
        <f t="shared" si="37"/>
        <v>263.67</v>
      </c>
      <c r="DB47" s="419">
        <f t="shared" si="38"/>
        <v>-0.06</v>
      </c>
      <c r="DC47" s="419">
        <v>516.52</v>
      </c>
      <c r="DD47" s="419"/>
      <c r="DE47" s="419">
        <v>30.99</v>
      </c>
      <c r="DF47" s="420">
        <f t="shared" si="39"/>
        <v>516.5</v>
      </c>
      <c r="DG47" s="421">
        <f t="shared" si="40"/>
        <v>1.99999999999818E-2</v>
      </c>
      <c r="DH47" s="419">
        <v>516.52</v>
      </c>
      <c r="DI47" s="419"/>
      <c r="DJ47" s="419">
        <v>30.99</v>
      </c>
      <c r="DK47" s="420">
        <f t="shared" si="41"/>
        <v>516.5</v>
      </c>
      <c r="DL47" s="422">
        <f t="shared" si="42"/>
        <v>-1.99999999999818E-2</v>
      </c>
      <c r="DM47" s="420">
        <v>669.89</v>
      </c>
      <c r="DN47" s="420"/>
      <c r="DO47" s="420">
        <v>40.19</v>
      </c>
      <c r="DP47" s="420">
        <f t="shared" si="43"/>
        <v>669.83333333333303</v>
      </c>
      <c r="DQ47" s="420">
        <f t="shared" si="44"/>
        <v>-5.6666666666615101E-2</v>
      </c>
      <c r="DR47" s="419">
        <v>611.16</v>
      </c>
      <c r="DS47" s="419"/>
      <c r="DT47" s="419">
        <v>36.67</v>
      </c>
      <c r="DU47" s="420">
        <f t="shared" si="45"/>
        <v>611.16666666666697</v>
      </c>
      <c r="DV47" s="423">
        <f t="shared" si="46"/>
        <v>6.6666666667742902E-3</v>
      </c>
      <c r="DW47" s="419">
        <v>616.86</v>
      </c>
      <c r="DX47" s="419"/>
      <c r="DY47" s="419">
        <v>37.01</v>
      </c>
      <c r="DZ47" s="420">
        <f t="shared" si="47"/>
        <v>616.83000000000004</v>
      </c>
      <c r="EA47" s="423">
        <f t="shared" si="48"/>
        <v>-0.03</v>
      </c>
      <c r="EB47" s="419">
        <v>1297.1400000000001</v>
      </c>
      <c r="EC47" s="419"/>
      <c r="ED47" s="420">
        <v>77.828400000000002</v>
      </c>
      <c r="EE47" s="419">
        <v>1297.1400000000001</v>
      </c>
      <c r="EF47" s="420">
        <f t="shared" si="49"/>
        <v>0</v>
      </c>
      <c r="EG47" s="419">
        <v>3316.95</v>
      </c>
      <c r="EI47" s="419">
        <v>199.02</v>
      </c>
      <c r="EJ47" s="420">
        <f t="shared" si="50"/>
        <v>3317</v>
      </c>
      <c r="EK47" s="420">
        <f t="shared" si="51"/>
        <v>0.05</v>
      </c>
      <c r="EL47" s="419">
        <v>301.41000000000003</v>
      </c>
      <c r="EN47" s="419">
        <v>18.079999999999998</v>
      </c>
      <c r="EO47" s="419">
        <f t="shared" si="52"/>
        <v>301.33</v>
      </c>
      <c r="EP47" s="419">
        <f t="shared" si="53"/>
        <v>-0.08</v>
      </c>
      <c r="EQ47" s="419">
        <v>374.28</v>
      </c>
      <c r="ER47" s="419"/>
      <c r="ES47" s="419">
        <v>22.46</v>
      </c>
      <c r="ET47" s="419">
        <f t="shared" si="54"/>
        <v>374.33</v>
      </c>
      <c r="EU47" s="419">
        <f t="shared" si="55"/>
        <v>0.05</v>
      </c>
      <c r="EV47" s="419">
        <v>384.99</v>
      </c>
      <c r="EW47" s="419"/>
      <c r="EX47" s="419">
        <v>23.1</v>
      </c>
      <c r="EY47" s="419">
        <f t="shared" si="56"/>
        <v>385</v>
      </c>
      <c r="EZ47" s="419">
        <f t="shared" si="76"/>
        <v>0.01</v>
      </c>
      <c r="FA47" s="420"/>
      <c r="FB47" s="420"/>
      <c r="FC47" s="420"/>
      <c r="FD47" s="420">
        <f t="shared" si="57"/>
        <v>0</v>
      </c>
      <c r="FE47" s="420">
        <f t="shared" si="58"/>
        <v>0</v>
      </c>
      <c r="FF47" s="419"/>
      <c r="FG47" s="419"/>
      <c r="FH47" s="419"/>
      <c r="FI47" s="419">
        <f t="shared" si="59"/>
        <v>0</v>
      </c>
      <c r="FJ47" s="419">
        <f t="shared" si="60"/>
        <v>0</v>
      </c>
      <c r="FK47" s="419"/>
      <c r="FL47" s="419"/>
      <c r="FM47" s="419"/>
      <c r="FN47" s="420">
        <f t="shared" si="61"/>
        <v>0</v>
      </c>
      <c r="FO47" s="423">
        <f t="shared" si="62"/>
        <v>0</v>
      </c>
      <c r="FP47" s="419"/>
      <c r="FQ47" s="419"/>
      <c r="FR47" s="419"/>
      <c r="FS47" s="420">
        <f t="shared" si="63"/>
        <v>0</v>
      </c>
      <c r="FT47" s="420">
        <f t="shared" si="64"/>
        <v>0</v>
      </c>
      <c r="FU47" s="419"/>
      <c r="FV47" s="419"/>
      <c r="FW47" s="419"/>
      <c r="FX47" s="420">
        <f t="shared" si="65"/>
        <v>0</v>
      </c>
      <c r="FY47" s="420">
        <f t="shared" si="66"/>
        <v>0</v>
      </c>
      <c r="FZ47" s="419"/>
      <c r="GA47" s="419"/>
      <c r="GB47" s="419"/>
      <c r="GC47" s="420">
        <f t="shared" si="67"/>
        <v>0</v>
      </c>
      <c r="GD47" s="420">
        <f t="shared" si="68"/>
        <v>0</v>
      </c>
      <c r="GE47" s="419"/>
      <c r="GF47" s="419"/>
      <c r="GG47" s="419"/>
      <c r="GH47" s="420">
        <f t="shared" si="69"/>
        <v>0</v>
      </c>
      <c r="GI47" s="423">
        <f t="shared" si="70"/>
        <v>0</v>
      </c>
      <c r="GJ47" s="419"/>
      <c r="GK47" s="419"/>
      <c r="GL47" s="419"/>
      <c r="GM47" s="420">
        <f t="shared" si="71"/>
        <v>0</v>
      </c>
      <c r="GN47" s="420">
        <f t="shared" si="72"/>
        <v>0</v>
      </c>
      <c r="GO47" s="419"/>
      <c r="GP47" s="419"/>
      <c r="GQ47" s="419"/>
      <c r="GR47" s="420">
        <f t="shared" si="77"/>
        <v>0</v>
      </c>
      <c r="GS47" s="423">
        <f t="shared" si="73"/>
        <v>0</v>
      </c>
      <c r="GT47" s="419"/>
      <c r="GU47" s="419"/>
      <c r="GV47" s="419"/>
      <c r="GW47" s="420">
        <f t="shared" si="74"/>
        <v>0</v>
      </c>
      <c r="GX47" s="420">
        <f t="shared" si="75"/>
        <v>0</v>
      </c>
    </row>
    <row r="48" spans="1:206" ht="15">
      <c r="A48" s="414"/>
      <c r="B48" s="415" t="s">
        <v>502</v>
      </c>
      <c r="C48" s="698"/>
      <c r="D48" s="704" t="s">
        <v>504</v>
      </c>
      <c r="E48" s="714" t="s">
        <v>123</v>
      </c>
      <c r="F48" s="417">
        <v>0.16</v>
      </c>
      <c r="G48" s="418">
        <f t="shared" si="4"/>
        <v>181705.00985308501</v>
      </c>
      <c r="H48" s="418">
        <f t="shared" si="5"/>
        <v>7683271.4685714301</v>
      </c>
      <c r="I48" s="418">
        <f t="shared" si="5"/>
        <v>1229323.4349714301</v>
      </c>
      <c r="J48" s="418">
        <f t="shared" si="6"/>
        <v>7683271.4685714403</v>
      </c>
      <c r="K48" s="438"/>
      <c r="L48" s="438"/>
      <c r="M48" s="424"/>
      <c r="N48" s="424">
        <v>7683271.4685714301</v>
      </c>
      <c r="O48" s="424">
        <v>1229323.4349714301</v>
      </c>
      <c r="P48" s="424">
        <v>181705.00985308501</v>
      </c>
      <c r="Q48" s="419"/>
      <c r="R48" s="419"/>
      <c r="S48" s="419"/>
      <c r="T48" s="420">
        <v>0</v>
      </c>
      <c r="U48" s="423">
        <f t="shared" si="81"/>
        <v>0</v>
      </c>
      <c r="V48" s="420"/>
      <c r="W48" s="420"/>
      <c r="X48" s="419"/>
      <c r="Y48" s="420">
        <f t="shared" si="79"/>
        <v>0</v>
      </c>
      <c r="Z48" s="423">
        <f t="shared" si="10"/>
        <v>0</v>
      </c>
      <c r="AA48" s="423"/>
      <c r="AB48" s="419"/>
      <c r="AC48" s="419"/>
      <c r="AD48" s="420">
        <f t="shared" si="11"/>
        <v>0</v>
      </c>
      <c r="AE48" s="423">
        <f t="shared" si="12"/>
        <v>0</v>
      </c>
      <c r="AF48" s="419"/>
      <c r="AG48" s="419"/>
      <c r="AH48" s="419"/>
      <c r="AI48" s="420">
        <f t="shared" si="13"/>
        <v>0</v>
      </c>
      <c r="AJ48" s="423">
        <f t="shared" si="14"/>
        <v>0</v>
      </c>
      <c r="AK48" s="419"/>
      <c r="AL48" s="420"/>
      <c r="AM48" s="419"/>
      <c r="AN48" s="420">
        <f t="shared" si="15"/>
        <v>0</v>
      </c>
      <c r="AO48" s="423">
        <f t="shared" si="16"/>
        <v>0</v>
      </c>
      <c r="AP48" s="419"/>
      <c r="AQ48" s="419"/>
      <c r="AR48" s="419"/>
      <c r="AS48" s="420">
        <f t="shared" si="17"/>
        <v>0</v>
      </c>
      <c r="AT48" s="420">
        <f t="shared" si="18"/>
        <v>0</v>
      </c>
      <c r="AU48" s="420"/>
      <c r="AV48" s="420"/>
      <c r="AW48" s="420"/>
      <c r="AX48" s="426">
        <f t="shared" si="19"/>
        <v>0</v>
      </c>
      <c r="AY48" s="420">
        <f t="shared" si="20"/>
        <v>0</v>
      </c>
      <c r="AZ48" s="419"/>
      <c r="BA48" s="420"/>
      <c r="BB48" s="419"/>
      <c r="BC48" s="420">
        <f t="shared" si="21"/>
        <v>0</v>
      </c>
      <c r="BD48" s="427">
        <f t="shared" si="82"/>
        <v>0</v>
      </c>
      <c r="BE48" s="420"/>
      <c r="BF48" s="420"/>
      <c r="BG48" s="420"/>
      <c r="BH48" s="423">
        <f t="shared" si="22"/>
        <v>0</v>
      </c>
      <c r="BI48" s="420">
        <f t="shared" si="23"/>
        <v>0</v>
      </c>
      <c r="BJ48" s="420"/>
      <c r="BK48" s="420"/>
      <c r="BL48" s="420"/>
      <c r="BM48" s="420">
        <f t="shared" si="24"/>
        <v>0</v>
      </c>
      <c r="BN48" s="420">
        <f t="shared" si="25"/>
        <v>0</v>
      </c>
      <c r="BO48" s="419"/>
      <c r="BP48" s="428"/>
      <c r="BQ48" s="420"/>
      <c r="BR48" s="423">
        <f t="shared" si="26"/>
        <v>0</v>
      </c>
      <c r="BS48" s="423">
        <f t="shared" si="27"/>
        <v>0</v>
      </c>
      <c r="BT48" s="420"/>
      <c r="BU48" s="420"/>
      <c r="BV48" s="420"/>
      <c r="BW48" s="420"/>
      <c r="BX48" s="429">
        <f t="shared" si="28"/>
        <v>0</v>
      </c>
      <c r="BY48" s="419"/>
      <c r="BZ48" s="419"/>
      <c r="CA48" s="419"/>
      <c r="CB48" s="420">
        <f t="shared" si="29"/>
        <v>0</v>
      </c>
      <c r="CC48" s="430">
        <f t="shared" si="30"/>
        <v>0</v>
      </c>
      <c r="CD48" s="419"/>
      <c r="CE48" s="419"/>
      <c r="CF48" s="419"/>
      <c r="CG48" s="420">
        <f t="shared" si="31"/>
        <v>0</v>
      </c>
      <c r="CH48" s="423">
        <f t="shared" si="32"/>
        <v>0</v>
      </c>
      <c r="CI48" s="431"/>
      <c r="CJ48" s="431"/>
      <c r="CK48" s="431"/>
      <c r="CL48" s="420">
        <f t="shared" si="33"/>
        <v>0</v>
      </c>
      <c r="CM48" s="423">
        <f t="shared" si="34"/>
        <v>0</v>
      </c>
      <c r="CN48" s="420"/>
      <c r="CO48" s="420"/>
      <c r="CP48" s="420"/>
      <c r="CQ48" s="432"/>
      <c r="CR48" s="432">
        <f t="shared" si="35"/>
        <v>0</v>
      </c>
      <c r="CS48" s="420"/>
      <c r="CT48" s="420"/>
      <c r="CU48" s="420"/>
      <c r="CV48" s="420"/>
      <c r="CW48" s="420">
        <f t="shared" si="36"/>
        <v>0</v>
      </c>
      <c r="CX48" s="419"/>
      <c r="CY48" s="419"/>
      <c r="CZ48" s="419"/>
      <c r="DA48" s="419">
        <f t="shared" si="37"/>
        <v>0</v>
      </c>
      <c r="DB48" s="419">
        <f t="shared" si="38"/>
        <v>0</v>
      </c>
      <c r="DC48" s="419"/>
      <c r="DD48" s="419"/>
      <c r="DE48" s="419"/>
      <c r="DF48" s="420">
        <f t="shared" si="39"/>
        <v>0</v>
      </c>
      <c r="DG48" s="421">
        <f t="shared" si="40"/>
        <v>0</v>
      </c>
      <c r="DH48" s="419"/>
      <c r="DI48" s="419"/>
      <c r="DJ48" s="419"/>
      <c r="DK48" s="420">
        <f t="shared" si="41"/>
        <v>0</v>
      </c>
      <c r="DL48" s="422">
        <f t="shared" si="42"/>
        <v>0</v>
      </c>
      <c r="DM48" s="420"/>
      <c r="DN48" s="420"/>
      <c r="DO48" s="420"/>
      <c r="DP48" s="420">
        <f t="shared" si="43"/>
        <v>0</v>
      </c>
      <c r="DQ48" s="420">
        <f t="shared" si="44"/>
        <v>0</v>
      </c>
      <c r="DR48" s="419"/>
      <c r="DS48" s="419"/>
      <c r="DT48" s="419"/>
      <c r="DU48" s="420">
        <f t="shared" si="45"/>
        <v>0</v>
      </c>
      <c r="DV48" s="423">
        <f t="shared" si="46"/>
        <v>0</v>
      </c>
      <c r="DW48" s="419"/>
      <c r="DX48" s="419"/>
      <c r="DY48" s="419"/>
      <c r="DZ48" s="420">
        <f t="shared" si="47"/>
        <v>0</v>
      </c>
      <c r="EA48" s="423">
        <f t="shared" si="48"/>
        <v>0</v>
      </c>
      <c r="EB48" s="419"/>
      <c r="EC48" s="419"/>
      <c r="ED48" s="420"/>
      <c r="EE48" s="419"/>
      <c r="EF48" s="420">
        <f t="shared" si="49"/>
        <v>0</v>
      </c>
      <c r="EG48" s="419"/>
      <c r="EH48" s="419"/>
      <c r="EI48" s="419"/>
      <c r="EJ48" s="420">
        <f t="shared" si="50"/>
        <v>0</v>
      </c>
      <c r="EK48" s="420">
        <f t="shared" si="51"/>
        <v>0</v>
      </c>
      <c r="EL48" s="419"/>
      <c r="EM48" s="419"/>
      <c r="EN48" s="419"/>
      <c r="EO48" s="419">
        <f t="shared" si="52"/>
        <v>0</v>
      </c>
      <c r="EP48" s="419">
        <f t="shared" si="53"/>
        <v>0</v>
      </c>
      <c r="EQ48" s="419"/>
      <c r="ER48" s="419"/>
      <c r="ES48" s="419"/>
      <c r="ET48" s="419">
        <f t="shared" si="54"/>
        <v>0</v>
      </c>
      <c r="EU48" s="419">
        <f t="shared" si="55"/>
        <v>0</v>
      </c>
      <c r="EV48" s="419"/>
      <c r="EW48" s="419"/>
      <c r="EX48" s="419"/>
      <c r="EY48" s="419">
        <f t="shared" si="56"/>
        <v>0</v>
      </c>
      <c r="EZ48" s="419">
        <f t="shared" si="76"/>
        <v>0</v>
      </c>
      <c r="FA48" s="420"/>
      <c r="FB48" s="420"/>
      <c r="FC48" s="420"/>
      <c r="FD48" s="420">
        <f t="shared" si="57"/>
        <v>0</v>
      </c>
      <c r="FE48" s="420">
        <f t="shared" si="58"/>
        <v>0</v>
      </c>
      <c r="FF48" s="419"/>
      <c r="FG48" s="419"/>
      <c r="FH48" s="419"/>
      <c r="FI48" s="419">
        <f t="shared" si="59"/>
        <v>0</v>
      </c>
      <c r="FJ48" s="419">
        <f t="shared" si="60"/>
        <v>0</v>
      </c>
      <c r="FK48" s="419"/>
      <c r="FL48" s="419"/>
      <c r="FM48" s="419"/>
      <c r="FN48" s="420">
        <f t="shared" si="61"/>
        <v>0</v>
      </c>
      <c r="FO48" s="423">
        <f t="shared" si="62"/>
        <v>0</v>
      </c>
      <c r="FP48" s="419"/>
      <c r="FQ48" s="419"/>
      <c r="FR48" s="419"/>
      <c r="FS48" s="420">
        <f t="shared" si="63"/>
        <v>0</v>
      </c>
      <c r="FT48" s="420">
        <f t="shared" si="64"/>
        <v>0</v>
      </c>
      <c r="FU48" s="419"/>
      <c r="FV48" s="419"/>
      <c r="FW48" s="419"/>
      <c r="FX48" s="420">
        <f t="shared" si="65"/>
        <v>0</v>
      </c>
      <c r="FY48" s="420">
        <f t="shared" si="66"/>
        <v>0</v>
      </c>
      <c r="FZ48" s="419"/>
      <c r="GA48" s="419"/>
      <c r="GB48" s="419"/>
      <c r="GC48" s="420">
        <f t="shared" si="67"/>
        <v>0</v>
      </c>
      <c r="GD48" s="420">
        <f t="shared" si="68"/>
        <v>0</v>
      </c>
      <c r="GE48" s="419"/>
      <c r="GF48" s="419"/>
      <c r="GG48" s="419"/>
      <c r="GH48" s="420">
        <f t="shared" si="69"/>
        <v>0</v>
      </c>
      <c r="GI48" s="423">
        <f t="shared" si="70"/>
        <v>0</v>
      </c>
      <c r="GJ48" s="419"/>
      <c r="GK48" s="419"/>
      <c r="GL48" s="419"/>
      <c r="GM48" s="420">
        <f t="shared" si="71"/>
        <v>0</v>
      </c>
      <c r="GN48" s="420">
        <f t="shared" si="72"/>
        <v>0</v>
      </c>
      <c r="GO48" s="419"/>
      <c r="GP48" s="419"/>
      <c r="GQ48" s="419"/>
      <c r="GR48" s="420">
        <f t="shared" si="77"/>
        <v>0</v>
      </c>
      <c r="GS48" s="423">
        <f t="shared" si="73"/>
        <v>0</v>
      </c>
      <c r="GT48" s="419"/>
      <c r="GU48" s="419"/>
      <c r="GV48" s="419"/>
      <c r="GW48" s="420">
        <f t="shared" si="74"/>
        <v>0</v>
      </c>
      <c r="GX48" s="420">
        <f t="shared" si="75"/>
        <v>0</v>
      </c>
    </row>
    <row r="49" spans="1:206" ht="15">
      <c r="A49" s="414"/>
      <c r="B49" s="415" t="s">
        <v>502</v>
      </c>
      <c r="C49" s="698"/>
      <c r="D49" s="705"/>
      <c r="E49" s="715"/>
      <c r="F49" s="417">
        <v>0.13</v>
      </c>
      <c r="G49" s="418">
        <f t="shared" si="4"/>
        <v>13723365.7598531</v>
      </c>
      <c r="H49" s="418">
        <f t="shared" si="5"/>
        <v>0</v>
      </c>
      <c r="I49" s="418">
        <f t="shared" si="5"/>
        <v>65276.41</v>
      </c>
      <c r="J49" s="418">
        <f t="shared" si="6"/>
        <v>502126.23076923098</v>
      </c>
      <c r="K49" s="438"/>
      <c r="L49" s="438"/>
      <c r="M49" s="424">
        <v>13723365.76</v>
      </c>
      <c r="N49" s="424">
        <v>0</v>
      </c>
      <c r="O49" s="424">
        <v>65276.41</v>
      </c>
      <c r="Q49" s="424">
        <v>181705.00985308501</v>
      </c>
      <c r="R49" s="419"/>
      <c r="S49" s="420">
        <v>0</v>
      </c>
      <c r="T49" s="420">
        <v>0</v>
      </c>
      <c r="U49" s="423">
        <f t="shared" si="81"/>
        <v>-181705.00985308501</v>
      </c>
      <c r="V49" s="420">
        <v>-181705.01</v>
      </c>
      <c r="W49" s="420"/>
      <c r="X49" s="419"/>
      <c r="Y49" s="420">
        <f t="shared" si="79"/>
        <v>0</v>
      </c>
      <c r="Z49" s="423">
        <f t="shared" si="10"/>
        <v>181705.01</v>
      </c>
      <c r="AA49" s="423"/>
      <c r="AB49" s="419"/>
      <c r="AC49" s="419"/>
      <c r="AD49" s="420">
        <f t="shared" si="11"/>
        <v>0</v>
      </c>
      <c r="AE49" s="423">
        <f t="shared" si="12"/>
        <v>0</v>
      </c>
      <c r="AF49" s="419"/>
      <c r="AG49" s="419"/>
      <c r="AH49" s="419"/>
      <c r="AI49" s="420">
        <f t="shared" si="13"/>
        <v>0</v>
      </c>
      <c r="AJ49" s="423">
        <f t="shared" si="14"/>
        <v>0</v>
      </c>
      <c r="AK49" s="419"/>
      <c r="AL49" s="420"/>
      <c r="AM49" s="419"/>
      <c r="AN49" s="420">
        <f t="shared" si="15"/>
        <v>0</v>
      </c>
      <c r="AO49" s="423">
        <f t="shared" si="16"/>
        <v>0</v>
      </c>
      <c r="AP49" s="419"/>
      <c r="AQ49" s="419"/>
      <c r="AR49" s="420"/>
      <c r="AS49" s="420">
        <f t="shared" si="17"/>
        <v>0</v>
      </c>
      <c r="AT49" s="420">
        <f t="shared" si="18"/>
        <v>0</v>
      </c>
      <c r="AU49" s="420"/>
      <c r="AV49" s="420"/>
      <c r="AW49" s="420"/>
      <c r="AX49" s="426">
        <f t="shared" si="19"/>
        <v>0</v>
      </c>
      <c r="AY49" s="420">
        <f t="shared" si="20"/>
        <v>0</v>
      </c>
      <c r="AZ49" s="419"/>
      <c r="BA49" s="420"/>
      <c r="BB49" s="419"/>
      <c r="BC49" s="420">
        <f t="shared" si="21"/>
        <v>0</v>
      </c>
      <c r="BD49" s="427">
        <f t="shared" si="82"/>
        <v>0</v>
      </c>
      <c r="BE49" s="420"/>
      <c r="BF49" s="420"/>
      <c r="BG49" s="420"/>
      <c r="BH49" s="423">
        <f t="shared" si="22"/>
        <v>0</v>
      </c>
      <c r="BI49" s="420">
        <f t="shared" si="23"/>
        <v>0</v>
      </c>
      <c r="BJ49" s="420"/>
      <c r="BK49" s="420"/>
      <c r="BL49" s="420"/>
      <c r="BM49" s="420">
        <f t="shared" si="24"/>
        <v>0</v>
      </c>
      <c r="BN49" s="420">
        <f t="shared" si="25"/>
        <v>0</v>
      </c>
      <c r="BO49" s="419"/>
      <c r="BP49" s="428"/>
      <c r="BQ49" s="420"/>
      <c r="BR49" s="423">
        <f t="shared" si="26"/>
        <v>0</v>
      </c>
      <c r="BS49" s="423">
        <f t="shared" si="27"/>
        <v>0</v>
      </c>
      <c r="BT49" s="420"/>
      <c r="BU49" s="420"/>
      <c r="BV49" s="420"/>
      <c r="BW49" s="420"/>
      <c r="BX49" s="429">
        <f t="shared" si="28"/>
        <v>0</v>
      </c>
      <c r="BY49" s="419"/>
      <c r="BZ49" s="419"/>
      <c r="CA49" s="419"/>
      <c r="CB49" s="420">
        <f t="shared" si="29"/>
        <v>0</v>
      </c>
      <c r="CC49" s="430">
        <f t="shared" si="30"/>
        <v>0</v>
      </c>
      <c r="CD49" s="419"/>
      <c r="CE49" s="419"/>
      <c r="CF49" s="419"/>
      <c r="CG49" s="420">
        <f t="shared" si="31"/>
        <v>0</v>
      </c>
      <c r="CH49" s="423">
        <f t="shared" si="32"/>
        <v>0</v>
      </c>
      <c r="CI49" s="431"/>
      <c r="CJ49" s="431"/>
      <c r="CK49" s="431"/>
      <c r="CL49" s="420">
        <f t="shared" si="33"/>
        <v>0</v>
      </c>
      <c r="CM49" s="423">
        <f t="shared" si="34"/>
        <v>0</v>
      </c>
      <c r="CN49" s="420"/>
      <c r="CO49" s="420"/>
      <c r="CP49" s="420"/>
      <c r="CQ49" s="432"/>
      <c r="CR49" s="432">
        <f t="shared" si="35"/>
        <v>0</v>
      </c>
      <c r="CS49" s="420"/>
      <c r="CT49" s="420"/>
      <c r="CU49" s="420"/>
      <c r="CV49" s="420"/>
      <c r="CW49" s="420">
        <f t="shared" si="36"/>
        <v>0</v>
      </c>
      <c r="CX49" s="419"/>
      <c r="CY49" s="419"/>
      <c r="CZ49" s="419"/>
      <c r="DA49" s="419">
        <f t="shared" si="37"/>
        <v>0</v>
      </c>
      <c r="DB49" s="419">
        <f t="shared" si="38"/>
        <v>0</v>
      </c>
      <c r="DC49" s="419"/>
      <c r="DD49" s="419"/>
      <c r="DE49" s="419"/>
      <c r="DF49" s="420">
        <f t="shared" si="39"/>
        <v>0</v>
      </c>
      <c r="DG49" s="421">
        <f t="shared" si="40"/>
        <v>0</v>
      </c>
      <c r="DH49" s="419"/>
      <c r="DI49" s="419"/>
      <c r="DJ49" s="419"/>
      <c r="DK49" s="420">
        <f t="shared" si="41"/>
        <v>0</v>
      </c>
      <c r="DL49" s="422">
        <f t="shared" si="42"/>
        <v>0</v>
      </c>
      <c r="DM49" s="420"/>
      <c r="DN49" s="420"/>
      <c r="DO49" s="420"/>
      <c r="DP49" s="420">
        <f t="shared" si="43"/>
        <v>0</v>
      </c>
      <c r="DQ49" s="420">
        <f t="shared" si="44"/>
        <v>0</v>
      </c>
      <c r="DR49" s="419"/>
      <c r="DS49" s="419"/>
      <c r="DT49" s="419"/>
      <c r="DU49" s="420">
        <f t="shared" si="45"/>
        <v>0</v>
      </c>
      <c r="DV49" s="423">
        <f t="shared" si="46"/>
        <v>0</v>
      </c>
      <c r="DW49" s="419"/>
      <c r="DX49" s="419"/>
      <c r="DY49" s="419"/>
      <c r="DZ49" s="420">
        <f t="shared" si="47"/>
        <v>0</v>
      </c>
      <c r="EA49" s="423">
        <f t="shared" si="48"/>
        <v>0</v>
      </c>
      <c r="EB49" s="419"/>
      <c r="EC49" s="419"/>
      <c r="ED49" s="420"/>
      <c r="EE49" s="419"/>
      <c r="EF49" s="420">
        <f t="shared" si="49"/>
        <v>0</v>
      </c>
      <c r="EG49" s="419"/>
      <c r="EH49" s="419"/>
      <c r="EI49" s="419"/>
      <c r="EJ49" s="420">
        <f t="shared" si="50"/>
        <v>0</v>
      </c>
      <c r="EK49" s="420">
        <f t="shared" si="51"/>
        <v>0</v>
      </c>
      <c r="EL49" s="419"/>
      <c r="EM49" s="419"/>
      <c r="EN49" s="419"/>
      <c r="EO49" s="419">
        <f t="shared" si="52"/>
        <v>0</v>
      </c>
      <c r="EP49" s="419">
        <f t="shared" si="53"/>
        <v>0</v>
      </c>
      <c r="EQ49" s="419"/>
      <c r="ER49" s="419"/>
      <c r="ES49" s="419"/>
      <c r="ET49" s="419">
        <f t="shared" si="54"/>
        <v>0</v>
      </c>
      <c r="EU49" s="419">
        <f t="shared" si="55"/>
        <v>0</v>
      </c>
      <c r="EV49" s="419"/>
      <c r="EW49" s="419"/>
      <c r="EX49" s="419"/>
      <c r="EY49" s="419">
        <f t="shared" si="56"/>
        <v>0</v>
      </c>
      <c r="EZ49" s="419">
        <f t="shared" si="76"/>
        <v>0</v>
      </c>
      <c r="FA49" s="420"/>
      <c r="FB49" s="420"/>
      <c r="FC49" s="420"/>
      <c r="FD49" s="420">
        <f t="shared" si="57"/>
        <v>0</v>
      </c>
      <c r="FE49" s="420">
        <f t="shared" si="58"/>
        <v>0</v>
      </c>
      <c r="FF49" s="449"/>
      <c r="FG49" s="449"/>
      <c r="FH49" s="449"/>
      <c r="FI49" s="449">
        <f t="shared" si="59"/>
        <v>0</v>
      </c>
      <c r="FJ49" s="419">
        <f t="shared" si="60"/>
        <v>0</v>
      </c>
      <c r="FK49" s="419"/>
      <c r="FL49" s="419"/>
      <c r="FM49" s="419"/>
      <c r="FN49" s="420">
        <f t="shared" si="61"/>
        <v>0</v>
      </c>
      <c r="FO49" s="423">
        <f t="shared" si="62"/>
        <v>0</v>
      </c>
      <c r="FP49" s="419"/>
      <c r="FQ49" s="419"/>
      <c r="FR49" s="419"/>
      <c r="FS49" s="420">
        <f t="shared" si="63"/>
        <v>0</v>
      </c>
      <c r="FT49" s="420">
        <f t="shared" si="64"/>
        <v>0</v>
      </c>
      <c r="FU49" s="419"/>
      <c r="FV49" s="419"/>
      <c r="FW49" s="419"/>
      <c r="FX49" s="420">
        <f t="shared" si="65"/>
        <v>0</v>
      </c>
      <c r="FY49" s="420">
        <f t="shared" si="66"/>
        <v>0</v>
      </c>
      <c r="FZ49" s="419"/>
      <c r="GA49" s="419"/>
      <c r="GB49" s="419"/>
      <c r="GC49" s="420">
        <f t="shared" si="67"/>
        <v>0</v>
      </c>
      <c r="GD49" s="420">
        <f t="shared" si="68"/>
        <v>0</v>
      </c>
      <c r="GE49" s="419"/>
      <c r="GF49" s="419"/>
      <c r="GG49" s="419"/>
      <c r="GH49" s="420">
        <f t="shared" si="69"/>
        <v>0</v>
      </c>
      <c r="GI49" s="423">
        <f t="shared" si="70"/>
        <v>0</v>
      </c>
      <c r="GJ49" s="419"/>
      <c r="GK49" s="419"/>
      <c r="GL49" s="419"/>
      <c r="GM49" s="420">
        <f t="shared" si="71"/>
        <v>0</v>
      </c>
      <c r="GN49" s="420">
        <f t="shared" si="72"/>
        <v>0</v>
      </c>
      <c r="GO49" s="419"/>
      <c r="GP49" s="419"/>
      <c r="GQ49" s="419"/>
      <c r="GR49" s="420">
        <f t="shared" si="77"/>
        <v>0</v>
      </c>
      <c r="GS49" s="423">
        <f t="shared" si="73"/>
        <v>0</v>
      </c>
      <c r="GT49" s="419"/>
      <c r="GU49" s="419"/>
      <c r="GV49" s="419"/>
      <c r="GW49" s="420">
        <f t="shared" si="74"/>
        <v>0</v>
      </c>
      <c r="GX49" s="420">
        <f t="shared" si="75"/>
        <v>0</v>
      </c>
    </row>
    <row r="50" spans="1:206" ht="15">
      <c r="A50" s="414"/>
      <c r="B50" s="415" t="s">
        <v>502</v>
      </c>
      <c r="C50" s="698"/>
      <c r="D50" s="705"/>
      <c r="E50" s="714" t="s">
        <v>124</v>
      </c>
      <c r="F50" s="417">
        <v>0.1</v>
      </c>
      <c r="G50" s="418">
        <f t="shared" si="4"/>
        <v>0</v>
      </c>
      <c r="H50" s="418">
        <f t="shared" si="5"/>
        <v>8272727.2599999998</v>
      </c>
      <c r="I50" s="418">
        <f t="shared" si="5"/>
        <v>827272.74</v>
      </c>
      <c r="J50" s="418">
        <f t="shared" si="6"/>
        <v>8272727.4000000004</v>
      </c>
      <c r="K50" s="438"/>
      <c r="L50" s="438"/>
      <c r="M50" s="424"/>
      <c r="N50" s="424">
        <v>8272727.2599999998</v>
      </c>
      <c r="O50" s="424">
        <v>827272.74</v>
      </c>
      <c r="P50" s="424"/>
      <c r="Q50" s="419"/>
      <c r="R50" s="419"/>
      <c r="S50" s="419"/>
      <c r="T50" s="420">
        <v>0</v>
      </c>
      <c r="U50" s="423">
        <f t="shared" si="81"/>
        <v>0</v>
      </c>
      <c r="V50" s="420"/>
      <c r="W50" s="420"/>
      <c r="X50" s="419"/>
      <c r="Y50" s="420">
        <f t="shared" si="79"/>
        <v>0</v>
      </c>
      <c r="Z50" s="423">
        <f t="shared" si="10"/>
        <v>0</v>
      </c>
      <c r="AA50" s="423"/>
      <c r="AB50" s="419"/>
      <c r="AC50" s="419"/>
      <c r="AD50" s="420">
        <f t="shared" si="11"/>
        <v>0</v>
      </c>
      <c r="AE50" s="423">
        <f t="shared" si="12"/>
        <v>0</v>
      </c>
      <c r="AF50" s="419"/>
      <c r="AG50" s="419"/>
      <c r="AH50" s="419"/>
      <c r="AI50" s="420">
        <f t="shared" si="13"/>
        <v>0</v>
      </c>
      <c r="AJ50" s="423">
        <f t="shared" si="14"/>
        <v>0</v>
      </c>
      <c r="AK50" s="419"/>
      <c r="AL50" s="420"/>
      <c r="AM50" s="419"/>
      <c r="AN50" s="420">
        <f t="shared" si="15"/>
        <v>0</v>
      </c>
      <c r="AO50" s="423">
        <f t="shared" si="16"/>
        <v>0</v>
      </c>
      <c r="AP50" s="419"/>
      <c r="AQ50" s="419"/>
      <c r="AR50" s="419"/>
      <c r="AS50" s="420">
        <f t="shared" si="17"/>
        <v>0</v>
      </c>
      <c r="AT50" s="420">
        <f t="shared" si="18"/>
        <v>0</v>
      </c>
      <c r="AU50" s="420"/>
      <c r="AV50" s="420"/>
      <c r="AW50" s="420"/>
      <c r="AX50" s="426">
        <f t="shared" si="19"/>
        <v>0</v>
      </c>
      <c r="AY50" s="420">
        <f t="shared" si="20"/>
        <v>0</v>
      </c>
      <c r="AZ50" s="419"/>
      <c r="BA50" s="420"/>
      <c r="BB50" s="419"/>
      <c r="BC50" s="420">
        <f t="shared" si="21"/>
        <v>0</v>
      </c>
      <c r="BD50" s="427">
        <f t="shared" si="82"/>
        <v>0</v>
      </c>
      <c r="BE50" s="420"/>
      <c r="BF50" s="420"/>
      <c r="BG50" s="420"/>
      <c r="BH50" s="423">
        <f t="shared" si="22"/>
        <v>0</v>
      </c>
      <c r="BI50" s="420">
        <f t="shared" si="23"/>
        <v>0</v>
      </c>
      <c r="BJ50" s="420"/>
      <c r="BK50" s="420"/>
      <c r="BL50" s="420"/>
      <c r="BM50" s="420">
        <f t="shared" si="24"/>
        <v>0</v>
      </c>
      <c r="BN50" s="420">
        <f t="shared" si="25"/>
        <v>0</v>
      </c>
      <c r="BO50" s="419"/>
      <c r="BP50" s="428"/>
      <c r="BQ50" s="420"/>
      <c r="BR50" s="423">
        <f t="shared" si="26"/>
        <v>0</v>
      </c>
      <c r="BS50" s="423">
        <f t="shared" si="27"/>
        <v>0</v>
      </c>
      <c r="BT50" s="420"/>
      <c r="BU50" s="420"/>
      <c r="BV50" s="420"/>
      <c r="BW50" s="420"/>
      <c r="BX50" s="429">
        <f t="shared" si="28"/>
        <v>0</v>
      </c>
      <c r="BY50" s="419"/>
      <c r="BZ50" s="419"/>
      <c r="CA50" s="419"/>
      <c r="CB50" s="420">
        <f t="shared" si="29"/>
        <v>0</v>
      </c>
      <c r="CC50" s="430">
        <f t="shared" si="30"/>
        <v>0</v>
      </c>
      <c r="CD50" s="419"/>
      <c r="CE50" s="419"/>
      <c r="CF50" s="419"/>
      <c r="CG50" s="420">
        <f t="shared" si="31"/>
        <v>0</v>
      </c>
      <c r="CH50" s="423">
        <f t="shared" si="32"/>
        <v>0</v>
      </c>
      <c r="CI50" s="431"/>
      <c r="CJ50" s="431"/>
      <c r="CK50" s="431"/>
      <c r="CL50" s="420">
        <f t="shared" si="33"/>
        <v>0</v>
      </c>
      <c r="CM50" s="423">
        <f t="shared" si="34"/>
        <v>0</v>
      </c>
      <c r="CN50" s="420"/>
      <c r="CO50" s="420"/>
      <c r="CP50" s="420"/>
      <c r="CQ50" s="432"/>
      <c r="CR50" s="432">
        <f t="shared" si="35"/>
        <v>0</v>
      </c>
      <c r="CS50" s="420"/>
      <c r="CT50" s="420"/>
      <c r="CU50" s="420"/>
      <c r="CV50" s="420"/>
      <c r="CW50" s="420">
        <f t="shared" si="36"/>
        <v>0</v>
      </c>
      <c r="CX50" s="419"/>
      <c r="CY50" s="419"/>
      <c r="CZ50" s="419"/>
      <c r="DA50" s="419">
        <f t="shared" si="37"/>
        <v>0</v>
      </c>
      <c r="DB50" s="419">
        <f t="shared" si="38"/>
        <v>0</v>
      </c>
      <c r="DC50" s="419"/>
      <c r="DD50" s="419"/>
      <c r="DE50" s="419"/>
      <c r="DF50" s="420">
        <f t="shared" si="39"/>
        <v>0</v>
      </c>
      <c r="DG50" s="421">
        <f t="shared" si="40"/>
        <v>0</v>
      </c>
      <c r="DH50" s="419"/>
      <c r="DI50" s="419"/>
      <c r="DJ50" s="419"/>
      <c r="DK50" s="420">
        <f t="shared" si="41"/>
        <v>0</v>
      </c>
      <c r="DL50" s="422">
        <f t="shared" si="42"/>
        <v>0</v>
      </c>
      <c r="DM50" s="420"/>
      <c r="DN50" s="420"/>
      <c r="DO50" s="420"/>
      <c r="DP50" s="420">
        <f t="shared" si="43"/>
        <v>0</v>
      </c>
      <c r="DQ50" s="420">
        <f t="shared" si="44"/>
        <v>0</v>
      </c>
      <c r="DR50" s="419"/>
      <c r="DS50" s="419"/>
      <c r="DT50" s="419"/>
      <c r="DU50" s="420">
        <f t="shared" si="45"/>
        <v>0</v>
      </c>
      <c r="DV50" s="423">
        <f t="shared" si="46"/>
        <v>0</v>
      </c>
      <c r="DW50" s="419"/>
      <c r="DX50" s="419"/>
      <c r="DY50" s="419"/>
      <c r="DZ50" s="420">
        <f t="shared" si="47"/>
        <v>0</v>
      </c>
      <c r="EA50" s="423">
        <f t="shared" si="48"/>
        <v>0</v>
      </c>
      <c r="EB50" s="419"/>
      <c r="EC50" s="419"/>
      <c r="ED50" s="420"/>
      <c r="EE50" s="419"/>
      <c r="EF50" s="420">
        <f t="shared" si="49"/>
        <v>0</v>
      </c>
      <c r="EG50" s="419"/>
      <c r="EH50" s="419"/>
      <c r="EI50" s="419"/>
      <c r="EJ50" s="420">
        <f t="shared" si="50"/>
        <v>0</v>
      </c>
      <c r="EK50" s="420">
        <f t="shared" si="51"/>
        <v>0</v>
      </c>
      <c r="EL50" s="419"/>
      <c r="EM50" s="419"/>
      <c r="EN50" s="419"/>
      <c r="EO50" s="419">
        <f t="shared" si="52"/>
        <v>0</v>
      </c>
      <c r="EP50" s="419">
        <f t="shared" si="53"/>
        <v>0</v>
      </c>
      <c r="EQ50" s="419"/>
      <c r="ER50" s="419"/>
      <c r="ES50" s="419"/>
      <c r="ET50" s="419">
        <f t="shared" si="54"/>
        <v>0</v>
      </c>
      <c r="EU50" s="419">
        <f t="shared" si="55"/>
        <v>0</v>
      </c>
      <c r="EV50" s="419"/>
      <c r="EW50" s="419"/>
      <c r="EX50" s="419"/>
      <c r="EY50" s="419">
        <f t="shared" si="56"/>
        <v>0</v>
      </c>
      <c r="EZ50" s="419">
        <f t="shared" si="76"/>
        <v>0</v>
      </c>
      <c r="FA50" s="420"/>
      <c r="FB50" s="420"/>
      <c r="FC50" s="420"/>
      <c r="FD50" s="420">
        <f t="shared" si="57"/>
        <v>0</v>
      </c>
      <c r="FE50" s="420">
        <f t="shared" si="58"/>
        <v>0</v>
      </c>
      <c r="FF50" s="419"/>
      <c r="FG50" s="419"/>
      <c r="FH50" s="419"/>
      <c r="FI50" s="419">
        <f t="shared" si="59"/>
        <v>0</v>
      </c>
      <c r="FJ50" s="419">
        <f t="shared" si="60"/>
        <v>0</v>
      </c>
      <c r="FK50" s="419"/>
      <c r="FL50" s="419"/>
      <c r="FM50" s="419"/>
      <c r="FN50" s="420">
        <f t="shared" si="61"/>
        <v>0</v>
      </c>
      <c r="FO50" s="423">
        <f t="shared" si="62"/>
        <v>0</v>
      </c>
      <c r="FP50" s="419"/>
      <c r="FQ50" s="419"/>
      <c r="FR50" s="419"/>
      <c r="FS50" s="420">
        <f t="shared" si="63"/>
        <v>0</v>
      </c>
      <c r="FT50" s="420">
        <f t="shared" si="64"/>
        <v>0</v>
      </c>
      <c r="FU50" s="419"/>
      <c r="FV50" s="419"/>
      <c r="FW50" s="419"/>
      <c r="FX50" s="420">
        <f t="shared" si="65"/>
        <v>0</v>
      </c>
      <c r="FY50" s="420">
        <f t="shared" si="66"/>
        <v>0</v>
      </c>
      <c r="FZ50" s="419"/>
      <c r="GA50" s="419"/>
      <c r="GB50" s="419"/>
      <c r="GC50" s="420">
        <f t="shared" si="67"/>
        <v>0</v>
      </c>
      <c r="GD50" s="420">
        <f t="shared" si="68"/>
        <v>0</v>
      </c>
      <c r="GE50" s="419"/>
      <c r="GF50" s="419"/>
      <c r="GG50" s="419"/>
      <c r="GH50" s="420">
        <f t="shared" si="69"/>
        <v>0</v>
      </c>
      <c r="GI50" s="423">
        <f t="shared" si="70"/>
        <v>0</v>
      </c>
      <c r="GJ50" s="419"/>
      <c r="GK50" s="419"/>
      <c r="GL50" s="419"/>
      <c r="GM50" s="420">
        <f t="shared" si="71"/>
        <v>0</v>
      </c>
      <c r="GN50" s="420">
        <f t="shared" si="72"/>
        <v>0</v>
      </c>
      <c r="GO50" s="419"/>
      <c r="GP50" s="419"/>
      <c r="GQ50" s="419"/>
      <c r="GR50" s="420">
        <f t="shared" si="77"/>
        <v>0</v>
      </c>
      <c r="GS50" s="423">
        <f t="shared" si="73"/>
        <v>0</v>
      </c>
      <c r="GT50" s="419"/>
      <c r="GU50" s="419"/>
      <c r="GV50" s="419"/>
      <c r="GW50" s="420">
        <f t="shared" si="74"/>
        <v>0</v>
      </c>
      <c r="GX50" s="420">
        <f t="shared" si="75"/>
        <v>0</v>
      </c>
    </row>
    <row r="51" spans="1:206" ht="15">
      <c r="A51" s="414"/>
      <c r="B51" s="415" t="s">
        <v>502</v>
      </c>
      <c r="C51" s="698"/>
      <c r="D51" s="706"/>
      <c r="E51" s="715"/>
      <c r="F51" s="417">
        <v>0.09</v>
      </c>
      <c r="G51" s="418">
        <f t="shared" si="4"/>
        <v>9623746.4640369993</v>
      </c>
      <c r="H51" s="418">
        <f t="shared" si="5"/>
        <v>0</v>
      </c>
      <c r="I51" s="418">
        <f t="shared" si="5"/>
        <v>361810.26514799998</v>
      </c>
      <c r="J51" s="418">
        <f t="shared" si="6"/>
        <v>4020114.0572000002</v>
      </c>
      <c r="K51" s="438"/>
      <c r="L51" s="438"/>
      <c r="M51" s="424">
        <v>9511414.014037</v>
      </c>
      <c r="N51" s="424">
        <v>0</v>
      </c>
      <c r="O51" s="424">
        <v>351700.34464800003</v>
      </c>
      <c r="P51" s="424"/>
      <c r="Q51" s="444">
        <v>112332.45</v>
      </c>
      <c r="R51" s="419"/>
      <c r="S51" s="420">
        <f>Q51*0.09</f>
        <v>10109.9205</v>
      </c>
      <c r="T51" s="420">
        <v>112332.45</v>
      </c>
      <c r="U51" s="423">
        <f t="shared" si="81"/>
        <v>0</v>
      </c>
      <c r="V51" s="420"/>
      <c r="W51" s="420"/>
      <c r="X51" s="419"/>
      <c r="Y51" s="420">
        <f t="shared" si="79"/>
        <v>0</v>
      </c>
      <c r="Z51" s="423">
        <f t="shared" si="10"/>
        <v>0</v>
      </c>
      <c r="AA51" s="423"/>
      <c r="AB51" s="419"/>
      <c r="AC51" s="419"/>
      <c r="AD51" s="420">
        <f t="shared" si="11"/>
        <v>0</v>
      </c>
      <c r="AE51" s="423">
        <f t="shared" si="12"/>
        <v>0</v>
      </c>
      <c r="AF51" s="419"/>
      <c r="AG51" s="419"/>
      <c r="AH51" s="419"/>
      <c r="AI51" s="420">
        <f t="shared" si="13"/>
        <v>0</v>
      </c>
      <c r="AJ51" s="423">
        <f t="shared" si="14"/>
        <v>0</v>
      </c>
      <c r="AK51" s="419"/>
      <c r="AL51" s="420"/>
      <c r="AM51" s="419"/>
      <c r="AN51" s="420">
        <f t="shared" si="15"/>
        <v>0</v>
      </c>
      <c r="AO51" s="423">
        <f t="shared" si="16"/>
        <v>0</v>
      </c>
      <c r="AP51" s="423"/>
      <c r="AQ51" s="419"/>
      <c r="AR51" s="419"/>
      <c r="AS51" s="420">
        <f t="shared" si="17"/>
        <v>0</v>
      </c>
      <c r="AT51" s="420">
        <f t="shared" si="18"/>
        <v>0</v>
      </c>
      <c r="AU51" s="420"/>
      <c r="AV51" s="420"/>
      <c r="AW51" s="420"/>
      <c r="AX51" s="426">
        <f t="shared" si="19"/>
        <v>0</v>
      </c>
      <c r="AY51" s="420">
        <f t="shared" si="20"/>
        <v>0</v>
      </c>
      <c r="AZ51" s="419"/>
      <c r="BA51" s="420"/>
      <c r="BB51" s="419"/>
      <c r="BC51" s="420">
        <f t="shared" si="21"/>
        <v>0</v>
      </c>
      <c r="BD51" s="427">
        <f t="shared" si="82"/>
        <v>0</v>
      </c>
      <c r="BE51" s="420"/>
      <c r="BF51" s="420"/>
      <c r="BG51" s="420"/>
      <c r="BH51" s="423">
        <f t="shared" si="22"/>
        <v>0</v>
      </c>
      <c r="BI51" s="420">
        <f t="shared" si="23"/>
        <v>0</v>
      </c>
      <c r="BJ51" s="420"/>
      <c r="BK51" s="420"/>
      <c r="BL51" s="420"/>
      <c r="BM51" s="420">
        <f t="shared" si="24"/>
        <v>0</v>
      </c>
      <c r="BN51" s="420">
        <f t="shared" si="25"/>
        <v>0</v>
      </c>
      <c r="BO51" s="419"/>
      <c r="BP51" s="428"/>
      <c r="BQ51" s="420"/>
      <c r="BR51" s="423">
        <f t="shared" si="26"/>
        <v>0</v>
      </c>
      <c r="BS51" s="423">
        <f t="shared" si="27"/>
        <v>0</v>
      </c>
      <c r="BT51" s="420"/>
      <c r="BU51" s="420"/>
      <c r="BV51" s="420"/>
      <c r="BW51" s="420"/>
      <c r="BX51" s="429">
        <f t="shared" si="28"/>
        <v>0</v>
      </c>
      <c r="BY51" s="419"/>
      <c r="BZ51" s="419"/>
      <c r="CA51" s="419"/>
      <c r="CB51" s="420">
        <f t="shared" si="29"/>
        <v>0</v>
      </c>
      <c r="CC51" s="430">
        <f t="shared" si="30"/>
        <v>0</v>
      </c>
      <c r="CD51" s="419"/>
      <c r="CE51" s="419"/>
      <c r="CF51" s="419"/>
      <c r="CG51" s="420">
        <f t="shared" si="31"/>
        <v>0</v>
      </c>
      <c r="CH51" s="423">
        <f t="shared" si="32"/>
        <v>0</v>
      </c>
      <c r="CI51" s="431"/>
      <c r="CJ51" s="431"/>
      <c r="CK51" s="431"/>
      <c r="CL51" s="420">
        <f t="shared" si="33"/>
        <v>0</v>
      </c>
      <c r="CM51" s="423">
        <f t="shared" si="34"/>
        <v>0</v>
      </c>
      <c r="CN51" s="420"/>
      <c r="CO51" s="420"/>
      <c r="CP51" s="420"/>
      <c r="CQ51" s="432"/>
      <c r="CR51" s="432">
        <f t="shared" si="35"/>
        <v>0</v>
      </c>
      <c r="CS51" s="420"/>
      <c r="CT51" s="420"/>
      <c r="CU51" s="420"/>
      <c r="CV51" s="420"/>
      <c r="CW51" s="420">
        <f t="shared" si="36"/>
        <v>0</v>
      </c>
      <c r="CX51" s="419"/>
      <c r="CY51" s="419"/>
      <c r="CZ51" s="419"/>
      <c r="DA51" s="419">
        <f t="shared" si="37"/>
        <v>0</v>
      </c>
      <c r="DB51" s="419">
        <f t="shared" si="38"/>
        <v>0</v>
      </c>
      <c r="DC51" s="419"/>
      <c r="DD51" s="419"/>
      <c r="DE51" s="419"/>
      <c r="DF51" s="420">
        <f t="shared" si="39"/>
        <v>0</v>
      </c>
      <c r="DG51" s="421">
        <f t="shared" si="40"/>
        <v>0</v>
      </c>
      <c r="DH51" s="419"/>
      <c r="DI51" s="419"/>
      <c r="DJ51" s="419"/>
      <c r="DK51" s="420">
        <f t="shared" si="41"/>
        <v>0</v>
      </c>
      <c r="DL51" s="422">
        <f t="shared" si="42"/>
        <v>0</v>
      </c>
      <c r="DM51" s="420"/>
      <c r="DN51" s="420"/>
      <c r="DO51" s="420"/>
      <c r="DP51" s="420">
        <f t="shared" si="43"/>
        <v>0</v>
      </c>
      <c r="DQ51" s="420">
        <f t="shared" si="44"/>
        <v>0</v>
      </c>
      <c r="DR51" s="419"/>
      <c r="DS51" s="419"/>
      <c r="DT51" s="419"/>
      <c r="DU51" s="420">
        <f t="shared" si="45"/>
        <v>0</v>
      </c>
      <c r="DV51" s="423">
        <f t="shared" si="46"/>
        <v>0</v>
      </c>
      <c r="DW51" s="419"/>
      <c r="DX51" s="419"/>
      <c r="DY51" s="419"/>
      <c r="DZ51" s="420">
        <f t="shared" si="47"/>
        <v>0</v>
      </c>
      <c r="EA51" s="423">
        <f t="shared" si="48"/>
        <v>0</v>
      </c>
      <c r="EB51" s="420"/>
      <c r="EC51" s="419"/>
      <c r="ED51" s="420"/>
      <c r="EE51" s="419"/>
      <c r="EF51" s="420">
        <f t="shared" si="49"/>
        <v>0</v>
      </c>
      <c r="EG51" s="419"/>
      <c r="EH51" s="419"/>
      <c r="EI51" s="419"/>
      <c r="EJ51" s="420">
        <f t="shared" si="50"/>
        <v>0</v>
      </c>
      <c r="EK51" s="420">
        <f t="shared" si="51"/>
        <v>0</v>
      </c>
      <c r="EL51" s="419"/>
      <c r="EM51" s="419"/>
      <c r="EN51" s="419"/>
      <c r="EO51" s="419">
        <f t="shared" si="52"/>
        <v>0</v>
      </c>
      <c r="EP51" s="419">
        <f t="shared" si="53"/>
        <v>0</v>
      </c>
      <c r="EQ51" s="419"/>
      <c r="ER51" s="419"/>
      <c r="ES51" s="419"/>
      <c r="ET51" s="419">
        <f t="shared" si="54"/>
        <v>0</v>
      </c>
      <c r="EU51" s="419">
        <f t="shared" si="55"/>
        <v>0</v>
      </c>
      <c r="EV51" s="419"/>
      <c r="EW51" s="419"/>
      <c r="EX51" s="419"/>
      <c r="EY51" s="419">
        <f t="shared" si="56"/>
        <v>0</v>
      </c>
      <c r="EZ51" s="419">
        <f t="shared" si="76"/>
        <v>0</v>
      </c>
      <c r="FA51" s="420"/>
      <c r="FB51" s="420"/>
      <c r="FC51" s="420"/>
      <c r="FD51" s="420">
        <f t="shared" si="57"/>
        <v>0</v>
      </c>
      <c r="FE51" s="420">
        <f t="shared" si="58"/>
        <v>0</v>
      </c>
      <c r="FF51" s="419"/>
      <c r="FG51" s="419"/>
      <c r="FH51" s="419"/>
      <c r="FI51" s="419">
        <f t="shared" si="59"/>
        <v>0</v>
      </c>
      <c r="FJ51" s="419">
        <f t="shared" si="60"/>
        <v>0</v>
      </c>
      <c r="FK51" s="419"/>
      <c r="FL51" s="419"/>
      <c r="FM51" s="419"/>
      <c r="FN51" s="420">
        <f t="shared" si="61"/>
        <v>0</v>
      </c>
      <c r="FO51" s="423">
        <f t="shared" si="62"/>
        <v>0</v>
      </c>
      <c r="FP51" s="419"/>
      <c r="FQ51" s="419"/>
      <c r="FR51" s="419"/>
      <c r="FS51" s="420">
        <f t="shared" si="63"/>
        <v>0</v>
      </c>
      <c r="FT51" s="420">
        <f t="shared" si="64"/>
        <v>0</v>
      </c>
      <c r="FU51" s="419"/>
      <c r="FV51" s="419"/>
      <c r="FW51" s="419"/>
      <c r="FX51" s="420">
        <f t="shared" si="65"/>
        <v>0</v>
      </c>
      <c r="FY51" s="420">
        <f t="shared" si="66"/>
        <v>0</v>
      </c>
      <c r="FZ51" s="419"/>
      <c r="GA51" s="419"/>
      <c r="GB51" s="419"/>
      <c r="GC51" s="420">
        <f t="shared" si="67"/>
        <v>0</v>
      </c>
      <c r="GD51" s="420">
        <f t="shared" si="68"/>
        <v>0</v>
      </c>
      <c r="GE51" s="419"/>
      <c r="GF51" s="419"/>
      <c r="GG51" s="419"/>
      <c r="GH51" s="420">
        <f t="shared" si="69"/>
        <v>0</v>
      </c>
      <c r="GI51" s="423">
        <f t="shared" si="70"/>
        <v>0</v>
      </c>
      <c r="GJ51" s="419"/>
      <c r="GK51" s="419"/>
      <c r="GL51" s="419"/>
      <c r="GM51" s="420">
        <f t="shared" si="71"/>
        <v>0</v>
      </c>
      <c r="GN51" s="420">
        <f t="shared" si="72"/>
        <v>0</v>
      </c>
      <c r="GO51" s="419"/>
      <c r="GP51" s="419"/>
      <c r="GQ51" s="419"/>
      <c r="GR51" s="420">
        <f t="shared" si="77"/>
        <v>0</v>
      </c>
      <c r="GS51" s="423">
        <f t="shared" si="73"/>
        <v>0</v>
      </c>
      <c r="GT51" s="419"/>
      <c r="GU51" s="419"/>
      <c r="GV51" s="419"/>
      <c r="GW51" s="420">
        <f t="shared" si="74"/>
        <v>0</v>
      </c>
      <c r="GX51" s="420">
        <f t="shared" si="75"/>
        <v>0</v>
      </c>
    </row>
    <row r="52" spans="1:206" ht="15">
      <c r="A52" s="414"/>
      <c r="B52" s="415" t="s">
        <v>502</v>
      </c>
      <c r="C52" s="698"/>
      <c r="D52" s="707"/>
      <c r="E52" s="434" t="s">
        <v>125</v>
      </c>
      <c r="F52" s="417">
        <v>0.06</v>
      </c>
      <c r="G52" s="418">
        <f t="shared" si="4"/>
        <v>2233187.81</v>
      </c>
      <c r="H52" s="418">
        <f t="shared" si="5"/>
        <v>0</v>
      </c>
      <c r="I52" s="418">
        <f t="shared" si="5"/>
        <v>133991.27269142901</v>
      </c>
      <c r="J52" s="418">
        <f t="shared" si="6"/>
        <v>2233187.8781904802</v>
      </c>
      <c r="K52" s="438"/>
      <c r="L52" s="438"/>
      <c r="M52" s="424">
        <v>2188463.62</v>
      </c>
      <c r="N52" s="424">
        <v>0</v>
      </c>
      <c r="O52" s="424">
        <v>131307.817371429</v>
      </c>
      <c r="P52" s="424"/>
      <c r="Q52" s="419"/>
      <c r="R52" s="419"/>
      <c r="S52" s="420"/>
      <c r="T52" s="420">
        <v>0</v>
      </c>
      <c r="U52" s="423">
        <f t="shared" si="81"/>
        <v>0</v>
      </c>
      <c r="V52" s="420"/>
      <c r="W52" s="420"/>
      <c r="X52" s="419"/>
      <c r="Y52" s="420">
        <f t="shared" si="79"/>
        <v>0</v>
      </c>
      <c r="Z52" s="423">
        <f t="shared" si="10"/>
        <v>0</v>
      </c>
      <c r="AA52" s="423"/>
      <c r="AB52" s="419"/>
      <c r="AC52" s="419"/>
      <c r="AD52" s="420">
        <f t="shared" si="11"/>
        <v>0</v>
      </c>
      <c r="AE52" s="423">
        <f t="shared" si="12"/>
        <v>0</v>
      </c>
      <c r="AF52" s="419"/>
      <c r="AG52" s="419"/>
      <c r="AH52" s="419"/>
      <c r="AI52" s="420">
        <f t="shared" si="13"/>
        <v>0</v>
      </c>
      <c r="AJ52" s="423">
        <f t="shared" si="14"/>
        <v>0</v>
      </c>
      <c r="AK52" s="419"/>
      <c r="AL52" s="420"/>
      <c r="AM52" s="419"/>
      <c r="AN52" s="420">
        <f t="shared" si="15"/>
        <v>0</v>
      </c>
      <c r="AO52" s="423">
        <f t="shared" si="16"/>
        <v>0</v>
      </c>
      <c r="AP52" s="419"/>
      <c r="AQ52" s="419"/>
      <c r="AR52" s="420"/>
      <c r="AS52" s="420">
        <f t="shared" si="17"/>
        <v>0</v>
      </c>
      <c r="AT52" s="420">
        <f t="shared" si="18"/>
        <v>0</v>
      </c>
      <c r="AU52" s="420">
        <v>2579.89</v>
      </c>
      <c r="AV52" s="420"/>
      <c r="AW52" s="435">
        <v>154.79352</v>
      </c>
      <c r="AX52" s="426">
        <f t="shared" si="19"/>
        <v>2579.8919999999998</v>
      </c>
      <c r="AY52" s="420">
        <f t="shared" si="20"/>
        <v>2.0000000004074502E-3</v>
      </c>
      <c r="AZ52" s="420">
        <v>2790.49</v>
      </c>
      <c r="BA52" s="420"/>
      <c r="BB52" s="419">
        <v>167.43</v>
      </c>
      <c r="BC52" s="420">
        <f t="shared" si="21"/>
        <v>2790.5</v>
      </c>
      <c r="BD52" s="427">
        <f t="shared" si="82"/>
        <v>1.00000000002183E-2</v>
      </c>
      <c r="BE52" s="420">
        <v>2847.16</v>
      </c>
      <c r="BF52" s="420"/>
      <c r="BG52" s="420">
        <v>170.83</v>
      </c>
      <c r="BH52" s="423">
        <f t="shared" si="22"/>
        <v>2847.1666666666702</v>
      </c>
      <c r="BI52" s="420">
        <f t="shared" si="23"/>
        <v>6.6666666671153499E-3</v>
      </c>
      <c r="BJ52" s="420">
        <v>3692.97</v>
      </c>
      <c r="BK52" s="420"/>
      <c r="BL52" s="420">
        <v>221.58</v>
      </c>
      <c r="BM52" s="420">
        <f t="shared" si="24"/>
        <v>3693</v>
      </c>
      <c r="BN52" s="420">
        <f t="shared" si="25"/>
        <v>3.0000000000654801E-2</v>
      </c>
      <c r="BO52" s="419">
        <v>4595.8100000000004</v>
      </c>
      <c r="BP52" s="428"/>
      <c r="BQ52" s="420">
        <v>275.74860000000001</v>
      </c>
      <c r="BR52" s="423">
        <f t="shared" si="26"/>
        <v>4595.8100000000004</v>
      </c>
      <c r="BS52" s="423">
        <f t="shared" si="27"/>
        <v>0</v>
      </c>
      <c r="BT52" s="420">
        <v>2855.58</v>
      </c>
      <c r="BU52" s="420"/>
      <c r="BV52" s="420">
        <v>171.33</v>
      </c>
      <c r="BW52" s="420">
        <v>2855.58</v>
      </c>
      <c r="BX52" s="429">
        <f t="shared" si="28"/>
        <v>0</v>
      </c>
      <c r="BY52" s="419">
        <v>9195.76</v>
      </c>
      <c r="BZ52" s="419"/>
      <c r="CA52" s="419">
        <v>551.75</v>
      </c>
      <c r="CB52" s="420">
        <f t="shared" si="29"/>
        <v>9195.8333333333303</v>
      </c>
      <c r="CC52" s="430">
        <f t="shared" si="30"/>
        <v>7.3333333333721398E-2</v>
      </c>
      <c r="CD52" s="419">
        <v>1671.01</v>
      </c>
      <c r="CE52" s="419"/>
      <c r="CF52" s="419">
        <v>100.26</v>
      </c>
      <c r="CG52" s="420">
        <f t="shared" si="31"/>
        <v>1671</v>
      </c>
      <c r="CH52" s="423">
        <f t="shared" si="32"/>
        <v>-9.9999999997635296E-3</v>
      </c>
      <c r="CI52" s="431">
        <v>989.31</v>
      </c>
      <c r="CJ52" s="431"/>
      <c r="CK52" s="431">
        <v>59.36</v>
      </c>
      <c r="CL52" s="420">
        <f t="shared" si="33"/>
        <v>989.33333333333303</v>
      </c>
      <c r="CM52" s="423">
        <f t="shared" si="34"/>
        <v>2.3333333333425799E-2</v>
      </c>
      <c r="CN52" s="420">
        <v>1117.8800000000001</v>
      </c>
      <c r="CO52" s="420"/>
      <c r="CP52" s="420">
        <v>67.069999999999993</v>
      </c>
      <c r="CQ52" s="432">
        <v>1117.8800000000001</v>
      </c>
      <c r="CR52" s="432">
        <f t="shared" si="35"/>
        <v>0</v>
      </c>
      <c r="CS52" s="420">
        <v>1121.72</v>
      </c>
      <c r="CT52" s="420"/>
      <c r="CU52" s="420">
        <v>67.3</v>
      </c>
      <c r="CV52" s="420">
        <v>1121.72</v>
      </c>
      <c r="CW52" s="420">
        <f t="shared" si="36"/>
        <v>0</v>
      </c>
      <c r="CX52" s="419">
        <v>335.01</v>
      </c>
      <c r="CY52" s="419"/>
      <c r="CZ52" s="419">
        <v>20.100000000000001</v>
      </c>
      <c r="DA52" s="419">
        <f t="shared" si="37"/>
        <v>335</v>
      </c>
      <c r="DB52" s="419">
        <f t="shared" si="38"/>
        <v>-0.01</v>
      </c>
      <c r="DC52" s="419">
        <v>656.12</v>
      </c>
      <c r="DD52" s="419"/>
      <c r="DE52" s="419">
        <v>39.369999999999997</v>
      </c>
      <c r="DF52" s="420">
        <f t="shared" si="39"/>
        <v>656.16666666666697</v>
      </c>
      <c r="DG52" s="421">
        <f t="shared" si="40"/>
        <v>-4.6666666666624203E-2</v>
      </c>
      <c r="DH52" s="419">
        <v>656.12</v>
      </c>
      <c r="DI52" s="419"/>
      <c r="DJ52" s="419">
        <v>39.369999999999997</v>
      </c>
      <c r="DK52" s="420">
        <f t="shared" si="41"/>
        <v>656.16666666666697</v>
      </c>
      <c r="DL52" s="422">
        <f t="shared" si="42"/>
        <v>4.6666666666624203E-2</v>
      </c>
      <c r="DM52" s="420">
        <v>850.94</v>
      </c>
      <c r="DN52" s="420"/>
      <c r="DO52" s="420">
        <v>51.06</v>
      </c>
      <c r="DP52" s="420">
        <f t="shared" si="43"/>
        <v>851</v>
      </c>
      <c r="DQ52" s="420">
        <f t="shared" si="44"/>
        <v>6.0000000000059103E-2</v>
      </c>
      <c r="DR52" s="419">
        <v>776.35</v>
      </c>
      <c r="DS52" s="419"/>
      <c r="DT52" s="419">
        <v>46.58</v>
      </c>
      <c r="DU52" s="420">
        <f t="shared" si="45"/>
        <v>776.33333333333303</v>
      </c>
      <c r="DV52" s="423">
        <f t="shared" si="46"/>
        <v>-1.6666666666651501E-2</v>
      </c>
      <c r="DW52" s="419">
        <v>783.58</v>
      </c>
      <c r="DX52" s="419"/>
      <c r="DY52" s="419">
        <v>47.01</v>
      </c>
      <c r="DZ52" s="420">
        <f t="shared" si="47"/>
        <v>783.5</v>
      </c>
      <c r="EA52" s="423">
        <f t="shared" si="48"/>
        <v>-0.08</v>
      </c>
      <c r="EB52" s="419">
        <v>1647.72</v>
      </c>
      <c r="EC52" s="419"/>
      <c r="ED52" s="420">
        <v>98.863200000000006</v>
      </c>
      <c r="EE52" s="419">
        <v>1647.72</v>
      </c>
      <c r="EF52" s="420">
        <f t="shared" si="49"/>
        <v>0</v>
      </c>
      <c r="EG52" s="419">
        <v>4213.42</v>
      </c>
      <c r="EI52" s="419">
        <v>252.81</v>
      </c>
      <c r="EJ52" s="420">
        <f t="shared" si="50"/>
        <v>4213.5</v>
      </c>
      <c r="EK52" s="420">
        <f t="shared" si="51"/>
        <v>0.08</v>
      </c>
      <c r="EL52" s="419">
        <v>382.88</v>
      </c>
      <c r="EN52" s="419">
        <v>22.97</v>
      </c>
      <c r="EO52" s="419">
        <f t="shared" si="52"/>
        <v>382.83</v>
      </c>
      <c r="EP52" s="419">
        <f t="shared" si="53"/>
        <v>-0.05</v>
      </c>
      <c r="EQ52" s="419">
        <v>475.43</v>
      </c>
      <c r="ER52" s="419"/>
      <c r="ES52" s="419">
        <v>28.53</v>
      </c>
      <c r="ET52" s="419">
        <f t="shared" si="54"/>
        <v>475.5</v>
      </c>
      <c r="EU52" s="419">
        <f t="shared" si="55"/>
        <v>7.0000000000000007E-2</v>
      </c>
      <c r="EV52" s="419">
        <v>489.04</v>
      </c>
      <c r="EW52" s="419"/>
      <c r="EX52" s="419">
        <v>29.34</v>
      </c>
      <c r="EY52" s="419">
        <f t="shared" si="56"/>
        <v>489</v>
      </c>
      <c r="EZ52" s="419">
        <f t="shared" si="76"/>
        <v>-0.04</v>
      </c>
      <c r="FA52" s="420"/>
      <c r="FB52" s="420"/>
      <c r="FC52" s="420"/>
      <c r="FD52" s="420">
        <f t="shared" si="57"/>
        <v>0</v>
      </c>
      <c r="FE52" s="420">
        <f t="shared" si="58"/>
        <v>0</v>
      </c>
      <c r="FF52" s="419"/>
      <c r="FG52" s="419"/>
      <c r="FH52" s="419"/>
      <c r="FI52" s="419">
        <f t="shared" si="59"/>
        <v>0</v>
      </c>
      <c r="FJ52" s="419">
        <f t="shared" si="60"/>
        <v>0</v>
      </c>
      <c r="FK52" s="419"/>
      <c r="FL52" s="419"/>
      <c r="FM52" s="419"/>
      <c r="FN52" s="420">
        <f t="shared" si="61"/>
        <v>0</v>
      </c>
      <c r="FO52" s="423">
        <f t="shared" si="62"/>
        <v>0</v>
      </c>
      <c r="FP52" s="419"/>
      <c r="FQ52" s="419"/>
      <c r="FR52" s="419"/>
      <c r="FS52" s="420">
        <f t="shared" si="63"/>
        <v>0</v>
      </c>
      <c r="FT52" s="420">
        <f t="shared" si="64"/>
        <v>0</v>
      </c>
      <c r="FU52" s="419"/>
      <c r="FV52" s="419"/>
      <c r="FW52" s="419"/>
      <c r="FX52" s="420">
        <f t="shared" si="65"/>
        <v>0</v>
      </c>
      <c r="FY52" s="420">
        <f t="shared" si="66"/>
        <v>0</v>
      </c>
      <c r="FZ52" s="419"/>
      <c r="GA52" s="419"/>
      <c r="GB52" s="419"/>
      <c r="GC52" s="420">
        <f t="shared" si="67"/>
        <v>0</v>
      </c>
      <c r="GD52" s="420">
        <f t="shared" si="68"/>
        <v>0</v>
      </c>
      <c r="GE52" s="419"/>
      <c r="GF52" s="419"/>
      <c r="GG52" s="419"/>
      <c r="GH52" s="420">
        <f t="shared" si="69"/>
        <v>0</v>
      </c>
      <c r="GI52" s="423">
        <f t="shared" si="70"/>
        <v>0</v>
      </c>
      <c r="GJ52" s="419"/>
      <c r="GK52" s="419"/>
      <c r="GL52" s="419"/>
      <c r="GM52" s="420">
        <f t="shared" si="71"/>
        <v>0</v>
      </c>
      <c r="GN52" s="420">
        <f t="shared" si="72"/>
        <v>0</v>
      </c>
      <c r="GO52" s="419"/>
      <c r="GP52" s="419"/>
      <c r="GQ52" s="419"/>
      <c r="GR52" s="420">
        <f t="shared" si="77"/>
        <v>0</v>
      </c>
      <c r="GS52" s="423">
        <f t="shared" si="73"/>
        <v>0</v>
      </c>
      <c r="GT52" s="419"/>
      <c r="GU52" s="419"/>
      <c r="GV52" s="419"/>
      <c r="GW52" s="420">
        <f t="shared" si="74"/>
        <v>0</v>
      </c>
      <c r="GX52" s="420">
        <f t="shared" si="75"/>
        <v>0</v>
      </c>
    </row>
    <row r="53" spans="1:206" ht="15">
      <c r="A53" s="414"/>
      <c r="B53" s="415" t="s">
        <v>505</v>
      </c>
      <c r="C53" s="698"/>
      <c r="D53" s="704" t="s">
        <v>506</v>
      </c>
      <c r="E53" s="434" t="s">
        <v>123</v>
      </c>
      <c r="F53" s="417">
        <v>0.13</v>
      </c>
      <c r="G53" s="418">
        <f t="shared" si="4"/>
        <v>202300884.9666</v>
      </c>
      <c r="H53" s="418">
        <f t="shared" si="5"/>
        <v>202300885.12</v>
      </c>
      <c r="I53" s="418">
        <f t="shared" si="5"/>
        <v>26299115.043234002</v>
      </c>
      <c r="J53" s="418">
        <f t="shared" si="6"/>
        <v>202300884.947954</v>
      </c>
      <c r="K53" s="418">
        <f>I53/F53-H53</f>
        <v>-0.17204615473747301</v>
      </c>
      <c r="L53" s="418">
        <f>J53-G53</f>
        <v>-1.8646210432052598E-2</v>
      </c>
      <c r="M53" s="424">
        <v>29645208.5266</v>
      </c>
      <c r="N53" s="424">
        <v>0</v>
      </c>
      <c r="O53" s="424">
        <v>3853877.1084579998</v>
      </c>
      <c r="P53" s="424"/>
      <c r="Q53" s="444">
        <v>526338.05000000005</v>
      </c>
      <c r="R53" s="419"/>
      <c r="S53" s="420">
        <f>Q53*F53</f>
        <v>68423.946500000005</v>
      </c>
      <c r="T53" s="420">
        <v>526338.05000000005</v>
      </c>
      <c r="U53" s="423">
        <f t="shared" si="81"/>
        <v>0</v>
      </c>
      <c r="V53" s="420"/>
      <c r="W53" s="420"/>
      <c r="X53" s="420">
        <v>0</v>
      </c>
      <c r="Y53" s="420">
        <f t="shared" si="79"/>
        <v>0</v>
      </c>
      <c r="Z53" s="423">
        <f t="shared" si="10"/>
        <v>0</v>
      </c>
      <c r="AA53" s="423">
        <v>3611380.56</v>
      </c>
      <c r="AB53" s="419"/>
      <c r="AC53" s="423">
        <f>AA53*F53</f>
        <v>469479.47279999999</v>
      </c>
      <c r="AD53" s="420">
        <f t="shared" si="11"/>
        <v>3611380.56</v>
      </c>
      <c r="AE53" s="423">
        <f t="shared" si="12"/>
        <v>0</v>
      </c>
      <c r="AF53" s="420">
        <v>40977870.009999998</v>
      </c>
      <c r="AG53" s="395">
        <v>64227360</v>
      </c>
      <c r="AH53" s="420">
        <v>5327123.1013000002</v>
      </c>
      <c r="AI53" s="420">
        <f t="shared" si="13"/>
        <v>40977870.009999998</v>
      </c>
      <c r="AJ53" s="423">
        <f t="shared" si="14"/>
        <v>0</v>
      </c>
      <c r="AK53" s="444">
        <v>79892094.040000007</v>
      </c>
      <c r="AL53" s="436">
        <v>123636026.26000001</v>
      </c>
      <c r="AM53" s="420">
        <v>10385972.224576</v>
      </c>
      <c r="AN53" s="420">
        <f t="shared" si="15"/>
        <v>79892094.0352</v>
      </c>
      <c r="AO53" s="423">
        <f t="shared" si="16"/>
        <v>-4.8000067472457903E-3</v>
      </c>
      <c r="AP53" s="444">
        <v>33210494.920000002</v>
      </c>
      <c r="AQ53" s="419"/>
      <c r="AR53" s="420">
        <v>4317364.3395999996</v>
      </c>
      <c r="AS53" s="420">
        <f t="shared" si="17"/>
        <v>33210494.920000002</v>
      </c>
      <c r="AT53" s="420">
        <f t="shared" si="18"/>
        <v>0</v>
      </c>
      <c r="AU53" s="420">
        <v>14437498.859999999</v>
      </c>
      <c r="AV53" s="426">
        <v>14437498.859999999</v>
      </c>
      <c r="AW53" s="420">
        <v>1876874.85</v>
      </c>
      <c r="AX53" s="426">
        <f t="shared" si="19"/>
        <v>14437498.846153799</v>
      </c>
      <c r="AY53" s="420">
        <f t="shared" si="20"/>
        <v>-1.38461533933878E-2</v>
      </c>
      <c r="AZ53" s="444"/>
      <c r="BA53" s="420"/>
      <c r="BB53" s="419"/>
      <c r="BC53" s="420">
        <f t="shared" si="21"/>
        <v>0</v>
      </c>
      <c r="BD53" s="427">
        <f t="shared" si="82"/>
        <v>0</v>
      </c>
      <c r="BE53" s="420"/>
      <c r="BF53" s="420"/>
      <c r="BG53" s="420"/>
      <c r="BH53" s="423">
        <f t="shared" si="22"/>
        <v>0</v>
      </c>
      <c r="BI53" s="420">
        <f t="shared" si="23"/>
        <v>0</v>
      </c>
      <c r="BJ53" s="420"/>
      <c r="BK53" s="420"/>
      <c r="BL53" s="420"/>
      <c r="BM53" s="420">
        <f t="shared" si="24"/>
        <v>0</v>
      </c>
      <c r="BN53" s="420">
        <f t="shared" si="25"/>
        <v>0</v>
      </c>
      <c r="BO53" s="419"/>
      <c r="BP53" s="428"/>
      <c r="BQ53" s="420"/>
      <c r="BR53" s="423">
        <f t="shared" si="26"/>
        <v>0</v>
      </c>
      <c r="BS53" s="423">
        <f t="shared" si="27"/>
        <v>0</v>
      </c>
      <c r="BT53" s="420"/>
      <c r="BU53" s="420"/>
      <c r="BV53" s="420"/>
      <c r="BW53" s="420"/>
      <c r="BX53" s="429">
        <f t="shared" si="28"/>
        <v>0</v>
      </c>
      <c r="BY53" s="419"/>
      <c r="BZ53" s="419"/>
      <c r="CA53" s="419"/>
      <c r="CB53" s="420">
        <f t="shared" si="29"/>
        <v>0</v>
      </c>
      <c r="CC53" s="430">
        <f t="shared" si="30"/>
        <v>0</v>
      </c>
      <c r="CD53" s="419"/>
      <c r="CE53" s="419"/>
      <c r="CF53" s="419"/>
      <c r="CG53" s="420">
        <f t="shared" si="31"/>
        <v>0</v>
      </c>
      <c r="CH53" s="423">
        <f t="shared" si="32"/>
        <v>0</v>
      </c>
      <c r="CI53" s="431"/>
      <c r="CJ53" s="431"/>
      <c r="CK53" s="431"/>
      <c r="CL53" s="420">
        <f t="shared" si="33"/>
        <v>0</v>
      </c>
      <c r="CM53" s="423">
        <f t="shared" si="34"/>
        <v>0</v>
      </c>
      <c r="CN53" s="420"/>
      <c r="CO53" s="420"/>
      <c r="CP53" s="420"/>
      <c r="CQ53" s="432"/>
      <c r="CR53" s="432">
        <f t="shared" si="35"/>
        <v>0</v>
      </c>
      <c r="CS53" s="420"/>
      <c r="CT53" s="420"/>
      <c r="CU53" s="420"/>
      <c r="CV53" s="420"/>
      <c r="CW53" s="420">
        <f t="shared" si="36"/>
        <v>0</v>
      </c>
      <c r="CX53" s="419"/>
      <c r="CY53" s="419"/>
      <c r="CZ53" s="419"/>
      <c r="DA53" s="419">
        <f t="shared" si="37"/>
        <v>0</v>
      </c>
      <c r="DB53" s="419">
        <f t="shared" si="38"/>
        <v>0</v>
      </c>
      <c r="DC53" s="419"/>
      <c r="DD53" s="419"/>
      <c r="DE53" s="419"/>
      <c r="DF53" s="420">
        <f t="shared" si="39"/>
        <v>0</v>
      </c>
      <c r="DG53" s="421">
        <f t="shared" si="40"/>
        <v>0</v>
      </c>
      <c r="DH53" s="419"/>
      <c r="DI53" s="419"/>
      <c r="DJ53" s="419"/>
      <c r="DK53" s="420">
        <f t="shared" si="41"/>
        <v>0</v>
      </c>
      <c r="DL53" s="422">
        <f t="shared" si="42"/>
        <v>0</v>
      </c>
      <c r="DM53" s="420"/>
      <c r="DN53" s="420"/>
      <c r="DO53" s="420"/>
      <c r="DP53" s="420">
        <f t="shared" si="43"/>
        <v>0</v>
      </c>
      <c r="DQ53" s="420">
        <f t="shared" si="44"/>
        <v>0</v>
      </c>
      <c r="DR53" s="419"/>
      <c r="DS53" s="419"/>
      <c r="DT53" s="419"/>
      <c r="DU53" s="420">
        <f t="shared" si="45"/>
        <v>0</v>
      </c>
      <c r="DV53" s="423">
        <f t="shared" si="46"/>
        <v>0</v>
      </c>
      <c r="DW53" s="419"/>
      <c r="DX53" s="419"/>
      <c r="DY53" s="419"/>
      <c r="DZ53" s="420">
        <f t="shared" si="47"/>
        <v>0</v>
      </c>
      <c r="EA53" s="423">
        <f t="shared" si="48"/>
        <v>0</v>
      </c>
      <c r="EB53" s="419"/>
      <c r="EC53" s="419"/>
      <c r="ED53" s="420"/>
      <c r="EE53" s="419"/>
      <c r="EF53" s="420">
        <f t="shared" si="49"/>
        <v>0</v>
      </c>
      <c r="EG53" s="419"/>
      <c r="EH53" s="419"/>
      <c r="EI53" s="419"/>
      <c r="EJ53" s="420">
        <f t="shared" si="50"/>
        <v>0</v>
      </c>
      <c r="EK53" s="420">
        <f t="shared" si="51"/>
        <v>0</v>
      </c>
      <c r="EL53" s="419"/>
      <c r="EM53" s="419"/>
      <c r="EN53" s="419"/>
      <c r="EO53" s="419">
        <f t="shared" si="52"/>
        <v>0</v>
      </c>
      <c r="EP53" s="419">
        <f t="shared" si="53"/>
        <v>0</v>
      </c>
      <c r="EQ53" s="419"/>
      <c r="ER53" s="419"/>
      <c r="ES53" s="419"/>
      <c r="ET53" s="419">
        <f t="shared" si="54"/>
        <v>0</v>
      </c>
      <c r="EU53" s="419">
        <f t="shared" si="55"/>
        <v>0</v>
      </c>
      <c r="EV53" s="419"/>
      <c r="EW53" s="419"/>
      <c r="EX53" s="419"/>
      <c r="EY53" s="419">
        <f t="shared" si="56"/>
        <v>0</v>
      </c>
      <c r="EZ53" s="419">
        <f t="shared" si="76"/>
        <v>0</v>
      </c>
      <c r="FA53" s="420"/>
      <c r="FB53" s="420"/>
      <c r="FC53" s="420"/>
      <c r="FD53" s="420">
        <f t="shared" si="57"/>
        <v>0</v>
      </c>
      <c r="FE53" s="420">
        <f t="shared" si="58"/>
        <v>0</v>
      </c>
      <c r="FF53" s="419"/>
      <c r="FG53" s="419"/>
      <c r="FH53" s="419"/>
      <c r="FI53" s="419">
        <f t="shared" si="59"/>
        <v>0</v>
      </c>
      <c r="FJ53" s="419">
        <f t="shared" si="60"/>
        <v>0</v>
      </c>
      <c r="FK53" s="419"/>
      <c r="FL53" s="419"/>
      <c r="FM53" s="419"/>
      <c r="FN53" s="420">
        <f t="shared" si="61"/>
        <v>0</v>
      </c>
      <c r="FO53" s="423">
        <f t="shared" si="62"/>
        <v>0</v>
      </c>
      <c r="FP53" s="419"/>
      <c r="FQ53" s="419"/>
      <c r="FR53" s="419"/>
      <c r="FS53" s="420">
        <f t="shared" si="63"/>
        <v>0</v>
      </c>
      <c r="FT53" s="420">
        <f t="shared" si="64"/>
        <v>0</v>
      </c>
      <c r="FU53" s="419"/>
      <c r="FV53" s="419"/>
      <c r="FW53" s="419"/>
      <c r="FX53" s="420">
        <f t="shared" si="65"/>
        <v>0</v>
      </c>
      <c r="FY53" s="420">
        <f t="shared" si="66"/>
        <v>0</v>
      </c>
      <c r="FZ53" s="419"/>
      <c r="GA53" s="419"/>
      <c r="GB53" s="419"/>
      <c r="GC53" s="420">
        <f t="shared" si="67"/>
        <v>0</v>
      </c>
      <c r="GD53" s="420">
        <f t="shared" si="68"/>
        <v>0</v>
      </c>
      <c r="GE53" s="419"/>
      <c r="GF53" s="419"/>
      <c r="GG53" s="419"/>
      <c r="GH53" s="420">
        <f t="shared" si="69"/>
        <v>0</v>
      </c>
      <c r="GI53" s="423">
        <f t="shared" si="70"/>
        <v>0</v>
      </c>
      <c r="GJ53" s="419"/>
      <c r="GK53" s="419"/>
      <c r="GL53" s="419"/>
      <c r="GM53" s="420">
        <f t="shared" si="71"/>
        <v>0</v>
      </c>
      <c r="GN53" s="420">
        <f t="shared" si="72"/>
        <v>0</v>
      </c>
      <c r="GO53" s="419"/>
      <c r="GP53" s="419"/>
      <c r="GQ53" s="419"/>
      <c r="GR53" s="420">
        <f t="shared" si="77"/>
        <v>0</v>
      </c>
      <c r="GS53" s="423">
        <f t="shared" si="73"/>
        <v>0</v>
      </c>
      <c r="GT53" s="419"/>
      <c r="GU53" s="419"/>
      <c r="GV53" s="419"/>
      <c r="GW53" s="420">
        <f t="shared" si="74"/>
        <v>0</v>
      </c>
      <c r="GX53" s="420">
        <f t="shared" si="75"/>
        <v>0</v>
      </c>
    </row>
    <row r="54" spans="1:206" ht="17.25" customHeight="1">
      <c r="A54" s="414"/>
      <c r="B54" s="415" t="s">
        <v>505</v>
      </c>
      <c r="C54" s="698"/>
      <c r="D54" s="706"/>
      <c r="E54" s="434" t="s">
        <v>124</v>
      </c>
      <c r="F54" s="417">
        <v>0.09</v>
      </c>
      <c r="G54" s="418">
        <f t="shared" si="4"/>
        <v>98642362.512400001</v>
      </c>
      <c r="H54" s="418">
        <f t="shared" si="5"/>
        <v>98642362.489999995</v>
      </c>
      <c r="I54" s="418">
        <f t="shared" si="5"/>
        <v>8877812.6234370004</v>
      </c>
      <c r="J54" s="418">
        <f t="shared" si="6"/>
        <v>98642362.482633293</v>
      </c>
      <c r="K54" s="418">
        <f t="shared" ref="K54:K117" si="83">I54/F54-H54</f>
        <v>-7.3666721582412702E-3</v>
      </c>
      <c r="L54" s="418">
        <f t="shared" ref="L54:L117" si="84">J54-G54</f>
        <v>-2.97666639089584E-2</v>
      </c>
      <c r="M54" s="424">
        <v>50070586.822400004</v>
      </c>
      <c r="N54" s="424">
        <v>0</v>
      </c>
      <c r="O54" s="424">
        <v>4506352.8139979998</v>
      </c>
      <c r="P54" s="441">
        <v>-4500000</v>
      </c>
      <c r="Q54" s="444">
        <v>12404097.66</v>
      </c>
      <c r="R54" s="419"/>
      <c r="S54" s="420">
        <f>Q54*0.09</f>
        <v>1116368.7893999999</v>
      </c>
      <c r="T54" s="420">
        <v>12404097.66</v>
      </c>
      <c r="U54" s="423">
        <f t="shared" si="81"/>
        <v>0</v>
      </c>
      <c r="V54" s="420"/>
      <c r="W54" s="420"/>
      <c r="X54" s="420">
        <v>0</v>
      </c>
      <c r="Y54" s="420">
        <f t="shared" si="79"/>
        <v>0</v>
      </c>
      <c r="Z54" s="423">
        <f t="shared" si="10"/>
        <v>0</v>
      </c>
      <c r="AA54" s="423"/>
      <c r="AB54" s="419"/>
      <c r="AC54" s="419"/>
      <c r="AD54" s="420">
        <f t="shared" si="11"/>
        <v>0</v>
      </c>
      <c r="AE54" s="423">
        <f t="shared" si="12"/>
        <v>0</v>
      </c>
      <c r="AF54" s="444">
        <v>9868481.0500000007</v>
      </c>
      <c r="AG54" s="419"/>
      <c r="AH54" s="419">
        <v>483163.29421199998</v>
      </c>
      <c r="AI54" s="420">
        <f t="shared" si="13"/>
        <v>5368481.0467999997</v>
      </c>
      <c r="AJ54" s="423">
        <f t="shared" si="14"/>
        <v>-4500000.0032000002</v>
      </c>
      <c r="AK54" s="444">
        <v>25187565.27</v>
      </c>
      <c r="AL54" s="420"/>
      <c r="AM54" s="420">
        <v>2266880.8739220002</v>
      </c>
      <c r="AN54" s="420">
        <f t="shared" si="15"/>
        <v>25187565.265799999</v>
      </c>
      <c r="AO54" s="423">
        <f t="shared" si="16"/>
        <v>-4.1999965906143197E-3</v>
      </c>
      <c r="AP54" s="444">
        <v>16450761.550000001</v>
      </c>
      <c r="AQ54" s="419"/>
      <c r="AR54" s="420">
        <v>1480568.539932</v>
      </c>
      <c r="AS54" s="420">
        <f t="shared" si="17"/>
        <v>16450761.5548</v>
      </c>
      <c r="AT54" s="420">
        <f t="shared" si="18"/>
        <v>4.7999992966651899E-3</v>
      </c>
      <c r="AU54" s="420">
        <f>-14967315.33+529816.47+4785780.66</f>
        <v>-9651718.1999999993</v>
      </c>
      <c r="AV54" s="426">
        <v>18348623.850000001</v>
      </c>
      <c r="AW54" s="420">
        <f>1651376.15-2520030.788027</f>
        <v>-868654.63802700001</v>
      </c>
      <c r="AX54" s="426">
        <f t="shared" si="19"/>
        <v>-9651718.2003000006</v>
      </c>
      <c r="AY54" s="420">
        <f t="shared" si="20"/>
        <v>-3.0000321567058601E-4</v>
      </c>
      <c r="AZ54" s="444">
        <v>647704.66</v>
      </c>
      <c r="BA54" s="420">
        <v>55045871.560000002</v>
      </c>
      <c r="BB54" s="419">
        <v>58293.42</v>
      </c>
      <c r="BC54" s="420">
        <f t="shared" si="21"/>
        <v>647704.66666666698</v>
      </c>
      <c r="BD54" s="427">
        <f t="shared" si="82"/>
        <v>6.6666665952652701E-3</v>
      </c>
      <c r="BE54" s="420">
        <v>-1835116.3</v>
      </c>
      <c r="BF54" s="420"/>
      <c r="BG54" s="420">
        <v>-165160.47</v>
      </c>
      <c r="BH54" s="423">
        <f t="shared" si="22"/>
        <v>-1835116.33333333</v>
      </c>
      <c r="BI54" s="420">
        <f t="shared" si="23"/>
        <v>-3.3333333441987599E-2</v>
      </c>
      <c r="BJ54" s="420"/>
      <c r="BK54" s="420"/>
      <c r="BL54" s="420"/>
      <c r="BM54" s="420">
        <f t="shared" si="24"/>
        <v>0</v>
      </c>
      <c r="BN54" s="420">
        <f t="shared" si="25"/>
        <v>0</v>
      </c>
      <c r="BO54" s="419"/>
      <c r="BP54" s="439">
        <v>25247867.079999998</v>
      </c>
      <c r="BQ54" s="420"/>
      <c r="BR54" s="423">
        <f t="shared" si="26"/>
        <v>0</v>
      </c>
      <c r="BS54" s="423">
        <f t="shared" si="27"/>
        <v>0</v>
      </c>
      <c r="BT54" s="420"/>
      <c r="BU54" s="420"/>
      <c r="BV54" s="420"/>
      <c r="BW54" s="420"/>
      <c r="BX54" s="429">
        <f t="shared" si="28"/>
        <v>0</v>
      </c>
      <c r="BY54" s="419"/>
      <c r="BZ54" s="419"/>
      <c r="CA54" s="419"/>
      <c r="CB54" s="420">
        <f t="shared" si="29"/>
        <v>0</v>
      </c>
      <c r="CC54" s="430">
        <f t="shared" si="30"/>
        <v>0</v>
      </c>
      <c r="CD54" s="419"/>
      <c r="CE54" s="419"/>
      <c r="CF54" s="419"/>
      <c r="CG54" s="420">
        <f t="shared" si="31"/>
        <v>0</v>
      </c>
      <c r="CH54" s="423">
        <f t="shared" si="32"/>
        <v>0</v>
      </c>
      <c r="CI54" s="431"/>
      <c r="CJ54" s="431"/>
      <c r="CK54" s="431"/>
      <c r="CL54" s="420">
        <f t="shared" si="33"/>
        <v>0</v>
      </c>
      <c r="CM54" s="423">
        <f t="shared" si="34"/>
        <v>0</v>
      </c>
      <c r="CN54" s="420"/>
      <c r="CO54" s="420"/>
      <c r="CP54" s="420"/>
      <c r="CQ54" s="432"/>
      <c r="CR54" s="432">
        <f t="shared" si="35"/>
        <v>0</v>
      </c>
      <c r="CS54" s="420"/>
      <c r="CT54" s="420"/>
      <c r="CU54" s="420"/>
      <c r="CV54" s="420"/>
      <c r="CW54" s="420">
        <f t="shared" si="36"/>
        <v>0</v>
      </c>
      <c r="CX54" s="419"/>
      <c r="CY54" s="419"/>
      <c r="CZ54" s="419"/>
      <c r="DA54" s="419">
        <f t="shared" si="37"/>
        <v>0</v>
      </c>
      <c r="DB54" s="419">
        <f t="shared" si="38"/>
        <v>0</v>
      </c>
      <c r="DC54" s="419"/>
      <c r="DD54" s="419"/>
      <c r="DE54" s="419"/>
      <c r="DF54" s="420">
        <f t="shared" si="39"/>
        <v>0</v>
      </c>
      <c r="DG54" s="421">
        <f t="shared" si="40"/>
        <v>0</v>
      </c>
      <c r="DH54" s="419"/>
      <c r="DI54" s="419"/>
      <c r="DJ54" s="419"/>
      <c r="DK54" s="420">
        <f t="shared" si="41"/>
        <v>0</v>
      </c>
      <c r="DL54" s="422">
        <f t="shared" si="42"/>
        <v>0</v>
      </c>
      <c r="DM54" s="420"/>
      <c r="DN54" s="420"/>
      <c r="DO54" s="420"/>
      <c r="DP54" s="420">
        <f t="shared" si="43"/>
        <v>0</v>
      </c>
      <c r="DQ54" s="420">
        <f t="shared" si="44"/>
        <v>0</v>
      </c>
      <c r="DR54" s="419"/>
      <c r="DS54" s="419"/>
      <c r="DT54" s="419"/>
      <c r="DU54" s="420">
        <f t="shared" si="45"/>
        <v>0</v>
      </c>
      <c r="DV54" s="423">
        <f t="shared" si="46"/>
        <v>0</v>
      </c>
      <c r="DW54" s="419"/>
      <c r="DX54" s="419"/>
      <c r="DY54" s="419"/>
      <c r="DZ54" s="420">
        <f t="shared" si="47"/>
        <v>0</v>
      </c>
      <c r="EA54" s="423">
        <f t="shared" si="48"/>
        <v>0</v>
      </c>
      <c r="EB54" s="420"/>
      <c r="EC54" s="419"/>
      <c r="ED54" s="420"/>
      <c r="EE54" s="419"/>
      <c r="EF54" s="420">
        <f t="shared" si="49"/>
        <v>0</v>
      </c>
      <c r="EG54" s="419"/>
      <c r="EH54" s="419"/>
      <c r="EI54" s="419"/>
      <c r="EJ54" s="420">
        <f t="shared" si="50"/>
        <v>0</v>
      </c>
      <c r="EK54" s="420">
        <f t="shared" si="51"/>
        <v>0</v>
      </c>
      <c r="EL54" s="419"/>
      <c r="EM54" s="419"/>
      <c r="EN54" s="419"/>
      <c r="EO54" s="419">
        <f t="shared" si="52"/>
        <v>0</v>
      </c>
      <c r="EP54" s="419">
        <f t="shared" si="53"/>
        <v>0</v>
      </c>
      <c r="EQ54" s="419"/>
      <c r="ER54" s="419"/>
      <c r="ES54" s="419"/>
      <c r="ET54" s="419">
        <f t="shared" si="54"/>
        <v>0</v>
      </c>
      <c r="EU54" s="419">
        <f t="shared" si="55"/>
        <v>0</v>
      </c>
      <c r="EV54" s="419"/>
      <c r="EW54" s="419"/>
      <c r="EX54" s="419"/>
      <c r="EY54" s="419">
        <f t="shared" si="56"/>
        <v>0</v>
      </c>
      <c r="EZ54" s="419">
        <f t="shared" si="76"/>
        <v>0</v>
      </c>
      <c r="FA54" s="420"/>
      <c r="FB54" s="420"/>
      <c r="FC54" s="420"/>
      <c r="FD54" s="420">
        <f t="shared" si="57"/>
        <v>0</v>
      </c>
      <c r="FE54" s="420">
        <f t="shared" si="58"/>
        <v>0</v>
      </c>
      <c r="FF54" s="419"/>
      <c r="FG54" s="419"/>
      <c r="FH54" s="419"/>
      <c r="FI54" s="419">
        <f t="shared" si="59"/>
        <v>0</v>
      </c>
      <c r="FJ54" s="419">
        <f t="shared" si="60"/>
        <v>0</v>
      </c>
      <c r="FK54" s="419"/>
      <c r="FL54" s="419"/>
      <c r="FM54" s="419"/>
      <c r="FN54" s="420">
        <f t="shared" si="61"/>
        <v>0</v>
      </c>
      <c r="FO54" s="423">
        <f t="shared" si="62"/>
        <v>0</v>
      </c>
      <c r="FP54" s="419"/>
      <c r="FQ54" s="419"/>
      <c r="FR54" s="419"/>
      <c r="FS54" s="420">
        <f t="shared" si="63"/>
        <v>0</v>
      </c>
      <c r="FT54" s="420">
        <f t="shared" si="64"/>
        <v>0</v>
      </c>
      <c r="FU54" s="419"/>
      <c r="FV54" s="419"/>
      <c r="FW54" s="419"/>
      <c r="FX54" s="420">
        <f t="shared" si="65"/>
        <v>0</v>
      </c>
      <c r="FY54" s="420">
        <f t="shared" si="66"/>
        <v>0</v>
      </c>
      <c r="FZ54" s="419"/>
      <c r="GA54" s="419"/>
      <c r="GB54" s="419"/>
      <c r="GC54" s="420">
        <f t="shared" si="67"/>
        <v>0</v>
      </c>
      <c r="GD54" s="420">
        <f t="shared" si="68"/>
        <v>0</v>
      </c>
      <c r="GE54" s="419"/>
      <c r="GF54" s="419"/>
      <c r="GG54" s="419"/>
      <c r="GH54" s="420">
        <f t="shared" si="69"/>
        <v>0</v>
      </c>
      <c r="GI54" s="423">
        <f t="shared" si="70"/>
        <v>0</v>
      </c>
      <c r="GJ54" s="419"/>
      <c r="GK54" s="419"/>
      <c r="GL54" s="419"/>
      <c r="GM54" s="420">
        <f t="shared" si="71"/>
        <v>0</v>
      </c>
      <c r="GN54" s="420">
        <f t="shared" si="72"/>
        <v>0</v>
      </c>
      <c r="GO54" s="419"/>
      <c r="GP54" s="419"/>
      <c r="GQ54" s="419"/>
      <c r="GR54" s="420">
        <f t="shared" si="77"/>
        <v>0</v>
      </c>
      <c r="GS54" s="423">
        <f t="shared" si="73"/>
        <v>0</v>
      </c>
      <c r="GT54" s="419"/>
      <c r="GU54" s="419"/>
      <c r="GV54" s="419"/>
      <c r="GW54" s="420">
        <f t="shared" si="74"/>
        <v>0</v>
      </c>
      <c r="GX54" s="420">
        <f t="shared" si="75"/>
        <v>0</v>
      </c>
    </row>
    <row r="55" spans="1:206" ht="15">
      <c r="A55" s="414"/>
      <c r="B55" s="415" t="s">
        <v>505</v>
      </c>
      <c r="C55" s="698"/>
      <c r="D55" s="707"/>
      <c r="E55" s="434" t="s">
        <v>125</v>
      </c>
      <c r="F55" s="417">
        <v>0.06</v>
      </c>
      <c r="G55" s="418">
        <f t="shared" si="4"/>
        <v>758058.00150000001</v>
      </c>
      <c r="H55" s="418">
        <f t="shared" si="5"/>
        <v>758058.01</v>
      </c>
      <c r="I55" s="418">
        <f t="shared" si="5"/>
        <v>45483.465410498902</v>
      </c>
      <c r="J55" s="418">
        <f t="shared" si="6"/>
        <v>758057.75684164802</v>
      </c>
      <c r="K55" s="418">
        <f t="shared" si="83"/>
        <v>-0.25315835222136202</v>
      </c>
      <c r="L55" s="418">
        <f t="shared" si="84"/>
        <v>-0.24465835210867201</v>
      </c>
      <c r="M55" s="424"/>
      <c r="N55" s="424"/>
      <c r="O55" s="424"/>
      <c r="P55" s="424"/>
      <c r="Q55" s="419"/>
      <c r="R55" s="419"/>
      <c r="S55" s="420"/>
      <c r="T55" s="420">
        <v>0</v>
      </c>
      <c r="U55" s="423">
        <f t="shared" si="81"/>
        <v>0</v>
      </c>
      <c r="V55" s="420"/>
      <c r="W55" s="420"/>
      <c r="X55" s="420">
        <v>0</v>
      </c>
      <c r="Y55" s="420">
        <f t="shared" si="79"/>
        <v>0</v>
      </c>
      <c r="Z55" s="423">
        <f t="shared" si="10"/>
        <v>0</v>
      </c>
      <c r="AA55" s="423"/>
      <c r="AB55" s="419"/>
      <c r="AC55" s="419"/>
      <c r="AD55" s="420">
        <f t="shared" si="11"/>
        <v>0</v>
      </c>
      <c r="AE55" s="423">
        <f t="shared" si="12"/>
        <v>0</v>
      </c>
      <c r="AF55" s="444">
        <v>60132.160000000003</v>
      </c>
      <c r="AG55" s="419"/>
      <c r="AH55" s="420">
        <v>3607.9298807557602</v>
      </c>
      <c r="AI55" s="420">
        <f t="shared" si="13"/>
        <v>60132.1646792627</v>
      </c>
      <c r="AJ55" s="423">
        <f t="shared" si="14"/>
        <v>4.6792626671958697E-3</v>
      </c>
      <c r="AK55" s="444">
        <v>73385.61</v>
      </c>
      <c r="AL55" s="420"/>
      <c r="AM55" s="420">
        <v>4403.1363997431099</v>
      </c>
      <c r="AN55" s="420">
        <f t="shared" si="15"/>
        <v>73385.606662385195</v>
      </c>
      <c r="AO55" s="423">
        <f t="shared" si="16"/>
        <v>-3.3376148348907E-3</v>
      </c>
      <c r="AP55" s="420">
        <v>62454.661500000002</v>
      </c>
      <c r="AQ55" s="419"/>
      <c r="AR55" s="420">
        <v>3747.2796899999998</v>
      </c>
      <c r="AS55" s="420">
        <f t="shared" si="17"/>
        <v>62454.661500000002</v>
      </c>
      <c r="AT55" s="420">
        <f t="shared" si="18"/>
        <v>0</v>
      </c>
      <c r="AU55" s="420">
        <f>65080.49+41168.46</f>
        <v>106248.95</v>
      </c>
      <c r="AV55" s="420"/>
      <c r="AW55" s="435">
        <v>6374.9372400000002</v>
      </c>
      <c r="AX55" s="426">
        <f t="shared" si="19"/>
        <v>106248.954</v>
      </c>
      <c r="AY55" s="420">
        <f t="shared" si="20"/>
        <v>4.0000000153668199E-3</v>
      </c>
      <c r="AZ55" s="420">
        <v>44529.07</v>
      </c>
      <c r="BA55" s="426">
        <v>280712.73</v>
      </c>
      <c r="BB55" s="419">
        <v>2671.74</v>
      </c>
      <c r="BC55" s="420">
        <f t="shared" si="21"/>
        <v>44529</v>
      </c>
      <c r="BD55" s="427">
        <f t="shared" si="82"/>
        <v>-6.9999999999709003E-2</v>
      </c>
      <c r="BE55" s="420">
        <v>45433.36</v>
      </c>
      <c r="BF55" s="420">
        <v>66037.740000000005</v>
      </c>
      <c r="BG55" s="420">
        <v>2726</v>
      </c>
      <c r="BH55" s="423">
        <f t="shared" si="22"/>
        <v>45433.333333333299</v>
      </c>
      <c r="BI55" s="420">
        <f t="shared" si="23"/>
        <v>-2.66666666648234E-2</v>
      </c>
      <c r="BJ55" s="420">
        <v>58930.33</v>
      </c>
      <c r="BK55" s="420"/>
      <c r="BL55" s="420">
        <v>3535.82</v>
      </c>
      <c r="BM55" s="420">
        <f t="shared" si="24"/>
        <v>58930.333333333299</v>
      </c>
      <c r="BN55" s="420">
        <f t="shared" si="25"/>
        <v>3.3333333340124201E-3</v>
      </c>
      <c r="BO55" s="419">
        <v>73337.37</v>
      </c>
      <c r="BP55" s="439">
        <v>104363.69</v>
      </c>
      <c r="BQ55" s="420">
        <v>4400.2421999999997</v>
      </c>
      <c r="BR55" s="423">
        <f t="shared" si="26"/>
        <v>73337.37</v>
      </c>
      <c r="BS55" s="423">
        <f t="shared" si="27"/>
        <v>0</v>
      </c>
      <c r="BT55" s="420">
        <v>45567.69</v>
      </c>
      <c r="BU55" s="420"/>
      <c r="BV55" s="420">
        <v>2734.06</v>
      </c>
      <c r="BW55" s="420">
        <v>45567.69</v>
      </c>
      <c r="BX55" s="429">
        <f t="shared" si="28"/>
        <v>0</v>
      </c>
      <c r="BY55" s="419">
        <v>146743.57999999999</v>
      </c>
      <c r="BZ55" s="419"/>
      <c r="CA55" s="419">
        <v>8804.61</v>
      </c>
      <c r="CB55" s="420">
        <f t="shared" si="29"/>
        <v>146743.5</v>
      </c>
      <c r="CC55" s="430">
        <f t="shared" si="30"/>
        <v>-7.9999999958090498E-2</v>
      </c>
      <c r="CD55" s="419">
        <v>26669.83</v>
      </c>
      <c r="CE55" s="419"/>
      <c r="CF55" s="419">
        <v>1600.19</v>
      </c>
      <c r="CG55" s="420">
        <f t="shared" si="31"/>
        <v>26669.833333333299</v>
      </c>
      <c r="CH55" s="423">
        <f t="shared" si="32"/>
        <v>3.3333333340124201E-3</v>
      </c>
      <c r="CI55" s="431">
        <v>14625.39</v>
      </c>
      <c r="CJ55" s="431">
        <v>306943.84999999998</v>
      </c>
      <c r="CK55" s="431">
        <v>877.52</v>
      </c>
      <c r="CL55" s="420">
        <f t="shared" si="33"/>
        <v>14625.333333333299</v>
      </c>
      <c r="CM55" s="423">
        <f t="shared" si="34"/>
        <v>-5.6666666665478302E-2</v>
      </c>
      <c r="CN55" s="420"/>
      <c r="CO55" s="420"/>
      <c r="CP55" s="420"/>
      <c r="CQ55" s="432"/>
      <c r="CR55" s="432">
        <f t="shared" si="35"/>
        <v>0</v>
      </c>
      <c r="CS55" s="420"/>
      <c r="CT55" s="420"/>
      <c r="CU55" s="420"/>
      <c r="CV55" s="420"/>
      <c r="CW55" s="420">
        <f t="shared" si="36"/>
        <v>0</v>
      </c>
      <c r="CX55" s="419"/>
      <c r="CY55" s="419"/>
      <c r="CZ55" s="419"/>
      <c r="DA55" s="419">
        <f t="shared" si="37"/>
        <v>0</v>
      </c>
      <c r="DB55" s="419">
        <f t="shared" si="38"/>
        <v>0</v>
      </c>
      <c r="DC55" s="419"/>
      <c r="DD55" s="419"/>
      <c r="DE55" s="419"/>
      <c r="DF55" s="420">
        <f t="shared" si="39"/>
        <v>0</v>
      </c>
      <c r="DG55" s="421">
        <f t="shared" si="40"/>
        <v>0</v>
      </c>
      <c r="DH55" s="419"/>
      <c r="DI55" s="419"/>
      <c r="DJ55" s="419"/>
      <c r="DK55" s="420">
        <f t="shared" si="41"/>
        <v>0</v>
      </c>
      <c r="DL55" s="422">
        <f t="shared" si="42"/>
        <v>0</v>
      </c>
      <c r="DM55" s="420"/>
      <c r="DN55" s="420"/>
      <c r="DO55" s="420"/>
      <c r="DP55" s="420">
        <f t="shared" si="43"/>
        <v>0</v>
      </c>
      <c r="DQ55" s="420">
        <f t="shared" si="44"/>
        <v>0</v>
      </c>
      <c r="DR55" s="419"/>
      <c r="DS55" s="419"/>
      <c r="DT55" s="419"/>
      <c r="DU55" s="420">
        <f t="shared" si="45"/>
        <v>0</v>
      </c>
      <c r="DV55" s="423">
        <f t="shared" si="46"/>
        <v>0</v>
      </c>
      <c r="DW55" s="419"/>
      <c r="DX55" s="419"/>
      <c r="DY55" s="419"/>
      <c r="DZ55" s="420">
        <f t="shared" si="47"/>
        <v>0</v>
      </c>
      <c r="EA55" s="423">
        <f t="shared" si="48"/>
        <v>0</v>
      </c>
      <c r="EB55" s="419"/>
      <c r="EC55" s="419"/>
      <c r="ED55" s="420"/>
      <c r="EE55" s="419"/>
      <c r="EF55" s="420">
        <f t="shared" si="49"/>
        <v>0</v>
      </c>
      <c r="EG55" s="419"/>
      <c r="EH55" s="419"/>
      <c r="EI55" s="419"/>
      <c r="EJ55" s="420">
        <f t="shared" si="50"/>
        <v>0</v>
      </c>
      <c r="EK55" s="420">
        <f t="shared" si="51"/>
        <v>0</v>
      </c>
      <c r="EL55" s="419"/>
      <c r="EM55" s="419"/>
      <c r="EN55" s="419"/>
      <c r="EO55" s="419">
        <f t="shared" si="52"/>
        <v>0</v>
      </c>
      <c r="EP55" s="419">
        <f t="shared" si="53"/>
        <v>0</v>
      </c>
      <c r="EQ55" s="419"/>
      <c r="ER55" s="419"/>
      <c r="ES55" s="419"/>
      <c r="ET55" s="419">
        <f t="shared" si="54"/>
        <v>0</v>
      </c>
      <c r="EU55" s="419">
        <f t="shared" si="55"/>
        <v>0</v>
      </c>
      <c r="EV55" s="419"/>
      <c r="EW55" s="419"/>
      <c r="EX55" s="419"/>
      <c r="EY55" s="419">
        <f t="shared" si="56"/>
        <v>0</v>
      </c>
      <c r="EZ55" s="419">
        <f t="shared" si="76"/>
        <v>0</v>
      </c>
      <c r="FA55" s="420"/>
      <c r="FB55" s="420"/>
      <c r="FC55" s="420"/>
      <c r="FD55" s="420">
        <f t="shared" si="57"/>
        <v>0</v>
      </c>
      <c r="FE55" s="420">
        <f t="shared" si="58"/>
        <v>0</v>
      </c>
      <c r="FF55" s="419"/>
      <c r="FG55" s="419"/>
      <c r="FH55" s="419"/>
      <c r="FI55" s="419">
        <f t="shared" si="59"/>
        <v>0</v>
      </c>
      <c r="FJ55" s="419">
        <f t="shared" si="60"/>
        <v>0</v>
      </c>
      <c r="FK55" s="419"/>
      <c r="FL55" s="419"/>
      <c r="FM55" s="419"/>
      <c r="FN55" s="420">
        <f t="shared" si="61"/>
        <v>0</v>
      </c>
      <c r="FO55" s="423">
        <f t="shared" si="62"/>
        <v>0</v>
      </c>
      <c r="FP55" s="419"/>
      <c r="FQ55" s="419"/>
      <c r="FR55" s="419"/>
      <c r="FS55" s="420">
        <f t="shared" si="63"/>
        <v>0</v>
      </c>
      <c r="FT55" s="420">
        <f t="shared" si="64"/>
        <v>0</v>
      </c>
      <c r="FU55" s="419"/>
      <c r="FV55" s="419"/>
      <c r="FW55" s="419"/>
      <c r="FX55" s="420">
        <f t="shared" si="65"/>
        <v>0</v>
      </c>
      <c r="FY55" s="420">
        <f t="shared" si="66"/>
        <v>0</v>
      </c>
      <c r="FZ55" s="419"/>
      <c r="GA55" s="419"/>
      <c r="GB55" s="419"/>
      <c r="GC55" s="420">
        <f t="shared" si="67"/>
        <v>0</v>
      </c>
      <c r="GD55" s="420">
        <f t="shared" si="68"/>
        <v>0</v>
      </c>
      <c r="GE55" s="419"/>
      <c r="GF55" s="419"/>
      <c r="GG55" s="419"/>
      <c r="GH55" s="420">
        <f t="shared" si="69"/>
        <v>0</v>
      </c>
      <c r="GI55" s="423">
        <f t="shared" si="70"/>
        <v>0</v>
      </c>
      <c r="GJ55" s="419"/>
      <c r="GK55" s="419"/>
      <c r="GL55" s="419"/>
      <c r="GM55" s="420">
        <f t="shared" si="71"/>
        <v>0</v>
      </c>
      <c r="GN55" s="420">
        <f t="shared" si="72"/>
        <v>0</v>
      </c>
      <c r="GO55" s="419"/>
      <c r="GP55" s="419"/>
      <c r="GQ55" s="419"/>
      <c r="GR55" s="420">
        <f t="shared" si="77"/>
        <v>0</v>
      </c>
      <c r="GS55" s="423">
        <f t="shared" si="73"/>
        <v>0</v>
      </c>
      <c r="GT55" s="419"/>
      <c r="GU55" s="419"/>
      <c r="GV55" s="419"/>
      <c r="GW55" s="420">
        <f t="shared" si="74"/>
        <v>0</v>
      </c>
      <c r="GX55" s="420">
        <f t="shared" si="75"/>
        <v>0</v>
      </c>
    </row>
    <row r="56" spans="1:206" ht="15">
      <c r="A56" s="414"/>
      <c r="B56" s="415" t="s">
        <v>284</v>
      </c>
      <c r="C56" s="698"/>
      <c r="D56" s="704" t="s">
        <v>507</v>
      </c>
      <c r="E56" s="434" t="s">
        <v>123</v>
      </c>
      <c r="F56" s="417">
        <v>0.13</v>
      </c>
      <c r="G56" s="418">
        <f t="shared" si="4"/>
        <v>137460564.9368</v>
      </c>
      <c r="H56" s="418">
        <f t="shared" si="5"/>
        <v>137460564.94</v>
      </c>
      <c r="I56" s="418">
        <f t="shared" si="5"/>
        <v>17869873.441289999</v>
      </c>
      <c r="J56" s="418">
        <f t="shared" si="6"/>
        <v>137460564.933</v>
      </c>
      <c r="K56" s="418">
        <f t="shared" si="83"/>
        <v>-6.9999992847442601E-3</v>
      </c>
      <c r="L56" s="418">
        <f t="shared" si="84"/>
        <v>-3.8000047206878701E-3</v>
      </c>
      <c r="M56" s="424">
        <v>137011037.9368</v>
      </c>
      <c r="N56" s="424">
        <v>70796459.920000002</v>
      </c>
      <c r="O56" s="424">
        <v>17811434.931290001</v>
      </c>
      <c r="P56" s="444">
        <v>449527</v>
      </c>
      <c r="Q56" s="444"/>
      <c r="R56" s="437">
        <v>68121013.159999996</v>
      </c>
      <c r="S56" s="437">
        <f>P56*F56+1456908.14*0.13</f>
        <v>247836.56820000001</v>
      </c>
      <c r="T56" s="420">
        <v>1906435.14</v>
      </c>
      <c r="U56" s="423">
        <f t="shared" si="81"/>
        <v>1906435.14</v>
      </c>
      <c r="V56" s="420"/>
      <c r="W56" s="420"/>
      <c r="X56" s="420">
        <v>0</v>
      </c>
      <c r="Y56" s="420">
        <f t="shared" si="79"/>
        <v>0</v>
      </c>
      <c r="Z56" s="423">
        <f t="shared" si="10"/>
        <v>0</v>
      </c>
      <c r="AA56" s="423"/>
      <c r="AB56" s="426">
        <v>-1456908.14</v>
      </c>
      <c r="AC56" s="420">
        <f>AB56*F56</f>
        <v>-189398.0582</v>
      </c>
      <c r="AD56" s="420">
        <f t="shared" si="11"/>
        <v>-1456908.14</v>
      </c>
      <c r="AE56" s="423">
        <f t="shared" si="12"/>
        <v>-1456908.14</v>
      </c>
      <c r="AF56" s="419"/>
      <c r="AG56" s="419"/>
      <c r="AH56" s="419"/>
      <c r="AI56" s="420">
        <f t="shared" si="13"/>
        <v>0</v>
      </c>
      <c r="AJ56" s="423">
        <f t="shared" si="14"/>
        <v>0</v>
      </c>
      <c r="AK56" s="419"/>
      <c r="AL56" s="420"/>
      <c r="AM56" s="419"/>
      <c r="AN56" s="420">
        <f t="shared" si="15"/>
        <v>0</v>
      </c>
      <c r="AO56" s="423">
        <f t="shared" si="16"/>
        <v>0</v>
      </c>
      <c r="AP56" s="419"/>
      <c r="AQ56" s="419"/>
      <c r="AR56" s="420"/>
      <c r="AS56" s="420">
        <f t="shared" si="17"/>
        <v>0</v>
      </c>
      <c r="AT56" s="420">
        <f t="shared" si="18"/>
        <v>0</v>
      </c>
      <c r="AU56" s="420"/>
      <c r="AV56" s="420"/>
      <c r="AW56" s="420"/>
      <c r="AX56" s="426">
        <f t="shared" si="19"/>
        <v>0</v>
      </c>
      <c r="AY56" s="420">
        <f t="shared" si="20"/>
        <v>0</v>
      </c>
      <c r="AZ56" s="419"/>
      <c r="BA56" s="420"/>
      <c r="BB56" s="419"/>
      <c r="BC56" s="420">
        <f t="shared" si="21"/>
        <v>0</v>
      </c>
      <c r="BD56" s="427">
        <f t="shared" si="82"/>
        <v>0</v>
      </c>
      <c r="BE56" s="420"/>
      <c r="BF56" s="420"/>
      <c r="BG56" s="420"/>
      <c r="BH56" s="423">
        <f t="shared" si="22"/>
        <v>0</v>
      </c>
      <c r="BI56" s="420">
        <f t="shared" si="23"/>
        <v>0</v>
      </c>
      <c r="BJ56" s="420"/>
      <c r="BK56" s="420"/>
      <c r="BL56" s="420"/>
      <c r="BM56" s="420">
        <f t="shared" si="24"/>
        <v>0</v>
      </c>
      <c r="BN56" s="420">
        <f t="shared" si="25"/>
        <v>0</v>
      </c>
      <c r="BO56" s="419"/>
      <c r="BP56" s="428"/>
      <c r="BQ56" s="420"/>
      <c r="BR56" s="423">
        <f t="shared" si="26"/>
        <v>0</v>
      </c>
      <c r="BS56" s="423">
        <f t="shared" si="27"/>
        <v>0</v>
      </c>
      <c r="BT56" s="420"/>
      <c r="BU56" s="420"/>
      <c r="BV56" s="420"/>
      <c r="BW56" s="420"/>
      <c r="BX56" s="429">
        <f t="shared" si="28"/>
        <v>0</v>
      </c>
      <c r="BY56" s="419"/>
      <c r="BZ56" s="419"/>
      <c r="CA56" s="419"/>
      <c r="CB56" s="420">
        <f t="shared" si="29"/>
        <v>0</v>
      </c>
      <c r="CC56" s="430">
        <f t="shared" si="30"/>
        <v>0</v>
      </c>
      <c r="CD56" s="419"/>
      <c r="CE56" s="419"/>
      <c r="CF56" s="419"/>
      <c r="CG56" s="420">
        <f t="shared" si="31"/>
        <v>0</v>
      </c>
      <c r="CH56" s="423">
        <f t="shared" si="32"/>
        <v>0</v>
      </c>
      <c r="CI56" s="431"/>
      <c r="CJ56" s="431"/>
      <c r="CK56" s="431"/>
      <c r="CL56" s="420">
        <f t="shared" si="33"/>
        <v>0</v>
      </c>
      <c r="CM56" s="423">
        <f t="shared" si="34"/>
        <v>0</v>
      </c>
      <c r="CN56" s="420"/>
      <c r="CO56" s="420"/>
      <c r="CP56" s="420"/>
      <c r="CQ56" s="432"/>
      <c r="CR56" s="432">
        <f t="shared" si="35"/>
        <v>0</v>
      </c>
      <c r="CS56" s="420"/>
      <c r="CT56" s="420"/>
      <c r="CU56" s="420"/>
      <c r="CV56" s="420"/>
      <c r="CW56" s="420">
        <f t="shared" si="36"/>
        <v>0</v>
      </c>
      <c r="CX56" s="419"/>
      <c r="CY56" s="419"/>
      <c r="CZ56" s="419"/>
      <c r="DA56" s="419">
        <f t="shared" si="37"/>
        <v>0</v>
      </c>
      <c r="DB56" s="419">
        <f t="shared" si="38"/>
        <v>0</v>
      </c>
      <c r="DC56" s="419"/>
      <c r="DD56" s="419"/>
      <c r="DE56" s="419"/>
      <c r="DF56" s="420">
        <f t="shared" si="39"/>
        <v>0</v>
      </c>
      <c r="DG56" s="421">
        <f t="shared" si="40"/>
        <v>0</v>
      </c>
      <c r="DH56" s="419"/>
      <c r="DI56" s="419"/>
      <c r="DJ56" s="419"/>
      <c r="DK56" s="420">
        <f t="shared" si="41"/>
        <v>0</v>
      </c>
      <c r="DL56" s="422">
        <f t="shared" si="42"/>
        <v>0</v>
      </c>
      <c r="DM56" s="420"/>
      <c r="DN56" s="420"/>
      <c r="DO56" s="420"/>
      <c r="DP56" s="420">
        <f t="shared" si="43"/>
        <v>0</v>
      </c>
      <c r="DQ56" s="420">
        <f t="shared" si="44"/>
        <v>0</v>
      </c>
      <c r="DR56" s="419"/>
      <c r="DS56" s="419"/>
      <c r="DT56" s="419"/>
      <c r="DU56" s="420">
        <f t="shared" si="45"/>
        <v>0</v>
      </c>
      <c r="DV56" s="423">
        <f t="shared" si="46"/>
        <v>0</v>
      </c>
      <c r="DW56" s="419"/>
      <c r="DX56" s="419"/>
      <c r="DY56" s="419"/>
      <c r="DZ56" s="420">
        <f t="shared" si="47"/>
        <v>0</v>
      </c>
      <c r="EA56" s="423">
        <f t="shared" si="48"/>
        <v>0</v>
      </c>
      <c r="EB56" s="419"/>
      <c r="EC56" s="419"/>
      <c r="ED56" s="420"/>
      <c r="EE56" s="419"/>
      <c r="EF56" s="420">
        <f t="shared" si="49"/>
        <v>0</v>
      </c>
      <c r="EG56" s="419"/>
      <c r="EH56" s="419"/>
      <c r="EI56" s="419"/>
      <c r="EJ56" s="420">
        <f t="shared" si="50"/>
        <v>0</v>
      </c>
      <c r="EK56" s="420">
        <f t="shared" si="51"/>
        <v>0</v>
      </c>
      <c r="EL56" s="419"/>
      <c r="EM56" s="419"/>
      <c r="EN56" s="419"/>
      <c r="EO56" s="419">
        <f t="shared" si="52"/>
        <v>0</v>
      </c>
      <c r="EP56" s="419">
        <f t="shared" si="53"/>
        <v>0</v>
      </c>
      <c r="EQ56" s="419"/>
      <c r="ER56" s="419"/>
      <c r="ES56" s="419"/>
      <c r="ET56" s="419">
        <f t="shared" si="54"/>
        <v>0</v>
      </c>
      <c r="EU56" s="419">
        <f t="shared" si="55"/>
        <v>0</v>
      </c>
      <c r="EV56" s="419"/>
      <c r="EW56" s="419"/>
      <c r="EX56" s="419"/>
      <c r="EY56" s="419">
        <f t="shared" si="56"/>
        <v>0</v>
      </c>
      <c r="EZ56" s="419">
        <f t="shared" si="76"/>
        <v>0</v>
      </c>
      <c r="FA56" s="420"/>
      <c r="FB56" s="420"/>
      <c r="FC56" s="420"/>
      <c r="FD56" s="420">
        <f t="shared" si="57"/>
        <v>0</v>
      </c>
      <c r="FE56" s="420">
        <f t="shared" si="58"/>
        <v>0</v>
      </c>
      <c r="FF56" s="419"/>
      <c r="FG56" s="419"/>
      <c r="FH56" s="419"/>
      <c r="FI56" s="419">
        <f t="shared" si="59"/>
        <v>0</v>
      </c>
      <c r="FJ56" s="419">
        <f t="shared" si="60"/>
        <v>0</v>
      </c>
      <c r="FK56" s="419"/>
      <c r="FL56" s="419"/>
      <c r="FM56" s="419"/>
      <c r="FN56" s="420">
        <f t="shared" si="61"/>
        <v>0</v>
      </c>
      <c r="FO56" s="423">
        <f t="shared" si="62"/>
        <v>0</v>
      </c>
      <c r="FP56" s="419"/>
      <c r="FQ56" s="419"/>
      <c r="FR56" s="419"/>
      <c r="FS56" s="420">
        <f t="shared" si="63"/>
        <v>0</v>
      </c>
      <c r="FT56" s="420">
        <f t="shared" si="64"/>
        <v>0</v>
      </c>
      <c r="FU56" s="419"/>
      <c r="FV56" s="419"/>
      <c r="FW56" s="419"/>
      <c r="FX56" s="420">
        <f t="shared" si="65"/>
        <v>0</v>
      </c>
      <c r="FY56" s="420">
        <f t="shared" si="66"/>
        <v>0</v>
      </c>
      <c r="FZ56" s="419"/>
      <c r="GA56" s="419"/>
      <c r="GB56" s="419"/>
      <c r="GC56" s="420">
        <f t="shared" si="67"/>
        <v>0</v>
      </c>
      <c r="GD56" s="420">
        <f t="shared" si="68"/>
        <v>0</v>
      </c>
      <c r="GE56" s="419"/>
      <c r="GF56" s="419"/>
      <c r="GG56" s="419"/>
      <c r="GH56" s="420">
        <f t="shared" si="69"/>
        <v>0</v>
      </c>
      <c r="GI56" s="423">
        <f t="shared" si="70"/>
        <v>0</v>
      </c>
      <c r="GJ56" s="419"/>
      <c r="GK56" s="419"/>
      <c r="GL56" s="419"/>
      <c r="GM56" s="420">
        <f t="shared" si="71"/>
        <v>0</v>
      </c>
      <c r="GN56" s="420">
        <f t="shared" si="72"/>
        <v>0</v>
      </c>
      <c r="GO56" s="419"/>
      <c r="GP56" s="419"/>
      <c r="GQ56" s="419"/>
      <c r="GR56" s="420">
        <f t="shared" si="77"/>
        <v>0</v>
      </c>
      <c r="GS56" s="423">
        <f t="shared" si="73"/>
        <v>0</v>
      </c>
      <c r="GT56" s="419"/>
      <c r="GU56" s="419"/>
      <c r="GV56" s="419"/>
      <c r="GW56" s="420">
        <f t="shared" si="74"/>
        <v>0</v>
      </c>
      <c r="GX56" s="420">
        <f t="shared" si="75"/>
        <v>0</v>
      </c>
    </row>
    <row r="57" spans="1:206" ht="15">
      <c r="A57" s="414"/>
      <c r="B57" s="415" t="s">
        <v>284</v>
      </c>
      <c r="C57" s="698"/>
      <c r="D57" s="706"/>
      <c r="E57" s="434" t="s">
        <v>124</v>
      </c>
      <c r="F57" s="417">
        <v>0.09</v>
      </c>
      <c r="G57" s="418">
        <f t="shared" si="4"/>
        <v>9722752.2985376101</v>
      </c>
      <c r="H57" s="418">
        <f t="shared" si="5"/>
        <v>9722752.2200000007</v>
      </c>
      <c r="I57" s="418">
        <f t="shared" si="5"/>
        <v>875047.70717438497</v>
      </c>
      <c r="J57" s="418">
        <f t="shared" si="6"/>
        <v>9722752.3019376099</v>
      </c>
      <c r="K57" s="418">
        <f t="shared" si="83"/>
        <v>8.1937611103057903E-2</v>
      </c>
      <c r="L57" s="418">
        <f t="shared" si="84"/>
        <v>3.4000016748905199E-3</v>
      </c>
      <c r="M57" s="424">
        <v>9722752.2985376101</v>
      </c>
      <c r="N57" s="424">
        <v>0</v>
      </c>
      <c r="O57" s="424">
        <v>875047.70717438497</v>
      </c>
      <c r="P57" s="432"/>
      <c r="Q57" s="419"/>
      <c r="R57" s="419"/>
      <c r="S57" s="420"/>
      <c r="T57" s="420">
        <v>0</v>
      </c>
      <c r="U57" s="423">
        <f t="shared" si="81"/>
        <v>0</v>
      </c>
      <c r="V57" s="420"/>
      <c r="W57" s="420"/>
      <c r="X57" s="420">
        <v>0</v>
      </c>
      <c r="Y57" s="420">
        <f t="shared" si="79"/>
        <v>0</v>
      </c>
      <c r="Z57" s="423">
        <f t="shared" si="10"/>
        <v>0</v>
      </c>
      <c r="AA57" s="423"/>
      <c r="AB57" s="426">
        <v>9722752.2200000007</v>
      </c>
      <c r="AC57" s="419"/>
      <c r="AD57" s="420">
        <f t="shared" si="11"/>
        <v>0</v>
      </c>
      <c r="AE57" s="423">
        <f t="shared" si="12"/>
        <v>0</v>
      </c>
      <c r="AF57" s="419"/>
      <c r="AG57" s="419"/>
      <c r="AH57" s="419"/>
      <c r="AI57" s="420">
        <f t="shared" si="13"/>
        <v>0</v>
      </c>
      <c r="AJ57" s="423">
        <f t="shared" si="14"/>
        <v>0</v>
      </c>
      <c r="AK57" s="419"/>
      <c r="AL57" s="420"/>
      <c r="AM57" s="419"/>
      <c r="AN57" s="420">
        <f t="shared" si="15"/>
        <v>0</v>
      </c>
      <c r="AO57" s="423">
        <f t="shared" si="16"/>
        <v>0</v>
      </c>
      <c r="AP57" s="419"/>
      <c r="AQ57" s="419"/>
      <c r="AR57" s="419"/>
      <c r="AS57" s="420">
        <f t="shared" si="17"/>
        <v>0</v>
      </c>
      <c r="AT57" s="420">
        <f t="shared" si="18"/>
        <v>0</v>
      </c>
      <c r="AU57" s="420"/>
      <c r="AV57" s="420"/>
      <c r="AW57" s="420"/>
      <c r="AX57" s="426">
        <f t="shared" si="19"/>
        <v>0</v>
      </c>
      <c r="AY57" s="420">
        <f t="shared" si="20"/>
        <v>0</v>
      </c>
      <c r="AZ57" s="419"/>
      <c r="BA57" s="420"/>
      <c r="BB57" s="419"/>
      <c r="BC57" s="420">
        <f t="shared" si="21"/>
        <v>0</v>
      </c>
      <c r="BD57" s="427">
        <f t="shared" si="82"/>
        <v>0</v>
      </c>
      <c r="BE57" s="420"/>
      <c r="BF57" s="420"/>
      <c r="BG57" s="420"/>
      <c r="BH57" s="423">
        <f t="shared" si="22"/>
        <v>0</v>
      </c>
      <c r="BI57" s="420">
        <f t="shared" si="23"/>
        <v>0</v>
      </c>
      <c r="BJ57" s="420"/>
      <c r="BK57" s="420"/>
      <c r="BL57" s="420"/>
      <c r="BM57" s="420">
        <f t="shared" si="24"/>
        <v>0</v>
      </c>
      <c r="BN57" s="420">
        <f t="shared" si="25"/>
        <v>0</v>
      </c>
      <c r="BO57" s="419"/>
      <c r="BP57" s="428"/>
      <c r="BQ57" s="420"/>
      <c r="BR57" s="423">
        <f t="shared" si="26"/>
        <v>0</v>
      </c>
      <c r="BS57" s="423">
        <f t="shared" si="27"/>
        <v>0</v>
      </c>
      <c r="BT57" s="420"/>
      <c r="BU57" s="420"/>
      <c r="BV57" s="420"/>
      <c r="BW57" s="420"/>
      <c r="BX57" s="429">
        <f t="shared" si="28"/>
        <v>0</v>
      </c>
      <c r="BY57" s="419"/>
      <c r="BZ57" s="419"/>
      <c r="CA57" s="419"/>
      <c r="CB57" s="420">
        <f t="shared" si="29"/>
        <v>0</v>
      </c>
      <c r="CC57" s="430">
        <f t="shared" si="30"/>
        <v>0</v>
      </c>
      <c r="CD57" s="419"/>
      <c r="CE57" s="419"/>
      <c r="CF57" s="419"/>
      <c r="CG57" s="420">
        <f t="shared" si="31"/>
        <v>0</v>
      </c>
      <c r="CH57" s="423">
        <f t="shared" si="32"/>
        <v>0</v>
      </c>
      <c r="CI57" s="431"/>
      <c r="CJ57" s="431"/>
      <c r="CK57" s="431"/>
      <c r="CL57" s="420">
        <f t="shared" si="33"/>
        <v>0</v>
      </c>
      <c r="CM57" s="423">
        <f t="shared" si="34"/>
        <v>0</v>
      </c>
      <c r="CN57" s="420"/>
      <c r="CO57" s="420"/>
      <c r="CP57" s="420"/>
      <c r="CQ57" s="432"/>
      <c r="CR57" s="432">
        <f t="shared" si="35"/>
        <v>0</v>
      </c>
      <c r="CS57" s="420"/>
      <c r="CT57" s="420"/>
      <c r="CU57" s="420"/>
      <c r="CV57" s="420"/>
      <c r="CW57" s="420">
        <f t="shared" si="36"/>
        <v>0</v>
      </c>
      <c r="CX57" s="419"/>
      <c r="CY57" s="419"/>
      <c r="CZ57" s="419"/>
      <c r="DA57" s="419">
        <f t="shared" si="37"/>
        <v>0</v>
      </c>
      <c r="DB57" s="419">
        <f t="shared" si="38"/>
        <v>0</v>
      </c>
      <c r="DC57" s="419"/>
      <c r="DD57" s="419"/>
      <c r="DE57" s="419"/>
      <c r="DF57" s="420">
        <f t="shared" si="39"/>
        <v>0</v>
      </c>
      <c r="DG57" s="421">
        <f t="shared" si="40"/>
        <v>0</v>
      </c>
      <c r="DH57" s="419"/>
      <c r="DI57" s="419"/>
      <c r="DJ57" s="419"/>
      <c r="DK57" s="420">
        <f t="shared" si="41"/>
        <v>0</v>
      </c>
      <c r="DL57" s="422">
        <f t="shared" si="42"/>
        <v>0</v>
      </c>
      <c r="DM57" s="420"/>
      <c r="DN57" s="420"/>
      <c r="DO57" s="420"/>
      <c r="DP57" s="420">
        <f t="shared" si="43"/>
        <v>0</v>
      </c>
      <c r="DQ57" s="420">
        <f t="shared" si="44"/>
        <v>0</v>
      </c>
      <c r="DR57" s="419"/>
      <c r="DS57" s="419"/>
      <c r="DT57" s="419"/>
      <c r="DU57" s="420">
        <f t="shared" si="45"/>
        <v>0</v>
      </c>
      <c r="DV57" s="423">
        <f t="shared" si="46"/>
        <v>0</v>
      </c>
      <c r="DW57" s="419"/>
      <c r="DX57" s="419"/>
      <c r="DY57" s="419"/>
      <c r="DZ57" s="420">
        <f t="shared" si="47"/>
        <v>0</v>
      </c>
      <c r="EA57" s="423">
        <f t="shared" si="48"/>
        <v>0</v>
      </c>
      <c r="EB57" s="420"/>
      <c r="EC57" s="419"/>
      <c r="ED57" s="420"/>
      <c r="EE57" s="419"/>
      <c r="EF57" s="420">
        <f t="shared" si="49"/>
        <v>0</v>
      </c>
      <c r="EG57" s="419"/>
      <c r="EH57" s="419"/>
      <c r="EI57" s="419"/>
      <c r="EJ57" s="420">
        <f t="shared" si="50"/>
        <v>0</v>
      </c>
      <c r="EK57" s="420">
        <f t="shared" si="51"/>
        <v>0</v>
      </c>
      <c r="EL57" s="419"/>
      <c r="EM57" s="419"/>
      <c r="EN57" s="419"/>
      <c r="EO57" s="419">
        <f t="shared" si="52"/>
        <v>0</v>
      </c>
      <c r="EP57" s="419">
        <f t="shared" si="53"/>
        <v>0</v>
      </c>
      <c r="EQ57" s="419"/>
      <c r="ER57" s="419"/>
      <c r="ES57" s="419"/>
      <c r="ET57" s="419">
        <f t="shared" si="54"/>
        <v>0</v>
      </c>
      <c r="EU57" s="419">
        <f t="shared" si="55"/>
        <v>0</v>
      </c>
      <c r="EV57" s="419"/>
      <c r="EW57" s="419"/>
      <c r="EX57" s="419"/>
      <c r="EY57" s="419">
        <f t="shared" si="56"/>
        <v>0</v>
      </c>
      <c r="EZ57" s="419">
        <f t="shared" si="76"/>
        <v>0</v>
      </c>
      <c r="FA57" s="420"/>
      <c r="FB57" s="420"/>
      <c r="FC57" s="420"/>
      <c r="FD57" s="420">
        <f t="shared" si="57"/>
        <v>0</v>
      </c>
      <c r="FE57" s="420">
        <f t="shared" si="58"/>
        <v>0</v>
      </c>
      <c r="FF57" s="419"/>
      <c r="FG57" s="419"/>
      <c r="FH57" s="419"/>
      <c r="FI57" s="419">
        <f t="shared" si="59"/>
        <v>0</v>
      </c>
      <c r="FJ57" s="419">
        <f t="shared" si="60"/>
        <v>0</v>
      </c>
      <c r="FK57" s="419"/>
      <c r="FL57" s="419"/>
      <c r="FM57" s="419"/>
      <c r="FN57" s="420">
        <f t="shared" si="61"/>
        <v>0</v>
      </c>
      <c r="FO57" s="423">
        <f t="shared" si="62"/>
        <v>0</v>
      </c>
      <c r="FP57" s="419"/>
      <c r="FQ57" s="419"/>
      <c r="FR57" s="419"/>
      <c r="FS57" s="420">
        <f t="shared" si="63"/>
        <v>0</v>
      </c>
      <c r="FT57" s="420">
        <f t="shared" si="64"/>
        <v>0</v>
      </c>
      <c r="FU57" s="419"/>
      <c r="FV57" s="419"/>
      <c r="FW57" s="419"/>
      <c r="FX57" s="420">
        <f t="shared" si="65"/>
        <v>0</v>
      </c>
      <c r="FY57" s="420">
        <f t="shared" si="66"/>
        <v>0</v>
      </c>
      <c r="FZ57" s="419"/>
      <c r="GA57" s="419"/>
      <c r="GB57" s="419"/>
      <c r="GC57" s="420">
        <f t="shared" si="67"/>
        <v>0</v>
      </c>
      <c r="GD57" s="420">
        <f t="shared" si="68"/>
        <v>0</v>
      </c>
      <c r="GE57" s="419"/>
      <c r="GF57" s="419"/>
      <c r="GG57" s="419"/>
      <c r="GH57" s="420">
        <f t="shared" si="69"/>
        <v>0</v>
      </c>
      <c r="GI57" s="423">
        <f t="shared" si="70"/>
        <v>0</v>
      </c>
      <c r="GJ57" s="419"/>
      <c r="GK57" s="419"/>
      <c r="GL57" s="419"/>
      <c r="GM57" s="420">
        <f t="shared" si="71"/>
        <v>0</v>
      </c>
      <c r="GN57" s="420">
        <f t="shared" si="72"/>
        <v>0</v>
      </c>
      <c r="GO57" s="419"/>
      <c r="GP57" s="419"/>
      <c r="GQ57" s="419"/>
      <c r="GR57" s="420">
        <f t="shared" si="77"/>
        <v>0</v>
      </c>
      <c r="GS57" s="423">
        <f t="shared" si="73"/>
        <v>0</v>
      </c>
      <c r="GT57" s="419"/>
      <c r="GU57" s="419"/>
      <c r="GV57" s="419"/>
      <c r="GW57" s="420">
        <f t="shared" si="74"/>
        <v>0</v>
      </c>
      <c r="GX57" s="420">
        <f t="shared" si="75"/>
        <v>0</v>
      </c>
    </row>
    <row r="58" spans="1:206" ht="15">
      <c r="A58" s="414"/>
      <c r="B58" s="415" t="s">
        <v>284</v>
      </c>
      <c r="C58" s="698"/>
      <c r="D58" s="707"/>
      <c r="E58" s="434" t="s">
        <v>125</v>
      </c>
      <c r="F58" s="417">
        <v>0.06</v>
      </c>
      <c r="G58" s="418">
        <f t="shared" si="4"/>
        <v>3207547.1756603802</v>
      </c>
      <c r="H58" s="418">
        <f t="shared" si="5"/>
        <v>3207547.16</v>
      </c>
      <c r="I58" s="418">
        <f t="shared" si="5"/>
        <v>192452.83433962299</v>
      </c>
      <c r="J58" s="418">
        <f t="shared" si="6"/>
        <v>3207547.2389937202</v>
      </c>
      <c r="K58" s="418">
        <f t="shared" si="83"/>
        <v>7.8993716742843403E-2</v>
      </c>
      <c r="L58" s="418">
        <f t="shared" si="84"/>
        <v>6.3333336729556294E-2</v>
      </c>
      <c r="M58" s="424">
        <v>6716981.1356603801</v>
      </c>
      <c r="N58" s="424">
        <v>943396.22</v>
      </c>
      <c r="O58" s="424">
        <v>403018.86433962302</v>
      </c>
      <c r="P58" s="432">
        <v>-3509433.96</v>
      </c>
      <c r="Q58" s="419"/>
      <c r="R58" s="419"/>
      <c r="S58" s="420">
        <v>-39173.75</v>
      </c>
      <c r="T58" s="420">
        <v>-652895.83333333302</v>
      </c>
      <c r="U58" s="423">
        <f t="shared" si="81"/>
        <v>-652895.83333333302</v>
      </c>
      <c r="V58" s="420"/>
      <c r="W58" s="420"/>
      <c r="X58" s="420">
        <v>0</v>
      </c>
      <c r="Y58" s="420">
        <f t="shared" si="79"/>
        <v>0</v>
      </c>
      <c r="Z58" s="423">
        <f t="shared" si="10"/>
        <v>0</v>
      </c>
      <c r="AA58" s="423"/>
      <c r="AB58" s="439">
        <v>2264150.94</v>
      </c>
      <c r="AC58" s="419">
        <v>-171392.28</v>
      </c>
      <c r="AD58" s="420">
        <f t="shared" si="11"/>
        <v>-2856538</v>
      </c>
      <c r="AE58" s="423">
        <f t="shared" si="12"/>
        <v>-2856538</v>
      </c>
      <c r="AF58" s="419"/>
      <c r="AG58" s="419"/>
      <c r="AH58" s="420"/>
      <c r="AI58" s="420">
        <f t="shared" si="13"/>
        <v>0</v>
      </c>
      <c r="AJ58" s="423">
        <f t="shared" si="14"/>
        <v>0</v>
      </c>
      <c r="AK58" s="419"/>
      <c r="AL58" s="420"/>
      <c r="AM58" s="419"/>
      <c r="AN58" s="420">
        <f t="shared" si="15"/>
        <v>0</v>
      </c>
      <c r="AO58" s="423">
        <f t="shared" si="16"/>
        <v>0</v>
      </c>
      <c r="AP58" s="419"/>
      <c r="AQ58" s="419"/>
      <c r="AR58" s="420"/>
      <c r="AS58" s="420">
        <f t="shared" si="17"/>
        <v>0</v>
      </c>
      <c r="AT58" s="420">
        <f t="shared" si="18"/>
        <v>0</v>
      </c>
      <c r="AU58" s="420"/>
      <c r="AV58" s="420"/>
      <c r="AW58" s="420"/>
      <c r="AX58" s="426">
        <f t="shared" si="19"/>
        <v>0</v>
      </c>
      <c r="AY58" s="420">
        <f t="shared" si="20"/>
        <v>0</v>
      </c>
      <c r="AZ58" s="420"/>
      <c r="BA58" s="420"/>
      <c r="BB58" s="419"/>
      <c r="BC58" s="420">
        <f t="shared" si="21"/>
        <v>0</v>
      </c>
      <c r="BD58" s="427">
        <f t="shared" si="82"/>
        <v>0</v>
      </c>
      <c r="BE58" s="420"/>
      <c r="BF58" s="420"/>
      <c r="BG58" s="420"/>
      <c r="BH58" s="423">
        <f t="shared" si="22"/>
        <v>0</v>
      </c>
      <c r="BI58" s="420">
        <f t="shared" si="23"/>
        <v>0</v>
      </c>
      <c r="BJ58" s="420"/>
      <c r="BK58" s="420"/>
      <c r="BL58" s="420"/>
      <c r="BM58" s="420">
        <f t="shared" si="24"/>
        <v>0</v>
      </c>
      <c r="BN58" s="420">
        <f t="shared" si="25"/>
        <v>0</v>
      </c>
      <c r="BO58" s="419"/>
      <c r="BP58" s="428"/>
      <c r="BQ58" s="420">
        <v>0</v>
      </c>
      <c r="BR58" s="423">
        <f t="shared" si="26"/>
        <v>0</v>
      </c>
      <c r="BS58" s="423">
        <f t="shared" si="27"/>
        <v>0</v>
      </c>
      <c r="BT58" s="420"/>
      <c r="BU58" s="420"/>
      <c r="BV58" s="420"/>
      <c r="BW58" s="420"/>
      <c r="BX58" s="429">
        <f t="shared" si="28"/>
        <v>0</v>
      </c>
      <c r="BY58" s="419"/>
      <c r="BZ58" s="419"/>
      <c r="CA58" s="419"/>
      <c r="CB58" s="420">
        <f t="shared" si="29"/>
        <v>0</v>
      </c>
      <c r="CC58" s="430">
        <f t="shared" si="30"/>
        <v>0</v>
      </c>
      <c r="CD58" s="419"/>
      <c r="CE58" s="419"/>
      <c r="CF58" s="419"/>
      <c r="CG58" s="420">
        <f t="shared" si="31"/>
        <v>0</v>
      </c>
      <c r="CH58" s="423">
        <f t="shared" si="32"/>
        <v>0</v>
      </c>
      <c r="CI58" s="431"/>
      <c r="CJ58" s="431"/>
      <c r="CK58" s="431"/>
      <c r="CL58" s="420">
        <f t="shared" si="33"/>
        <v>0</v>
      </c>
      <c r="CM58" s="423">
        <f t="shared" si="34"/>
        <v>0</v>
      </c>
      <c r="CN58" s="420"/>
      <c r="CO58" s="420"/>
      <c r="CP58" s="420"/>
      <c r="CQ58" s="432"/>
      <c r="CR58" s="432">
        <f t="shared" si="35"/>
        <v>0</v>
      </c>
      <c r="CS58" s="420"/>
      <c r="CT58" s="420"/>
      <c r="CU58" s="420"/>
      <c r="CV58" s="420"/>
      <c r="CW58" s="420">
        <f t="shared" si="36"/>
        <v>0</v>
      </c>
      <c r="CX58" s="419"/>
      <c r="CY58" s="419"/>
      <c r="CZ58" s="419"/>
      <c r="DA58" s="419">
        <f t="shared" si="37"/>
        <v>0</v>
      </c>
      <c r="DB58" s="419">
        <f t="shared" si="38"/>
        <v>0</v>
      </c>
      <c r="DC58" s="419"/>
      <c r="DD58" s="419"/>
      <c r="DE58" s="419"/>
      <c r="DF58" s="420">
        <f t="shared" si="39"/>
        <v>0</v>
      </c>
      <c r="DG58" s="421">
        <f t="shared" si="40"/>
        <v>0</v>
      </c>
      <c r="DH58" s="419"/>
      <c r="DI58" s="419"/>
      <c r="DJ58" s="419"/>
      <c r="DK58" s="420">
        <f t="shared" si="41"/>
        <v>0</v>
      </c>
      <c r="DL58" s="422">
        <f t="shared" si="42"/>
        <v>0</v>
      </c>
      <c r="DM58" s="420"/>
      <c r="DN58" s="420"/>
      <c r="DO58" s="420"/>
      <c r="DP58" s="420">
        <f t="shared" si="43"/>
        <v>0</v>
      </c>
      <c r="DQ58" s="420">
        <f t="shared" si="44"/>
        <v>0</v>
      </c>
      <c r="DR58" s="419"/>
      <c r="DS58" s="419"/>
      <c r="DT58" s="419"/>
      <c r="DU58" s="420">
        <f t="shared" si="45"/>
        <v>0</v>
      </c>
      <c r="DV58" s="423">
        <f t="shared" si="46"/>
        <v>0</v>
      </c>
      <c r="DW58" s="419"/>
      <c r="DX58" s="419"/>
      <c r="DY58" s="419"/>
      <c r="DZ58" s="420">
        <f t="shared" si="47"/>
        <v>0</v>
      </c>
      <c r="EA58" s="423">
        <f t="shared" si="48"/>
        <v>0</v>
      </c>
      <c r="EB58" s="419"/>
      <c r="EC58" s="419"/>
      <c r="ED58" s="420"/>
      <c r="EE58" s="419"/>
      <c r="EF58" s="420">
        <f t="shared" si="49"/>
        <v>0</v>
      </c>
      <c r="EG58" s="419"/>
      <c r="EH58" s="419"/>
      <c r="EI58" s="419"/>
      <c r="EJ58" s="420">
        <f t="shared" si="50"/>
        <v>0</v>
      </c>
      <c r="EK58" s="420">
        <f t="shared" si="51"/>
        <v>0</v>
      </c>
      <c r="EL58" s="419"/>
      <c r="EM58" s="419"/>
      <c r="EN58" s="419"/>
      <c r="EO58" s="419">
        <f t="shared" si="52"/>
        <v>0</v>
      </c>
      <c r="EP58" s="419">
        <f t="shared" si="53"/>
        <v>0</v>
      </c>
      <c r="EQ58" s="419"/>
      <c r="ER58" s="419"/>
      <c r="ES58" s="419"/>
      <c r="ET58" s="419">
        <f t="shared" si="54"/>
        <v>0</v>
      </c>
      <c r="EU58" s="419">
        <f t="shared" si="55"/>
        <v>0</v>
      </c>
      <c r="EV58" s="419"/>
      <c r="EW58" s="419"/>
      <c r="EX58" s="419"/>
      <c r="EY58" s="419">
        <f t="shared" si="56"/>
        <v>0</v>
      </c>
      <c r="EZ58" s="419">
        <f t="shared" si="76"/>
        <v>0</v>
      </c>
      <c r="FA58" s="420"/>
      <c r="FB58" s="420"/>
      <c r="FC58" s="420"/>
      <c r="FD58" s="420">
        <f t="shared" si="57"/>
        <v>0</v>
      </c>
      <c r="FE58" s="420">
        <f t="shared" si="58"/>
        <v>0</v>
      </c>
      <c r="FF58" s="419"/>
      <c r="FG58" s="419"/>
      <c r="FH58" s="419"/>
      <c r="FI58" s="419">
        <f t="shared" si="59"/>
        <v>0</v>
      </c>
      <c r="FJ58" s="419">
        <f t="shared" si="60"/>
        <v>0</v>
      </c>
      <c r="FK58" s="419"/>
      <c r="FL58" s="419"/>
      <c r="FM58" s="419"/>
      <c r="FN58" s="420">
        <f t="shared" si="61"/>
        <v>0</v>
      </c>
      <c r="FO58" s="423">
        <f t="shared" si="62"/>
        <v>0</v>
      </c>
      <c r="FP58" s="419"/>
      <c r="FQ58" s="419"/>
      <c r="FR58" s="419"/>
      <c r="FS58" s="420">
        <f t="shared" si="63"/>
        <v>0</v>
      </c>
      <c r="FT58" s="420">
        <f t="shared" si="64"/>
        <v>0</v>
      </c>
      <c r="FU58" s="419"/>
      <c r="FV58" s="419"/>
      <c r="FW58" s="419"/>
      <c r="FX58" s="420">
        <f t="shared" si="65"/>
        <v>0</v>
      </c>
      <c r="FY58" s="420">
        <f t="shared" si="66"/>
        <v>0</v>
      </c>
      <c r="FZ58" s="419"/>
      <c r="GA58" s="419"/>
      <c r="GB58" s="419"/>
      <c r="GC58" s="420">
        <f t="shared" si="67"/>
        <v>0</v>
      </c>
      <c r="GD58" s="420">
        <f t="shared" si="68"/>
        <v>0</v>
      </c>
      <c r="GE58" s="419"/>
      <c r="GF58" s="419"/>
      <c r="GG58" s="419"/>
      <c r="GH58" s="420">
        <f t="shared" si="69"/>
        <v>0</v>
      </c>
      <c r="GI58" s="423">
        <f t="shared" si="70"/>
        <v>0</v>
      </c>
      <c r="GJ58" s="419"/>
      <c r="GK58" s="419"/>
      <c r="GL58" s="419"/>
      <c r="GM58" s="420">
        <f t="shared" si="71"/>
        <v>0</v>
      </c>
      <c r="GN58" s="420">
        <f t="shared" si="72"/>
        <v>0</v>
      </c>
      <c r="GO58" s="419"/>
      <c r="GP58" s="419"/>
      <c r="GQ58" s="419"/>
      <c r="GR58" s="420">
        <f t="shared" si="77"/>
        <v>0</v>
      </c>
      <c r="GS58" s="423">
        <f t="shared" si="73"/>
        <v>0</v>
      </c>
      <c r="GT58" s="419"/>
      <c r="GU58" s="419"/>
      <c r="GV58" s="419"/>
      <c r="GW58" s="420">
        <f t="shared" si="74"/>
        <v>0</v>
      </c>
      <c r="GX58" s="420">
        <f t="shared" si="75"/>
        <v>0</v>
      </c>
    </row>
    <row r="59" spans="1:206" ht="15">
      <c r="A59" s="414"/>
      <c r="B59" s="415" t="s">
        <v>508</v>
      </c>
      <c r="C59" s="698"/>
      <c r="D59" s="704" t="s">
        <v>509</v>
      </c>
      <c r="E59" s="434" t="s">
        <v>123</v>
      </c>
      <c r="F59" s="417">
        <v>0.13</v>
      </c>
      <c r="G59" s="418">
        <f t="shared" si="4"/>
        <v>16758751.3652</v>
      </c>
      <c r="H59" s="418">
        <f t="shared" si="5"/>
        <v>16758751.359999999</v>
      </c>
      <c r="I59" s="418">
        <f t="shared" si="5"/>
        <v>2178637.671176</v>
      </c>
      <c r="J59" s="418">
        <f t="shared" si="6"/>
        <v>16758751.316738499</v>
      </c>
      <c r="K59" s="418">
        <f t="shared" si="83"/>
        <v>-4.32615373283625E-2</v>
      </c>
      <c r="L59" s="418">
        <f t="shared" si="84"/>
        <v>-4.8461537808179897E-2</v>
      </c>
      <c r="M59" s="424">
        <v>3003854.8752000001</v>
      </c>
      <c r="N59" s="424">
        <v>0</v>
      </c>
      <c r="O59" s="424">
        <v>390501.133776</v>
      </c>
      <c r="P59" s="424"/>
      <c r="Q59" s="419"/>
      <c r="R59" s="419"/>
      <c r="S59" s="419"/>
      <c r="T59" s="420">
        <v>0</v>
      </c>
      <c r="U59" s="423">
        <f t="shared" si="81"/>
        <v>0</v>
      </c>
      <c r="V59" s="420">
        <v>965469.56</v>
      </c>
      <c r="W59" s="420"/>
      <c r="X59" s="420">
        <v>125511.0428</v>
      </c>
      <c r="Y59" s="420">
        <f t="shared" si="79"/>
        <v>965469.56</v>
      </c>
      <c r="Z59" s="423">
        <f t="shared" si="10"/>
        <v>0</v>
      </c>
      <c r="AA59" s="423">
        <v>12460362.42</v>
      </c>
      <c r="AB59" s="419"/>
      <c r="AC59" s="423">
        <f>AA59*F59</f>
        <v>1619847.1146</v>
      </c>
      <c r="AD59" s="420">
        <f t="shared" si="11"/>
        <v>12460362.42</v>
      </c>
      <c r="AE59" s="423">
        <f t="shared" si="12"/>
        <v>0</v>
      </c>
      <c r="AF59" s="419"/>
      <c r="AG59" s="419"/>
      <c r="AH59" s="419"/>
      <c r="AI59" s="420">
        <f t="shared" si="13"/>
        <v>0</v>
      </c>
      <c r="AJ59" s="423">
        <f t="shared" si="14"/>
        <v>0</v>
      </c>
      <c r="AK59" s="419"/>
      <c r="AL59" s="436">
        <v>16429686.859999999</v>
      </c>
      <c r="AM59" s="419"/>
      <c r="AN59" s="420">
        <f t="shared" si="15"/>
        <v>0</v>
      </c>
      <c r="AO59" s="423">
        <f t="shared" si="16"/>
        <v>0</v>
      </c>
      <c r="AP59" s="419"/>
      <c r="AQ59" s="419"/>
      <c r="AR59" s="420"/>
      <c r="AS59" s="420">
        <f t="shared" si="17"/>
        <v>0</v>
      </c>
      <c r="AT59" s="420">
        <f t="shared" si="18"/>
        <v>0</v>
      </c>
      <c r="AU59" s="420"/>
      <c r="AV59" s="420"/>
      <c r="AW59" s="420"/>
      <c r="AX59" s="426">
        <f t="shared" si="19"/>
        <v>0</v>
      </c>
      <c r="AY59" s="420">
        <f t="shared" si="20"/>
        <v>0</v>
      </c>
      <c r="AZ59" s="419"/>
      <c r="BA59" s="420"/>
      <c r="BB59" s="419"/>
      <c r="BC59" s="420">
        <f t="shared" si="21"/>
        <v>0</v>
      </c>
      <c r="BD59" s="427">
        <f t="shared" si="82"/>
        <v>0</v>
      </c>
      <c r="BE59" s="420"/>
      <c r="BF59" s="420"/>
      <c r="BG59" s="420"/>
      <c r="BH59" s="423">
        <f t="shared" si="22"/>
        <v>0</v>
      </c>
      <c r="BI59" s="420">
        <f t="shared" si="23"/>
        <v>0</v>
      </c>
      <c r="BJ59" s="420"/>
      <c r="BK59" s="420"/>
      <c r="BL59" s="420"/>
      <c r="BM59" s="420">
        <f t="shared" si="24"/>
        <v>0</v>
      </c>
      <c r="BN59" s="420">
        <f t="shared" si="25"/>
        <v>0</v>
      </c>
      <c r="BO59" s="419"/>
      <c r="BP59" s="428"/>
      <c r="BQ59" s="420"/>
      <c r="BR59" s="423">
        <f t="shared" si="26"/>
        <v>0</v>
      </c>
      <c r="BS59" s="423">
        <f t="shared" si="27"/>
        <v>0</v>
      </c>
      <c r="BT59" s="420">
        <v>329064.51</v>
      </c>
      <c r="BU59" s="420"/>
      <c r="BV59" s="420">
        <v>42778.38</v>
      </c>
      <c r="BW59" s="420">
        <v>329064.51</v>
      </c>
      <c r="BX59" s="429">
        <f t="shared" si="28"/>
        <v>0</v>
      </c>
      <c r="BY59" s="419"/>
      <c r="BZ59" s="419"/>
      <c r="CA59" s="419"/>
      <c r="CB59" s="420">
        <f t="shared" si="29"/>
        <v>0</v>
      </c>
      <c r="CC59" s="430">
        <f t="shared" si="30"/>
        <v>0</v>
      </c>
      <c r="CD59" s="419"/>
      <c r="CE59" s="419"/>
      <c r="CF59" s="419"/>
      <c r="CG59" s="420">
        <f t="shared" si="31"/>
        <v>0</v>
      </c>
      <c r="CH59" s="423">
        <f t="shared" si="32"/>
        <v>0</v>
      </c>
      <c r="CI59" s="431"/>
      <c r="CJ59" s="431"/>
      <c r="CK59" s="431"/>
      <c r="CL59" s="420">
        <f t="shared" si="33"/>
        <v>0</v>
      </c>
      <c r="CM59" s="423">
        <f t="shared" si="34"/>
        <v>0</v>
      </c>
      <c r="CN59" s="420"/>
      <c r="CO59" s="420"/>
      <c r="CP59" s="420"/>
      <c r="CQ59" s="432"/>
      <c r="CR59" s="432">
        <f t="shared" si="35"/>
        <v>0</v>
      </c>
      <c r="CS59" s="420"/>
      <c r="CT59" s="420"/>
      <c r="CU59" s="420"/>
      <c r="CV59" s="420"/>
      <c r="CW59" s="420">
        <f t="shared" si="36"/>
        <v>0</v>
      </c>
      <c r="CX59" s="419"/>
      <c r="CY59" s="439">
        <v>329064.5</v>
      </c>
      <c r="CZ59" s="419"/>
      <c r="DA59" s="419">
        <f t="shared" si="37"/>
        <v>0</v>
      </c>
      <c r="DB59" s="419">
        <f t="shared" si="38"/>
        <v>0</v>
      </c>
      <c r="DC59" s="419"/>
      <c r="DD59" s="419"/>
      <c r="DE59" s="419"/>
      <c r="DF59" s="420">
        <f t="shared" si="39"/>
        <v>0</v>
      </c>
      <c r="DG59" s="421">
        <f t="shared" si="40"/>
        <v>0</v>
      </c>
      <c r="DH59" s="419"/>
      <c r="DI59" s="419"/>
      <c r="DJ59" s="419"/>
      <c r="DK59" s="420">
        <f t="shared" si="41"/>
        <v>0</v>
      </c>
      <c r="DL59" s="422">
        <f t="shared" si="42"/>
        <v>0</v>
      </c>
      <c r="DM59" s="420"/>
      <c r="DN59" s="420"/>
      <c r="DO59" s="420"/>
      <c r="DP59" s="420">
        <f t="shared" si="43"/>
        <v>0</v>
      </c>
      <c r="DQ59" s="420">
        <f t="shared" si="44"/>
        <v>0</v>
      </c>
      <c r="DR59" s="419"/>
      <c r="DS59" s="419"/>
      <c r="DT59" s="419"/>
      <c r="DU59" s="420">
        <f t="shared" si="45"/>
        <v>0</v>
      </c>
      <c r="DV59" s="423">
        <f t="shared" si="46"/>
        <v>0</v>
      </c>
      <c r="DW59" s="419"/>
      <c r="DX59" s="419"/>
      <c r="DY59" s="419"/>
      <c r="DZ59" s="420">
        <f t="shared" si="47"/>
        <v>0</v>
      </c>
      <c r="EA59" s="423">
        <f t="shared" si="48"/>
        <v>0</v>
      </c>
      <c r="EB59" s="419"/>
      <c r="EC59" s="419"/>
      <c r="ED59" s="420"/>
      <c r="EE59" s="419"/>
      <c r="EF59" s="420">
        <f t="shared" si="49"/>
        <v>0</v>
      </c>
      <c r="EG59" s="419"/>
      <c r="EH59" s="419"/>
      <c r="EI59" s="419"/>
      <c r="EJ59" s="420">
        <f t="shared" si="50"/>
        <v>0</v>
      </c>
      <c r="EK59" s="420">
        <f t="shared" si="51"/>
        <v>0</v>
      </c>
      <c r="EL59" s="419"/>
      <c r="EM59" s="419"/>
      <c r="EN59" s="419"/>
      <c r="EO59" s="419">
        <f t="shared" si="52"/>
        <v>0</v>
      </c>
      <c r="EP59" s="419">
        <f t="shared" si="53"/>
        <v>0</v>
      </c>
      <c r="EQ59" s="419"/>
      <c r="ER59" s="419"/>
      <c r="ES59" s="419"/>
      <c r="ET59" s="419">
        <f t="shared" si="54"/>
        <v>0</v>
      </c>
      <c r="EU59" s="419">
        <f t="shared" si="55"/>
        <v>0</v>
      </c>
      <c r="EV59" s="419"/>
      <c r="EW59" s="419"/>
      <c r="EX59" s="419"/>
      <c r="EY59" s="419">
        <f t="shared" si="56"/>
        <v>0</v>
      </c>
      <c r="EZ59" s="419">
        <f t="shared" si="76"/>
        <v>0</v>
      </c>
      <c r="FA59" s="420"/>
      <c r="FB59" s="420"/>
      <c r="FC59" s="420"/>
      <c r="FD59" s="420">
        <f t="shared" si="57"/>
        <v>0</v>
      </c>
      <c r="FE59" s="420">
        <f t="shared" si="58"/>
        <v>0</v>
      </c>
      <c r="FF59" s="419"/>
      <c r="FG59" s="419"/>
      <c r="FH59" s="419"/>
      <c r="FI59" s="419">
        <f t="shared" si="59"/>
        <v>0</v>
      </c>
      <c r="FJ59" s="419">
        <f t="shared" si="60"/>
        <v>0</v>
      </c>
      <c r="FK59" s="419"/>
      <c r="FL59" s="419"/>
      <c r="FM59" s="419"/>
      <c r="FN59" s="420">
        <f t="shared" si="61"/>
        <v>0</v>
      </c>
      <c r="FO59" s="423">
        <f t="shared" si="62"/>
        <v>0</v>
      </c>
      <c r="FP59" s="419"/>
      <c r="FQ59" s="419"/>
      <c r="FR59" s="419"/>
      <c r="FS59" s="420">
        <f t="shared" si="63"/>
        <v>0</v>
      </c>
      <c r="FT59" s="420">
        <f t="shared" si="64"/>
        <v>0</v>
      </c>
      <c r="FU59" s="419"/>
      <c r="FV59" s="419"/>
      <c r="FW59" s="419"/>
      <c r="FX59" s="420">
        <f t="shared" si="65"/>
        <v>0</v>
      </c>
      <c r="FY59" s="420">
        <f t="shared" si="66"/>
        <v>0</v>
      </c>
      <c r="FZ59" s="419"/>
      <c r="GA59" s="419"/>
      <c r="GB59" s="419"/>
      <c r="GC59" s="420">
        <f t="shared" si="67"/>
        <v>0</v>
      </c>
      <c r="GD59" s="420">
        <f t="shared" si="68"/>
        <v>0</v>
      </c>
      <c r="GE59" s="419"/>
      <c r="GF59" s="419"/>
      <c r="GG59" s="419"/>
      <c r="GH59" s="420">
        <f t="shared" si="69"/>
        <v>0</v>
      </c>
      <c r="GI59" s="423">
        <f t="shared" si="70"/>
        <v>0</v>
      </c>
      <c r="GJ59" s="419"/>
      <c r="GK59" s="419"/>
      <c r="GL59" s="419"/>
      <c r="GM59" s="420">
        <f t="shared" si="71"/>
        <v>0</v>
      </c>
      <c r="GN59" s="420">
        <f t="shared" si="72"/>
        <v>0</v>
      </c>
      <c r="GO59" s="419"/>
      <c r="GP59" s="419"/>
      <c r="GQ59" s="419"/>
      <c r="GR59" s="420">
        <f t="shared" si="77"/>
        <v>0</v>
      </c>
      <c r="GS59" s="423">
        <f t="shared" si="73"/>
        <v>0</v>
      </c>
      <c r="GT59" s="419"/>
      <c r="GU59" s="419"/>
      <c r="GV59" s="419"/>
      <c r="GW59" s="420">
        <f t="shared" si="74"/>
        <v>0</v>
      </c>
      <c r="GX59" s="420">
        <f t="shared" si="75"/>
        <v>0</v>
      </c>
    </row>
    <row r="60" spans="1:206" ht="15">
      <c r="A60" s="414"/>
      <c r="B60" s="415" t="s">
        <v>508</v>
      </c>
      <c r="C60" s="698"/>
      <c r="D60" s="706"/>
      <c r="E60" s="434" t="s">
        <v>124</v>
      </c>
      <c r="F60" s="417">
        <v>0.09</v>
      </c>
      <c r="G60" s="418">
        <f t="shared" si="4"/>
        <v>0</v>
      </c>
      <c r="H60" s="418">
        <f t="shared" si="5"/>
        <v>0</v>
      </c>
      <c r="I60" s="418">
        <f t="shared" si="5"/>
        <v>0</v>
      </c>
      <c r="J60" s="418">
        <f t="shared" si="6"/>
        <v>0</v>
      </c>
      <c r="K60" s="418">
        <f t="shared" si="83"/>
        <v>0</v>
      </c>
      <c r="L60" s="418">
        <f t="shared" si="84"/>
        <v>0</v>
      </c>
      <c r="M60" s="424">
        <v>0</v>
      </c>
      <c r="N60" s="424">
        <v>0</v>
      </c>
      <c r="O60" s="424">
        <v>0</v>
      </c>
      <c r="P60" s="424"/>
      <c r="Q60" s="419"/>
      <c r="R60" s="419"/>
      <c r="S60" s="420"/>
      <c r="T60" s="420">
        <v>0</v>
      </c>
      <c r="U60" s="423">
        <f t="shared" si="81"/>
        <v>0</v>
      </c>
      <c r="V60" s="420"/>
      <c r="W60" s="420"/>
      <c r="X60" s="420">
        <v>0</v>
      </c>
      <c r="Y60" s="420">
        <f t="shared" si="79"/>
        <v>0</v>
      </c>
      <c r="Z60" s="423">
        <f t="shared" si="10"/>
        <v>0</v>
      </c>
      <c r="AA60" s="423"/>
      <c r="AB60" s="420"/>
      <c r="AC60" s="419"/>
      <c r="AD60" s="420">
        <f t="shared" si="11"/>
        <v>0</v>
      </c>
      <c r="AE60" s="423">
        <f t="shared" si="12"/>
        <v>0</v>
      </c>
      <c r="AF60" s="419"/>
      <c r="AG60" s="419"/>
      <c r="AH60" s="419"/>
      <c r="AI60" s="420">
        <f t="shared" si="13"/>
        <v>0</v>
      </c>
      <c r="AJ60" s="423">
        <f t="shared" si="14"/>
        <v>0</v>
      </c>
      <c r="AK60" s="419"/>
      <c r="AL60" s="420"/>
      <c r="AM60" s="419"/>
      <c r="AN60" s="420">
        <f t="shared" si="15"/>
        <v>0</v>
      </c>
      <c r="AO60" s="423">
        <f t="shared" si="16"/>
        <v>0</v>
      </c>
      <c r="AP60" s="419"/>
      <c r="AQ60" s="419"/>
      <c r="AR60" s="419"/>
      <c r="AS60" s="420">
        <f t="shared" si="17"/>
        <v>0</v>
      </c>
      <c r="AT60" s="420">
        <f t="shared" si="18"/>
        <v>0</v>
      </c>
      <c r="AU60" s="420"/>
      <c r="AV60" s="420"/>
      <c r="AW60" s="420"/>
      <c r="AX60" s="426">
        <f t="shared" si="19"/>
        <v>0</v>
      </c>
      <c r="AY60" s="420">
        <f t="shared" si="20"/>
        <v>0</v>
      </c>
      <c r="AZ60" s="419"/>
      <c r="BA60" s="420"/>
      <c r="BB60" s="419"/>
      <c r="BC60" s="420">
        <f t="shared" si="21"/>
        <v>0</v>
      </c>
      <c r="BD60" s="427">
        <f t="shared" si="82"/>
        <v>0</v>
      </c>
      <c r="BE60" s="420"/>
      <c r="BF60" s="420"/>
      <c r="BG60" s="420"/>
      <c r="BH60" s="423">
        <f t="shared" si="22"/>
        <v>0</v>
      </c>
      <c r="BI60" s="420">
        <f t="shared" si="23"/>
        <v>0</v>
      </c>
      <c r="BJ60" s="420"/>
      <c r="BK60" s="420"/>
      <c r="BL60" s="420"/>
      <c r="BM60" s="420">
        <f t="shared" si="24"/>
        <v>0</v>
      </c>
      <c r="BN60" s="420">
        <f t="shared" si="25"/>
        <v>0</v>
      </c>
      <c r="BO60" s="428"/>
      <c r="BP60" s="428"/>
      <c r="BQ60" s="420"/>
      <c r="BR60" s="423">
        <f t="shared" si="26"/>
        <v>0</v>
      </c>
      <c r="BS60" s="423">
        <f t="shared" si="27"/>
        <v>0</v>
      </c>
      <c r="BT60" s="420"/>
      <c r="BU60" s="420"/>
      <c r="BV60" s="420"/>
      <c r="BW60" s="420"/>
      <c r="BX60" s="429">
        <f t="shared" si="28"/>
        <v>0</v>
      </c>
      <c r="BY60" s="419"/>
      <c r="BZ60" s="419"/>
      <c r="CA60" s="419"/>
      <c r="CB60" s="420">
        <f t="shared" si="29"/>
        <v>0</v>
      </c>
      <c r="CC60" s="430">
        <f t="shared" si="30"/>
        <v>0</v>
      </c>
      <c r="CD60" s="419"/>
      <c r="CE60" s="419"/>
      <c r="CF60" s="419"/>
      <c r="CG60" s="420">
        <f t="shared" si="31"/>
        <v>0</v>
      </c>
      <c r="CH60" s="423">
        <f t="shared" si="32"/>
        <v>0</v>
      </c>
      <c r="CI60" s="431"/>
      <c r="CJ60" s="431"/>
      <c r="CK60" s="431"/>
      <c r="CL60" s="420">
        <f t="shared" si="33"/>
        <v>0</v>
      </c>
      <c r="CM60" s="423">
        <f t="shared" si="34"/>
        <v>0</v>
      </c>
      <c r="CN60" s="420"/>
      <c r="CO60" s="420"/>
      <c r="CP60" s="420"/>
      <c r="CQ60" s="432"/>
      <c r="CR60" s="432">
        <f t="shared" si="35"/>
        <v>0</v>
      </c>
      <c r="CS60" s="420"/>
      <c r="CT60" s="420"/>
      <c r="CU60" s="420"/>
      <c r="CV60" s="420"/>
      <c r="CW60" s="420">
        <f t="shared" si="36"/>
        <v>0</v>
      </c>
      <c r="CX60" s="419"/>
      <c r="CY60" s="419"/>
      <c r="CZ60" s="419"/>
      <c r="DA60" s="419">
        <f t="shared" si="37"/>
        <v>0</v>
      </c>
      <c r="DB60" s="419">
        <f t="shared" si="38"/>
        <v>0</v>
      </c>
      <c r="DC60" s="419"/>
      <c r="DD60" s="419"/>
      <c r="DE60" s="419"/>
      <c r="DF60" s="420">
        <f t="shared" si="39"/>
        <v>0</v>
      </c>
      <c r="DG60" s="421">
        <f t="shared" si="40"/>
        <v>0</v>
      </c>
      <c r="DH60" s="419"/>
      <c r="DI60" s="419"/>
      <c r="DJ60" s="419"/>
      <c r="DK60" s="420">
        <f t="shared" si="41"/>
        <v>0</v>
      </c>
      <c r="DL60" s="422">
        <f t="shared" si="42"/>
        <v>0</v>
      </c>
      <c r="DM60" s="420"/>
      <c r="DN60" s="420"/>
      <c r="DO60" s="420"/>
      <c r="DP60" s="420">
        <f t="shared" si="43"/>
        <v>0</v>
      </c>
      <c r="DQ60" s="420">
        <f t="shared" si="44"/>
        <v>0</v>
      </c>
      <c r="DR60" s="419"/>
      <c r="DS60" s="419"/>
      <c r="DT60" s="419"/>
      <c r="DU60" s="420">
        <f t="shared" si="45"/>
        <v>0</v>
      </c>
      <c r="DV60" s="423">
        <f t="shared" si="46"/>
        <v>0</v>
      </c>
      <c r="DW60" s="419"/>
      <c r="DX60" s="419"/>
      <c r="DY60" s="419"/>
      <c r="DZ60" s="420">
        <f t="shared" si="47"/>
        <v>0</v>
      </c>
      <c r="EA60" s="423">
        <f t="shared" si="48"/>
        <v>0</v>
      </c>
      <c r="EB60" s="420"/>
      <c r="EC60" s="419"/>
      <c r="ED60" s="420"/>
      <c r="EE60" s="419"/>
      <c r="EF60" s="420">
        <f t="shared" si="49"/>
        <v>0</v>
      </c>
      <c r="EG60" s="419"/>
      <c r="EH60" s="419"/>
      <c r="EI60" s="419"/>
      <c r="EJ60" s="420">
        <f t="shared" si="50"/>
        <v>0</v>
      </c>
      <c r="EK60" s="420">
        <f t="shared" si="51"/>
        <v>0</v>
      </c>
      <c r="EL60" s="419"/>
      <c r="EM60" s="419"/>
      <c r="EN60" s="419"/>
      <c r="EO60" s="419">
        <f t="shared" si="52"/>
        <v>0</v>
      </c>
      <c r="EP60" s="419">
        <f t="shared" si="53"/>
        <v>0</v>
      </c>
      <c r="EQ60" s="419"/>
      <c r="ER60" s="419"/>
      <c r="ES60" s="419"/>
      <c r="ET60" s="419">
        <f t="shared" si="54"/>
        <v>0</v>
      </c>
      <c r="EU60" s="419">
        <f t="shared" si="55"/>
        <v>0</v>
      </c>
      <c r="EV60" s="419"/>
      <c r="EW60" s="419"/>
      <c r="EX60" s="419"/>
      <c r="EY60" s="419">
        <f t="shared" si="56"/>
        <v>0</v>
      </c>
      <c r="EZ60" s="419">
        <f t="shared" si="76"/>
        <v>0</v>
      </c>
      <c r="FA60" s="420"/>
      <c r="FB60" s="420"/>
      <c r="FC60" s="420"/>
      <c r="FD60" s="420">
        <f t="shared" si="57"/>
        <v>0</v>
      </c>
      <c r="FE60" s="420">
        <f t="shared" si="58"/>
        <v>0</v>
      </c>
      <c r="FF60" s="419"/>
      <c r="FG60" s="419"/>
      <c r="FH60" s="419"/>
      <c r="FI60" s="419">
        <f t="shared" si="59"/>
        <v>0</v>
      </c>
      <c r="FJ60" s="419">
        <f t="shared" si="60"/>
        <v>0</v>
      </c>
      <c r="FK60" s="419"/>
      <c r="FL60" s="419"/>
      <c r="FM60" s="419"/>
      <c r="FN60" s="420">
        <f t="shared" si="61"/>
        <v>0</v>
      </c>
      <c r="FO60" s="423">
        <f t="shared" si="62"/>
        <v>0</v>
      </c>
      <c r="FP60" s="419"/>
      <c r="FQ60" s="419"/>
      <c r="FR60" s="419"/>
      <c r="FS60" s="420">
        <f t="shared" si="63"/>
        <v>0</v>
      </c>
      <c r="FT60" s="420">
        <f t="shared" si="64"/>
        <v>0</v>
      </c>
      <c r="FU60" s="419"/>
      <c r="FV60" s="419"/>
      <c r="FW60" s="419"/>
      <c r="FX60" s="420">
        <f t="shared" si="65"/>
        <v>0</v>
      </c>
      <c r="FY60" s="420">
        <f t="shared" si="66"/>
        <v>0</v>
      </c>
      <c r="FZ60" s="419"/>
      <c r="GA60" s="419"/>
      <c r="GB60" s="419"/>
      <c r="GC60" s="420">
        <f t="shared" si="67"/>
        <v>0</v>
      </c>
      <c r="GD60" s="420">
        <f t="shared" si="68"/>
        <v>0</v>
      </c>
      <c r="GE60" s="419"/>
      <c r="GF60" s="419"/>
      <c r="GG60" s="419"/>
      <c r="GH60" s="420">
        <f t="shared" si="69"/>
        <v>0</v>
      </c>
      <c r="GI60" s="423">
        <f t="shared" si="70"/>
        <v>0</v>
      </c>
      <c r="GJ60" s="419"/>
      <c r="GK60" s="419"/>
      <c r="GL60" s="419"/>
      <c r="GM60" s="420">
        <f t="shared" si="71"/>
        <v>0</v>
      </c>
      <c r="GN60" s="420">
        <f t="shared" si="72"/>
        <v>0</v>
      </c>
      <c r="GO60" s="419"/>
      <c r="GP60" s="419"/>
      <c r="GQ60" s="419"/>
      <c r="GR60" s="420">
        <f t="shared" si="77"/>
        <v>0</v>
      </c>
      <c r="GS60" s="423">
        <f t="shared" si="73"/>
        <v>0</v>
      </c>
      <c r="GT60" s="419"/>
      <c r="GU60" s="419"/>
      <c r="GV60" s="419"/>
      <c r="GW60" s="420">
        <f t="shared" si="74"/>
        <v>0</v>
      </c>
      <c r="GX60" s="420">
        <f t="shared" si="75"/>
        <v>0</v>
      </c>
    </row>
    <row r="61" spans="1:206" ht="15">
      <c r="A61" s="414"/>
      <c r="B61" s="415" t="s">
        <v>508</v>
      </c>
      <c r="C61" s="698"/>
      <c r="D61" s="707"/>
      <c r="E61" s="434" t="s">
        <v>125</v>
      </c>
      <c r="F61" s="417">
        <v>0.06</v>
      </c>
      <c r="G61" s="418">
        <f t="shared" si="4"/>
        <v>2157808.9</v>
      </c>
      <c r="H61" s="418">
        <f t="shared" si="5"/>
        <v>2157808.9</v>
      </c>
      <c r="I61" s="418">
        <f t="shared" si="5"/>
        <v>129468.551129051</v>
      </c>
      <c r="J61" s="418">
        <f t="shared" si="6"/>
        <v>2157809.1854841802</v>
      </c>
      <c r="K61" s="418">
        <f t="shared" si="83"/>
        <v>0.28548418311402202</v>
      </c>
      <c r="L61" s="418">
        <f t="shared" si="84"/>
        <v>0.28548418357968303</v>
      </c>
      <c r="M61" s="424"/>
      <c r="N61" s="424"/>
      <c r="O61" s="424"/>
      <c r="P61" s="424"/>
      <c r="Q61" s="419"/>
      <c r="R61" s="419"/>
      <c r="S61" s="420"/>
      <c r="T61" s="420">
        <v>0</v>
      </c>
      <c r="U61" s="423">
        <f t="shared" si="81"/>
        <v>0</v>
      </c>
      <c r="V61" s="420"/>
      <c r="W61" s="420"/>
      <c r="X61" s="420">
        <v>0</v>
      </c>
      <c r="Y61" s="420">
        <f t="shared" si="79"/>
        <v>0</v>
      </c>
      <c r="Z61" s="423">
        <f t="shared" si="10"/>
        <v>0</v>
      </c>
      <c r="AA61" s="423">
        <v>2075471.7</v>
      </c>
      <c r="AB61" s="419"/>
      <c r="AC61" s="423">
        <f>AA61*F61</f>
        <v>124528.302</v>
      </c>
      <c r="AD61" s="420">
        <f t="shared" si="11"/>
        <v>2075471.7</v>
      </c>
      <c r="AE61" s="423">
        <f t="shared" si="12"/>
        <v>0</v>
      </c>
      <c r="AF61" s="444">
        <v>10176.209999999999</v>
      </c>
      <c r="AG61" s="419"/>
      <c r="AH61" s="420">
        <v>610.57274905097597</v>
      </c>
      <c r="AI61" s="420">
        <f t="shared" si="13"/>
        <v>10176.212484182901</v>
      </c>
      <c r="AJ61" s="423">
        <f t="shared" si="14"/>
        <v>2.4841829344950401E-3</v>
      </c>
      <c r="AK61" s="419"/>
      <c r="AL61" s="436">
        <v>2085647.91</v>
      </c>
      <c r="AM61" s="419"/>
      <c r="AN61" s="420">
        <f t="shared" si="15"/>
        <v>0</v>
      </c>
      <c r="AO61" s="423">
        <f t="shared" si="16"/>
        <v>0</v>
      </c>
      <c r="AP61" s="419"/>
      <c r="AQ61" s="419"/>
      <c r="AR61" s="420"/>
      <c r="AS61" s="420">
        <f t="shared" si="17"/>
        <v>0</v>
      </c>
      <c r="AT61" s="420">
        <f t="shared" si="18"/>
        <v>0</v>
      </c>
      <c r="AU61" s="420">
        <v>3019.02</v>
      </c>
      <c r="AV61" s="420"/>
      <c r="AW61" s="435">
        <v>181.14138</v>
      </c>
      <c r="AX61" s="426">
        <f t="shared" si="19"/>
        <v>3019.0230000000001</v>
      </c>
      <c r="AY61" s="420">
        <f t="shared" si="20"/>
        <v>3.0000000001564301E-3</v>
      </c>
      <c r="AZ61" s="420">
        <v>3265.47</v>
      </c>
      <c r="BA61" s="420"/>
      <c r="BB61" s="419">
        <v>195.93</v>
      </c>
      <c r="BC61" s="420">
        <f t="shared" si="21"/>
        <v>3265.5</v>
      </c>
      <c r="BD61" s="427">
        <f t="shared" si="82"/>
        <v>3.0000000000654801E-2</v>
      </c>
      <c r="BE61" s="420">
        <v>3331.78</v>
      </c>
      <c r="BF61" s="420"/>
      <c r="BG61" s="420">
        <v>199.91</v>
      </c>
      <c r="BH61" s="423">
        <f t="shared" si="22"/>
        <v>3331.8333333333298</v>
      </c>
      <c r="BI61" s="420">
        <f t="shared" si="23"/>
        <v>5.3333333333284799E-2</v>
      </c>
      <c r="BJ61" s="420">
        <v>4321.5600000000004</v>
      </c>
      <c r="BK61" s="420"/>
      <c r="BL61" s="420">
        <v>259.29000000000002</v>
      </c>
      <c r="BM61" s="420">
        <f t="shared" si="24"/>
        <v>4321.5</v>
      </c>
      <c r="BN61" s="420">
        <f t="shared" si="25"/>
        <v>-5.9999999999490697E-2</v>
      </c>
      <c r="BO61" s="428">
        <v>5378.07</v>
      </c>
      <c r="BP61" s="428"/>
      <c r="BQ61" s="420">
        <v>322.68419999999998</v>
      </c>
      <c r="BR61" s="423">
        <f t="shared" si="26"/>
        <v>5378.07</v>
      </c>
      <c r="BS61" s="423">
        <f t="shared" si="27"/>
        <v>0</v>
      </c>
      <c r="BT61" s="420">
        <v>3293.18</v>
      </c>
      <c r="BU61" s="420"/>
      <c r="BV61" s="420">
        <v>197.59</v>
      </c>
      <c r="BW61" s="420">
        <v>3293.18</v>
      </c>
      <c r="BX61" s="429">
        <f t="shared" si="28"/>
        <v>0</v>
      </c>
      <c r="BY61" s="419">
        <v>10761.19</v>
      </c>
      <c r="BZ61" s="419"/>
      <c r="CA61" s="419">
        <v>645.66999999999996</v>
      </c>
      <c r="CB61" s="420">
        <f t="shared" si="29"/>
        <v>10761.166666666701</v>
      </c>
      <c r="CC61" s="430">
        <f t="shared" si="30"/>
        <v>-2.3333333334449001E-2</v>
      </c>
      <c r="CD61" s="419">
        <v>1955.79</v>
      </c>
      <c r="CE61" s="419"/>
      <c r="CF61" s="419">
        <v>117.35</v>
      </c>
      <c r="CG61" s="420">
        <f t="shared" si="31"/>
        <v>1955.8333333333301</v>
      </c>
      <c r="CH61" s="423">
        <f t="shared" si="32"/>
        <v>4.3333333333293901E-2</v>
      </c>
      <c r="CI61" s="431">
        <v>1157.71</v>
      </c>
      <c r="CJ61" s="431"/>
      <c r="CK61" s="431">
        <v>69.459999999999994</v>
      </c>
      <c r="CL61" s="420">
        <f t="shared" si="33"/>
        <v>1157.6666666666699</v>
      </c>
      <c r="CM61" s="423">
        <f t="shared" si="34"/>
        <v>-4.3333333333521303E-2</v>
      </c>
      <c r="CN61" s="420">
        <v>1308.1600000000001</v>
      </c>
      <c r="CO61" s="420"/>
      <c r="CP61" s="420">
        <v>78.489999999999995</v>
      </c>
      <c r="CQ61" s="432">
        <v>1308.1600000000001</v>
      </c>
      <c r="CR61" s="432">
        <f t="shared" si="35"/>
        <v>0</v>
      </c>
      <c r="CS61" s="420">
        <v>1312.64</v>
      </c>
      <c r="CT61" s="420"/>
      <c r="CU61" s="420">
        <v>78.760000000000005</v>
      </c>
      <c r="CV61" s="420">
        <v>1312.64</v>
      </c>
      <c r="CW61" s="420">
        <f t="shared" si="36"/>
        <v>0</v>
      </c>
      <c r="CX61" s="419">
        <v>392.03</v>
      </c>
      <c r="CY61" s="439">
        <v>39104.57</v>
      </c>
      <c r="CZ61" s="419">
        <v>23.52</v>
      </c>
      <c r="DA61" s="419">
        <f t="shared" si="37"/>
        <v>392</v>
      </c>
      <c r="DB61" s="419">
        <f t="shared" si="38"/>
        <v>-0.03</v>
      </c>
      <c r="DC61" s="419">
        <v>767.8</v>
      </c>
      <c r="DD61" s="419"/>
      <c r="DE61" s="419">
        <v>46.07</v>
      </c>
      <c r="DF61" s="420">
        <f t="shared" si="39"/>
        <v>767.83333333333303</v>
      </c>
      <c r="DG61" s="421">
        <f t="shared" si="40"/>
        <v>-3.3333333333416697E-2</v>
      </c>
      <c r="DH61" s="419">
        <v>767.8</v>
      </c>
      <c r="DI61" s="419"/>
      <c r="DJ61" s="419">
        <v>46.07</v>
      </c>
      <c r="DK61" s="420">
        <f t="shared" si="41"/>
        <v>767.83333333333303</v>
      </c>
      <c r="DL61" s="422">
        <f t="shared" si="42"/>
        <v>3.3333333333416697E-2</v>
      </c>
      <c r="DM61" s="420">
        <v>995.78</v>
      </c>
      <c r="DN61" s="420"/>
      <c r="DO61" s="420">
        <v>59.75</v>
      </c>
      <c r="DP61" s="420">
        <f t="shared" si="43"/>
        <v>995.83333333333303</v>
      </c>
      <c r="DQ61" s="420">
        <f t="shared" si="44"/>
        <v>5.33333333333985E-2</v>
      </c>
      <c r="DR61" s="419">
        <v>908.49</v>
      </c>
      <c r="DS61" s="419"/>
      <c r="DT61" s="419">
        <v>54.51</v>
      </c>
      <c r="DU61" s="420">
        <f t="shared" si="45"/>
        <v>908.5</v>
      </c>
      <c r="DV61" s="423">
        <f t="shared" si="46"/>
        <v>9.9999999999909103E-3</v>
      </c>
      <c r="DW61" s="419">
        <v>916.95</v>
      </c>
      <c r="DX61" s="419"/>
      <c r="DY61" s="419">
        <v>55.02</v>
      </c>
      <c r="DZ61" s="420">
        <f t="shared" si="47"/>
        <v>917</v>
      </c>
      <c r="EA61" s="423">
        <f t="shared" si="48"/>
        <v>0.05</v>
      </c>
      <c r="EB61" s="419">
        <v>1928.18</v>
      </c>
      <c r="EC61" s="419"/>
      <c r="ED61" s="420">
        <v>115.6908</v>
      </c>
      <c r="EE61" s="419">
        <v>1928.18</v>
      </c>
      <c r="EF61" s="420">
        <f t="shared" si="49"/>
        <v>0</v>
      </c>
      <c r="EG61" s="419">
        <v>4930.59</v>
      </c>
      <c r="EI61" s="419">
        <v>295.83999999999997</v>
      </c>
      <c r="EJ61" s="420">
        <f t="shared" si="50"/>
        <v>4930.67</v>
      </c>
      <c r="EK61" s="420">
        <f t="shared" si="51"/>
        <v>0.08</v>
      </c>
      <c r="EL61" s="419">
        <v>448.06</v>
      </c>
      <c r="EN61" s="419">
        <v>26.88</v>
      </c>
      <c r="EO61" s="419">
        <f t="shared" si="52"/>
        <v>448</v>
      </c>
      <c r="EP61" s="419">
        <f t="shared" si="53"/>
        <v>-0.06</v>
      </c>
      <c r="EQ61" s="419">
        <v>556.36</v>
      </c>
      <c r="ER61" s="419">
        <v>12055.69</v>
      </c>
      <c r="ES61" s="419">
        <v>33.380000000000003</v>
      </c>
      <c r="ET61" s="419">
        <f t="shared" si="54"/>
        <v>556.33000000000004</v>
      </c>
      <c r="EU61" s="419">
        <f t="shared" si="55"/>
        <v>-0.03</v>
      </c>
      <c r="EV61" s="419">
        <v>572.29</v>
      </c>
      <c r="EW61" s="419"/>
      <c r="EX61" s="419">
        <v>34.340000000000003</v>
      </c>
      <c r="EY61" s="419">
        <f t="shared" si="56"/>
        <v>572.33000000000004</v>
      </c>
      <c r="EZ61" s="419">
        <f t="shared" si="76"/>
        <v>0.04</v>
      </c>
      <c r="FA61" s="420"/>
      <c r="FB61" s="420"/>
      <c r="FC61" s="420"/>
      <c r="FD61" s="420">
        <f t="shared" si="57"/>
        <v>0</v>
      </c>
      <c r="FE61" s="420">
        <f t="shared" si="58"/>
        <v>0</v>
      </c>
      <c r="FF61" s="419">
        <v>19872.09</v>
      </c>
      <c r="FG61" s="419"/>
      <c r="FH61" s="419">
        <v>1192.33</v>
      </c>
      <c r="FI61" s="419">
        <f t="shared" si="59"/>
        <v>19872.166666666701</v>
      </c>
      <c r="FJ61" s="419">
        <f t="shared" si="60"/>
        <v>0.08</v>
      </c>
      <c r="FK61" s="419"/>
      <c r="FL61" s="419"/>
      <c r="FM61" s="419"/>
      <c r="FN61" s="420">
        <f t="shared" si="61"/>
        <v>0</v>
      </c>
      <c r="FO61" s="423">
        <f t="shared" si="62"/>
        <v>0</v>
      </c>
      <c r="FP61" s="419"/>
      <c r="FQ61" s="419"/>
      <c r="FR61" s="419"/>
      <c r="FS61" s="420">
        <f t="shared" si="63"/>
        <v>0</v>
      </c>
      <c r="FT61" s="420">
        <f t="shared" si="64"/>
        <v>0</v>
      </c>
      <c r="FU61" s="419"/>
      <c r="FV61" s="419"/>
      <c r="FW61" s="419"/>
      <c r="FX61" s="420">
        <f t="shared" si="65"/>
        <v>0</v>
      </c>
      <c r="FY61" s="420">
        <f t="shared" si="66"/>
        <v>0</v>
      </c>
      <c r="FZ61" s="419"/>
      <c r="GA61" s="419"/>
      <c r="GB61" s="419"/>
      <c r="GC61" s="420">
        <f t="shared" si="67"/>
        <v>0</v>
      </c>
      <c r="GD61" s="420">
        <f t="shared" si="68"/>
        <v>0</v>
      </c>
      <c r="GE61" s="419"/>
      <c r="GF61" s="419">
        <v>21000.73</v>
      </c>
      <c r="GG61" s="419"/>
      <c r="GH61" s="420">
        <f t="shared" si="69"/>
        <v>0</v>
      </c>
      <c r="GI61" s="423">
        <f t="shared" si="70"/>
        <v>0</v>
      </c>
      <c r="GJ61" s="419"/>
      <c r="GK61" s="419"/>
      <c r="GL61" s="419"/>
      <c r="GM61" s="420">
        <f t="shared" si="71"/>
        <v>0</v>
      </c>
      <c r="GN61" s="420">
        <f t="shared" si="72"/>
        <v>0</v>
      </c>
      <c r="GO61" s="419"/>
      <c r="GP61" s="419"/>
      <c r="GQ61" s="419"/>
      <c r="GR61" s="420">
        <f t="shared" si="77"/>
        <v>0</v>
      </c>
      <c r="GS61" s="423">
        <f t="shared" si="73"/>
        <v>0</v>
      </c>
      <c r="GT61" s="419"/>
      <c r="GU61" s="419"/>
      <c r="GV61" s="419"/>
      <c r="GW61" s="420">
        <f t="shared" si="74"/>
        <v>0</v>
      </c>
      <c r="GX61" s="420">
        <f t="shared" si="75"/>
        <v>0</v>
      </c>
    </row>
    <row r="62" spans="1:206" ht="15">
      <c r="A62" s="414"/>
      <c r="B62" s="415" t="s">
        <v>510</v>
      </c>
      <c r="C62" s="698"/>
      <c r="D62" s="704" t="s">
        <v>511</v>
      </c>
      <c r="E62" s="434" t="s">
        <v>123</v>
      </c>
      <c r="F62" s="417">
        <v>0.13</v>
      </c>
      <c r="G62" s="418">
        <f t="shared" si="4"/>
        <v>62476269.140000001</v>
      </c>
      <c r="H62" s="418">
        <f t="shared" si="5"/>
        <v>62476269.170000002</v>
      </c>
      <c r="I62" s="418">
        <f t="shared" si="5"/>
        <v>8121914.9640070004</v>
      </c>
      <c r="J62" s="418">
        <f t="shared" si="6"/>
        <v>62476268.953900002</v>
      </c>
      <c r="K62" s="418">
        <f t="shared" si="83"/>
        <v>-0.21610000729560899</v>
      </c>
      <c r="L62" s="418">
        <f t="shared" si="84"/>
        <v>-0.186099998652935</v>
      </c>
      <c r="M62" s="424">
        <v>0</v>
      </c>
      <c r="N62" s="424">
        <v>0</v>
      </c>
      <c r="O62" s="424">
        <v>0</v>
      </c>
      <c r="P62" s="424"/>
      <c r="Q62" s="419"/>
      <c r="R62" s="419"/>
      <c r="S62" s="419"/>
      <c r="T62" s="420">
        <v>0</v>
      </c>
      <c r="U62" s="423">
        <f t="shared" si="81"/>
        <v>0</v>
      </c>
      <c r="V62" s="420"/>
      <c r="W62" s="420"/>
      <c r="X62" s="420">
        <v>0</v>
      </c>
      <c r="Y62" s="420">
        <f t="shared" si="79"/>
        <v>0</v>
      </c>
      <c r="Z62" s="423">
        <f t="shared" si="10"/>
        <v>0</v>
      </c>
      <c r="AA62" s="423"/>
      <c r="AB62" s="419"/>
      <c r="AC62" s="419"/>
      <c r="AD62" s="420">
        <f t="shared" si="11"/>
        <v>0</v>
      </c>
      <c r="AE62" s="423">
        <f t="shared" si="12"/>
        <v>0</v>
      </c>
      <c r="AF62" s="420">
        <v>2763707.43</v>
      </c>
      <c r="AG62" s="419"/>
      <c r="AH62" s="420">
        <v>359281.96629000001</v>
      </c>
      <c r="AI62" s="420">
        <f t="shared" si="13"/>
        <v>2763707.4330000002</v>
      </c>
      <c r="AJ62" s="423">
        <f t="shared" si="14"/>
        <v>3.0000000260770299E-3</v>
      </c>
      <c r="AK62" s="419"/>
      <c r="AL62" s="420"/>
      <c r="AM62" s="419"/>
      <c r="AN62" s="420">
        <f t="shared" si="15"/>
        <v>0</v>
      </c>
      <c r="AO62" s="423">
        <f t="shared" si="16"/>
        <v>0</v>
      </c>
      <c r="AP62" s="419"/>
      <c r="AQ62" s="419"/>
      <c r="AR62" s="420"/>
      <c r="AS62" s="420">
        <f t="shared" si="17"/>
        <v>0</v>
      </c>
      <c r="AT62" s="420">
        <f t="shared" si="18"/>
        <v>0</v>
      </c>
      <c r="AU62" s="420">
        <v>7033243.2199999997</v>
      </c>
      <c r="AV62" s="426">
        <v>36814159.32</v>
      </c>
      <c r="AW62" s="420">
        <f>4785840.68-3871519.060828</f>
        <v>914321.61917199998</v>
      </c>
      <c r="AX62" s="426">
        <f t="shared" si="19"/>
        <v>7033243.2243999997</v>
      </c>
      <c r="AY62" s="420">
        <f t="shared" si="20"/>
        <v>4.3999990448355701E-3</v>
      </c>
      <c r="AZ62" s="444">
        <f>45163562.67+20358.47+6154.83+5724.62+17719.61</f>
        <v>45213520.200000003</v>
      </c>
      <c r="BA62" s="420"/>
      <c r="BB62" s="420">
        <v>5877757.624206</v>
      </c>
      <c r="BC62" s="420">
        <f t="shared" si="21"/>
        <v>45213520.1862</v>
      </c>
      <c r="BD62" s="427">
        <f t="shared" si="82"/>
        <v>-1.37999951839447E-2</v>
      </c>
      <c r="BE62" s="420">
        <v>5750591.0999999996</v>
      </c>
      <c r="BF62" s="420"/>
      <c r="BG62" s="420">
        <v>747576.84433899994</v>
      </c>
      <c r="BH62" s="423">
        <f t="shared" si="22"/>
        <v>5750591.1102999998</v>
      </c>
      <c r="BI62" s="420">
        <f t="shared" si="23"/>
        <v>1.0300000198185401E-2</v>
      </c>
      <c r="BJ62" s="420"/>
      <c r="BK62" s="420"/>
      <c r="BL62" s="420"/>
      <c r="BM62" s="420">
        <f t="shared" si="24"/>
        <v>0</v>
      </c>
      <c r="BN62" s="420">
        <f t="shared" si="25"/>
        <v>0</v>
      </c>
      <c r="BO62" s="433">
        <v>1690587.01</v>
      </c>
      <c r="BP62" s="428"/>
      <c r="BQ62" s="420">
        <v>219776.28</v>
      </c>
      <c r="BR62" s="423">
        <f t="shared" si="26"/>
        <v>1690586.7692307699</v>
      </c>
      <c r="BS62" s="423">
        <f t="shared" si="27"/>
        <v>-0.240769230760634</v>
      </c>
      <c r="BT62" s="420">
        <v>24620.18</v>
      </c>
      <c r="BU62" s="420">
        <v>23946902.66</v>
      </c>
      <c r="BV62" s="420">
        <v>3200.63</v>
      </c>
      <c r="BW62" s="420">
        <v>24620.18</v>
      </c>
      <c r="BX62" s="429">
        <f t="shared" si="28"/>
        <v>0</v>
      </c>
      <c r="BY62" s="419"/>
      <c r="BZ62" s="419"/>
      <c r="CA62" s="419"/>
      <c r="CB62" s="420">
        <f t="shared" si="29"/>
        <v>0</v>
      </c>
      <c r="CC62" s="430">
        <f t="shared" si="30"/>
        <v>0</v>
      </c>
      <c r="CD62" s="419"/>
      <c r="CE62" s="419"/>
      <c r="CF62" s="419"/>
      <c r="CG62" s="420">
        <f t="shared" si="31"/>
        <v>0</v>
      </c>
      <c r="CH62" s="423">
        <f t="shared" si="32"/>
        <v>0</v>
      </c>
      <c r="CI62" s="431"/>
      <c r="CJ62" s="431"/>
      <c r="CK62" s="431"/>
      <c r="CL62" s="420">
        <f t="shared" si="33"/>
        <v>0</v>
      </c>
      <c r="CM62" s="423">
        <f t="shared" si="34"/>
        <v>0</v>
      </c>
      <c r="CN62" s="420"/>
      <c r="CO62" s="420"/>
      <c r="CP62" s="420"/>
      <c r="CQ62" s="432"/>
      <c r="CR62" s="432">
        <f t="shared" si="35"/>
        <v>0</v>
      </c>
      <c r="CS62" s="420"/>
      <c r="CT62" s="420"/>
      <c r="CU62" s="420"/>
      <c r="CV62" s="420"/>
      <c r="CW62" s="420">
        <f t="shared" si="36"/>
        <v>0</v>
      </c>
      <c r="CX62" s="419"/>
      <c r="CY62" s="419"/>
      <c r="CZ62" s="419"/>
      <c r="DA62" s="419">
        <f t="shared" si="37"/>
        <v>0</v>
      </c>
      <c r="DB62" s="419">
        <f t="shared" si="38"/>
        <v>0</v>
      </c>
      <c r="DC62" s="419"/>
      <c r="DD62" s="419"/>
      <c r="DE62" s="419"/>
      <c r="DF62" s="420">
        <f t="shared" si="39"/>
        <v>0</v>
      </c>
      <c r="DG62" s="421">
        <f t="shared" si="40"/>
        <v>0</v>
      </c>
      <c r="DH62" s="419"/>
      <c r="DI62" s="419"/>
      <c r="DJ62" s="419"/>
      <c r="DK62" s="420">
        <f t="shared" si="41"/>
        <v>0</v>
      </c>
      <c r="DL62" s="422">
        <f t="shared" si="42"/>
        <v>0</v>
      </c>
      <c r="DM62" s="420"/>
      <c r="DN62" s="420"/>
      <c r="DO62" s="420"/>
      <c r="DP62" s="420">
        <f t="shared" si="43"/>
        <v>0</v>
      </c>
      <c r="DQ62" s="420">
        <f t="shared" si="44"/>
        <v>0</v>
      </c>
      <c r="DR62" s="419"/>
      <c r="DS62" s="419"/>
      <c r="DT62" s="419"/>
      <c r="DU62" s="420">
        <f t="shared" si="45"/>
        <v>0</v>
      </c>
      <c r="DV62" s="423">
        <f t="shared" si="46"/>
        <v>0</v>
      </c>
      <c r="DW62" s="419"/>
      <c r="DX62" s="419"/>
      <c r="DY62" s="419"/>
      <c r="DZ62" s="420">
        <f t="shared" si="47"/>
        <v>0</v>
      </c>
      <c r="EA62" s="423">
        <f t="shared" si="48"/>
        <v>0</v>
      </c>
      <c r="EB62" s="419"/>
      <c r="EC62" s="419"/>
      <c r="ED62" s="420"/>
      <c r="EE62" s="419"/>
      <c r="EF62" s="420">
        <f t="shared" si="49"/>
        <v>0</v>
      </c>
      <c r="EG62" s="419"/>
      <c r="EH62" s="419"/>
      <c r="EI62" s="419"/>
      <c r="EJ62" s="420">
        <f t="shared" si="50"/>
        <v>0</v>
      </c>
      <c r="EK62" s="420">
        <f t="shared" si="51"/>
        <v>0</v>
      </c>
      <c r="EL62" s="419"/>
      <c r="EM62" s="419"/>
      <c r="EN62" s="419"/>
      <c r="EO62" s="419">
        <f t="shared" si="52"/>
        <v>0</v>
      </c>
      <c r="EP62" s="419">
        <f t="shared" si="53"/>
        <v>0</v>
      </c>
      <c r="EQ62" s="419"/>
      <c r="ER62" s="419"/>
      <c r="ES62" s="419"/>
      <c r="ET62" s="419">
        <f t="shared" si="54"/>
        <v>0</v>
      </c>
      <c r="EU62" s="419">
        <f t="shared" si="55"/>
        <v>0</v>
      </c>
      <c r="EV62" s="419"/>
      <c r="EW62" s="419"/>
      <c r="EX62" s="419"/>
      <c r="EY62" s="419">
        <f t="shared" si="56"/>
        <v>0</v>
      </c>
      <c r="EZ62" s="419">
        <f t="shared" si="76"/>
        <v>0</v>
      </c>
      <c r="FA62" s="420"/>
      <c r="FB62" s="420"/>
      <c r="FC62" s="420"/>
      <c r="FD62" s="420">
        <f t="shared" si="57"/>
        <v>0</v>
      </c>
      <c r="FE62" s="420">
        <f t="shared" si="58"/>
        <v>0</v>
      </c>
      <c r="FF62" s="419"/>
      <c r="FG62" s="419"/>
      <c r="FH62" s="419"/>
      <c r="FI62" s="419">
        <f t="shared" si="59"/>
        <v>0</v>
      </c>
      <c r="FJ62" s="419">
        <f t="shared" si="60"/>
        <v>0</v>
      </c>
      <c r="FK62" s="419"/>
      <c r="FL62" s="419"/>
      <c r="FM62" s="419"/>
      <c r="FN62" s="420">
        <f t="shared" si="61"/>
        <v>0</v>
      </c>
      <c r="FO62" s="423">
        <f t="shared" si="62"/>
        <v>0</v>
      </c>
      <c r="FP62" s="419"/>
      <c r="FQ62" s="419"/>
      <c r="FR62" s="419"/>
      <c r="FS62" s="420">
        <f t="shared" si="63"/>
        <v>0</v>
      </c>
      <c r="FT62" s="420">
        <f t="shared" si="64"/>
        <v>0</v>
      </c>
      <c r="FU62" s="419"/>
      <c r="FV62" s="419"/>
      <c r="FW62" s="419"/>
      <c r="FX62" s="420">
        <f t="shared" si="65"/>
        <v>0</v>
      </c>
      <c r="FY62" s="420">
        <f t="shared" si="66"/>
        <v>0</v>
      </c>
      <c r="FZ62" s="419"/>
      <c r="GA62" s="419"/>
      <c r="GB62" s="419"/>
      <c r="GC62" s="420">
        <f t="shared" si="67"/>
        <v>0</v>
      </c>
      <c r="GD62" s="420">
        <f t="shared" si="68"/>
        <v>0</v>
      </c>
      <c r="GE62" s="419"/>
      <c r="GF62" s="419"/>
      <c r="GG62" s="419"/>
      <c r="GH62" s="420">
        <f t="shared" si="69"/>
        <v>0</v>
      </c>
      <c r="GI62" s="423">
        <f t="shared" si="70"/>
        <v>0</v>
      </c>
      <c r="GJ62" s="419"/>
      <c r="GK62" s="419">
        <v>1715207.19</v>
      </c>
      <c r="GL62" s="419"/>
      <c r="GM62" s="420">
        <f t="shared" si="71"/>
        <v>0</v>
      </c>
      <c r="GN62" s="420">
        <f t="shared" si="72"/>
        <v>0</v>
      </c>
      <c r="GO62" s="419"/>
      <c r="GP62" s="419"/>
      <c r="GQ62" s="419"/>
      <c r="GR62" s="420">
        <f t="shared" si="77"/>
        <v>0</v>
      </c>
      <c r="GS62" s="423">
        <f t="shared" si="73"/>
        <v>0</v>
      </c>
      <c r="GT62" s="419"/>
      <c r="GU62" s="419"/>
      <c r="GV62" s="419"/>
      <c r="GW62" s="420">
        <f t="shared" si="74"/>
        <v>0</v>
      </c>
      <c r="GX62" s="420">
        <f t="shared" si="75"/>
        <v>0</v>
      </c>
    </row>
    <row r="63" spans="1:206" ht="15">
      <c r="A63" s="414"/>
      <c r="B63" s="415" t="s">
        <v>510</v>
      </c>
      <c r="C63" s="698"/>
      <c r="D63" s="706"/>
      <c r="E63" s="434" t="s">
        <v>124</v>
      </c>
      <c r="F63" s="417">
        <v>0.09</v>
      </c>
      <c r="G63" s="418">
        <f t="shared" si="4"/>
        <v>53257764.883900002</v>
      </c>
      <c r="H63" s="418">
        <f t="shared" si="5"/>
        <v>53257764.950000003</v>
      </c>
      <c r="I63" s="418">
        <f t="shared" si="5"/>
        <v>4793198.8012920003</v>
      </c>
      <c r="J63" s="418">
        <f t="shared" si="6"/>
        <v>53257764.458800003</v>
      </c>
      <c r="K63" s="418">
        <f t="shared" si="83"/>
        <v>-0.49120000004768399</v>
      </c>
      <c r="L63" s="418">
        <f t="shared" si="84"/>
        <v>-0.42509999871254001</v>
      </c>
      <c r="M63" s="424">
        <v>0</v>
      </c>
      <c r="N63" s="424">
        <v>18348623.890000001</v>
      </c>
      <c r="O63" s="424">
        <v>1651376.11</v>
      </c>
      <c r="P63" s="424"/>
      <c r="Q63" s="419"/>
      <c r="R63" s="419"/>
      <c r="S63" s="420"/>
      <c r="T63" s="420">
        <v>0</v>
      </c>
      <c r="U63" s="423">
        <f t="shared" si="81"/>
        <v>0</v>
      </c>
      <c r="V63" s="420"/>
      <c r="W63" s="420"/>
      <c r="X63" s="420">
        <v>0</v>
      </c>
      <c r="Y63" s="420">
        <f t="shared" si="79"/>
        <v>0</v>
      </c>
      <c r="Z63" s="423">
        <f t="shared" si="10"/>
        <v>0</v>
      </c>
      <c r="AA63" s="423">
        <v>3476653.65</v>
      </c>
      <c r="AB63" s="419"/>
      <c r="AC63" s="419"/>
      <c r="AD63" s="420">
        <f t="shared" si="11"/>
        <v>0</v>
      </c>
      <c r="AE63" s="423">
        <f t="shared" si="12"/>
        <v>-3476653.65</v>
      </c>
      <c r="AF63" s="419"/>
      <c r="AG63" s="419"/>
      <c r="AH63" s="419"/>
      <c r="AI63" s="420">
        <f t="shared" si="13"/>
        <v>0</v>
      </c>
      <c r="AJ63" s="423">
        <f t="shared" si="14"/>
        <v>0</v>
      </c>
      <c r="AK63" s="444">
        <v>7842708.5</v>
      </c>
      <c r="AL63" s="420"/>
      <c r="AM63" s="419"/>
      <c r="AN63" s="420">
        <f t="shared" si="15"/>
        <v>0</v>
      </c>
      <c r="AO63" s="423">
        <f t="shared" si="16"/>
        <v>-7842708.5</v>
      </c>
      <c r="AP63" s="444">
        <v>6025562.2000000002</v>
      </c>
      <c r="AQ63" s="419"/>
      <c r="AR63" s="420"/>
      <c r="AS63" s="420">
        <f t="shared" si="17"/>
        <v>0</v>
      </c>
      <c r="AT63" s="420">
        <f t="shared" si="18"/>
        <v>-6025562.2000000002</v>
      </c>
      <c r="AU63" s="420">
        <v>9487405.0600000005</v>
      </c>
      <c r="AV63" s="420"/>
      <c r="AW63" s="435">
        <v>763533.5</v>
      </c>
      <c r="AX63" s="426">
        <f t="shared" si="19"/>
        <v>8483705.5555555597</v>
      </c>
      <c r="AY63" s="420">
        <f t="shared" si="20"/>
        <v>-1003699.50444444</v>
      </c>
      <c r="AZ63" s="444">
        <f>3573837.3+1190642.2+1171743.12+585871.56+396880.73+3477417.46</f>
        <v>10396392.369999999</v>
      </c>
      <c r="BA63" s="420"/>
      <c r="BB63" s="420">
        <v>935675.31374100002</v>
      </c>
      <c r="BC63" s="420">
        <f t="shared" si="21"/>
        <v>10396392.3749</v>
      </c>
      <c r="BD63" s="427">
        <f t="shared" si="82"/>
        <v>4.8999991267919497E-3</v>
      </c>
      <c r="BE63" s="420">
        <v>5936201.8239000002</v>
      </c>
      <c r="BF63" s="420"/>
      <c r="BG63" s="420">
        <v>534258.16755100002</v>
      </c>
      <c r="BH63" s="423">
        <f t="shared" si="22"/>
        <v>5936201.8616777798</v>
      </c>
      <c r="BI63" s="420">
        <f t="shared" si="23"/>
        <v>3.7777777761220897E-2</v>
      </c>
      <c r="BJ63" s="420">
        <v>3734907.65</v>
      </c>
      <c r="BK63" s="420"/>
      <c r="BL63" s="420">
        <v>336141.68</v>
      </c>
      <c r="BM63" s="420">
        <f t="shared" si="24"/>
        <v>3734907.5555555602</v>
      </c>
      <c r="BN63" s="420">
        <f t="shared" si="25"/>
        <v>-9.4444444403052302E-2</v>
      </c>
      <c r="BO63" s="428">
        <v>3993563.17</v>
      </c>
      <c r="BP63" s="450">
        <v>48568807.340000004</v>
      </c>
      <c r="BQ63" s="420">
        <v>359420.69</v>
      </c>
      <c r="BR63" s="423">
        <f t="shared" si="26"/>
        <v>3993563.2222222202</v>
      </c>
      <c r="BS63" s="423">
        <f t="shared" si="27"/>
        <v>5.2222222555428702E-2</v>
      </c>
      <c r="BT63" s="445">
        <v>33853.21</v>
      </c>
      <c r="BU63" s="426">
        <v>-18348623.890000001</v>
      </c>
      <c r="BV63" s="420">
        <v>3046.79</v>
      </c>
      <c r="BW63" s="420">
        <v>33853.21</v>
      </c>
      <c r="BX63" s="429">
        <f t="shared" si="28"/>
        <v>0</v>
      </c>
      <c r="BY63" s="419"/>
      <c r="BZ63" s="419"/>
      <c r="CA63" s="419"/>
      <c r="CB63" s="420">
        <f t="shared" si="29"/>
        <v>0</v>
      </c>
      <c r="CC63" s="430">
        <f t="shared" si="30"/>
        <v>0</v>
      </c>
      <c r="CD63" s="419"/>
      <c r="CE63" s="419"/>
      <c r="CF63" s="419"/>
      <c r="CG63" s="420">
        <f t="shared" si="31"/>
        <v>0</v>
      </c>
      <c r="CH63" s="423">
        <f t="shared" si="32"/>
        <v>0</v>
      </c>
      <c r="CI63" s="431">
        <v>1672865.38</v>
      </c>
      <c r="CJ63" s="431"/>
      <c r="CK63" s="431">
        <v>150557.88</v>
      </c>
      <c r="CL63" s="420">
        <f t="shared" si="33"/>
        <v>1672865.33333333</v>
      </c>
      <c r="CM63" s="423">
        <f t="shared" si="34"/>
        <v>-4.6666666399687501E-2</v>
      </c>
      <c r="CN63" s="420"/>
      <c r="CO63" s="420"/>
      <c r="CP63" s="420"/>
      <c r="CQ63" s="432"/>
      <c r="CR63" s="432">
        <f t="shared" si="35"/>
        <v>0</v>
      </c>
      <c r="CS63" s="420"/>
      <c r="CT63" s="420"/>
      <c r="CU63" s="420"/>
      <c r="CV63" s="420"/>
      <c r="CW63" s="420">
        <f t="shared" si="36"/>
        <v>0</v>
      </c>
      <c r="CX63" s="419">
        <v>657651.87</v>
      </c>
      <c r="CY63" s="419"/>
      <c r="CZ63" s="419">
        <v>59188.67</v>
      </c>
      <c r="DA63" s="419">
        <f t="shared" si="37"/>
        <v>657651.89</v>
      </c>
      <c r="DB63" s="419">
        <f t="shared" si="38"/>
        <v>0.02</v>
      </c>
      <c r="DC63" s="419"/>
      <c r="DD63" s="419"/>
      <c r="DE63" s="419"/>
      <c r="DF63" s="420">
        <f t="shared" si="39"/>
        <v>0</v>
      </c>
      <c r="DG63" s="421">
        <f t="shared" si="40"/>
        <v>0</v>
      </c>
      <c r="DH63" s="419"/>
      <c r="DI63" s="419"/>
      <c r="DJ63" s="419"/>
      <c r="DK63" s="420">
        <f t="shared" si="41"/>
        <v>0</v>
      </c>
      <c r="DL63" s="422">
        <f t="shared" si="42"/>
        <v>0</v>
      </c>
      <c r="DM63" s="420"/>
      <c r="DN63" s="420"/>
      <c r="DO63" s="420"/>
      <c r="DP63" s="420">
        <f t="shared" si="43"/>
        <v>0</v>
      </c>
      <c r="DQ63" s="420">
        <f t="shared" si="44"/>
        <v>0</v>
      </c>
      <c r="DR63" s="419"/>
      <c r="DS63" s="419"/>
      <c r="DT63" s="419"/>
      <c r="DU63" s="420">
        <f t="shared" si="45"/>
        <v>0</v>
      </c>
      <c r="DV63" s="423">
        <f t="shared" si="46"/>
        <v>0</v>
      </c>
      <c r="DW63" s="419"/>
      <c r="DX63" s="419"/>
      <c r="DY63" s="419"/>
      <c r="DZ63" s="420">
        <f t="shared" si="47"/>
        <v>0</v>
      </c>
      <c r="EA63" s="423">
        <f t="shared" si="48"/>
        <v>0</v>
      </c>
      <c r="EB63" s="420"/>
      <c r="EC63" s="419"/>
      <c r="ED63" s="420"/>
      <c r="EE63" s="419"/>
      <c r="EF63" s="420">
        <f t="shared" si="49"/>
        <v>0</v>
      </c>
      <c r="EG63" s="419"/>
      <c r="EH63" s="419"/>
      <c r="EI63" s="419"/>
      <c r="EJ63" s="420">
        <f t="shared" si="50"/>
        <v>0</v>
      </c>
      <c r="EK63" s="420">
        <f t="shared" si="51"/>
        <v>0</v>
      </c>
      <c r="EL63" s="419"/>
      <c r="EM63" s="419"/>
      <c r="EN63" s="419"/>
      <c r="EO63" s="419">
        <f t="shared" si="52"/>
        <v>0</v>
      </c>
      <c r="EP63" s="419">
        <f t="shared" si="53"/>
        <v>0</v>
      </c>
      <c r="EQ63" s="419"/>
      <c r="ER63" s="419"/>
      <c r="ES63" s="419"/>
      <c r="ET63" s="419">
        <f t="shared" si="54"/>
        <v>0</v>
      </c>
      <c r="EU63" s="419">
        <f t="shared" si="55"/>
        <v>0</v>
      </c>
      <c r="EV63" s="419"/>
      <c r="EW63" s="419"/>
      <c r="EX63" s="419"/>
      <c r="EY63" s="419">
        <f t="shared" si="56"/>
        <v>0</v>
      </c>
      <c r="EZ63" s="419">
        <f t="shared" si="76"/>
        <v>0</v>
      </c>
      <c r="FA63" s="420"/>
      <c r="FB63" s="420"/>
      <c r="FC63" s="420"/>
      <c r="FD63" s="420">
        <f t="shared" si="57"/>
        <v>0</v>
      </c>
      <c r="FE63" s="420">
        <f t="shared" si="58"/>
        <v>0</v>
      </c>
      <c r="FF63" s="419"/>
      <c r="FG63" s="419"/>
      <c r="FH63" s="419"/>
      <c r="FI63" s="419">
        <f t="shared" si="59"/>
        <v>0</v>
      </c>
      <c r="FJ63" s="419">
        <f t="shared" si="60"/>
        <v>0</v>
      </c>
      <c r="FK63" s="419"/>
      <c r="FL63" s="419"/>
      <c r="FM63" s="419"/>
      <c r="FN63" s="420">
        <f t="shared" si="61"/>
        <v>0</v>
      </c>
      <c r="FO63" s="423">
        <f t="shared" si="62"/>
        <v>0</v>
      </c>
      <c r="FP63" s="419"/>
      <c r="FQ63" s="419"/>
      <c r="FR63" s="419"/>
      <c r="FS63" s="420">
        <f t="shared" si="63"/>
        <v>0</v>
      </c>
      <c r="FT63" s="420">
        <f t="shared" si="64"/>
        <v>0</v>
      </c>
      <c r="FU63" s="419"/>
      <c r="FV63" s="419"/>
      <c r="FW63" s="419"/>
      <c r="FX63" s="420">
        <f t="shared" si="65"/>
        <v>0</v>
      </c>
      <c r="FY63" s="420">
        <f t="shared" si="66"/>
        <v>0</v>
      </c>
      <c r="FZ63" s="419"/>
      <c r="GA63" s="419"/>
      <c r="GB63" s="419"/>
      <c r="GC63" s="420">
        <f t="shared" si="67"/>
        <v>0</v>
      </c>
      <c r="GD63" s="420">
        <f t="shared" si="68"/>
        <v>0</v>
      </c>
      <c r="GE63" s="419"/>
      <c r="GF63" s="419"/>
      <c r="GG63" s="419"/>
      <c r="GH63" s="420">
        <f t="shared" si="69"/>
        <v>0</v>
      </c>
      <c r="GI63" s="423">
        <f t="shared" si="70"/>
        <v>0</v>
      </c>
      <c r="GJ63" s="419"/>
      <c r="GK63" s="419">
        <v>4688957.6100000003</v>
      </c>
      <c r="GL63" s="419"/>
      <c r="GM63" s="420">
        <f t="shared" si="71"/>
        <v>0</v>
      </c>
      <c r="GN63" s="420">
        <f t="shared" si="72"/>
        <v>0</v>
      </c>
      <c r="GO63" s="419"/>
      <c r="GP63" s="419"/>
      <c r="GQ63" s="419"/>
      <c r="GR63" s="420">
        <f t="shared" si="77"/>
        <v>0</v>
      </c>
      <c r="GS63" s="423">
        <f t="shared" si="73"/>
        <v>0</v>
      </c>
      <c r="GT63" s="419"/>
      <c r="GU63" s="419"/>
      <c r="GV63" s="419"/>
      <c r="GW63" s="420">
        <f t="shared" si="74"/>
        <v>0</v>
      </c>
      <c r="GX63" s="420">
        <f t="shared" si="75"/>
        <v>0</v>
      </c>
    </row>
    <row r="64" spans="1:206" ht="15">
      <c r="A64" s="414"/>
      <c r="B64" s="415" t="s">
        <v>510</v>
      </c>
      <c r="C64" s="698"/>
      <c r="D64" s="707"/>
      <c r="E64" s="434" t="s">
        <v>125</v>
      </c>
      <c r="F64" s="417">
        <v>0.06</v>
      </c>
      <c r="G64" s="418">
        <f t="shared" si="4"/>
        <v>2067246.5064999999</v>
      </c>
      <c r="H64" s="418">
        <f t="shared" si="5"/>
        <v>2067246.52</v>
      </c>
      <c r="I64" s="418">
        <f t="shared" si="5"/>
        <v>124034.804557307</v>
      </c>
      <c r="J64" s="418">
        <f t="shared" si="6"/>
        <v>2067246.7426217799</v>
      </c>
      <c r="K64" s="418">
        <f t="shared" si="83"/>
        <v>0.22262178058736001</v>
      </c>
      <c r="L64" s="418">
        <f t="shared" si="84"/>
        <v>0.23612178070470699</v>
      </c>
      <c r="M64" s="424"/>
      <c r="N64" s="424"/>
      <c r="O64" s="424"/>
      <c r="P64" s="424"/>
      <c r="Q64" s="419"/>
      <c r="R64" s="419"/>
      <c r="S64" s="420"/>
      <c r="T64" s="420">
        <v>0</v>
      </c>
      <c r="U64" s="423">
        <f t="shared" si="81"/>
        <v>0</v>
      </c>
      <c r="V64" s="420">
        <v>535600</v>
      </c>
      <c r="W64" s="420"/>
      <c r="X64" s="420">
        <v>32136</v>
      </c>
      <c r="Y64" s="420">
        <f t="shared" si="79"/>
        <v>535600</v>
      </c>
      <c r="Z64" s="423">
        <f t="shared" si="10"/>
        <v>0</v>
      </c>
      <c r="AA64" s="423">
        <v>329600</v>
      </c>
      <c r="AB64" s="419"/>
      <c r="AC64" s="423">
        <f>AA64*F64</f>
        <v>19776</v>
      </c>
      <c r="AD64" s="420">
        <f t="shared" si="11"/>
        <v>329600</v>
      </c>
      <c r="AE64" s="423">
        <f t="shared" si="12"/>
        <v>0</v>
      </c>
      <c r="AF64" s="444">
        <v>46255.51</v>
      </c>
      <c r="AG64" s="419"/>
      <c r="AH64" s="420">
        <v>2775.3306775044398</v>
      </c>
      <c r="AI64" s="420">
        <f t="shared" si="13"/>
        <v>46255.511291740702</v>
      </c>
      <c r="AJ64" s="423">
        <f t="shared" si="14"/>
        <v>1.2917406638735E-3</v>
      </c>
      <c r="AK64" s="444">
        <v>56450.47</v>
      </c>
      <c r="AL64" s="420"/>
      <c r="AM64" s="420">
        <v>3387.0279998023898</v>
      </c>
      <c r="AN64" s="420">
        <f t="shared" si="15"/>
        <v>56450.466663373198</v>
      </c>
      <c r="AO64" s="423">
        <f t="shared" si="16"/>
        <v>-3.33662683260627E-3</v>
      </c>
      <c r="AP64" s="420">
        <v>48042.046499999997</v>
      </c>
      <c r="AQ64" s="419"/>
      <c r="AR64" s="420">
        <v>2882.52279</v>
      </c>
      <c r="AS64" s="420">
        <f t="shared" si="17"/>
        <v>48042.046499999997</v>
      </c>
      <c r="AT64" s="420">
        <f t="shared" si="18"/>
        <v>0</v>
      </c>
      <c r="AU64" s="420">
        <f>49561.3+183854.99</f>
        <v>233416.29</v>
      </c>
      <c r="AV64" s="420"/>
      <c r="AW64" s="435">
        <v>14004.977489999999</v>
      </c>
      <c r="AX64" s="426">
        <f t="shared" si="19"/>
        <v>233416.29149999999</v>
      </c>
      <c r="AY64" s="420">
        <f t="shared" si="20"/>
        <v>1.5000000130385199E-3</v>
      </c>
      <c r="AZ64" s="420">
        <v>66157.210000000006</v>
      </c>
      <c r="BA64" s="420"/>
      <c r="BB64" s="419">
        <v>3969.43</v>
      </c>
      <c r="BC64" s="420">
        <f t="shared" si="21"/>
        <v>66157.166666666701</v>
      </c>
      <c r="BD64" s="427">
        <f t="shared" si="82"/>
        <v>-4.3333333334885503E-2</v>
      </c>
      <c r="BE64" s="420">
        <v>235059.36</v>
      </c>
      <c r="BF64" s="420"/>
      <c r="BG64" s="420">
        <v>14103.56</v>
      </c>
      <c r="BH64" s="423">
        <f t="shared" si="22"/>
        <v>235059.33333333299</v>
      </c>
      <c r="BI64" s="420">
        <f t="shared" si="23"/>
        <v>-2.66666666429956E-2</v>
      </c>
      <c r="BJ64" s="420">
        <v>65651.16</v>
      </c>
      <c r="BK64" s="420"/>
      <c r="BL64" s="420">
        <v>3939.07</v>
      </c>
      <c r="BM64" s="420">
        <f t="shared" si="24"/>
        <v>65651.166666666701</v>
      </c>
      <c r="BN64" s="420">
        <f t="shared" si="25"/>
        <v>6.6666666680248498E-3</v>
      </c>
      <c r="BO64" s="428">
        <v>279605.94</v>
      </c>
      <c r="BP64" s="428"/>
      <c r="BQ64" s="420">
        <v>16776.356400000001</v>
      </c>
      <c r="BR64" s="423">
        <f t="shared" si="26"/>
        <v>279605.94</v>
      </c>
      <c r="BS64" s="423">
        <f t="shared" si="27"/>
        <v>0</v>
      </c>
      <c r="BT64" s="420">
        <v>37848.74</v>
      </c>
      <c r="BU64" s="426"/>
      <c r="BV64" s="420">
        <v>2270.9299999999998</v>
      </c>
      <c r="BW64" s="420">
        <v>37848.74</v>
      </c>
      <c r="BX64" s="429">
        <f t="shared" si="28"/>
        <v>0</v>
      </c>
      <c r="BY64" s="419">
        <v>48425.58</v>
      </c>
      <c r="BZ64" s="419"/>
      <c r="CA64" s="419">
        <v>2905.53</v>
      </c>
      <c r="CB64" s="420">
        <f t="shared" si="29"/>
        <v>48425.5</v>
      </c>
      <c r="CC64" s="430">
        <f t="shared" si="30"/>
        <v>-7.99999999944703E-2</v>
      </c>
      <c r="CD64" s="419">
        <v>8801.42</v>
      </c>
      <c r="CE64" s="419"/>
      <c r="CF64" s="419">
        <v>528.09</v>
      </c>
      <c r="CG64" s="420">
        <f t="shared" si="31"/>
        <v>8801.5</v>
      </c>
      <c r="CH64" s="423">
        <f t="shared" si="32"/>
        <v>7.9999999999927199E-2</v>
      </c>
      <c r="CI64" s="431">
        <v>5209.68</v>
      </c>
      <c r="CJ64" s="431"/>
      <c r="CK64" s="431">
        <v>312.58</v>
      </c>
      <c r="CL64" s="420">
        <f t="shared" si="33"/>
        <v>5209.6666666666697</v>
      </c>
      <c r="CM64" s="423">
        <f t="shared" si="34"/>
        <v>-1.33333333333212E-2</v>
      </c>
      <c r="CN64" s="420">
        <v>5886.75</v>
      </c>
      <c r="CO64" s="420"/>
      <c r="CP64" s="420">
        <v>353.21</v>
      </c>
      <c r="CQ64" s="432">
        <v>5886.75</v>
      </c>
      <c r="CR64" s="432">
        <f t="shared" si="35"/>
        <v>0</v>
      </c>
      <c r="CS64" s="420">
        <v>5906.88</v>
      </c>
      <c r="CT64" s="420"/>
      <c r="CU64" s="420">
        <v>354.41</v>
      </c>
      <c r="CV64" s="420">
        <v>5906.88</v>
      </c>
      <c r="CW64" s="420">
        <f t="shared" si="36"/>
        <v>0</v>
      </c>
      <c r="CX64" s="419">
        <v>1764.14</v>
      </c>
      <c r="CY64" s="419"/>
      <c r="CZ64" s="419">
        <v>105.85</v>
      </c>
      <c r="DA64" s="419">
        <f t="shared" si="37"/>
        <v>1764.17</v>
      </c>
      <c r="DB64" s="419">
        <f t="shared" si="38"/>
        <v>0.03</v>
      </c>
      <c r="DC64" s="419">
        <v>3455.11</v>
      </c>
      <c r="DD64" s="419"/>
      <c r="DE64" s="419">
        <v>207.31</v>
      </c>
      <c r="DF64" s="420">
        <f t="shared" si="39"/>
        <v>3455.1666666666702</v>
      </c>
      <c r="DG64" s="421">
        <f t="shared" si="40"/>
        <v>-5.6666666666842502E-2</v>
      </c>
      <c r="DH64" s="419">
        <v>3455.11</v>
      </c>
      <c r="DI64" s="419"/>
      <c r="DJ64" s="419">
        <v>207.31</v>
      </c>
      <c r="DK64" s="420">
        <f t="shared" si="41"/>
        <v>3455.1666666666702</v>
      </c>
      <c r="DL64" s="422">
        <f t="shared" si="42"/>
        <v>5.6666666666842502E-2</v>
      </c>
      <c r="DM64" s="420">
        <v>4481.0200000000004</v>
      </c>
      <c r="DN64" s="420"/>
      <c r="DO64" s="420">
        <v>268.86</v>
      </c>
      <c r="DP64" s="420">
        <f t="shared" si="43"/>
        <v>4481</v>
      </c>
      <c r="DQ64" s="420">
        <f t="shared" si="44"/>
        <v>-2.0000000000436599E-2</v>
      </c>
      <c r="DR64" s="419">
        <v>4088.22</v>
      </c>
      <c r="DS64" s="419"/>
      <c r="DT64" s="419">
        <v>245.29</v>
      </c>
      <c r="DU64" s="420">
        <f t="shared" si="45"/>
        <v>4088.1666666666702</v>
      </c>
      <c r="DV64" s="423">
        <f t="shared" si="46"/>
        <v>-5.3333333333284799E-2</v>
      </c>
      <c r="DW64" s="419">
        <v>4126.3</v>
      </c>
      <c r="DX64" s="419"/>
      <c r="DY64" s="419">
        <v>247.58</v>
      </c>
      <c r="DZ64" s="420">
        <f t="shared" si="47"/>
        <v>4126.33</v>
      </c>
      <c r="EA64" s="423">
        <f t="shared" si="48"/>
        <v>0.03</v>
      </c>
      <c r="EB64" s="419">
        <v>8676.82</v>
      </c>
      <c r="EC64" s="419"/>
      <c r="ED64" s="420">
        <v>520.60919999999999</v>
      </c>
      <c r="EE64" s="419">
        <v>8676.82</v>
      </c>
      <c r="EF64" s="420">
        <f t="shared" si="49"/>
        <v>0</v>
      </c>
      <c r="EG64" s="419">
        <v>22187.68</v>
      </c>
      <c r="EI64" s="419">
        <v>1331.26</v>
      </c>
      <c r="EJ64" s="420">
        <f t="shared" si="50"/>
        <v>22187.67</v>
      </c>
      <c r="EK64" s="420">
        <f t="shared" si="51"/>
        <v>-0.01</v>
      </c>
      <c r="EL64" s="419">
        <v>2016.23</v>
      </c>
      <c r="EN64" s="419">
        <v>120.97</v>
      </c>
      <c r="EO64" s="419">
        <f t="shared" si="52"/>
        <v>2016.17</v>
      </c>
      <c r="EP64" s="419">
        <f t="shared" si="53"/>
        <v>-0.06</v>
      </c>
      <c r="EQ64" s="419">
        <v>2503.59</v>
      </c>
      <c r="ER64" s="419"/>
      <c r="ES64" s="419">
        <v>150.22</v>
      </c>
      <c r="ET64" s="419">
        <f t="shared" si="54"/>
        <v>2503.67</v>
      </c>
      <c r="EU64" s="419">
        <f t="shared" si="55"/>
        <v>0.08</v>
      </c>
      <c r="EV64" s="419">
        <v>2575.25</v>
      </c>
      <c r="EW64" s="419"/>
      <c r="EX64" s="419">
        <v>154.52000000000001</v>
      </c>
      <c r="EY64" s="419">
        <f t="shared" si="56"/>
        <v>2575.33</v>
      </c>
      <c r="EZ64" s="419">
        <f t="shared" si="76"/>
        <v>0.08</v>
      </c>
      <c r="FA64" s="420"/>
      <c r="FB64" s="420"/>
      <c r="FC64" s="420"/>
      <c r="FD64" s="420">
        <f t="shared" si="57"/>
        <v>0</v>
      </c>
      <c r="FE64" s="420">
        <f t="shared" si="58"/>
        <v>0</v>
      </c>
      <c r="FF64" s="419"/>
      <c r="FG64" s="419"/>
      <c r="FH64" s="419"/>
      <c r="FI64" s="419">
        <f t="shared" si="59"/>
        <v>0</v>
      </c>
      <c r="FJ64" s="419">
        <f t="shared" si="60"/>
        <v>0</v>
      </c>
      <c r="FK64" s="419"/>
      <c r="FL64" s="419"/>
      <c r="FM64" s="419"/>
      <c r="FN64" s="420">
        <f t="shared" si="61"/>
        <v>0</v>
      </c>
      <c r="FO64" s="423">
        <f t="shared" si="62"/>
        <v>0</v>
      </c>
      <c r="FP64" s="419"/>
      <c r="FQ64" s="419"/>
      <c r="FR64" s="419"/>
      <c r="FS64" s="420">
        <f t="shared" si="63"/>
        <v>0</v>
      </c>
      <c r="FT64" s="420">
        <f t="shared" si="64"/>
        <v>0</v>
      </c>
      <c r="FU64" s="419"/>
      <c r="FV64" s="419"/>
      <c r="FW64" s="419"/>
      <c r="FX64" s="420">
        <f t="shared" si="65"/>
        <v>0</v>
      </c>
      <c r="FY64" s="420">
        <f t="shared" si="66"/>
        <v>0</v>
      </c>
      <c r="FZ64" s="419"/>
      <c r="GA64" s="419"/>
      <c r="GB64" s="419"/>
      <c r="GC64" s="420">
        <f t="shared" si="67"/>
        <v>0</v>
      </c>
      <c r="GD64" s="420">
        <f t="shared" si="68"/>
        <v>0</v>
      </c>
      <c r="GE64" s="419"/>
      <c r="GF64" s="419"/>
      <c r="GG64" s="419"/>
      <c r="GH64" s="420">
        <f t="shared" si="69"/>
        <v>0</v>
      </c>
      <c r="GI64" s="423">
        <f t="shared" si="70"/>
        <v>0</v>
      </c>
      <c r="GJ64" s="419"/>
      <c r="GK64" s="419">
        <v>2067246.52</v>
      </c>
      <c r="GL64" s="419"/>
      <c r="GM64" s="420">
        <f t="shared" si="71"/>
        <v>0</v>
      </c>
      <c r="GN64" s="420">
        <f t="shared" si="72"/>
        <v>0</v>
      </c>
      <c r="GO64" s="419"/>
      <c r="GP64" s="419"/>
      <c r="GQ64" s="419"/>
      <c r="GR64" s="420">
        <f t="shared" si="77"/>
        <v>0</v>
      </c>
      <c r="GS64" s="423">
        <f t="shared" si="73"/>
        <v>0</v>
      </c>
      <c r="GT64" s="419"/>
      <c r="GU64" s="419"/>
      <c r="GV64" s="419"/>
      <c r="GW64" s="420">
        <f t="shared" si="74"/>
        <v>0</v>
      </c>
      <c r="GX64" s="420">
        <f t="shared" si="75"/>
        <v>0</v>
      </c>
    </row>
    <row r="65" spans="1:206" ht="15">
      <c r="A65" s="414"/>
      <c r="B65" s="415" t="s">
        <v>512</v>
      </c>
      <c r="C65" s="698"/>
      <c r="D65" s="708" t="s">
        <v>513</v>
      </c>
      <c r="E65" s="434" t="s">
        <v>123</v>
      </c>
      <c r="F65" s="417">
        <v>0.13</v>
      </c>
      <c r="G65" s="418">
        <f t="shared" si="4"/>
        <v>137564964.59999999</v>
      </c>
      <c r="H65" s="418">
        <f t="shared" si="5"/>
        <v>137564964.61000001</v>
      </c>
      <c r="I65" s="418">
        <f t="shared" si="5"/>
        <v>17883445.416326001</v>
      </c>
      <c r="J65" s="418">
        <f t="shared" si="6"/>
        <v>137564964.740969</v>
      </c>
      <c r="K65" s="418">
        <f t="shared" si="83"/>
        <v>0.13096922636032099</v>
      </c>
      <c r="L65" s="418">
        <f t="shared" si="84"/>
        <v>0.14096924662589999</v>
      </c>
      <c r="M65" s="424">
        <v>0</v>
      </c>
      <c r="N65" s="424">
        <v>0</v>
      </c>
      <c r="O65" s="424">
        <v>0</v>
      </c>
      <c r="P65" s="424"/>
      <c r="Q65" s="419"/>
      <c r="R65" s="419"/>
      <c r="S65" s="419"/>
      <c r="T65" s="420">
        <v>0</v>
      </c>
      <c r="U65" s="423">
        <f t="shared" si="81"/>
        <v>0</v>
      </c>
      <c r="V65" s="420"/>
      <c r="W65" s="420"/>
      <c r="X65" s="420">
        <v>0</v>
      </c>
      <c r="Y65" s="420">
        <f t="shared" si="79"/>
        <v>0</v>
      </c>
      <c r="Z65" s="423">
        <f t="shared" si="10"/>
        <v>0</v>
      </c>
      <c r="AA65" s="423"/>
      <c r="AB65" s="419"/>
      <c r="AC65" s="419"/>
      <c r="AD65" s="420">
        <f t="shared" si="11"/>
        <v>0</v>
      </c>
      <c r="AE65" s="423">
        <f t="shared" si="12"/>
        <v>0</v>
      </c>
      <c r="AF65" s="420">
        <v>1806702.5</v>
      </c>
      <c r="AG65" s="419"/>
      <c r="AH65" s="420">
        <v>234871.32539000001</v>
      </c>
      <c r="AI65" s="420">
        <f t="shared" si="13"/>
        <v>1806702.503</v>
      </c>
      <c r="AJ65" s="423">
        <f t="shared" si="14"/>
        <v>3.0000000260770299E-3</v>
      </c>
      <c r="AK65" s="419"/>
      <c r="AL65" s="420"/>
      <c r="AM65" s="419"/>
      <c r="AN65" s="420">
        <f t="shared" si="15"/>
        <v>0</v>
      </c>
      <c r="AO65" s="423">
        <f t="shared" si="16"/>
        <v>0</v>
      </c>
      <c r="AP65" s="419"/>
      <c r="AQ65" s="419"/>
      <c r="AR65" s="420"/>
      <c r="AS65" s="420">
        <f t="shared" si="17"/>
        <v>0</v>
      </c>
      <c r="AT65" s="420">
        <f t="shared" si="18"/>
        <v>0</v>
      </c>
      <c r="AU65" s="420"/>
      <c r="AV65" s="426">
        <v>1806702.5</v>
      </c>
      <c r="AW65" s="420"/>
      <c r="AX65" s="426">
        <f t="shared" si="19"/>
        <v>0</v>
      </c>
      <c r="AY65" s="420">
        <f t="shared" si="20"/>
        <v>0</v>
      </c>
      <c r="AZ65" s="444">
        <v>4336086.01</v>
      </c>
      <c r="BA65" s="420"/>
      <c r="BB65" s="420">
        <v>563691.18093599996</v>
      </c>
      <c r="BC65" s="420">
        <f t="shared" si="21"/>
        <v>4336086.0071999999</v>
      </c>
      <c r="BD65" s="427">
        <f t="shared" si="82"/>
        <v>-2.79999990016222E-3</v>
      </c>
      <c r="BE65" s="420"/>
      <c r="BF65" s="420">
        <v>4336085.99</v>
      </c>
      <c r="BG65" s="420"/>
      <c r="BH65" s="423">
        <f t="shared" si="22"/>
        <v>0</v>
      </c>
      <c r="BI65" s="420">
        <f t="shared" si="23"/>
        <v>0</v>
      </c>
      <c r="BJ65" s="420"/>
      <c r="BK65" s="420"/>
      <c r="BL65" s="420"/>
      <c r="BM65" s="420">
        <f t="shared" si="24"/>
        <v>0</v>
      </c>
      <c r="BN65" s="420">
        <f t="shared" si="25"/>
        <v>0</v>
      </c>
      <c r="BO65" s="433">
        <v>30377307.120000001</v>
      </c>
      <c r="BP65" s="428"/>
      <c r="BQ65" s="420">
        <v>3949049.94</v>
      </c>
      <c r="BR65" s="423">
        <f t="shared" si="26"/>
        <v>30377307.230769198</v>
      </c>
      <c r="BS65" s="423">
        <f t="shared" si="27"/>
        <v>0.110769227147102</v>
      </c>
      <c r="BT65" s="420">
        <v>67605305.25</v>
      </c>
      <c r="BU65" s="426">
        <v>30377307.140000001</v>
      </c>
      <c r="BV65" s="445">
        <v>8788689.6899999995</v>
      </c>
      <c r="BW65" s="420">
        <v>67605305.25</v>
      </c>
      <c r="BX65" s="429">
        <f t="shared" si="28"/>
        <v>0</v>
      </c>
      <c r="BY65" s="420">
        <v>33439563.719999999</v>
      </c>
      <c r="BZ65" s="431">
        <v>61544767.649999999</v>
      </c>
      <c r="CA65" s="419">
        <v>4347143.28</v>
      </c>
      <c r="CB65" s="420">
        <f t="shared" si="29"/>
        <v>33439563.692307699</v>
      </c>
      <c r="CC65" s="451">
        <f t="shared" si="30"/>
        <v>-2.7692306786775599E-2</v>
      </c>
      <c r="CD65" s="452"/>
      <c r="CE65" s="419"/>
      <c r="CF65" s="419"/>
      <c r="CG65" s="420">
        <f t="shared" si="31"/>
        <v>0</v>
      </c>
      <c r="CH65" s="423">
        <f t="shared" si="32"/>
        <v>0</v>
      </c>
      <c r="CI65" s="431"/>
      <c r="CJ65" s="431"/>
      <c r="CK65" s="431"/>
      <c r="CL65" s="420">
        <f t="shared" si="33"/>
        <v>0</v>
      </c>
      <c r="CM65" s="423">
        <f t="shared" si="34"/>
        <v>0</v>
      </c>
      <c r="CN65" s="420"/>
      <c r="CO65" s="420"/>
      <c r="CP65" s="420"/>
      <c r="CQ65" s="432"/>
      <c r="CR65" s="432">
        <f t="shared" si="35"/>
        <v>0</v>
      </c>
      <c r="CS65" s="420"/>
      <c r="CT65" s="420"/>
      <c r="CU65" s="420"/>
      <c r="CV65" s="420"/>
      <c r="CW65" s="420">
        <f t="shared" si="36"/>
        <v>0</v>
      </c>
      <c r="CX65" s="419"/>
      <c r="CY65" s="439">
        <v>39500101.329999998</v>
      </c>
      <c r="CZ65" s="419"/>
      <c r="DA65" s="419">
        <f t="shared" si="37"/>
        <v>0</v>
      </c>
      <c r="DB65" s="419">
        <f t="shared" si="38"/>
        <v>0</v>
      </c>
      <c r="DC65" s="419"/>
      <c r="DD65" s="419"/>
      <c r="DE65" s="419"/>
      <c r="DF65" s="420">
        <f t="shared" si="39"/>
        <v>0</v>
      </c>
      <c r="DG65" s="421">
        <f t="shared" si="40"/>
        <v>0</v>
      </c>
      <c r="DH65" s="419"/>
      <c r="DI65" s="419"/>
      <c r="DJ65" s="419"/>
      <c r="DK65" s="420">
        <f t="shared" si="41"/>
        <v>0</v>
      </c>
      <c r="DL65" s="422">
        <f t="shared" si="42"/>
        <v>0</v>
      </c>
      <c r="DM65" s="420"/>
      <c r="DN65" s="420"/>
      <c r="DO65" s="420"/>
      <c r="DP65" s="420">
        <f t="shared" si="43"/>
        <v>0</v>
      </c>
      <c r="DQ65" s="420">
        <f t="shared" si="44"/>
        <v>0</v>
      </c>
      <c r="DR65" s="419"/>
      <c r="DS65" s="419"/>
      <c r="DT65" s="419"/>
      <c r="DU65" s="420">
        <f t="shared" si="45"/>
        <v>0</v>
      </c>
      <c r="DV65" s="423">
        <f t="shared" si="46"/>
        <v>0</v>
      </c>
      <c r="DW65" s="419"/>
      <c r="DX65" s="419"/>
      <c r="DY65" s="419"/>
      <c r="DZ65" s="420">
        <f t="shared" si="47"/>
        <v>0</v>
      </c>
      <c r="EA65" s="423">
        <f t="shared" si="48"/>
        <v>0</v>
      </c>
      <c r="EB65" s="419"/>
      <c r="EC65" s="419"/>
      <c r="ED65" s="420"/>
      <c r="EE65" s="419"/>
      <c r="EF65" s="420">
        <f t="shared" si="49"/>
        <v>0</v>
      </c>
      <c r="EG65" s="419"/>
      <c r="EH65" s="419"/>
      <c r="EI65" s="419"/>
      <c r="EJ65" s="420">
        <f t="shared" si="50"/>
        <v>0</v>
      </c>
      <c r="EK65" s="420">
        <f t="shared" si="51"/>
        <v>0</v>
      </c>
      <c r="EL65" s="419"/>
      <c r="EM65" s="419"/>
      <c r="EN65" s="419"/>
      <c r="EO65" s="419">
        <f t="shared" si="52"/>
        <v>0</v>
      </c>
      <c r="EP65" s="419">
        <f t="shared" si="53"/>
        <v>0</v>
      </c>
      <c r="EQ65" s="419"/>
      <c r="ER65" s="419"/>
      <c r="ES65" s="419"/>
      <c r="ET65" s="419">
        <f t="shared" si="54"/>
        <v>0</v>
      </c>
      <c r="EU65" s="419">
        <f t="shared" si="55"/>
        <v>0</v>
      </c>
      <c r="EV65" s="419"/>
      <c r="EW65" s="419"/>
      <c r="EX65" s="419"/>
      <c r="EY65" s="419">
        <f t="shared" si="56"/>
        <v>0</v>
      </c>
      <c r="EZ65" s="419">
        <f t="shared" si="76"/>
        <v>0</v>
      </c>
      <c r="FA65" s="420"/>
      <c r="FB65" s="420"/>
      <c r="FC65" s="420"/>
      <c r="FD65" s="420">
        <f t="shared" si="57"/>
        <v>0</v>
      </c>
      <c r="FE65" s="420">
        <f t="shared" si="58"/>
        <v>0</v>
      </c>
      <c r="FF65" s="419"/>
      <c r="FG65" s="419"/>
      <c r="FH65" s="419"/>
      <c r="FI65" s="419">
        <f t="shared" si="59"/>
        <v>0</v>
      </c>
      <c r="FJ65" s="419">
        <f t="shared" si="60"/>
        <v>0</v>
      </c>
      <c r="FK65" s="419"/>
      <c r="FL65" s="419"/>
      <c r="FM65" s="419"/>
      <c r="FN65" s="420">
        <f t="shared" si="61"/>
        <v>0</v>
      </c>
      <c r="FO65" s="423">
        <f t="shared" si="62"/>
        <v>0</v>
      </c>
      <c r="FP65" s="419"/>
      <c r="FQ65" s="419"/>
      <c r="FR65" s="419"/>
      <c r="FS65" s="420">
        <f t="shared" si="63"/>
        <v>0</v>
      </c>
      <c r="FT65" s="420">
        <f t="shared" si="64"/>
        <v>0</v>
      </c>
      <c r="FU65" s="419"/>
      <c r="FV65" s="419"/>
      <c r="FW65" s="419"/>
      <c r="FX65" s="420">
        <f t="shared" si="65"/>
        <v>0</v>
      </c>
      <c r="FY65" s="420">
        <f t="shared" si="66"/>
        <v>0</v>
      </c>
      <c r="FZ65" s="419"/>
      <c r="GA65" s="419"/>
      <c r="GB65" s="419"/>
      <c r="GC65" s="420">
        <f t="shared" si="67"/>
        <v>0</v>
      </c>
      <c r="GD65" s="420">
        <f t="shared" si="68"/>
        <v>0</v>
      </c>
      <c r="GE65" s="419"/>
      <c r="GF65" s="419"/>
      <c r="GG65" s="419"/>
      <c r="GH65" s="420">
        <f t="shared" si="69"/>
        <v>0</v>
      </c>
      <c r="GI65" s="423">
        <f t="shared" si="70"/>
        <v>0</v>
      </c>
      <c r="GJ65" s="419"/>
      <c r="GK65" s="419"/>
      <c r="GL65" s="419"/>
      <c r="GM65" s="420">
        <f t="shared" si="71"/>
        <v>0</v>
      </c>
      <c r="GN65" s="420">
        <f t="shared" si="72"/>
        <v>0</v>
      </c>
      <c r="GO65" s="419"/>
      <c r="GP65" s="419"/>
      <c r="GQ65" s="419"/>
      <c r="GR65" s="420">
        <f t="shared" si="77"/>
        <v>0</v>
      </c>
      <c r="GS65" s="423">
        <f t="shared" si="73"/>
        <v>0</v>
      </c>
      <c r="GT65" s="419"/>
      <c r="GU65" s="419"/>
      <c r="GV65" s="419"/>
      <c r="GW65" s="420">
        <f t="shared" si="74"/>
        <v>0</v>
      </c>
      <c r="GX65" s="420">
        <f t="shared" si="75"/>
        <v>0</v>
      </c>
    </row>
    <row r="66" spans="1:206" ht="15">
      <c r="A66" s="414"/>
      <c r="B66" s="415" t="s">
        <v>512</v>
      </c>
      <c r="C66" s="698"/>
      <c r="D66" s="709"/>
      <c r="E66" s="434" t="s">
        <v>124</v>
      </c>
      <c r="F66" s="417">
        <v>0.09</v>
      </c>
      <c r="G66" s="418">
        <f t="shared" si="4"/>
        <v>120553453.2661</v>
      </c>
      <c r="H66" s="418">
        <f t="shared" si="5"/>
        <v>120553453.29000001</v>
      </c>
      <c r="I66" s="418">
        <f t="shared" si="5"/>
        <v>10849810.784616999</v>
      </c>
      <c r="J66" s="418">
        <f t="shared" si="6"/>
        <v>120553453.162411</v>
      </c>
      <c r="K66" s="418">
        <f t="shared" si="83"/>
        <v>-0.12758888304233601</v>
      </c>
      <c r="L66" s="418">
        <f t="shared" si="84"/>
        <v>-0.10368889570236201</v>
      </c>
      <c r="M66" s="424">
        <v>0</v>
      </c>
      <c r="N66" s="424">
        <v>0</v>
      </c>
      <c r="O66" s="424">
        <v>0</v>
      </c>
      <c r="P66" s="424"/>
      <c r="Q66" s="419"/>
      <c r="R66" s="419"/>
      <c r="S66" s="420"/>
      <c r="T66" s="420">
        <v>0</v>
      </c>
      <c r="U66" s="423">
        <f t="shared" si="81"/>
        <v>0</v>
      </c>
      <c r="V66" s="420"/>
      <c r="W66" s="420"/>
      <c r="X66" s="420">
        <v>0</v>
      </c>
      <c r="Y66" s="420">
        <f t="shared" si="79"/>
        <v>0</v>
      </c>
      <c r="Z66" s="423">
        <f t="shared" si="10"/>
        <v>0</v>
      </c>
      <c r="AA66" s="423"/>
      <c r="AB66" s="419"/>
      <c r="AC66" s="419"/>
      <c r="AD66" s="420">
        <f t="shared" si="11"/>
        <v>0</v>
      </c>
      <c r="AE66" s="423">
        <f t="shared" si="12"/>
        <v>0</v>
      </c>
      <c r="AF66" s="419"/>
      <c r="AG66" s="419"/>
      <c r="AH66" s="420"/>
      <c r="AI66" s="420">
        <f t="shared" si="13"/>
        <v>0</v>
      </c>
      <c r="AJ66" s="423">
        <f t="shared" si="14"/>
        <v>0</v>
      </c>
      <c r="AK66" s="444">
        <v>6159133.3600000003</v>
      </c>
      <c r="AL66" s="420"/>
      <c r="AM66" s="420">
        <v>554322.00275099999</v>
      </c>
      <c r="AN66" s="420">
        <f t="shared" si="15"/>
        <v>6159133.3639000002</v>
      </c>
      <c r="AO66" s="423">
        <f t="shared" si="16"/>
        <v>3.8999998942017599E-3</v>
      </c>
      <c r="AP66" s="444">
        <v>4429000</v>
      </c>
      <c r="AQ66" s="419"/>
      <c r="AR66" s="420">
        <v>398610</v>
      </c>
      <c r="AS66" s="420">
        <f t="shared" si="17"/>
        <v>4429000</v>
      </c>
      <c r="AT66" s="420">
        <f t="shared" si="18"/>
        <v>0</v>
      </c>
      <c r="AU66" s="420">
        <v>5575389.1600000001</v>
      </c>
      <c r="AV66" s="420">
        <v>10588133.359999999</v>
      </c>
      <c r="AW66" s="435">
        <f>952932-451146.976941</f>
        <v>501785.02305900003</v>
      </c>
      <c r="AX66" s="426">
        <f t="shared" si="19"/>
        <v>5575389.1451000003</v>
      </c>
      <c r="AY66" s="420">
        <f t="shared" si="20"/>
        <v>-1.48999998345971E-2</v>
      </c>
      <c r="AZ66" s="444">
        <v>8171887.6900000004</v>
      </c>
      <c r="BA66" s="420">
        <v>5575389.1500000004</v>
      </c>
      <c r="BB66" s="420">
        <v>735469.89175800001</v>
      </c>
      <c r="BC66" s="420">
        <f t="shared" si="21"/>
        <v>8171887.6862000003</v>
      </c>
      <c r="BD66" s="427">
        <f t="shared" si="82"/>
        <v>-3.8000000640749901E-3</v>
      </c>
      <c r="BE66" s="420">
        <v>14604609.8561</v>
      </c>
      <c r="BF66" s="420">
        <v>21543793.739999998</v>
      </c>
      <c r="BG66" s="420">
        <v>1314414.887049</v>
      </c>
      <c r="BH66" s="423">
        <f t="shared" si="22"/>
        <v>14604609.8561</v>
      </c>
      <c r="BI66" s="420">
        <f t="shared" si="23"/>
        <v>0</v>
      </c>
      <c r="BJ66" s="420">
        <v>8589224.4000000004</v>
      </c>
      <c r="BK66" s="420"/>
      <c r="BL66" s="420">
        <v>773030.2</v>
      </c>
      <c r="BM66" s="420">
        <f t="shared" si="24"/>
        <v>8589224.4444444403</v>
      </c>
      <c r="BN66" s="420">
        <f t="shared" si="25"/>
        <v>4.4444443657994298E-2</v>
      </c>
      <c r="BO66" s="428">
        <v>26598346.280000001</v>
      </c>
      <c r="BP66" s="450">
        <v>9821928.2300000004</v>
      </c>
      <c r="BQ66" s="420">
        <v>2393851.17</v>
      </c>
      <c r="BR66" s="423">
        <f t="shared" si="26"/>
        <v>26598346.333333299</v>
      </c>
      <c r="BS66" s="423">
        <f t="shared" si="27"/>
        <v>5.3333330899476998E-2</v>
      </c>
      <c r="BT66" s="445">
        <v>33714813.93</v>
      </c>
      <c r="BU66" s="426">
        <v>26598346.280000001</v>
      </c>
      <c r="BV66" s="445">
        <v>3034333.25</v>
      </c>
      <c r="BW66" s="420">
        <v>33714813.93</v>
      </c>
      <c r="BX66" s="429">
        <f t="shared" si="28"/>
        <v>0</v>
      </c>
      <c r="BY66" s="419">
        <v>12497417.82</v>
      </c>
      <c r="BZ66" s="419"/>
      <c r="CA66" s="419">
        <f>1124767.6</f>
        <v>1124767.6000000001</v>
      </c>
      <c r="CB66" s="420">
        <f t="shared" si="29"/>
        <v>12497417.7777778</v>
      </c>
      <c r="CC66" s="430">
        <f t="shared" si="30"/>
        <v>-4.2222220450639697E-2</v>
      </c>
      <c r="CD66" s="423">
        <v>98584.9</v>
      </c>
      <c r="CE66" s="419"/>
      <c r="CF66" s="419">
        <f>8872.63</f>
        <v>8872.6299999999992</v>
      </c>
      <c r="CG66" s="420">
        <f t="shared" si="31"/>
        <v>98584.777777777796</v>
      </c>
      <c r="CH66" s="423">
        <f t="shared" si="32"/>
        <v>-0.12222222222772</v>
      </c>
      <c r="CI66" s="431"/>
      <c r="CJ66" s="431"/>
      <c r="CK66" s="431"/>
      <c r="CL66" s="420">
        <f t="shared" si="33"/>
        <v>0</v>
      </c>
      <c r="CM66" s="423">
        <f t="shared" si="34"/>
        <v>0</v>
      </c>
      <c r="CN66" s="420">
        <v>115045.87</v>
      </c>
      <c r="CO66" s="420"/>
      <c r="CP66" s="420">
        <v>10354.129999999999</v>
      </c>
      <c r="CQ66" s="432">
        <v>115045.87</v>
      </c>
      <c r="CR66" s="432">
        <f t="shared" si="35"/>
        <v>0</v>
      </c>
      <c r="CS66" s="420"/>
      <c r="CT66" s="420"/>
      <c r="CU66" s="420"/>
      <c r="CV66" s="420"/>
      <c r="CW66" s="420">
        <f t="shared" si="36"/>
        <v>0</v>
      </c>
      <c r="CX66" s="419"/>
      <c r="CY66" s="439">
        <v>46425862.530000001</v>
      </c>
      <c r="CZ66" s="419"/>
      <c r="DA66" s="419">
        <f t="shared" si="37"/>
        <v>0</v>
      </c>
      <c r="DB66" s="419">
        <f t="shared" si="38"/>
        <v>0</v>
      </c>
      <c r="DC66" s="419"/>
      <c r="DD66" s="419"/>
      <c r="DE66" s="419"/>
      <c r="DF66" s="420">
        <f t="shared" si="39"/>
        <v>0</v>
      </c>
      <c r="DG66" s="421">
        <f t="shared" si="40"/>
        <v>0</v>
      </c>
      <c r="DH66" s="419"/>
      <c r="DI66" s="419"/>
      <c r="DJ66" s="419"/>
      <c r="DK66" s="420">
        <f t="shared" si="41"/>
        <v>0</v>
      </c>
      <c r="DL66" s="422">
        <f t="shared" si="42"/>
        <v>0</v>
      </c>
      <c r="DM66" s="420"/>
      <c r="DN66" s="420"/>
      <c r="DO66" s="420"/>
      <c r="DP66" s="420">
        <f t="shared" si="43"/>
        <v>0</v>
      </c>
      <c r="DQ66" s="420">
        <f t="shared" si="44"/>
        <v>0</v>
      </c>
      <c r="DR66" s="419"/>
      <c r="DS66" s="419"/>
      <c r="DT66" s="419"/>
      <c r="DU66" s="420">
        <f t="shared" si="45"/>
        <v>0</v>
      </c>
      <c r="DV66" s="423">
        <f t="shared" si="46"/>
        <v>0</v>
      </c>
      <c r="DW66" s="419"/>
      <c r="DX66" s="419"/>
      <c r="DY66" s="419"/>
      <c r="DZ66" s="420">
        <f t="shared" si="47"/>
        <v>0</v>
      </c>
      <c r="EA66" s="423">
        <f t="shared" si="48"/>
        <v>0</v>
      </c>
      <c r="EB66" s="420"/>
      <c r="EC66" s="419"/>
      <c r="ED66" s="420"/>
      <c r="EE66" s="419"/>
      <c r="EF66" s="420">
        <f t="shared" si="49"/>
        <v>0</v>
      </c>
      <c r="EG66" s="419"/>
      <c r="EH66" s="419"/>
      <c r="EI66" s="419"/>
      <c r="EJ66" s="420">
        <f t="shared" si="50"/>
        <v>0</v>
      </c>
      <c r="EK66" s="420">
        <f t="shared" si="51"/>
        <v>0</v>
      </c>
      <c r="EL66" s="419"/>
      <c r="EM66" s="419"/>
      <c r="EN66" s="419"/>
      <c r="EO66" s="419">
        <f t="shared" si="52"/>
        <v>0</v>
      </c>
      <c r="EP66" s="419">
        <f t="shared" si="53"/>
        <v>0</v>
      </c>
      <c r="EQ66" s="419"/>
      <c r="ER66" s="419"/>
      <c r="ES66" s="419"/>
      <c r="ET66" s="419">
        <f t="shared" si="54"/>
        <v>0</v>
      </c>
      <c r="EU66" s="419">
        <f t="shared" si="55"/>
        <v>0</v>
      </c>
      <c r="EV66" s="419"/>
      <c r="EW66" s="419"/>
      <c r="EX66" s="419"/>
      <c r="EY66" s="419">
        <f t="shared" si="56"/>
        <v>0</v>
      </c>
      <c r="EZ66" s="419">
        <f t="shared" si="76"/>
        <v>0</v>
      </c>
      <c r="FA66" s="420"/>
      <c r="FB66" s="420"/>
      <c r="FC66" s="420"/>
      <c r="FD66" s="420">
        <f t="shared" si="57"/>
        <v>0</v>
      </c>
      <c r="FE66" s="420">
        <f t="shared" si="58"/>
        <v>0</v>
      </c>
      <c r="FF66" s="419"/>
      <c r="FG66" s="419"/>
      <c r="FH66" s="419"/>
      <c r="FI66" s="419">
        <f t="shared" si="59"/>
        <v>0</v>
      </c>
      <c r="FJ66" s="419">
        <f t="shared" si="60"/>
        <v>0</v>
      </c>
      <c r="FK66" s="419"/>
      <c r="FL66" s="419"/>
      <c r="FM66" s="419"/>
      <c r="FN66" s="420">
        <f t="shared" si="61"/>
        <v>0</v>
      </c>
      <c r="FO66" s="423">
        <f t="shared" si="62"/>
        <v>0</v>
      </c>
      <c r="FP66" s="419"/>
      <c r="FQ66" s="419"/>
      <c r="FR66" s="419"/>
      <c r="FS66" s="420">
        <f t="shared" si="63"/>
        <v>0</v>
      </c>
      <c r="FT66" s="420">
        <f t="shared" si="64"/>
        <v>0</v>
      </c>
      <c r="FU66" s="419"/>
      <c r="FV66" s="419"/>
      <c r="FW66" s="419"/>
      <c r="FX66" s="420">
        <f t="shared" si="65"/>
        <v>0</v>
      </c>
      <c r="FY66" s="420">
        <f t="shared" si="66"/>
        <v>0</v>
      </c>
      <c r="FZ66" s="419"/>
      <c r="GA66" s="419"/>
      <c r="GB66" s="419"/>
      <c r="GC66" s="420">
        <f t="shared" si="67"/>
        <v>0</v>
      </c>
      <c r="GD66" s="420">
        <f t="shared" si="68"/>
        <v>0</v>
      </c>
      <c r="GE66" s="419"/>
      <c r="GF66" s="419"/>
      <c r="GG66" s="419"/>
      <c r="GH66" s="420">
        <f t="shared" si="69"/>
        <v>0</v>
      </c>
      <c r="GI66" s="423">
        <f t="shared" si="70"/>
        <v>0</v>
      </c>
      <c r="GJ66" s="419"/>
      <c r="GK66" s="419"/>
      <c r="GL66" s="419"/>
      <c r="GM66" s="420">
        <f t="shared" si="71"/>
        <v>0</v>
      </c>
      <c r="GN66" s="420">
        <f t="shared" si="72"/>
        <v>0</v>
      </c>
      <c r="GO66" s="419"/>
      <c r="GP66" s="419"/>
      <c r="GQ66" s="419"/>
      <c r="GR66" s="420">
        <f t="shared" si="77"/>
        <v>0</v>
      </c>
      <c r="GS66" s="423">
        <f t="shared" si="73"/>
        <v>0</v>
      </c>
      <c r="GT66" s="419"/>
      <c r="GU66" s="419"/>
      <c r="GV66" s="419"/>
      <c r="GW66" s="420">
        <f t="shared" si="74"/>
        <v>0</v>
      </c>
      <c r="GX66" s="420">
        <f t="shared" si="75"/>
        <v>0</v>
      </c>
    </row>
    <row r="67" spans="1:206" ht="15">
      <c r="A67" s="414"/>
      <c r="B67" s="415" t="s">
        <v>512</v>
      </c>
      <c r="C67" s="698"/>
      <c r="D67" s="710"/>
      <c r="E67" s="434" t="s">
        <v>125</v>
      </c>
      <c r="F67" s="417">
        <v>0.06</v>
      </c>
      <c r="G67" s="418">
        <f t="shared" si="4"/>
        <v>4705074.9390000002</v>
      </c>
      <c r="H67" s="418">
        <f t="shared" si="5"/>
        <v>4705074.97</v>
      </c>
      <c r="I67" s="418">
        <f t="shared" si="5"/>
        <v>282304.51519461401</v>
      </c>
      <c r="J67" s="418">
        <f t="shared" si="6"/>
        <v>4705075.25324356</v>
      </c>
      <c r="K67" s="418">
        <f t="shared" si="83"/>
        <v>0.28324356023222202</v>
      </c>
      <c r="L67" s="418">
        <f t="shared" si="84"/>
        <v>0.31424356158822803</v>
      </c>
      <c r="M67" s="424">
        <v>275749.299</v>
      </c>
      <c r="N67" s="424">
        <v>0</v>
      </c>
      <c r="O67" s="424">
        <v>16544.95794</v>
      </c>
      <c r="P67" s="424"/>
      <c r="Q67" s="444">
        <v>306000</v>
      </c>
      <c r="R67" s="419"/>
      <c r="S67" s="420">
        <f>Q67*0.06</f>
        <v>18360</v>
      </c>
      <c r="T67" s="420">
        <v>306000</v>
      </c>
      <c r="U67" s="423">
        <f t="shared" si="81"/>
        <v>0</v>
      </c>
      <c r="V67" s="420">
        <v>463500</v>
      </c>
      <c r="W67" s="420"/>
      <c r="X67" s="420">
        <v>27810</v>
      </c>
      <c r="Y67" s="420">
        <f t="shared" si="79"/>
        <v>463500</v>
      </c>
      <c r="Z67" s="423">
        <f t="shared" si="10"/>
        <v>0</v>
      </c>
      <c r="AA67" s="423"/>
      <c r="AB67" s="419"/>
      <c r="AC67" s="419"/>
      <c r="AD67" s="420">
        <f t="shared" si="11"/>
        <v>0</v>
      </c>
      <c r="AE67" s="423">
        <f t="shared" si="12"/>
        <v>0</v>
      </c>
      <c r="AF67" s="444">
        <v>92511.02</v>
      </c>
      <c r="AG67" s="419"/>
      <c r="AH67" s="420">
        <v>5550.6613550088696</v>
      </c>
      <c r="AI67" s="420">
        <f t="shared" si="13"/>
        <v>92511.022583481201</v>
      </c>
      <c r="AJ67" s="423">
        <f t="shared" si="14"/>
        <v>2.5834811531240099E-3</v>
      </c>
      <c r="AK67" s="444">
        <f>314150+112900.93</f>
        <v>427050.93</v>
      </c>
      <c r="AL67" s="436">
        <v>1137760.32</v>
      </c>
      <c r="AM67" s="420">
        <v>25623.0559996048</v>
      </c>
      <c r="AN67" s="420">
        <f t="shared" si="15"/>
        <v>427050.93332674698</v>
      </c>
      <c r="AO67" s="423">
        <f t="shared" si="16"/>
        <v>3.3267466933466498E-3</v>
      </c>
      <c r="AP67" s="444">
        <v>96084.1</v>
      </c>
      <c r="AQ67" s="419"/>
      <c r="AR67" s="420">
        <v>5765.0462100000004</v>
      </c>
      <c r="AS67" s="420">
        <f t="shared" si="17"/>
        <v>96084.103499999997</v>
      </c>
      <c r="AT67" s="420">
        <f t="shared" si="18"/>
        <v>3.5000000061700099E-3</v>
      </c>
      <c r="AU67" s="420">
        <v>100123.83</v>
      </c>
      <c r="AV67" s="420"/>
      <c r="AW67" s="435">
        <v>6007.4298900000003</v>
      </c>
      <c r="AX67" s="426">
        <f t="shared" si="19"/>
        <v>100123.8315</v>
      </c>
      <c r="AY67" s="420">
        <f t="shared" si="20"/>
        <v>1.5000000130385199E-3</v>
      </c>
      <c r="AZ67" s="420">
        <v>103665.04</v>
      </c>
      <c r="BA67" s="420">
        <v>623258.86</v>
      </c>
      <c r="BB67" s="419">
        <v>6219.9</v>
      </c>
      <c r="BC67" s="420">
        <f t="shared" si="21"/>
        <v>103665</v>
      </c>
      <c r="BD67" s="427">
        <f t="shared" si="82"/>
        <v>-3.9999999993597199E-2</v>
      </c>
      <c r="BE67" s="420">
        <v>114880.63</v>
      </c>
      <c r="BF67" s="395">
        <v>103665.04</v>
      </c>
      <c r="BG67" s="420">
        <v>6892.84</v>
      </c>
      <c r="BH67" s="423">
        <f t="shared" si="22"/>
        <v>114880.66666666701</v>
      </c>
      <c r="BI67" s="420">
        <f t="shared" si="23"/>
        <v>3.6666666666860699E-2</v>
      </c>
      <c r="BJ67" s="420">
        <v>92944.9</v>
      </c>
      <c r="BK67" s="420"/>
      <c r="BL67" s="420">
        <v>5576.69</v>
      </c>
      <c r="BM67" s="420">
        <f t="shared" si="24"/>
        <v>92944.833333333299</v>
      </c>
      <c r="BN67" s="420">
        <f t="shared" si="25"/>
        <v>-6.6666666665696497E-2</v>
      </c>
      <c r="BO67" s="428">
        <v>494223.73</v>
      </c>
      <c r="BP67" s="450">
        <v>207825.53</v>
      </c>
      <c r="BQ67" s="420">
        <v>29653.4238</v>
      </c>
      <c r="BR67" s="423">
        <f t="shared" si="26"/>
        <v>494223.73</v>
      </c>
      <c r="BS67" s="423">
        <f t="shared" si="27"/>
        <v>0</v>
      </c>
      <c r="BT67" s="420">
        <v>218855.15</v>
      </c>
      <c r="BU67" s="426">
        <v>494223.73</v>
      </c>
      <c r="BV67" s="420">
        <v>13131.32</v>
      </c>
      <c r="BW67" s="420">
        <v>218855.15</v>
      </c>
      <c r="BX67" s="429">
        <f t="shared" si="28"/>
        <v>0</v>
      </c>
      <c r="BY67" s="419">
        <v>1815690.3</v>
      </c>
      <c r="BZ67" s="431">
        <v>120270.25</v>
      </c>
      <c r="CA67" s="419">
        <f>108941.42</f>
        <v>108941.42</v>
      </c>
      <c r="CB67" s="420">
        <f t="shared" si="29"/>
        <v>1815690.33333333</v>
      </c>
      <c r="CC67" s="430">
        <f t="shared" si="30"/>
        <v>3.3333333209156997E-2</v>
      </c>
      <c r="CD67" s="419">
        <v>-14100.61</v>
      </c>
      <c r="CE67" s="419"/>
      <c r="CF67" s="419">
        <f>5069.06-5915.1</f>
        <v>-846.04</v>
      </c>
      <c r="CG67" s="420">
        <f t="shared" si="31"/>
        <v>-14100.666666666701</v>
      </c>
      <c r="CH67" s="423">
        <f t="shared" si="32"/>
        <v>-5.6666666665478302E-2</v>
      </c>
      <c r="CI67" s="431">
        <v>40641.440000000002</v>
      </c>
      <c r="CJ67" s="431"/>
      <c r="CK67" s="431">
        <v>2438.4899999999998</v>
      </c>
      <c r="CL67" s="420">
        <f t="shared" si="33"/>
        <v>40641.5</v>
      </c>
      <c r="CM67" s="423">
        <f t="shared" si="34"/>
        <v>5.9999999997671701E-2</v>
      </c>
      <c r="CN67" s="420">
        <v>38607.25</v>
      </c>
      <c r="CO67" s="420"/>
      <c r="CP67" s="420">
        <v>2316.44</v>
      </c>
      <c r="CQ67" s="432">
        <v>38607.25</v>
      </c>
      <c r="CR67" s="432">
        <f t="shared" si="35"/>
        <v>0</v>
      </c>
      <c r="CS67" s="420">
        <v>38647.93</v>
      </c>
      <c r="CT67" s="420"/>
      <c r="CU67" s="420">
        <v>2318.88</v>
      </c>
      <c r="CV67" s="420">
        <v>38647.93</v>
      </c>
      <c r="CW67" s="420">
        <f t="shared" si="36"/>
        <v>0</v>
      </c>
      <c r="CX67" s="419"/>
      <c r="CY67" s="419">
        <v>2018071.24</v>
      </c>
      <c r="CZ67" s="419"/>
      <c r="DA67" s="419">
        <f t="shared" si="37"/>
        <v>0</v>
      </c>
      <c r="DB67" s="419">
        <f t="shared" si="38"/>
        <v>0</v>
      </c>
      <c r="DC67" s="419"/>
      <c r="DD67" s="419"/>
      <c r="DE67" s="419"/>
      <c r="DF67" s="420">
        <f t="shared" si="39"/>
        <v>0</v>
      </c>
      <c r="DG67" s="421">
        <f t="shared" si="40"/>
        <v>0</v>
      </c>
      <c r="DH67" s="419"/>
      <c r="DI67" s="419"/>
      <c r="DJ67" s="419"/>
      <c r="DK67" s="420">
        <f t="shared" si="41"/>
        <v>0</v>
      </c>
      <c r="DL67" s="422">
        <f t="shared" si="42"/>
        <v>0</v>
      </c>
      <c r="DM67" s="420"/>
      <c r="DN67" s="420"/>
      <c r="DO67" s="420"/>
      <c r="DP67" s="420">
        <f t="shared" si="43"/>
        <v>0</v>
      </c>
      <c r="DQ67" s="420">
        <f t="shared" si="44"/>
        <v>0</v>
      </c>
      <c r="DR67" s="419"/>
      <c r="DS67" s="419"/>
      <c r="DT67" s="419"/>
      <c r="DU67" s="420">
        <f t="shared" si="45"/>
        <v>0</v>
      </c>
      <c r="DV67" s="423">
        <f t="shared" si="46"/>
        <v>0</v>
      </c>
      <c r="DW67" s="419"/>
      <c r="DX67" s="419"/>
      <c r="DY67" s="419"/>
      <c r="DZ67" s="420">
        <f t="shared" si="47"/>
        <v>0</v>
      </c>
      <c r="EA67" s="423">
        <f t="shared" si="48"/>
        <v>0</v>
      </c>
      <c r="EB67" s="419"/>
      <c r="EC67" s="419"/>
      <c r="ED67" s="420"/>
      <c r="EE67" s="419"/>
      <c r="EF67" s="420">
        <f t="shared" si="49"/>
        <v>0</v>
      </c>
      <c r="EG67" s="419"/>
      <c r="EH67" s="419"/>
      <c r="EI67" s="419"/>
      <c r="EJ67" s="420">
        <f t="shared" si="50"/>
        <v>0</v>
      </c>
      <c r="EK67" s="420">
        <f t="shared" si="51"/>
        <v>0</v>
      </c>
      <c r="EL67" s="419"/>
      <c r="EM67" s="419"/>
      <c r="EN67" s="419"/>
      <c r="EO67" s="419">
        <f t="shared" si="52"/>
        <v>0</v>
      </c>
      <c r="EP67" s="419">
        <f t="shared" si="53"/>
        <v>0</v>
      </c>
      <c r="EQ67" s="419"/>
      <c r="ER67" s="419"/>
      <c r="ES67" s="419"/>
      <c r="ET67" s="419">
        <f t="shared" si="54"/>
        <v>0</v>
      </c>
      <c r="EU67" s="419">
        <f t="shared" si="55"/>
        <v>0</v>
      </c>
      <c r="EV67" s="419"/>
      <c r="EW67" s="419"/>
      <c r="EX67" s="419"/>
      <c r="EY67" s="419">
        <f t="shared" si="56"/>
        <v>0</v>
      </c>
      <c r="EZ67" s="419">
        <f t="shared" si="76"/>
        <v>0</v>
      </c>
      <c r="FA67" s="420"/>
      <c r="FB67" s="420"/>
      <c r="FC67" s="420"/>
      <c r="FD67" s="420">
        <f t="shared" si="57"/>
        <v>0</v>
      </c>
      <c r="FE67" s="420">
        <f t="shared" si="58"/>
        <v>0</v>
      </c>
      <c r="FF67" s="419"/>
      <c r="FG67" s="419"/>
      <c r="FH67" s="419"/>
      <c r="FI67" s="419">
        <f t="shared" si="59"/>
        <v>0</v>
      </c>
      <c r="FJ67" s="419">
        <f t="shared" si="60"/>
        <v>0</v>
      </c>
      <c r="FK67" s="419"/>
      <c r="FL67" s="419"/>
      <c r="FM67" s="419"/>
      <c r="FN67" s="420">
        <f t="shared" si="61"/>
        <v>0</v>
      </c>
      <c r="FO67" s="423">
        <f t="shared" si="62"/>
        <v>0</v>
      </c>
      <c r="FP67" s="419"/>
      <c r="FQ67" s="419"/>
      <c r="FR67" s="419"/>
      <c r="FS67" s="420">
        <f t="shared" si="63"/>
        <v>0</v>
      </c>
      <c r="FT67" s="420">
        <f t="shared" si="64"/>
        <v>0</v>
      </c>
      <c r="FU67" s="419"/>
      <c r="FV67" s="419"/>
      <c r="FW67" s="419"/>
      <c r="FX67" s="420">
        <f t="shared" si="65"/>
        <v>0</v>
      </c>
      <c r="FY67" s="420">
        <f t="shared" si="66"/>
        <v>0</v>
      </c>
      <c r="FZ67" s="419"/>
      <c r="GA67" s="419"/>
      <c r="GB67" s="419"/>
      <c r="GC67" s="420">
        <f t="shared" si="67"/>
        <v>0</v>
      </c>
      <c r="GD67" s="420">
        <f t="shared" si="68"/>
        <v>0</v>
      </c>
      <c r="GE67" s="419"/>
      <c r="GF67" s="419"/>
      <c r="GG67" s="419"/>
      <c r="GH67" s="420">
        <f t="shared" si="69"/>
        <v>0</v>
      </c>
      <c r="GI67" s="423">
        <f t="shared" si="70"/>
        <v>0</v>
      </c>
      <c r="GJ67" s="419"/>
      <c r="GK67" s="419"/>
      <c r="GL67" s="419"/>
      <c r="GM67" s="420">
        <f t="shared" si="71"/>
        <v>0</v>
      </c>
      <c r="GN67" s="420">
        <f t="shared" si="72"/>
        <v>0</v>
      </c>
      <c r="GO67" s="419"/>
      <c r="GP67" s="419"/>
      <c r="GQ67" s="419"/>
      <c r="GR67" s="420">
        <f t="shared" si="77"/>
        <v>0</v>
      </c>
      <c r="GS67" s="423">
        <f t="shared" si="73"/>
        <v>0</v>
      </c>
      <c r="GT67" s="419"/>
      <c r="GU67" s="419"/>
      <c r="GV67" s="419"/>
      <c r="GW67" s="420">
        <f t="shared" si="74"/>
        <v>0</v>
      </c>
      <c r="GX67" s="420">
        <f t="shared" si="75"/>
        <v>0</v>
      </c>
    </row>
    <row r="68" spans="1:206" ht="15">
      <c r="A68" s="414"/>
      <c r="B68" s="415" t="s">
        <v>514</v>
      </c>
      <c r="C68" s="698"/>
      <c r="D68" s="704" t="s">
        <v>515</v>
      </c>
      <c r="E68" s="434" t="s">
        <v>123</v>
      </c>
      <c r="F68" s="417">
        <v>0.13</v>
      </c>
      <c r="G68" s="418">
        <f t="shared" ref="G68:G131" si="85">SUM(M68,P68:Q68,V68,AA68,AF68,AK68,AP68,AU68,AZ68,BE68,BJ68,BO68,BT68,BY68,CD68,CI68,CN68,CS68,CX68,DC68,DH68,DM68,DR68,DW68,EB68,EG68,EL68,EQ68,EV68,FA68,FF68,FK68,FP68,FU68,FZ68,GE68,GJ68,GO68,GT68)</f>
        <v>140011917.69</v>
      </c>
      <c r="H68" s="418">
        <f t="shared" ref="H68:I131" si="86">SUM(N68,R68,W68,AB68,AG68,AL68,AQ68,AV68,BA68,BF68,BK68,BP68,BU68,BZ68,CE68,CJ68,CO68,CT68,CY68,DD68,DI68,DN68,DS68,DX68,EC68,EH68,EM68,ER68,EW68,FB68,FG68,FL68,FQ68,FV68,GA68,GF68,GK68,GP68,GU68)</f>
        <v>140011917.72</v>
      </c>
      <c r="I68" s="418">
        <f t="shared" si="86"/>
        <v>18201549.328094002</v>
      </c>
      <c r="J68" s="418">
        <f t="shared" ref="J68:J131" si="87">I68/F68</f>
        <v>140011917.90841499</v>
      </c>
      <c r="K68" s="418">
        <f t="shared" si="83"/>
        <v>0.18841540813446001</v>
      </c>
      <c r="L68" s="418">
        <f t="shared" si="84"/>
        <v>0.21841540932655301</v>
      </c>
      <c r="M68" s="424">
        <v>0</v>
      </c>
      <c r="N68" s="424">
        <v>0</v>
      </c>
      <c r="O68" s="424">
        <v>0</v>
      </c>
      <c r="P68" s="424"/>
      <c r="Q68" s="419"/>
      <c r="R68" s="419"/>
      <c r="S68" s="419"/>
      <c r="T68" s="420">
        <v>0</v>
      </c>
      <c r="U68" s="423">
        <f t="shared" si="81"/>
        <v>0</v>
      </c>
      <c r="V68" s="420"/>
      <c r="W68" s="420"/>
      <c r="X68" s="420">
        <v>0</v>
      </c>
      <c r="Y68" s="420">
        <f t="shared" si="79"/>
        <v>0</v>
      </c>
      <c r="Z68" s="423">
        <f t="shared" ref="Z68:Z70" si="88">Y68-V68</f>
        <v>0</v>
      </c>
      <c r="AA68" s="423"/>
      <c r="AB68" s="419"/>
      <c r="AC68" s="419"/>
      <c r="AD68" s="420">
        <f t="shared" ref="AD68:AD79" si="89">AC68/F68</f>
        <v>0</v>
      </c>
      <c r="AE68" s="423">
        <f t="shared" ref="AE68:AE79" si="90">AD68-AA68</f>
        <v>0</v>
      </c>
      <c r="AF68" s="419"/>
      <c r="AG68" s="419"/>
      <c r="AH68" s="419"/>
      <c r="AI68" s="420">
        <f t="shared" ref="AI68:AI79" si="91">AH68/F68</f>
        <v>0</v>
      </c>
      <c r="AJ68" s="423">
        <f t="shared" ref="AJ68:AJ79" si="92">AI68-AF68</f>
        <v>0</v>
      </c>
      <c r="AK68" s="419"/>
      <c r="AL68" s="420"/>
      <c r="AM68" s="419"/>
      <c r="AN68" s="420">
        <f t="shared" ref="AN68:AN79" si="93">AM68/F68</f>
        <v>0</v>
      </c>
      <c r="AO68" s="423">
        <f t="shared" ref="AO68:AO79" si="94">AN68-AK68</f>
        <v>0</v>
      </c>
      <c r="AP68" s="419"/>
      <c r="AQ68" s="419"/>
      <c r="AR68" s="420"/>
      <c r="AS68" s="420">
        <f t="shared" ref="AS68:AS82" si="95">AR68/F68</f>
        <v>0</v>
      </c>
      <c r="AT68" s="420">
        <f t="shared" ref="AT68:AT82" si="96">AS68-AP68</f>
        <v>0</v>
      </c>
      <c r="AU68" s="420"/>
      <c r="AV68" s="420"/>
      <c r="AW68" s="420"/>
      <c r="AX68" s="426">
        <f t="shared" ref="AX68:AX91" si="97">AW68/F68</f>
        <v>0</v>
      </c>
      <c r="AY68" s="420">
        <f t="shared" ref="AY68:AY91" si="98">AX68-AU68</f>
        <v>0</v>
      </c>
      <c r="AZ68" s="444">
        <v>6053861.5199999996</v>
      </c>
      <c r="BA68" s="420"/>
      <c r="BB68" s="420">
        <v>787001.99809400004</v>
      </c>
      <c r="BC68" s="420">
        <f t="shared" ref="BC68:BC91" si="99">BB68/F68</f>
        <v>6053861.5237999996</v>
      </c>
      <c r="BD68" s="427">
        <f t="shared" si="82"/>
        <v>3.8000009953975699E-3</v>
      </c>
      <c r="BE68" s="420"/>
      <c r="BF68" s="420"/>
      <c r="BG68" s="420"/>
      <c r="BH68" s="423">
        <f t="shared" ref="BH68:BH94" si="100">BG68/F68</f>
        <v>0</v>
      </c>
      <c r="BI68" s="420">
        <f t="shared" ref="BI68:BI94" si="101">BH68-BE68</f>
        <v>0</v>
      </c>
      <c r="BJ68" s="420"/>
      <c r="BK68" s="420"/>
      <c r="BL68" s="420"/>
      <c r="BM68" s="420">
        <f t="shared" ref="BM68:BM94" si="102">BL68/F68</f>
        <v>0</v>
      </c>
      <c r="BN68" s="420">
        <f t="shared" ref="BN68:BN94" si="103">BM68-BJ68</f>
        <v>0</v>
      </c>
      <c r="BO68" s="453">
        <v>26834191.280000001</v>
      </c>
      <c r="BP68" s="450">
        <v>6053861.5199999996</v>
      </c>
      <c r="BQ68" s="420">
        <v>3488444.86</v>
      </c>
      <c r="BR68" s="423">
        <f t="shared" ref="BR68:BR94" si="104">BQ68/F68</f>
        <v>26834191.230769198</v>
      </c>
      <c r="BS68" s="423">
        <f t="shared" ref="BS68:BS94" si="105">BR68-BO68</f>
        <v>-4.9230773001909298E-2</v>
      </c>
      <c r="BT68" s="420">
        <v>76895379.769999996</v>
      </c>
      <c r="BU68" s="426">
        <v>26834191.280000001</v>
      </c>
      <c r="BV68" s="454">
        <v>9996399.4000000004</v>
      </c>
      <c r="BW68" s="420">
        <v>76895379.769999996</v>
      </c>
      <c r="BX68" s="429">
        <f t="shared" ref="BX68:BX94" si="106">BW68-BT68</f>
        <v>0</v>
      </c>
      <c r="BY68" s="419">
        <v>30228485.120000001</v>
      </c>
      <c r="BZ68" s="431">
        <v>70834842.170000002</v>
      </c>
      <c r="CA68" s="419">
        <v>3929703.07</v>
      </c>
      <c r="CB68" s="420">
        <f t="shared" ref="CB68:CB94" si="107">CA68/F68</f>
        <v>30228485.153846201</v>
      </c>
      <c r="CC68" s="430">
        <f t="shared" ref="CC68:CC94" si="108">CB68-BY68</f>
        <v>3.3846151083707803E-2</v>
      </c>
      <c r="CD68" s="452"/>
      <c r="CE68" s="419"/>
      <c r="CF68" s="419"/>
      <c r="CG68" s="420">
        <f t="shared" ref="CG68:CG94" si="109">CF68/F68</f>
        <v>0</v>
      </c>
      <c r="CH68" s="423">
        <f t="shared" ref="CH68:CH94" si="110">CG68-CD68</f>
        <v>0</v>
      </c>
      <c r="CI68" s="431"/>
      <c r="CJ68" s="431"/>
      <c r="CK68" s="431"/>
      <c r="CL68" s="420">
        <f t="shared" ref="CL68:CL94" si="111">CK68/F68</f>
        <v>0</v>
      </c>
      <c r="CM68" s="423">
        <f t="shared" ref="CM68:CM94" si="112">CL68-CI68</f>
        <v>0</v>
      </c>
      <c r="CN68" s="420"/>
      <c r="CO68" s="420"/>
      <c r="CP68" s="420"/>
      <c r="CQ68" s="432"/>
      <c r="CR68" s="432">
        <f t="shared" ref="CR68:CR94" si="113">ROUND(CQ68-CN68,2)</f>
        <v>0</v>
      </c>
      <c r="CS68" s="420"/>
      <c r="CT68" s="420"/>
      <c r="CU68" s="420"/>
      <c r="CV68" s="420"/>
      <c r="CW68" s="420">
        <f t="shared" ref="CW68:CW94" si="114">CV68-CS68</f>
        <v>0</v>
      </c>
      <c r="CX68" s="419"/>
      <c r="CY68" s="439">
        <v>36289022.75</v>
      </c>
      <c r="CZ68" s="419"/>
      <c r="DA68" s="419">
        <f t="shared" ref="DA68:DA131" si="115">ROUND(CZ68/F68,2)</f>
        <v>0</v>
      </c>
      <c r="DB68" s="419">
        <f t="shared" ref="DB68:DB131" si="116">ROUND(DA68-CX68,2)</f>
        <v>0</v>
      </c>
      <c r="DC68" s="419"/>
      <c r="DD68" s="419"/>
      <c r="DE68" s="419"/>
      <c r="DF68" s="420">
        <f t="shared" ref="DF68:DF131" si="117">DE68/F68</f>
        <v>0</v>
      </c>
      <c r="DG68" s="421">
        <f t="shared" ref="DG68:DG131" si="118">DC68-DF68</f>
        <v>0</v>
      </c>
      <c r="DH68" s="419"/>
      <c r="DI68" s="419"/>
      <c r="DJ68" s="419"/>
      <c r="DK68" s="420">
        <f t="shared" ref="DK68:DK131" si="119">DJ68/F68</f>
        <v>0</v>
      </c>
      <c r="DL68" s="422">
        <f t="shared" ref="DL68:DL131" si="120">DK68-DH68</f>
        <v>0</v>
      </c>
      <c r="DM68" s="420"/>
      <c r="DN68" s="420"/>
      <c r="DO68" s="420"/>
      <c r="DP68" s="420">
        <f t="shared" ref="DP68:DP131" si="121">DO68/F68</f>
        <v>0</v>
      </c>
      <c r="DQ68" s="420">
        <f t="shared" ref="DQ68:DQ131" si="122">DP68-DM68</f>
        <v>0</v>
      </c>
      <c r="DR68" s="419"/>
      <c r="DS68" s="419"/>
      <c r="DT68" s="419"/>
      <c r="DU68" s="420">
        <f t="shared" ref="DU68:DU131" si="123">DT68/F68</f>
        <v>0</v>
      </c>
      <c r="DV68" s="423">
        <f t="shared" ref="DV68:DV131" si="124">DU68-DR68</f>
        <v>0</v>
      </c>
      <c r="DW68" s="419"/>
      <c r="DX68" s="419"/>
      <c r="DY68" s="419"/>
      <c r="DZ68" s="420">
        <f t="shared" ref="DZ68:DZ131" si="125">ROUND(DY68/F68,2)</f>
        <v>0</v>
      </c>
      <c r="EA68" s="423">
        <f t="shared" ref="EA68:EA131" si="126">ROUND(DZ68-DW68,2)</f>
        <v>0</v>
      </c>
      <c r="EB68" s="419"/>
      <c r="EC68" s="419"/>
      <c r="ED68" s="420"/>
      <c r="EE68" s="419"/>
      <c r="EF68" s="420">
        <f t="shared" ref="EF68:EF131" si="127">EE68-EB68</f>
        <v>0</v>
      </c>
      <c r="EG68" s="419"/>
      <c r="EH68" s="419"/>
      <c r="EI68" s="419"/>
      <c r="EJ68" s="420">
        <f t="shared" ref="EJ68:EJ131" si="128">ROUND(EI68/F68,2)</f>
        <v>0</v>
      </c>
      <c r="EK68" s="420">
        <f t="shared" ref="EK68:EK131" si="129">ROUND(EJ68-EG68,2)</f>
        <v>0</v>
      </c>
      <c r="EL68" s="419"/>
      <c r="EM68" s="419"/>
      <c r="EN68" s="419"/>
      <c r="EO68" s="419">
        <f t="shared" ref="EO68:EO131" si="130">ROUND(EN68/F68,2)</f>
        <v>0</v>
      </c>
      <c r="EP68" s="419">
        <f t="shared" ref="EP68:EP131" si="131">ROUND(EO68-EL68,2)</f>
        <v>0</v>
      </c>
      <c r="EQ68" s="419"/>
      <c r="ER68" s="419"/>
      <c r="ES68" s="419"/>
      <c r="ET68" s="419">
        <f t="shared" ref="ET68:ET131" si="132">ROUND(ES68/F68,2)</f>
        <v>0</v>
      </c>
      <c r="EU68" s="419">
        <f t="shared" ref="EU68:EU131" si="133">ROUND(ET68-EQ68,2)</f>
        <v>0</v>
      </c>
      <c r="EV68" s="419"/>
      <c r="EW68" s="419"/>
      <c r="EX68" s="419"/>
      <c r="EY68" s="419">
        <f t="shared" ref="EY68:EY131" si="134">ROUND(EX68/F68,2)</f>
        <v>0</v>
      </c>
      <c r="EZ68" s="419">
        <f t="shared" si="76"/>
        <v>0</v>
      </c>
      <c r="FA68" s="420"/>
      <c r="FB68" s="420"/>
      <c r="FC68" s="420"/>
      <c r="FD68" s="420">
        <f t="shared" ref="FD68:FD131" si="135">ROUND(FC68/F68,2)</f>
        <v>0</v>
      </c>
      <c r="FE68" s="420">
        <f t="shared" ref="FE68:FE131" si="136">ROUND(FD68-FA68,2)</f>
        <v>0</v>
      </c>
      <c r="FF68" s="419"/>
      <c r="FG68" s="419"/>
      <c r="FH68" s="419"/>
      <c r="FI68" s="419">
        <f t="shared" ref="FI68:FI131" si="137">FH68/F68</f>
        <v>0</v>
      </c>
      <c r="FJ68" s="419">
        <f t="shared" ref="FJ68:FJ131" si="138">ROUND(FI68-FF68,2)</f>
        <v>0</v>
      </c>
      <c r="FK68" s="419"/>
      <c r="FL68" s="419"/>
      <c r="FM68" s="419"/>
      <c r="FN68" s="420">
        <f t="shared" ref="FN68:FN131" si="139">ROUND(FM68/F68,2)</f>
        <v>0</v>
      </c>
      <c r="FO68" s="423">
        <f t="shared" ref="FO68:FO131" si="140">ROUND(FN68-FK68,2)</f>
        <v>0</v>
      </c>
      <c r="FP68" s="419"/>
      <c r="FQ68" s="419"/>
      <c r="FR68" s="419"/>
      <c r="FS68" s="420">
        <f t="shared" ref="FS68:FS131" si="141">ROUND(FR68/F68,2)</f>
        <v>0</v>
      </c>
      <c r="FT68" s="420">
        <f t="shared" ref="FT68:FT131" si="142">FS68-FP68</f>
        <v>0</v>
      </c>
      <c r="FU68" s="419"/>
      <c r="FV68" s="419"/>
      <c r="FW68" s="419"/>
      <c r="FX68" s="420">
        <f t="shared" ref="FX68:FX131" si="143">ROUND(FW68/F68,2)</f>
        <v>0</v>
      </c>
      <c r="FY68" s="420">
        <f t="shared" ref="FY68:FY131" si="144">FX68-FU68</f>
        <v>0</v>
      </c>
      <c r="FZ68" s="419"/>
      <c r="GA68" s="419"/>
      <c r="GB68" s="419"/>
      <c r="GC68" s="420">
        <f t="shared" ref="GC68:GC131" si="145">ROUND(GB68/F68,2)</f>
        <v>0</v>
      </c>
      <c r="GD68" s="420">
        <f t="shared" ref="GD68:GD131" si="146">GC68-FZ68</f>
        <v>0</v>
      </c>
      <c r="GE68" s="419"/>
      <c r="GF68" s="419"/>
      <c r="GG68" s="419"/>
      <c r="GH68" s="420">
        <f t="shared" ref="GH68:GH131" si="147">GG68/F68</f>
        <v>0</v>
      </c>
      <c r="GI68" s="423">
        <f t="shared" ref="GI68:GI131" si="148">GH68-GE68</f>
        <v>0</v>
      </c>
      <c r="GJ68" s="419"/>
      <c r="GK68" s="419"/>
      <c r="GL68" s="419"/>
      <c r="GM68" s="420">
        <f t="shared" ref="GM68:GM131" si="149">GL68/F68</f>
        <v>0</v>
      </c>
      <c r="GN68" s="420">
        <f t="shared" ref="GN68:GN131" si="150">GM68-GJ68</f>
        <v>0</v>
      </c>
      <c r="GO68" s="419"/>
      <c r="GP68" s="419"/>
      <c r="GQ68" s="419"/>
      <c r="GR68" s="420">
        <f t="shared" si="77"/>
        <v>0</v>
      </c>
      <c r="GS68" s="423">
        <f t="shared" ref="GS68:GS131" si="151">GR68-GO68</f>
        <v>0</v>
      </c>
      <c r="GT68" s="419"/>
      <c r="GU68" s="419"/>
      <c r="GV68" s="419"/>
      <c r="GW68" s="420">
        <f t="shared" ref="GW68:GW131" si="152">ROUND(GV68/F68,2)</f>
        <v>0</v>
      </c>
      <c r="GX68" s="420">
        <f t="shared" ref="GX68:GX131" si="153">GW68-GT68</f>
        <v>0</v>
      </c>
    </row>
    <row r="69" spans="1:206" ht="15">
      <c r="A69" s="414"/>
      <c r="B69" s="415" t="s">
        <v>514</v>
      </c>
      <c r="C69" s="698"/>
      <c r="D69" s="706"/>
      <c r="E69" s="434" t="s">
        <v>124</v>
      </c>
      <c r="F69" s="417">
        <v>0.09</v>
      </c>
      <c r="G69" s="418">
        <f t="shared" si="85"/>
        <v>96201065.8662</v>
      </c>
      <c r="H69" s="418">
        <f t="shared" si="86"/>
        <v>96201065.840000004</v>
      </c>
      <c r="I69" s="418">
        <f t="shared" si="86"/>
        <v>8658095.9279660005</v>
      </c>
      <c r="J69" s="418">
        <f t="shared" si="87"/>
        <v>96201065.8662889</v>
      </c>
      <c r="K69" s="418">
        <f t="shared" si="83"/>
        <v>2.62888967990875E-2</v>
      </c>
      <c r="L69" s="418">
        <f t="shared" si="84"/>
        <v>8.8900327682495104E-5</v>
      </c>
      <c r="M69" s="424">
        <v>0</v>
      </c>
      <c r="N69" s="424">
        <v>0</v>
      </c>
      <c r="O69" s="424">
        <v>0</v>
      </c>
      <c r="P69" s="424"/>
      <c r="Q69" s="419"/>
      <c r="R69" s="419"/>
      <c r="S69" s="420"/>
      <c r="T69" s="420">
        <v>0</v>
      </c>
      <c r="U69" s="423">
        <f t="shared" si="81"/>
        <v>0</v>
      </c>
      <c r="V69" s="420"/>
      <c r="W69" s="420"/>
      <c r="X69" s="420">
        <v>0</v>
      </c>
      <c r="Y69" s="420">
        <f t="shared" si="79"/>
        <v>0</v>
      </c>
      <c r="Z69" s="423">
        <f t="shared" si="88"/>
        <v>0</v>
      </c>
      <c r="AA69" s="423"/>
      <c r="AB69" s="419"/>
      <c r="AC69" s="419"/>
      <c r="AD69" s="420">
        <f t="shared" si="89"/>
        <v>0</v>
      </c>
      <c r="AE69" s="423">
        <f t="shared" si="90"/>
        <v>0</v>
      </c>
      <c r="AF69" s="419"/>
      <c r="AG69" s="419"/>
      <c r="AH69" s="419"/>
      <c r="AI69" s="420">
        <f t="shared" si="91"/>
        <v>0</v>
      </c>
      <c r="AJ69" s="423">
        <f t="shared" si="92"/>
        <v>0</v>
      </c>
      <c r="AK69" s="419"/>
      <c r="AL69" s="420"/>
      <c r="AM69" s="419"/>
      <c r="AN69" s="420">
        <f t="shared" si="93"/>
        <v>0</v>
      </c>
      <c r="AO69" s="423">
        <f t="shared" si="94"/>
        <v>0</v>
      </c>
      <c r="AP69" s="444">
        <v>4388778.58</v>
      </c>
      <c r="AQ69" s="419"/>
      <c r="AR69" s="420">
        <v>394990.07241600001</v>
      </c>
      <c r="AS69" s="420">
        <f t="shared" si="95"/>
        <v>4388778.5823999997</v>
      </c>
      <c r="AT69" s="420">
        <f t="shared" si="96"/>
        <v>2.40000057965517E-3</v>
      </c>
      <c r="AU69" s="420">
        <v>10759950.310000001</v>
      </c>
      <c r="AV69" s="420">
        <v>4388778.58</v>
      </c>
      <c r="AW69" s="435">
        <f>394990.07+573405.46</f>
        <v>968395.53</v>
      </c>
      <c r="AX69" s="426">
        <f t="shared" si="97"/>
        <v>10759950.3333333</v>
      </c>
      <c r="AY69" s="420">
        <f t="shared" si="98"/>
        <v>2.3333333432674401E-2</v>
      </c>
      <c r="AZ69" s="444">
        <v>15205855.970000001</v>
      </c>
      <c r="BA69" s="420">
        <v>10759950.310000001</v>
      </c>
      <c r="BB69" s="420">
        <v>1368527.0371920001</v>
      </c>
      <c r="BC69" s="420">
        <f t="shared" si="99"/>
        <v>15205855.968800001</v>
      </c>
      <c r="BD69" s="427">
        <f t="shared" si="82"/>
        <v>-1.1999998241663001E-3</v>
      </c>
      <c r="BE69" s="420">
        <v>16713428.426200001</v>
      </c>
      <c r="BF69" s="420"/>
      <c r="BG69" s="420">
        <v>1504208.5583579999</v>
      </c>
      <c r="BH69" s="423">
        <f t="shared" si="100"/>
        <v>16713428.426200001</v>
      </c>
      <c r="BI69" s="420">
        <f t="shared" si="101"/>
        <v>0</v>
      </c>
      <c r="BJ69" s="420">
        <v>9810174.5</v>
      </c>
      <c r="BK69" s="420"/>
      <c r="BL69" s="420">
        <v>882915.71</v>
      </c>
      <c r="BM69" s="420">
        <f t="shared" si="102"/>
        <v>9810174.5555555597</v>
      </c>
      <c r="BN69" s="420">
        <f t="shared" si="103"/>
        <v>5.55555559694767E-2</v>
      </c>
      <c r="BO69" s="428">
        <v>11098861.380000001</v>
      </c>
      <c r="BP69" s="450">
        <v>41729458.890000001</v>
      </c>
      <c r="BQ69" s="420">
        <v>998897.53</v>
      </c>
      <c r="BR69" s="423">
        <f t="shared" si="104"/>
        <v>11098861.444444399</v>
      </c>
      <c r="BS69" s="423">
        <f t="shared" si="105"/>
        <v>6.4444445073604598E-2</v>
      </c>
      <c r="BT69" s="454">
        <v>15187578.949999999</v>
      </c>
      <c r="BU69" s="426">
        <v>11098861.380000001</v>
      </c>
      <c r="BV69" s="454">
        <v>1366882.1</v>
      </c>
      <c r="BW69" s="420">
        <v>15187578.949999999</v>
      </c>
      <c r="BX69" s="429">
        <f t="shared" si="106"/>
        <v>0</v>
      </c>
      <c r="BY69" s="455">
        <v>13036437.75</v>
      </c>
      <c r="BZ69" s="419"/>
      <c r="CA69" s="419">
        <v>1173279.3899999999</v>
      </c>
      <c r="CB69" s="420">
        <f t="shared" si="107"/>
        <v>13036437.6666667</v>
      </c>
      <c r="CC69" s="430">
        <f t="shared" si="108"/>
        <v>-8.3333333954214994E-2</v>
      </c>
      <c r="CD69" s="419"/>
      <c r="CE69" s="419"/>
      <c r="CF69" s="419"/>
      <c r="CG69" s="420">
        <f t="shared" si="109"/>
        <v>0</v>
      </c>
      <c r="CH69" s="423">
        <f t="shared" si="110"/>
        <v>0</v>
      </c>
      <c r="CI69" s="431"/>
      <c r="CJ69" s="431"/>
      <c r="CK69" s="431"/>
      <c r="CL69" s="420">
        <f t="shared" si="111"/>
        <v>0</v>
      </c>
      <c r="CM69" s="423">
        <f t="shared" si="112"/>
        <v>0</v>
      </c>
      <c r="CN69" s="420"/>
      <c r="CO69" s="420"/>
      <c r="CP69" s="420"/>
      <c r="CQ69" s="432"/>
      <c r="CR69" s="432">
        <f t="shared" si="113"/>
        <v>0</v>
      </c>
      <c r="CS69" s="420"/>
      <c r="CT69" s="420"/>
      <c r="CU69" s="420"/>
      <c r="CV69" s="420"/>
      <c r="CW69" s="420">
        <f t="shared" si="114"/>
        <v>0</v>
      </c>
      <c r="CX69" s="419"/>
      <c r="CY69" s="439">
        <v>28224016.68</v>
      </c>
      <c r="CZ69" s="419"/>
      <c r="DA69" s="419">
        <f t="shared" si="115"/>
        <v>0</v>
      </c>
      <c r="DB69" s="419">
        <f t="shared" si="116"/>
        <v>0</v>
      </c>
      <c r="DC69" s="419"/>
      <c r="DD69" s="419"/>
      <c r="DE69" s="419"/>
      <c r="DF69" s="420">
        <f t="shared" si="117"/>
        <v>0</v>
      </c>
      <c r="DG69" s="421">
        <f t="shared" si="118"/>
        <v>0</v>
      </c>
      <c r="DH69" s="419"/>
      <c r="DI69" s="419"/>
      <c r="DJ69" s="419"/>
      <c r="DK69" s="420">
        <f t="shared" si="119"/>
        <v>0</v>
      </c>
      <c r="DL69" s="422">
        <f t="shared" si="120"/>
        <v>0</v>
      </c>
      <c r="DM69" s="420"/>
      <c r="DN69" s="420"/>
      <c r="DO69" s="420"/>
      <c r="DP69" s="420">
        <f t="shared" si="121"/>
        <v>0</v>
      </c>
      <c r="DQ69" s="420">
        <f t="shared" si="122"/>
        <v>0</v>
      </c>
      <c r="DR69" s="419"/>
      <c r="DS69" s="419"/>
      <c r="DT69" s="419"/>
      <c r="DU69" s="420">
        <f t="shared" si="123"/>
        <v>0</v>
      </c>
      <c r="DV69" s="423">
        <f t="shared" si="124"/>
        <v>0</v>
      </c>
      <c r="DW69" s="419"/>
      <c r="DX69" s="419"/>
      <c r="DY69" s="419"/>
      <c r="DZ69" s="420">
        <f t="shared" si="125"/>
        <v>0</v>
      </c>
      <c r="EA69" s="423">
        <f t="shared" si="126"/>
        <v>0</v>
      </c>
      <c r="EB69" s="420"/>
      <c r="EC69" s="419"/>
      <c r="ED69" s="420"/>
      <c r="EE69" s="419"/>
      <c r="EF69" s="420">
        <f t="shared" si="127"/>
        <v>0</v>
      </c>
      <c r="EG69" s="419"/>
      <c r="EH69" s="419"/>
      <c r="EI69" s="419"/>
      <c r="EJ69" s="420">
        <f t="shared" si="128"/>
        <v>0</v>
      </c>
      <c r="EK69" s="420">
        <f t="shared" si="129"/>
        <v>0</v>
      </c>
      <c r="EL69" s="419"/>
      <c r="EM69" s="419"/>
      <c r="EN69" s="419"/>
      <c r="EO69" s="419">
        <f t="shared" si="130"/>
        <v>0</v>
      </c>
      <c r="EP69" s="419">
        <f t="shared" si="131"/>
        <v>0</v>
      </c>
      <c r="EQ69" s="419"/>
      <c r="ER69" s="419"/>
      <c r="ES69" s="419"/>
      <c r="ET69" s="419">
        <f t="shared" si="132"/>
        <v>0</v>
      </c>
      <c r="EU69" s="419">
        <f t="shared" si="133"/>
        <v>0</v>
      </c>
      <c r="EV69" s="419"/>
      <c r="EW69" s="419"/>
      <c r="EX69" s="419"/>
      <c r="EY69" s="419">
        <f t="shared" si="134"/>
        <v>0</v>
      </c>
      <c r="EZ69" s="419">
        <f t="shared" ref="EZ69:EZ132" si="154">ROUND(EY69-EV69,2)</f>
        <v>0</v>
      </c>
      <c r="FA69" s="420"/>
      <c r="FB69" s="420"/>
      <c r="FC69" s="420"/>
      <c r="FD69" s="420">
        <f t="shared" si="135"/>
        <v>0</v>
      </c>
      <c r="FE69" s="420">
        <f t="shared" si="136"/>
        <v>0</v>
      </c>
      <c r="FF69" s="419"/>
      <c r="FG69" s="419"/>
      <c r="FH69" s="419"/>
      <c r="FI69" s="419">
        <f t="shared" si="137"/>
        <v>0</v>
      </c>
      <c r="FJ69" s="419">
        <f t="shared" si="138"/>
        <v>0</v>
      </c>
      <c r="FK69" s="419"/>
      <c r="FL69" s="419"/>
      <c r="FM69" s="419"/>
      <c r="FN69" s="420">
        <f t="shared" si="139"/>
        <v>0</v>
      </c>
      <c r="FO69" s="423">
        <f t="shared" si="140"/>
        <v>0</v>
      </c>
      <c r="FP69" s="419"/>
      <c r="FQ69" s="419"/>
      <c r="FR69" s="419"/>
      <c r="FS69" s="420">
        <f t="shared" si="141"/>
        <v>0</v>
      </c>
      <c r="FT69" s="420">
        <f t="shared" si="142"/>
        <v>0</v>
      </c>
      <c r="FU69" s="419"/>
      <c r="FV69" s="419"/>
      <c r="FW69" s="419"/>
      <c r="FX69" s="420">
        <f t="shared" si="143"/>
        <v>0</v>
      </c>
      <c r="FY69" s="420">
        <f t="shared" si="144"/>
        <v>0</v>
      </c>
      <c r="FZ69" s="419"/>
      <c r="GA69" s="419"/>
      <c r="GB69" s="419"/>
      <c r="GC69" s="420">
        <f t="shared" si="145"/>
        <v>0</v>
      </c>
      <c r="GD69" s="420">
        <f t="shared" si="146"/>
        <v>0</v>
      </c>
      <c r="GE69" s="419"/>
      <c r="GF69" s="419"/>
      <c r="GG69" s="419"/>
      <c r="GH69" s="420">
        <f t="shared" si="147"/>
        <v>0</v>
      </c>
      <c r="GI69" s="423">
        <f t="shared" si="148"/>
        <v>0</v>
      </c>
      <c r="GJ69" s="419"/>
      <c r="GK69" s="419"/>
      <c r="GL69" s="419"/>
      <c r="GM69" s="420">
        <f t="shared" si="149"/>
        <v>0</v>
      </c>
      <c r="GN69" s="420">
        <f t="shared" si="150"/>
        <v>0</v>
      </c>
      <c r="GO69" s="419"/>
      <c r="GP69" s="419"/>
      <c r="GQ69" s="419"/>
      <c r="GR69" s="420">
        <f t="shared" ref="GR69:GR132" si="155">GQ69/F69</f>
        <v>0</v>
      </c>
      <c r="GS69" s="423">
        <f t="shared" si="151"/>
        <v>0</v>
      </c>
      <c r="GT69" s="419"/>
      <c r="GU69" s="419"/>
      <c r="GV69" s="419"/>
      <c r="GW69" s="420">
        <f t="shared" si="152"/>
        <v>0</v>
      </c>
      <c r="GX69" s="420">
        <f t="shared" si="153"/>
        <v>0</v>
      </c>
    </row>
    <row r="70" spans="1:206" ht="15">
      <c r="A70" s="414"/>
      <c r="B70" s="415" t="s">
        <v>514</v>
      </c>
      <c r="C70" s="698"/>
      <c r="D70" s="707"/>
      <c r="E70" s="434" t="s">
        <v>125</v>
      </c>
      <c r="F70" s="417">
        <v>0.06</v>
      </c>
      <c r="G70" s="418">
        <f t="shared" si="85"/>
        <v>4470253.1973999999</v>
      </c>
      <c r="H70" s="418">
        <f t="shared" si="86"/>
        <v>4470253.21</v>
      </c>
      <c r="I70" s="418">
        <f t="shared" si="86"/>
        <v>268215.20040769101</v>
      </c>
      <c r="J70" s="418">
        <f t="shared" si="87"/>
        <v>4470253.3401281796</v>
      </c>
      <c r="K70" s="418">
        <f t="shared" si="83"/>
        <v>0.13012818247079799</v>
      </c>
      <c r="L70" s="418">
        <f t="shared" si="84"/>
        <v>0.142728181555867</v>
      </c>
      <c r="M70" s="424">
        <v>260119.24739999999</v>
      </c>
      <c r="N70" s="424">
        <v>0</v>
      </c>
      <c r="O70" s="424">
        <v>15607.154844000001</v>
      </c>
      <c r="P70" s="424"/>
      <c r="Q70" s="444">
        <v>306000</v>
      </c>
      <c r="R70" s="419"/>
      <c r="S70" s="420">
        <f>Q70*0.06</f>
        <v>18360</v>
      </c>
      <c r="T70" s="420">
        <v>306000</v>
      </c>
      <c r="U70" s="423">
        <f t="shared" si="81"/>
        <v>0</v>
      </c>
      <c r="V70" s="420">
        <v>463500</v>
      </c>
      <c r="W70" s="420"/>
      <c r="X70" s="420">
        <v>27810</v>
      </c>
      <c r="Y70" s="420">
        <f t="shared" si="79"/>
        <v>463500</v>
      </c>
      <c r="Z70" s="423">
        <f t="shared" si="88"/>
        <v>0</v>
      </c>
      <c r="AA70" s="423"/>
      <c r="AB70" s="419"/>
      <c r="AC70" s="419"/>
      <c r="AD70" s="420">
        <f t="shared" si="89"/>
        <v>0</v>
      </c>
      <c r="AE70" s="423">
        <f t="shared" si="90"/>
        <v>0</v>
      </c>
      <c r="AF70" s="444">
        <v>74008.820000000007</v>
      </c>
      <c r="AG70" s="419"/>
      <c r="AH70" s="420">
        <v>4440.5290840071002</v>
      </c>
      <c r="AI70" s="420">
        <f t="shared" si="91"/>
        <v>74008.818066784996</v>
      </c>
      <c r="AJ70" s="423">
        <f t="shared" si="92"/>
        <v>-1.9332149968249699E-3</v>
      </c>
      <c r="AK70" s="444">
        <f>293550+90320.75</f>
        <v>383870.75</v>
      </c>
      <c r="AL70" s="436">
        <v>1103628.07</v>
      </c>
      <c r="AM70" s="420">
        <v>23032.2547996838</v>
      </c>
      <c r="AN70" s="420">
        <f t="shared" si="93"/>
        <v>383870.91332806298</v>
      </c>
      <c r="AO70" s="423">
        <f t="shared" si="94"/>
        <v>0.163328063325025</v>
      </c>
      <c r="AP70" s="444">
        <v>76867.28</v>
      </c>
      <c r="AQ70" s="419"/>
      <c r="AR70" s="420">
        <v>4612.0265900000004</v>
      </c>
      <c r="AS70" s="420">
        <f t="shared" si="95"/>
        <v>76867.109833333307</v>
      </c>
      <c r="AT70" s="420">
        <f t="shared" si="96"/>
        <v>-0.17016666666313501</v>
      </c>
      <c r="AU70" s="420">
        <v>100123.83</v>
      </c>
      <c r="AV70" s="420"/>
      <c r="AW70" s="435">
        <v>6007.4298900000003</v>
      </c>
      <c r="AX70" s="426">
        <f t="shared" si="97"/>
        <v>100123.8315</v>
      </c>
      <c r="AY70" s="420">
        <f t="shared" si="98"/>
        <v>1.5000000130385199E-3</v>
      </c>
      <c r="AZ70" s="420">
        <v>412665.04</v>
      </c>
      <c r="BA70" s="420">
        <v>560861.85</v>
      </c>
      <c r="BB70" s="419">
        <v>24759.9</v>
      </c>
      <c r="BC70" s="420">
        <f t="shared" si="99"/>
        <v>412665</v>
      </c>
      <c r="BD70" s="427">
        <f t="shared" si="82"/>
        <v>-3.9999999920837602E-2</v>
      </c>
      <c r="BE70" s="420">
        <v>114880.63</v>
      </c>
      <c r="BF70" s="420"/>
      <c r="BG70" s="420">
        <v>6892.84</v>
      </c>
      <c r="BH70" s="423">
        <f t="shared" si="100"/>
        <v>114880.66666666701</v>
      </c>
      <c r="BI70" s="420">
        <f t="shared" si="101"/>
        <v>3.6666666666860699E-2</v>
      </c>
      <c r="BJ70" s="420">
        <v>92944.9</v>
      </c>
      <c r="BK70" s="420"/>
      <c r="BL70" s="420">
        <v>5576.69</v>
      </c>
      <c r="BM70" s="420">
        <f t="shared" si="102"/>
        <v>92944.833333333299</v>
      </c>
      <c r="BN70" s="420">
        <f t="shared" si="103"/>
        <v>-6.6666666665696497E-2</v>
      </c>
      <c r="BO70" s="428">
        <v>104533.92</v>
      </c>
      <c r="BP70" s="450">
        <v>620490.56999999995</v>
      </c>
      <c r="BQ70" s="420">
        <v>6272.0352000000003</v>
      </c>
      <c r="BR70" s="423">
        <f t="shared" si="104"/>
        <v>104533.92</v>
      </c>
      <c r="BS70" s="423">
        <f t="shared" si="105"/>
        <v>0</v>
      </c>
      <c r="BT70" s="420">
        <v>687917.2</v>
      </c>
      <c r="BU70" s="426">
        <v>104533.92</v>
      </c>
      <c r="BV70" s="420">
        <v>41275.040000000001</v>
      </c>
      <c r="BW70" s="420">
        <v>687917.2</v>
      </c>
      <c r="BX70" s="429">
        <f t="shared" si="106"/>
        <v>0</v>
      </c>
      <c r="BY70" s="419">
        <v>1190277.51</v>
      </c>
      <c r="BZ70" s="431">
        <v>687917.2</v>
      </c>
      <c r="CA70" s="419">
        <v>71416.649999999994</v>
      </c>
      <c r="CB70" s="420">
        <f t="shared" si="107"/>
        <v>1190277.5</v>
      </c>
      <c r="CC70" s="430">
        <f t="shared" si="108"/>
        <v>-1.00000000093132E-2</v>
      </c>
      <c r="CD70" s="419">
        <v>84647.45</v>
      </c>
      <c r="CE70" s="419"/>
      <c r="CF70" s="419">
        <v>5078.84</v>
      </c>
      <c r="CG70" s="420">
        <f t="shared" si="109"/>
        <v>84647.333333333299</v>
      </c>
      <c r="CH70" s="423">
        <f t="shared" si="110"/>
        <v>-0.11666666665405501</v>
      </c>
      <c r="CI70" s="431">
        <v>40641.440000000002</v>
      </c>
      <c r="CJ70" s="431"/>
      <c r="CK70" s="431">
        <v>2438.4899999999998</v>
      </c>
      <c r="CL70" s="420">
        <f t="shared" si="111"/>
        <v>40641.5</v>
      </c>
      <c r="CM70" s="423">
        <f t="shared" si="112"/>
        <v>5.9999999997671701E-2</v>
      </c>
      <c r="CN70" s="420">
        <v>38607.25</v>
      </c>
      <c r="CO70" s="420"/>
      <c r="CP70" s="420">
        <v>2316.44</v>
      </c>
      <c r="CQ70" s="432">
        <v>38607.25</v>
      </c>
      <c r="CR70" s="432">
        <f t="shared" si="113"/>
        <v>0</v>
      </c>
      <c r="CS70" s="420">
        <v>38647.93</v>
      </c>
      <c r="CT70" s="420"/>
      <c r="CU70" s="420">
        <v>2318.88</v>
      </c>
      <c r="CV70" s="420">
        <v>38647.93</v>
      </c>
      <c r="CW70" s="420">
        <f t="shared" si="114"/>
        <v>0</v>
      </c>
      <c r="CX70" s="419"/>
      <c r="CY70" s="420">
        <v>1392821.6</v>
      </c>
      <c r="CZ70" s="419"/>
      <c r="DA70" s="419">
        <f t="shared" si="115"/>
        <v>0</v>
      </c>
      <c r="DB70" s="419">
        <f t="shared" si="116"/>
        <v>0</v>
      </c>
      <c r="DC70" s="419"/>
      <c r="DD70" s="419"/>
      <c r="DE70" s="419"/>
      <c r="DF70" s="420">
        <f t="shared" si="117"/>
        <v>0</v>
      </c>
      <c r="DG70" s="421">
        <f t="shared" si="118"/>
        <v>0</v>
      </c>
      <c r="DH70" s="419"/>
      <c r="DI70" s="419"/>
      <c r="DJ70" s="419"/>
      <c r="DK70" s="420">
        <f t="shared" si="119"/>
        <v>0</v>
      </c>
      <c r="DL70" s="422">
        <f t="shared" si="120"/>
        <v>0</v>
      </c>
      <c r="DM70" s="420"/>
      <c r="DN70" s="420"/>
      <c r="DO70" s="420"/>
      <c r="DP70" s="420">
        <f t="shared" si="121"/>
        <v>0</v>
      </c>
      <c r="DQ70" s="420">
        <f t="shared" si="122"/>
        <v>0</v>
      </c>
      <c r="DR70" s="419"/>
      <c r="DS70" s="419"/>
      <c r="DT70" s="419"/>
      <c r="DU70" s="420">
        <f t="shared" si="123"/>
        <v>0</v>
      </c>
      <c r="DV70" s="423">
        <f t="shared" si="124"/>
        <v>0</v>
      </c>
      <c r="DW70" s="419"/>
      <c r="DX70" s="419"/>
      <c r="DY70" s="419"/>
      <c r="DZ70" s="420">
        <f t="shared" si="125"/>
        <v>0</v>
      </c>
      <c r="EA70" s="423">
        <f t="shared" si="126"/>
        <v>0</v>
      </c>
      <c r="EB70" s="419"/>
      <c r="EC70" s="419"/>
      <c r="ED70" s="420"/>
      <c r="EE70" s="419"/>
      <c r="EF70" s="420">
        <f t="shared" si="127"/>
        <v>0</v>
      </c>
      <c r="EG70" s="419"/>
      <c r="EH70" s="419"/>
      <c r="EI70" s="419"/>
      <c r="EJ70" s="420">
        <f t="shared" si="128"/>
        <v>0</v>
      </c>
      <c r="EK70" s="420">
        <f t="shared" si="129"/>
        <v>0</v>
      </c>
      <c r="EL70" s="419"/>
      <c r="EM70" s="419"/>
      <c r="EN70" s="419"/>
      <c r="EO70" s="419">
        <f t="shared" si="130"/>
        <v>0</v>
      </c>
      <c r="EP70" s="419">
        <f t="shared" si="131"/>
        <v>0</v>
      </c>
      <c r="EQ70" s="419"/>
      <c r="ER70" s="419"/>
      <c r="ES70" s="419"/>
      <c r="ET70" s="419">
        <f t="shared" si="132"/>
        <v>0</v>
      </c>
      <c r="EU70" s="419">
        <f t="shared" si="133"/>
        <v>0</v>
      </c>
      <c r="EV70" s="419"/>
      <c r="EW70" s="419"/>
      <c r="EX70" s="419"/>
      <c r="EY70" s="419">
        <f t="shared" si="134"/>
        <v>0</v>
      </c>
      <c r="EZ70" s="419">
        <f t="shared" si="154"/>
        <v>0</v>
      </c>
      <c r="FA70" s="420"/>
      <c r="FB70" s="420"/>
      <c r="FC70" s="420"/>
      <c r="FD70" s="420">
        <f t="shared" si="135"/>
        <v>0</v>
      </c>
      <c r="FE70" s="420">
        <f t="shared" si="136"/>
        <v>0</v>
      </c>
      <c r="FF70" s="419"/>
      <c r="FG70" s="419"/>
      <c r="FH70" s="419"/>
      <c r="FI70" s="419">
        <f t="shared" si="137"/>
        <v>0</v>
      </c>
      <c r="FJ70" s="419">
        <f t="shared" si="138"/>
        <v>0</v>
      </c>
      <c r="FK70" s="419"/>
      <c r="FL70" s="419"/>
      <c r="FM70" s="419"/>
      <c r="FN70" s="420">
        <f t="shared" si="139"/>
        <v>0</v>
      </c>
      <c r="FO70" s="423">
        <f t="shared" si="140"/>
        <v>0</v>
      </c>
      <c r="FP70" s="419"/>
      <c r="FQ70" s="419"/>
      <c r="FR70" s="419"/>
      <c r="FS70" s="420">
        <f t="shared" si="141"/>
        <v>0</v>
      </c>
      <c r="FT70" s="420">
        <f t="shared" si="142"/>
        <v>0</v>
      </c>
      <c r="FU70" s="419"/>
      <c r="FV70" s="419"/>
      <c r="FW70" s="419"/>
      <c r="FX70" s="420">
        <f t="shared" si="143"/>
        <v>0</v>
      </c>
      <c r="FY70" s="420">
        <f t="shared" si="144"/>
        <v>0</v>
      </c>
      <c r="FZ70" s="419"/>
      <c r="GA70" s="419"/>
      <c r="GB70" s="419"/>
      <c r="GC70" s="420">
        <f t="shared" si="145"/>
        <v>0</v>
      </c>
      <c r="GD70" s="420">
        <f t="shared" si="146"/>
        <v>0</v>
      </c>
      <c r="GE70" s="419"/>
      <c r="GF70" s="419"/>
      <c r="GG70" s="419"/>
      <c r="GH70" s="420">
        <f t="shared" si="147"/>
        <v>0</v>
      </c>
      <c r="GI70" s="423">
        <f t="shared" si="148"/>
        <v>0</v>
      </c>
      <c r="GJ70" s="419"/>
      <c r="GK70" s="419"/>
      <c r="GL70" s="419"/>
      <c r="GM70" s="420">
        <f t="shared" si="149"/>
        <v>0</v>
      </c>
      <c r="GN70" s="420">
        <f t="shared" si="150"/>
        <v>0</v>
      </c>
      <c r="GO70" s="419"/>
      <c r="GP70" s="419"/>
      <c r="GQ70" s="419"/>
      <c r="GR70" s="420">
        <f t="shared" si="155"/>
        <v>0</v>
      </c>
      <c r="GS70" s="423">
        <f t="shared" si="151"/>
        <v>0</v>
      </c>
      <c r="GT70" s="419"/>
      <c r="GU70" s="419"/>
      <c r="GV70" s="419"/>
      <c r="GW70" s="420">
        <f t="shared" si="152"/>
        <v>0</v>
      </c>
      <c r="GX70" s="420">
        <f t="shared" si="153"/>
        <v>0</v>
      </c>
    </row>
    <row r="71" spans="1:206" ht="15">
      <c r="A71" s="414"/>
      <c r="B71" s="415" t="s">
        <v>516</v>
      </c>
      <c r="C71" s="698"/>
      <c r="D71" s="704" t="s">
        <v>517</v>
      </c>
      <c r="E71" s="434" t="s">
        <v>123</v>
      </c>
      <c r="F71" s="417">
        <v>0.13</v>
      </c>
      <c r="G71" s="418">
        <f t="shared" si="85"/>
        <v>186678375.03</v>
      </c>
      <c r="H71" s="418">
        <f t="shared" si="86"/>
        <v>186650870.94</v>
      </c>
      <c r="I71" s="418">
        <f t="shared" si="86"/>
        <v>24268188.732377999</v>
      </c>
      <c r="J71" s="418">
        <f t="shared" si="87"/>
        <v>186678374.86444601</v>
      </c>
      <c r="K71" s="418">
        <f t="shared" si="83"/>
        <v>27503.924446135799</v>
      </c>
      <c r="L71" s="418">
        <f t="shared" si="84"/>
        <v>-0.16555383801460299</v>
      </c>
      <c r="M71" s="424"/>
      <c r="N71" s="424"/>
      <c r="O71" s="424"/>
      <c r="P71" s="424"/>
      <c r="Q71" s="419"/>
      <c r="R71" s="419"/>
      <c r="S71" s="419"/>
      <c r="T71" s="420"/>
      <c r="U71" s="423"/>
      <c r="V71" s="420"/>
      <c r="W71" s="420"/>
      <c r="X71" s="419"/>
      <c r="Y71" s="419"/>
      <c r="Z71" s="423"/>
      <c r="AA71" s="423"/>
      <c r="AB71" s="419"/>
      <c r="AC71" s="419"/>
      <c r="AD71" s="420">
        <f t="shared" si="89"/>
        <v>0</v>
      </c>
      <c r="AE71" s="423">
        <f t="shared" si="90"/>
        <v>0</v>
      </c>
      <c r="AF71" s="419"/>
      <c r="AG71" s="419"/>
      <c r="AH71" s="419"/>
      <c r="AI71" s="420">
        <f t="shared" si="91"/>
        <v>0</v>
      </c>
      <c r="AJ71" s="423">
        <f t="shared" si="92"/>
        <v>0</v>
      </c>
      <c r="AK71" s="419"/>
      <c r="AL71" s="420"/>
      <c r="AM71" s="419"/>
      <c r="AN71" s="420">
        <f t="shared" si="93"/>
        <v>0</v>
      </c>
      <c r="AO71" s="423">
        <f t="shared" si="94"/>
        <v>0</v>
      </c>
      <c r="AP71" s="419"/>
      <c r="AQ71" s="419"/>
      <c r="AR71" s="420"/>
      <c r="AS71" s="420">
        <f t="shared" si="95"/>
        <v>0</v>
      </c>
      <c r="AT71" s="420">
        <f t="shared" si="96"/>
        <v>0</v>
      </c>
      <c r="AU71" s="420"/>
      <c r="AV71" s="420"/>
      <c r="AW71" s="420"/>
      <c r="AX71" s="426">
        <f t="shared" si="97"/>
        <v>0</v>
      </c>
      <c r="AY71" s="420">
        <f t="shared" si="98"/>
        <v>0</v>
      </c>
      <c r="AZ71" s="444">
        <v>3100117.71</v>
      </c>
      <c r="BA71" s="420"/>
      <c r="BB71" s="420">
        <v>403015.30237799999</v>
      </c>
      <c r="BC71" s="420">
        <f t="shared" si="99"/>
        <v>3100117.7105999999</v>
      </c>
      <c r="BD71" s="427">
        <f t="shared" si="82"/>
        <v>5.9999991208314896E-4</v>
      </c>
      <c r="BE71" s="420"/>
      <c r="BF71" s="420"/>
      <c r="BG71" s="420"/>
      <c r="BH71" s="423">
        <f t="shared" si="100"/>
        <v>0</v>
      </c>
      <c r="BI71" s="420">
        <f t="shared" si="101"/>
        <v>0</v>
      </c>
      <c r="BJ71" s="420">
        <v>4698641.2699999996</v>
      </c>
      <c r="BK71" s="420"/>
      <c r="BL71" s="420">
        <v>610823.37</v>
      </c>
      <c r="BM71" s="420">
        <f t="shared" si="102"/>
        <v>4698641.3076923098</v>
      </c>
      <c r="BN71" s="420">
        <f t="shared" si="103"/>
        <v>3.7692307494580697E-2</v>
      </c>
      <c r="BO71" s="419"/>
      <c r="BP71" s="428"/>
      <c r="BQ71" s="420"/>
      <c r="BR71" s="423">
        <f t="shared" si="104"/>
        <v>0</v>
      </c>
      <c r="BS71" s="423">
        <f t="shared" si="105"/>
        <v>0</v>
      </c>
      <c r="BT71" s="445">
        <v>113574.15</v>
      </c>
      <c r="BU71" s="426">
        <v>7798759.0099999998</v>
      </c>
      <c r="BV71" s="420">
        <v>14764.64</v>
      </c>
      <c r="BW71" s="420">
        <v>113574.15</v>
      </c>
      <c r="BX71" s="429">
        <f t="shared" si="106"/>
        <v>0</v>
      </c>
      <c r="BY71" s="419"/>
      <c r="BZ71" s="419"/>
      <c r="CA71" s="419"/>
      <c r="CB71" s="420">
        <f t="shared" si="107"/>
        <v>0</v>
      </c>
      <c r="CC71" s="430">
        <f t="shared" si="108"/>
        <v>0</v>
      </c>
      <c r="CD71" s="419"/>
      <c r="CE71" s="419"/>
      <c r="CF71" s="419"/>
      <c r="CG71" s="420">
        <f t="shared" si="109"/>
        <v>0</v>
      </c>
      <c r="CH71" s="423">
        <f t="shared" si="110"/>
        <v>0</v>
      </c>
      <c r="CI71" s="431"/>
      <c r="CJ71" s="431"/>
      <c r="CK71" s="431"/>
      <c r="CL71" s="420">
        <f t="shared" si="111"/>
        <v>0</v>
      </c>
      <c r="CM71" s="423">
        <f t="shared" si="112"/>
        <v>0</v>
      </c>
      <c r="CN71" s="420">
        <v>19579034.940000001</v>
      </c>
      <c r="CO71" s="420"/>
      <c r="CP71" s="420">
        <v>2545274.54</v>
      </c>
      <c r="CQ71" s="432">
        <v>19579034.940000001</v>
      </c>
      <c r="CR71" s="432">
        <f t="shared" si="113"/>
        <v>0</v>
      </c>
      <c r="CS71" s="420">
        <v>0.02</v>
      </c>
      <c r="CT71" s="420"/>
      <c r="CU71" s="420"/>
      <c r="CV71" s="420">
        <v>0.02</v>
      </c>
      <c r="CW71" s="420">
        <f t="shared" si="114"/>
        <v>0</v>
      </c>
      <c r="CX71" s="419">
        <v>40155502.759999998</v>
      </c>
      <c r="CY71" s="439">
        <v>19692609.100000001</v>
      </c>
      <c r="CZ71" s="419">
        <v>5220215.3499999996</v>
      </c>
      <c r="DA71" s="419">
        <f t="shared" si="115"/>
        <v>40155502.689999998</v>
      </c>
      <c r="DB71" s="419">
        <f t="shared" si="116"/>
        <v>-7.0000000000000007E-2</v>
      </c>
      <c r="DC71" s="419">
        <v>52444222.030000001</v>
      </c>
      <c r="DD71" s="420">
        <v>63993600</v>
      </c>
      <c r="DE71" s="419">
        <v>6817748.8499999996</v>
      </c>
      <c r="DF71" s="420">
        <f t="shared" si="117"/>
        <v>52444221.923076898</v>
      </c>
      <c r="DG71" s="421">
        <f t="shared" si="118"/>
        <v>0.106923080980778</v>
      </c>
      <c r="DH71" s="419">
        <v>45489016.979999997</v>
      </c>
      <c r="DI71" s="419"/>
      <c r="DJ71" s="419">
        <v>5913572.21</v>
      </c>
      <c r="DK71" s="420">
        <f t="shared" si="119"/>
        <v>45489017</v>
      </c>
      <c r="DL71" s="422">
        <f t="shared" si="120"/>
        <v>2.0000003278255501E-2</v>
      </c>
      <c r="DM71" s="420">
        <v>0.01</v>
      </c>
      <c r="DN71" s="420">
        <v>149581.67000000001</v>
      </c>
      <c r="DO71" s="420"/>
      <c r="DP71" s="420">
        <f t="shared" si="121"/>
        <v>0</v>
      </c>
      <c r="DQ71" s="420">
        <f t="shared" si="122"/>
        <v>-0.01</v>
      </c>
      <c r="DR71" s="419">
        <v>21098265.16</v>
      </c>
      <c r="DS71" s="419"/>
      <c r="DT71" s="419">
        <v>2742774.47</v>
      </c>
      <c r="DU71" s="420">
        <f t="shared" si="123"/>
        <v>21098265.153846201</v>
      </c>
      <c r="DV71" s="423">
        <f t="shared" si="124"/>
        <v>-6.1538442969322196E-3</v>
      </c>
      <c r="DW71" s="419"/>
      <c r="DX71" s="419">
        <v>95016321.159999996</v>
      </c>
      <c r="DY71" s="419"/>
      <c r="DZ71" s="420">
        <f t="shared" si="125"/>
        <v>0</v>
      </c>
      <c r="EA71" s="423">
        <f t="shared" si="126"/>
        <v>0</v>
      </c>
      <c r="EB71" s="419"/>
      <c r="EC71" s="419"/>
      <c r="ED71" s="420"/>
      <c r="EE71" s="419"/>
      <c r="EF71" s="420">
        <f t="shared" si="127"/>
        <v>0</v>
      </c>
      <c r="EG71" s="419"/>
      <c r="EH71" s="419"/>
      <c r="EI71" s="419"/>
      <c r="EJ71" s="420">
        <f t="shared" si="128"/>
        <v>0</v>
      </c>
      <c r="EK71" s="420">
        <f t="shared" si="129"/>
        <v>0</v>
      </c>
      <c r="EL71" s="419"/>
      <c r="EM71" s="419"/>
      <c r="EN71" s="419"/>
      <c r="EO71" s="419">
        <f t="shared" si="130"/>
        <v>0</v>
      </c>
      <c r="EP71" s="419">
        <f t="shared" si="131"/>
        <v>0</v>
      </c>
      <c r="EQ71" s="419"/>
      <c r="ER71" s="419"/>
      <c r="ES71" s="419"/>
      <c r="ET71" s="419">
        <f t="shared" si="132"/>
        <v>0</v>
      </c>
      <c r="EU71" s="419">
        <f t="shared" si="133"/>
        <v>0</v>
      </c>
      <c r="EV71" s="419"/>
      <c r="EW71" s="419"/>
      <c r="EX71" s="419"/>
      <c r="EY71" s="419">
        <f t="shared" si="134"/>
        <v>0</v>
      </c>
      <c r="EZ71" s="419">
        <f t="shared" si="154"/>
        <v>0</v>
      </c>
      <c r="FA71" s="420"/>
      <c r="FB71" s="420"/>
      <c r="FC71" s="420"/>
      <c r="FD71" s="420">
        <f t="shared" si="135"/>
        <v>0</v>
      </c>
      <c r="FE71" s="420">
        <f t="shared" si="136"/>
        <v>0</v>
      </c>
      <c r="FF71" s="419"/>
      <c r="FG71" s="419"/>
      <c r="FH71" s="419"/>
      <c r="FI71" s="419">
        <f t="shared" si="137"/>
        <v>0</v>
      </c>
      <c r="FJ71" s="419">
        <f t="shared" si="138"/>
        <v>0</v>
      </c>
      <c r="FK71" s="419"/>
      <c r="FL71" s="419"/>
      <c r="FM71" s="419"/>
      <c r="FN71" s="420">
        <f t="shared" si="139"/>
        <v>0</v>
      </c>
      <c r="FO71" s="423">
        <f t="shared" si="140"/>
        <v>0</v>
      </c>
      <c r="FP71" s="419"/>
      <c r="FQ71" s="419"/>
      <c r="FR71" s="419"/>
      <c r="FS71" s="420">
        <f t="shared" si="141"/>
        <v>0</v>
      </c>
      <c r="FT71" s="420">
        <f t="shared" si="142"/>
        <v>0</v>
      </c>
      <c r="FU71" s="419"/>
      <c r="FV71" s="419"/>
      <c r="FW71" s="419"/>
      <c r="FX71" s="420">
        <f t="shared" si="143"/>
        <v>0</v>
      </c>
      <c r="FY71" s="420">
        <f t="shared" si="144"/>
        <v>0</v>
      </c>
      <c r="FZ71" s="419"/>
      <c r="GA71" s="419"/>
      <c r="GB71" s="419"/>
      <c r="GC71" s="420">
        <f t="shared" si="145"/>
        <v>0</v>
      </c>
      <c r="GD71" s="420">
        <f t="shared" si="146"/>
        <v>0</v>
      </c>
      <c r="GE71" s="419"/>
      <c r="GF71" s="419"/>
      <c r="GG71" s="419"/>
      <c r="GH71" s="420">
        <f t="shared" si="147"/>
        <v>0</v>
      </c>
      <c r="GI71" s="423">
        <f t="shared" si="148"/>
        <v>0</v>
      </c>
      <c r="GJ71" s="419"/>
      <c r="GK71" s="419"/>
      <c r="GL71" s="419"/>
      <c r="GM71" s="420">
        <f t="shared" si="149"/>
        <v>0</v>
      </c>
      <c r="GN71" s="420">
        <f t="shared" si="150"/>
        <v>0</v>
      </c>
      <c r="GO71" s="419"/>
      <c r="GP71" s="419"/>
      <c r="GQ71" s="419"/>
      <c r="GR71" s="420">
        <f t="shared" si="155"/>
        <v>0</v>
      </c>
      <c r="GS71" s="423">
        <f t="shared" si="151"/>
        <v>0</v>
      </c>
      <c r="GT71" s="419"/>
      <c r="GU71" s="419"/>
      <c r="GV71" s="419"/>
      <c r="GW71" s="420">
        <f t="shared" si="152"/>
        <v>0</v>
      </c>
      <c r="GX71" s="420">
        <f t="shared" si="153"/>
        <v>0</v>
      </c>
    </row>
    <row r="72" spans="1:206" ht="15">
      <c r="A72" s="414"/>
      <c r="B72" s="415" t="s">
        <v>516</v>
      </c>
      <c r="C72" s="698"/>
      <c r="D72" s="706"/>
      <c r="E72" s="434" t="s">
        <v>124</v>
      </c>
      <c r="F72" s="417">
        <v>0.09</v>
      </c>
      <c r="G72" s="418">
        <f t="shared" si="85"/>
        <v>93183618.328500003</v>
      </c>
      <c r="H72" s="418">
        <f t="shared" si="86"/>
        <v>93183618.239999995</v>
      </c>
      <c r="I72" s="418">
        <f t="shared" si="86"/>
        <v>8386525.665275</v>
      </c>
      <c r="J72" s="418">
        <f t="shared" si="87"/>
        <v>93183618.503055602</v>
      </c>
      <c r="K72" s="418">
        <f t="shared" si="83"/>
        <v>0.26305557787418399</v>
      </c>
      <c r="L72" s="418">
        <f t="shared" si="84"/>
        <v>0.17455556988716101</v>
      </c>
      <c r="M72" s="424"/>
      <c r="N72" s="424"/>
      <c r="O72" s="424"/>
      <c r="P72" s="424"/>
      <c r="Q72" s="419"/>
      <c r="R72" s="419"/>
      <c r="S72" s="419"/>
      <c r="T72" s="420"/>
      <c r="U72" s="423"/>
      <c r="V72" s="420"/>
      <c r="W72" s="420"/>
      <c r="X72" s="419"/>
      <c r="Y72" s="419"/>
      <c r="Z72" s="423"/>
      <c r="AA72" s="423"/>
      <c r="AB72" s="419"/>
      <c r="AC72" s="419"/>
      <c r="AD72" s="420">
        <f t="shared" si="89"/>
        <v>0</v>
      </c>
      <c r="AE72" s="423">
        <f t="shared" si="90"/>
        <v>0</v>
      </c>
      <c r="AF72" s="419"/>
      <c r="AG72" s="419"/>
      <c r="AH72" s="419"/>
      <c r="AI72" s="420">
        <f t="shared" si="91"/>
        <v>0</v>
      </c>
      <c r="AJ72" s="423">
        <f t="shared" si="92"/>
        <v>0</v>
      </c>
      <c r="AK72" s="419"/>
      <c r="AL72" s="420"/>
      <c r="AM72" s="419"/>
      <c r="AN72" s="420">
        <f t="shared" si="93"/>
        <v>0</v>
      </c>
      <c r="AO72" s="423">
        <f t="shared" si="94"/>
        <v>0</v>
      </c>
      <c r="AP72" s="419"/>
      <c r="AQ72" s="419"/>
      <c r="AR72" s="419"/>
      <c r="AS72" s="420">
        <f t="shared" si="95"/>
        <v>0</v>
      </c>
      <c r="AT72" s="420">
        <f t="shared" si="96"/>
        <v>0</v>
      </c>
      <c r="AU72" s="420"/>
      <c r="AV72" s="420"/>
      <c r="AW72" s="420"/>
      <c r="AX72" s="426">
        <f t="shared" si="97"/>
        <v>0</v>
      </c>
      <c r="AY72" s="420">
        <f t="shared" si="98"/>
        <v>0</v>
      </c>
      <c r="AZ72" s="444">
        <f>647880.3+1679905.42+14298264.46</f>
        <v>16626050.18</v>
      </c>
      <c r="BA72" s="420"/>
      <c r="BB72" s="420">
        <v>1496344.5170100001</v>
      </c>
      <c r="BC72" s="420">
        <f t="shared" si="99"/>
        <v>16626050.188999999</v>
      </c>
      <c r="BD72" s="427">
        <f t="shared" si="82"/>
        <v>9.0000014752149599E-3</v>
      </c>
      <c r="BE72" s="420">
        <v>11623474.7585</v>
      </c>
      <c r="BF72" s="420"/>
      <c r="BG72" s="420">
        <v>1046112.728265</v>
      </c>
      <c r="BH72" s="423">
        <f t="shared" si="100"/>
        <v>11623474.7585</v>
      </c>
      <c r="BI72" s="420">
        <f t="shared" si="101"/>
        <v>0</v>
      </c>
      <c r="BJ72" s="420">
        <v>5953701.25</v>
      </c>
      <c r="BK72" s="420"/>
      <c r="BL72" s="420">
        <v>535833.12</v>
      </c>
      <c r="BM72" s="420">
        <f t="shared" si="102"/>
        <v>5953701.3333333302</v>
      </c>
      <c r="BN72" s="420">
        <f t="shared" si="103"/>
        <v>8.3333333954214994E-2</v>
      </c>
      <c r="BO72" s="419">
        <v>9870249.5299999993</v>
      </c>
      <c r="BP72" s="428"/>
      <c r="BQ72" s="420">
        <v>888322.46</v>
      </c>
      <c r="BR72" s="423">
        <f t="shared" si="104"/>
        <v>9870249.5555555597</v>
      </c>
      <c r="BS72" s="423">
        <f t="shared" si="105"/>
        <v>2.5555556640028999E-2</v>
      </c>
      <c r="BT72" s="445">
        <v>4037588.64</v>
      </c>
      <c r="BU72" s="426">
        <v>44073475.719999999</v>
      </c>
      <c r="BV72" s="420">
        <v>363382.97</v>
      </c>
      <c r="BW72" s="420">
        <v>4037588.64</v>
      </c>
      <c r="BX72" s="429">
        <f t="shared" si="106"/>
        <v>0</v>
      </c>
      <c r="BY72" s="420"/>
      <c r="BZ72" s="419"/>
      <c r="CA72" s="419"/>
      <c r="CB72" s="420">
        <f t="shared" si="107"/>
        <v>0</v>
      </c>
      <c r="CC72" s="430">
        <f t="shared" si="108"/>
        <v>0</v>
      </c>
      <c r="CD72" s="419"/>
      <c r="CE72" s="419"/>
      <c r="CF72" s="419"/>
      <c r="CG72" s="420">
        <f t="shared" si="109"/>
        <v>0</v>
      </c>
      <c r="CH72" s="423">
        <f t="shared" si="110"/>
        <v>0</v>
      </c>
      <c r="CI72" s="431"/>
      <c r="CJ72" s="431"/>
      <c r="CK72" s="431"/>
      <c r="CL72" s="420">
        <f t="shared" si="111"/>
        <v>0</v>
      </c>
      <c r="CM72" s="423">
        <f t="shared" si="112"/>
        <v>0</v>
      </c>
      <c r="CN72" s="420"/>
      <c r="CO72" s="420"/>
      <c r="CP72" s="420"/>
      <c r="CQ72" s="432"/>
      <c r="CR72" s="432">
        <f t="shared" si="113"/>
        <v>0</v>
      </c>
      <c r="CS72" s="420">
        <v>6647754.3600000003</v>
      </c>
      <c r="CT72" s="420"/>
      <c r="CU72" s="420">
        <v>598297.9</v>
      </c>
      <c r="CV72" s="420">
        <v>6647754.3600000003</v>
      </c>
      <c r="CW72" s="420">
        <f t="shared" si="114"/>
        <v>0</v>
      </c>
      <c r="CX72" s="420">
        <v>5795435.7599999998</v>
      </c>
      <c r="CY72" s="439">
        <v>10685342.99</v>
      </c>
      <c r="CZ72" s="419">
        <v>521589.22</v>
      </c>
      <c r="DA72" s="419">
        <f t="shared" si="115"/>
        <v>5795435.7800000003</v>
      </c>
      <c r="DB72" s="419">
        <f t="shared" si="116"/>
        <v>0.02</v>
      </c>
      <c r="DC72" s="419">
        <v>14912991.68</v>
      </c>
      <c r="DD72" s="419"/>
      <c r="DE72" s="419">
        <v>1342169.25</v>
      </c>
      <c r="DF72" s="420">
        <f t="shared" si="117"/>
        <v>14912991.6666667</v>
      </c>
      <c r="DG72" s="421">
        <f t="shared" si="118"/>
        <v>1.3333331793546699E-2</v>
      </c>
      <c r="DH72" s="419">
        <v>4012224.76</v>
      </c>
      <c r="DI72" s="419"/>
      <c r="DJ72" s="419">
        <v>361100.23</v>
      </c>
      <c r="DK72" s="420">
        <f t="shared" si="119"/>
        <v>4012224.7777777798</v>
      </c>
      <c r="DL72" s="422">
        <f t="shared" si="120"/>
        <v>1.7777777742594501E-2</v>
      </c>
      <c r="DM72" s="420">
        <v>4758892.4400000004</v>
      </c>
      <c r="DN72" s="420">
        <v>10755829.1</v>
      </c>
      <c r="DO72" s="420">
        <v>428300.32</v>
      </c>
      <c r="DP72" s="420">
        <f t="shared" si="121"/>
        <v>4758892.4444444403</v>
      </c>
      <c r="DQ72" s="420">
        <f t="shared" si="122"/>
        <v>4.4444445520639402E-3</v>
      </c>
      <c r="DR72" s="419">
        <v>4920484.24</v>
      </c>
      <c r="DS72" s="419"/>
      <c r="DT72" s="419">
        <v>442843.58</v>
      </c>
      <c r="DU72" s="420">
        <f t="shared" si="123"/>
        <v>4920484.2222222202</v>
      </c>
      <c r="DV72" s="423">
        <f t="shared" si="124"/>
        <v>-1.77777772769332E-2</v>
      </c>
      <c r="DW72" s="419"/>
      <c r="DX72" s="419">
        <v>23644199.789999999</v>
      </c>
      <c r="DY72" s="419"/>
      <c r="DZ72" s="420">
        <f t="shared" si="125"/>
        <v>0</v>
      </c>
      <c r="EA72" s="423">
        <f t="shared" si="126"/>
        <v>0</v>
      </c>
      <c r="EB72" s="420"/>
      <c r="EC72" s="419"/>
      <c r="ED72" s="420"/>
      <c r="EE72" s="419"/>
      <c r="EF72" s="420">
        <f t="shared" si="127"/>
        <v>0</v>
      </c>
      <c r="EG72" s="420">
        <v>4024770.73</v>
      </c>
      <c r="EH72" s="420"/>
      <c r="EI72" s="420">
        <v>362229.37</v>
      </c>
      <c r="EJ72" s="420">
        <f t="shared" si="128"/>
        <v>4024770.78</v>
      </c>
      <c r="EK72" s="420">
        <f t="shared" si="129"/>
        <v>0.05</v>
      </c>
      <c r="EL72" s="419"/>
      <c r="EM72" s="420">
        <v>1673853.21</v>
      </c>
      <c r="EN72" s="419"/>
      <c r="EO72" s="419">
        <f t="shared" si="130"/>
        <v>0</v>
      </c>
      <c r="EP72" s="419">
        <f t="shared" si="131"/>
        <v>0</v>
      </c>
      <c r="EQ72" s="419"/>
      <c r="ER72" s="419">
        <v>2350917.4300000002</v>
      </c>
      <c r="ES72" s="419"/>
      <c r="ET72" s="419">
        <f t="shared" si="132"/>
        <v>0</v>
      </c>
      <c r="EU72" s="419">
        <f t="shared" si="133"/>
        <v>0</v>
      </c>
      <c r="EV72" s="419"/>
      <c r="EW72" s="419"/>
      <c r="EX72" s="419"/>
      <c r="EY72" s="419">
        <f t="shared" si="134"/>
        <v>0</v>
      </c>
      <c r="EZ72" s="419">
        <f t="shared" si="154"/>
        <v>0</v>
      </c>
      <c r="FA72" s="420"/>
      <c r="FB72" s="420"/>
      <c r="FC72" s="420"/>
      <c r="FD72" s="420">
        <f t="shared" si="135"/>
        <v>0</v>
      </c>
      <c r="FE72" s="420">
        <f t="shared" si="136"/>
        <v>0</v>
      </c>
      <c r="FF72" s="419"/>
      <c r="FG72" s="419"/>
      <c r="FH72" s="419"/>
      <c r="FI72" s="419">
        <f t="shared" si="137"/>
        <v>0</v>
      </c>
      <c r="FJ72" s="419">
        <f t="shared" si="138"/>
        <v>0</v>
      </c>
      <c r="FK72" s="419"/>
      <c r="FL72" s="419"/>
      <c r="FM72" s="419"/>
      <c r="FN72" s="420">
        <f t="shared" si="139"/>
        <v>0</v>
      </c>
      <c r="FO72" s="423">
        <f t="shared" si="140"/>
        <v>0</v>
      </c>
      <c r="FP72" s="419"/>
      <c r="FQ72" s="419"/>
      <c r="FR72" s="419"/>
      <c r="FS72" s="420">
        <f t="shared" si="141"/>
        <v>0</v>
      </c>
      <c r="FT72" s="420">
        <f t="shared" si="142"/>
        <v>0</v>
      </c>
      <c r="FU72" s="419"/>
      <c r="FV72" s="419"/>
      <c r="FW72" s="419"/>
      <c r="FX72" s="420">
        <f t="shared" si="143"/>
        <v>0</v>
      </c>
      <c r="FY72" s="420">
        <f t="shared" si="144"/>
        <v>0</v>
      </c>
      <c r="FZ72" s="419"/>
      <c r="GA72" s="419"/>
      <c r="GB72" s="419"/>
      <c r="GC72" s="420">
        <f t="shared" si="145"/>
        <v>0</v>
      </c>
      <c r="GD72" s="420">
        <f t="shared" si="146"/>
        <v>0</v>
      </c>
      <c r="GE72" s="419"/>
      <c r="GF72" s="419"/>
      <c r="GG72" s="419"/>
      <c r="GH72" s="420">
        <f t="shared" si="147"/>
        <v>0</v>
      </c>
      <c r="GI72" s="423">
        <f t="shared" si="148"/>
        <v>0</v>
      </c>
      <c r="GJ72" s="419"/>
      <c r="GK72" s="419"/>
      <c r="GL72" s="419"/>
      <c r="GM72" s="420">
        <f t="shared" si="149"/>
        <v>0</v>
      </c>
      <c r="GN72" s="420">
        <f t="shared" si="150"/>
        <v>0</v>
      </c>
      <c r="GO72" s="419"/>
      <c r="GP72" s="419"/>
      <c r="GQ72" s="419"/>
      <c r="GR72" s="420">
        <f t="shared" si="155"/>
        <v>0</v>
      </c>
      <c r="GS72" s="423">
        <f t="shared" si="151"/>
        <v>0</v>
      </c>
      <c r="GT72" s="419"/>
      <c r="GU72" s="419"/>
      <c r="GV72" s="419"/>
      <c r="GW72" s="420">
        <f t="shared" si="152"/>
        <v>0</v>
      </c>
      <c r="GX72" s="420">
        <f t="shared" si="153"/>
        <v>0</v>
      </c>
    </row>
    <row r="73" spans="1:206" ht="15">
      <c r="A73" s="414"/>
      <c r="B73" s="415" t="s">
        <v>516</v>
      </c>
      <c r="C73" s="698"/>
      <c r="D73" s="707"/>
      <c r="E73" s="434" t="s">
        <v>125</v>
      </c>
      <c r="F73" s="417">
        <v>0.06</v>
      </c>
      <c r="G73" s="418">
        <f t="shared" si="85"/>
        <v>11165760.8453</v>
      </c>
      <c r="H73" s="418">
        <f t="shared" si="86"/>
        <v>11165760.9</v>
      </c>
      <c r="I73" s="418">
        <f t="shared" si="86"/>
        <v>669945.67918353598</v>
      </c>
      <c r="J73" s="418">
        <f t="shared" si="87"/>
        <v>11165761.319725599</v>
      </c>
      <c r="K73" s="418">
        <f t="shared" si="83"/>
        <v>0.41972560621798</v>
      </c>
      <c r="L73" s="418">
        <f t="shared" si="84"/>
        <v>0.47442560829222202</v>
      </c>
      <c r="M73" s="424"/>
      <c r="N73" s="424"/>
      <c r="O73" s="424"/>
      <c r="P73" s="424"/>
      <c r="Q73" s="419"/>
      <c r="R73" s="419"/>
      <c r="S73" s="419"/>
      <c r="T73" s="420"/>
      <c r="U73" s="423"/>
      <c r="V73" s="420"/>
      <c r="W73" s="420"/>
      <c r="X73" s="419"/>
      <c r="Y73" s="419"/>
      <c r="Z73" s="423"/>
      <c r="AA73" s="423">
        <v>2022298.12</v>
      </c>
      <c r="AB73" s="419"/>
      <c r="AC73" s="423">
        <f>AA73*F73</f>
        <v>121337.8872</v>
      </c>
      <c r="AD73" s="420">
        <f t="shared" si="89"/>
        <v>2022298.12</v>
      </c>
      <c r="AE73" s="423">
        <f t="shared" si="90"/>
        <v>0</v>
      </c>
      <c r="AF73" s="444">
        <v>111013.23</v>
      </c>
      <c r="AG73" s="419"/>
      <c r="AH73" s="420">
        <v>6660.7936260106499</v>
      </c>
      <c r="AI73" s="420">
        <f t="shared" si="91"/>
        <v>111013.227100178</v>
      </c>
      <c r="AJ73" s="423">
        <f t="shared" si="92"/>
        <v>-2.8998224879615E-3</v>
      </c>
      <c r="AK73" s="444">
        <v>135481.12</v>
      </c>
      <c r="AL73" s="436">
        <v>2133311.34</v>
      </c>
      <c r="AM73" s="420">
        <v>8128.86719952573</v>
      </c>
      <c r="AN73" s="420">
        <f t="shared" si="93"/>
        <v>135481.11999209601</v>
      </c>
      <c r="AO73" s="423">
        <f t="shared" si="94"/>
        <v>-7.9044839367270504E-6</v>
      </c>
      <c r="AP73" s="420">
        <v>115300.92</v>
      </c>
      <c r="AQ73" s="419"/>
      <c r="AR73" s="420">
        <v>6918.0551999999998</v>
      </c>
      <c r="AS73" s="420">
        <f t="shared" si="95"/>
        <v>115300.92</v>
      </c>
      <c r="AT73" s="420">
        <f t="shared" si="96"/>
        <v>0</v>
      </c>
      <c r="AU73" s="420">
        <v>72689.899999999994</v>
      </c>
      <c r="AV73" s="420"/>
      <c r="AW73" s="435">
        <v>4361.3942399999996</v>
      </c>
      <c r="AX73" s="426">
        <f t="shared" si="97"/>
        <v>72689.903999999995</v>
      </c>
      <c r="AY73" s="420">
        <f t="shared" si="98"/>
        <v>4.0000000008149099E-3</v>
      </c>
      <c r="AZ73" s="420">
        <v>426490.81</v>
      </c>
      <c r="BA73" s="420"/>
      <c r="BB73" s="423">
        <v>25589.45</v>
      </c>
      <c r="BC73" s="420">
        <f t="shared" si="99"/>
        <v>426490.83333333302</v>
      </c>
      <c r="BD73" s="427">
        <f t="shared" si="82"/>
        <v>2.3333333374466698E-2</v>
      </c>
      <c r="BE73" s="420">
        <v>83403.33</v>
      </c>
      <c r="BF73" s="420"/>
      <c r="BG73" s="420">
        <v>5004.2</v>
      </c>
      <c r="BH73" s="423">
        <f t="shared" si="100"/>
        <v>83403.333333333299</v>
      </c>
      <c r="BI73" s="420">
        <f t="shared" si="101"/>
        <v>3.3333333267364699E-3</v>
      </c>
      <c r="BJ73" s="420">
        <v>67478</v>
      </c>
      <c r="BK73" s="420"/>
      <c r="BL73" s="420">
        <v>4048.68</v>
      </c>
      <c r="BM73" s="420">
        <f t="shared" si="102"/>
        <v>67478</v>
      </c>
      <c r="BN73" s="420">
        <f t="shared" si="103"/>
        <v>0</v>
      </c>
      <c r="BO73" s="419">
        <v>72128.41</v>
      </c>
      <c r="BP73" s="428"/>
      <c r="BQ73" s="420">
        <v>4327.7046</v>
      </c>
      <c r="BR73" s="423">
        <f t="shared" si="104"/>
        <v>72128.41</v>
      </c>
      <c r="BS73" s="423">
        <f t="shared" si="105"/>
        <v>0</v>
      </c>
      <c r="BT73" s="420">
        <v>486042.02</v>
      </c>
      <c r="BU73" s="426">
        <v>3106283.84</v>
      </c>
      <c r="BV73" s="420">
        <v>29162.53</v>
      </c>
      <c r="BW73" s="420">
        <v>486042.02</v>
      </c>
      <c r="BX73" s="429">
        <f t="shared" si="106"/>
        <v>0</v>
      </c>
      <c r="BY73" s="419">
        <v>385652.9</v>
      </c>
      <c r="BZ73" s="419"/>
      <c r="CA73" s="419">
        <v>23139.17</v>
      </c>
      <c r="CB73" s="420">
        <f t="shared" si="107"/>
        <v>385652.83333333302</v>
      </c>
      <c r="CC73" s="430">
        <f t="shared" si="108"/>
        <v>-6.6666666709352299E-2</v>
      </c>
      <c r="CD73" s="419">
        <v>63924.34</v>
      </c>
      <c r="CE73" s="419"/>
      <c r="CF73" s="419">
        <v>3835.46</v>
      </c>
      <c r="CG73" s="420">
        <f t="shared" si="109"/>
        <v>63924.333333333299</v>
      </c>
      <c r="CH73" s="423">
        <f t="shared" si="110"/>
        <v>-6.6666666607488904E-3</v>
      </c>
      <c r="CI73" s="431">
        <v>67579.34</v>
      </c>
      <c r="CJ73" s="431"/>
      <c r="CK73" s="431">
        <v>4054.76</v>
      </c>
      <c r="CL73" s="420">
        <f t="shared" si="111"/>
        <v>67579.333333333299</v>
      </c>
      <c r="CM73" s="423">
        <f t="shared" si="112"/>
        <v>-6.6666666534729302E-3</v>
      </c>
      <c r="CN73" s="420">
        <v>45106.59</v>
      </c>
      <c r="CO73" s="420"/>
      <c r="CP73" s="420">
        <v>2706.4</v>
      </c>
      <c r="CQ73" s="432">
        <v>45106.59</v>
      </c>
      <c r="CR73" s="432">
        <f t="shared" si="113"/>
        <v>0</v>
      </c>
      <c r="CS73" s="420">
        <v>55826.17</v>
      </c>
      <c r="CT73" s="420"/>
      <c r="CU73" s="420">
        <v>3349.57</v>
      </c>
      <c r="CV73" s="420">
        <v>55826.17</v>
      </c>
      <c r="CW73" s="420">
        <f t="shared" si="114"/>
        <v>0</v>
      </c>
      <c r="CX73" s="419">
        <v>58604.3</v>
      </c>
      <c r="CY73" s="419"/>
      <c r="CZ73" s="419">
        <v>3516.27</v>
      </c>
      <c r="DA73" s="419">
        <f t="shared" si="115"/>
        <v>58604.5</v>
      </c>
      <c r="DB73" s="419">
        <f t="shared" si="116"/>
        <v>0.2</v>
      </c>
      <c r="DC73" s="419">
        <v>615655.32999999996</v>
      </c>
      <c r="DD73" s="419"/>
      <c r="DE73" s="419">
        <v>36939.32</v>
      </c>
      <c r="DF73" s="420">
        <f t="shared" si="117"/>
        <v>615655.33333333302</v>
      </c>
      <c r="DG73" s="421">
        <f t="shared" si="118"/>
        <v>-3.3333334140479599E-3</v>
      </c>
      <c r="DH73" s="419">
        <v>82638.75</v>
      </c>
      <c r="DI73" s="419"/>
      <c r="DJ73" s="419">
        <v>4958.32</v>
      </c>
      <c r="DK73" s="420">
        <f t="shared" si="119"/>
        <v>82638.666666666701</v>
      </c>
      <c r="DL73" s="422">
        <f t="shared" si="120"/>
        <v>-8.3333333328482695E-2</v>
      </c>
      <c r="DM73" s="420">
        <v>67593.649999999994</v>
      </c>
      <c r="DN73" s="420"/>
      <c r="DO73" s="420">
        <v>4055.62</v>
      </c>
      <c r="DP73" s="420">
        <f t="shared" si="121"/>
        <v>67593.666666666701</v>
      </c>
      <c r="DQ73" s="420">
        <f t="shared" si="122"/>
        <v>1.6666666677338099E-2</v>
      </c>
      <c r="DR73" s="419">
        <v>63006.35</v>
      </c>
      <c r="DS73" s="419"/>
      <c r="DT73" s="419">
        <v>3780.38</v>
      </c>
      <c r="DU73" s="420">
        <f t="shared" si="123"/>
        <v>63006.333333333299</v>
      </c>
      <c r="DV73" s="423">
        <f t="shared" si="124"/>
        <v>-1.6666666662786201E-2</v>
      </c>
      <c r="DW73" s="419">
        <v>77280.945300000007</v>
      </c>
      <c r="DX73" s="419"/>
      <c r="DY73" s="419">
        <v>4636.8611179999998</v>
      </c>
      <c r="DZ73" s="420">
        <f t="shared" si="125"/>
        <v>77281.02</v>
      </c>
      <c r="EA73" s="423">
        <f t="shared" si="126"/>
        <v>7.0000000000000007E-2</v>
      </c>
      <c r="EB73" s="420">
        <v>72976.100000000006</v>
      </c>
      <c r="EC73" s="419"/>
      <c r="ED73" s="420">
        <v>4378.5659999999998</v>
      </c>
      <c r="EE73" s="419">
        <v>72976.100000000006</v>
      </c>
      <c r="EF73" s="420">
        <f t="shared" si="127"/>
        <v>0</v>
      </c>
      <c r="EG73" s="419">
        <v>5903729.4400000004</v>
      </c>
      <c r="EI73" s="419">
        <v>354223.77</v>
      </c>
      <c r="EJ73" s="420">
        <f t="shared" si="128"/>
        <v>5903729.5</v>
      </c>
      <c r="EK73" s="420">
        <f t="shared" si="129"/>
        <v>0.06</v>
      </c>
      <c r="EL73" s="419">
        <v>6183.11</v>
      </c>
      <c r="EM73" s="393">
        <v>426814.35</v>
      </c>
      <c r="EN73" s="419">
        <v>370.99</v>
      </c>
      <c r="EO73" s="419">
        <f t="shared" si="130"/>
        <v>6183.17</v>
      </c>
      <c r="EP73" s="419">
        <f t="shared" si="131"/>
        <v>0.06</v>
      </c>
      <c r="EQ73" s="419">
        <v>7677.67</v>
      </c>
      <c r="ER73" s="419">
        <v>5491673.7000000002</v>
      </c>
      <c r="ES73" s="419">
        <v>460.66</v>
      </c>
      <c r="ET73" s="419">
        <f t="shared" si="132"/>
        <v>7677.67</v>
      </c>
      <c r="EU73" s="419">
        <f t="shared" si="133"/>
        <v>0</v>
      </c>
      <c r="EV73" s="419"/>
      <c r="EW73" s="419"/>
      <c r="EX73" s="419"/>
      <c r="EY73" s="419">
        <f t="shared" si="134"/>
        <v>0</v>
      </c>
      <c r="EZ73" s="419">
        <f t="shared" si="154"/>
        <v>0</v>
      </c>
      <c r="FA73" s="420"/>
      <c r="FB73" s="420"/>
      <c r="FC73" s="420"/>
      <c r="FD73" s="420">
        <f t="shared" si="135"/>
        <v>0</v>
      </c>
      <c r="FE73" s="420">
        <f t="shared" si="136"/>
        <v>0</v>
      </c>
      <c r="FF73" s="419"/>
      <c r="FG73" s="419">
        <v>7677.67</v>
      </c>
      <c r="FH73" s="419"/>
      <c r="FI73" s="419">
        <f t="shared" si="137"/>
        <v>0</v>
      </c>
      <c r="FJ73" s="419">
        <f t="shared" si="138"/>
        <v>0</v>
      </c>
      <c r="FK73" s="419"/>
      <c r="FL73" s="419"/>
      <c r="FM73" s="419"/>
      <c r="FN73" s="420">
        <f t="shared" si="139"/>
        <v>0</v>
      </c>
      <c r="FO73" s="423">
        <f t="shared" si="140"/>
        <v>0</v>
      </c>
      <c r="FP73" s="419"/>
      <c r="FQ73" s="419"/>
      <c r="FR73" s="419"/>
      <c r="FS73" s="420">
        <f t="shared" si="141"/>
        <v>0</v>
      </c>
      <c r="FT73" s="420">
        <f t="shared" si="142"/>
        <v>0</v>
      </c>
      <c r="FU73" s="419"/>
      <c r="FV73" s="419"/>
      <c r="FW73" s="419"/>
      <c r="FX73" s="420">
        <f t="shared" si="143"/>
        <v>0</v>
      </c>
      <c r="FY73" s="420">
        <f t="shared" si="144"/>
        <v>0</v>
      </c>
      <c r="FZ73" s="419"/>
      <c r="GA73" s="419"/>
      <c r="GB73" s="419"/>
      <c r="GC73" s="420">
        <f t="shared" si="145"/>
        <v>0</v>
      </c>
      <c r="GD73" s="420">
        <f t="shared" si="146"/>
        <v>0</v>
      </c>
      <c r="GE73" s="419"/>
      <c r="GF73" s="419"/>
      <c r="GG73" s="419"/>
      <c r="GH73" s="420">
        <f t="shared" si="147"/>
        <v>0</v>
      </c>
      <c r="GI73" s="423">
        <f t="shared" si="148"/>
        <v>0</v>
      </c>
      <c r="GJ73" s="419"/>
      <c r="GK73" s="419"/>
      <c r="GL73" s="419"/>
      <c r="GM73" s="420">
        <f t="shared" si="149"/>
        <v>0</v>
      </c>
      <c r="GN73" s="420">
        <f t="shared" si="150"/>
        <v>0</v>
      </c>
      <c r="GO73" s="419"/>
      <c r="GP73" s="419"/>
      <c r="GQ73" s="419"/>
      <c r="GR73" s="420">
        <f t="shared" si="155"/>
        <v>0</v>
      </c>
      <c r="GS73" s="423">
        <f t="shared" si="151"/>
        <v>0</v>
      </c>
      <c r="GT73" s="419"/>
      <c r="GU73" s="419"/>
      <c r="GV73" s="419"/>
      <c r="GW73" s="420">
        <f t="shared" si="152"/>
        <v>0</v>
      </c>
      <c r="GX73" s="420">
        <f t="shared" si="153"/>
        <v>0</v>
      </c>
    </row>
    <row r="74" spans="1:206" ht="15">
      <c r="A74" s="414"/>
      <c r="B74" s="415" t="s">
        <v>518</v>
      </c>
      <c r="C74" s="698"/>
      <c r="D74" s="704" t="s">
        <v>519</v>
      </c>
      <c r="E74" s="434" t="s">
        <v>123</v>
      </c>
      <c r="F74" s="417">
        <v>0.13</v>
      </c>
      <c r="G74" s="418">
        <f t="shared" si="85"/>
        <v>15474604.289999999</v>
      </c>
      <c r="H74" s="418">
        <f t="shared" si="86"/>
        <v>15474604.289999999</v>
      </c>
      <c r="I74" s="418">
        <f t="shared" si="86"/>
        <v>2011698.56</v>
      </c>
      <c r="J74" s="418">
        <f t="shared" si="87"/>
        <v>15474604.307692301</v>
      </c>
      <c r="K74" s="418">
        <f t="shared" si="83"/>
        <v>1.7692307010293E-2</v>
      </c>
      <c r="L74" s="418">
        <f t="shared" si="84"/>
        <v>1.7692307010293E-2</v>
      </c>
      <c r="M74" s="424"/>
      <c r="N74" s="424"/>
      <c r="O74" s="424"/>
      <c r="P74" s="424"/>
      <c r="Q74" s="419"/>
      <c r="R74" s="419"/>
      <c r="S74" s="419"/>
      <c r="T74" s="420"/>
      <c r="U74" s="423"/>
      <c r="V74" s="420"/>
      <c r="W74" s="420"/>
      <c r="X74" s="419"/>
      <c r="Y74" s="419"/>
      <c r="Z74" s="423"/>
      <c r="AA74" s="423"/>
      <c r="AB74" s="419"/>
      <c r="AC74" s="419"/>
      <c r="AD74" s="420">
        <f t="shared" si="89"/>
        <v>0</v>
      </c>
      <c r="AE74" s="423">
        <f t="shared" si="90"/>
        <v>0</v>
      </c>
      <c r="AF74" s="419"/>
      <c r="AG74" s="419"/>
      <c r="AH74" s="419"/>
      <c r="AI74" s="420">
        <f t="shared" si="91"/>
        <v>0</v>
      </c>
      <c r="AJ74" s="423">
        <f t="shared" si="92"/>
        <v>0</v>
      </c>
      <c r="AK74" s="419"/>
      <c r="AL74" s="420"/>
      <c r="AM74" s="419"/>
      <c r="AN74" s="420">
        <f t="shared" si="93"/>
        <v>0</v>
      </c>
      <c r="AO74" s="423">
        <f t="shared" si="94"/>
        <v>0</v>
      </c>
      <c r="AP74" s="419"/>
      <c r="AQ74" s="419"/>
      <c r="AR74" s="420"/>
      <c r="AS74" s="420">
        <f t="shared" si="95"/>
        <v>0</v>
      </c>
      <c r="AT74" s="420">
        <f t="shared" si="96"/>
        <v>0</v>
      </c>
      <c r="AU74" s="420"/>
      <c r="AV74" s="420"/>
      <c r="AW74" s="420"/>
      <c r="AX74" s="426">
        <f t="shared" si="97"/>
        <v>0</v>
      </c>
      <c r="AY74" s="420">
        <f t="shared" si="98"/>
        <v>0</v>
      </c>
      <c r="AZ74" s="419"/>
      <c r="BA74" s="420"/>
      <c r="BB74" s="419"/>
      <c r="BC74" s="420">
        <f t="shared" si="99"/>
        <v>0</v>
      </c>
      <c r="BD74" s="427">
        <f t="shared" si="82"/>
        <v>0</v>
      </c>
      <c r="BE74" s="420"/>
      <c r="BF74" s="420"/>
      <c r="BG74" s="420"/>
      <c r="BH74" s="423">
        <f t="shared" si="100"/>
        <v>0</v>
      </c>
      <c r="BI74" s="420">
        <f t="shared" si="101"/>
        <v>0</v>
      </c>
      <c r="BJ74" s="420"/>
      <c r="BK74" s="420"/>
      <c r="BL74" s="420"/>
      <c r="BM74" s="420">
        <f t="shared" si="102"/>
        <v>0</v>
      </c>
      <c r="BN74" s="420">
        <f t="shared" si="103"/>
        <v>0</v>
      </c>
      <c r="BO74" s="419"/>
      <c r="BP74" s="428"/>
      <c r="BQ74" s="420"/>
      <c r="BR74" s="423">
        <f t="shared" si="104"/>
        <v>0</v>
      </c>
      <c r="BS74" s="423">
        <f t="shared" si="105"/>
        <v>0</v>
      </c>
      <c r="BT74" s="420"/>
      <c r="BU74" s="420"/>
      <c r="BV74" s="420"/>
      <c r="BW74" s="420"/>
      <c r="BX74" s="429">
        <f t="shared" si="106"/>
        <v>0</v>
      </c>
      <c r="BY74" s="419"/>
      <c r="BZ74" s="419"/>
      <c r="CA74" s="419"/>
      <c r="CB74" s="420">
        <f t="shared" si="107"/>
        <v>0</v>
      </c>
      <c r="CC74" s="430">
        <f t="shared" si="108"/>
        <v>0</v>
      </c>
      <c r="CD74" s="419"/>
      <c r="CE74" s="419"/>
      <c r="CF74" s="419"/>
      <c r="CG74" s="420">
        <f t="shared" si="109"/>
        <v>0</v>
      </c>
      <c r="CH74" s="423">
        <f t="shared" si="110"/>
        <v>0</v>
      </c>
      <c r="CI74" s="431"/>
      <c r="CJ74" s="431"/>
      <c r="CK74" s="431"/>
      <c r="CL74" s="420">
        <f t="shared" si="111"/>
        <v>0</v>
      </c>
      <c r="CM74" s="423">
        <f t="shared" si="112"/>
        <v>0</v>
      </c>
      <c r="CN74" s="420"/>
      <c r="CO74" s="420"/>
      <c r="CP74" s="420"/>
      <c r="CQ74" s="432"/>
      <c r="CR74" s="432">
        <f t="shared" si="113"/>
        <v>0</v>
      </c>
      <c r="CS74" s="420"/>
      <c r="CT74" s="420"/>
      <c r="CU74" s="420"/>
      <c r="CV74" s="420"/>
      <c r="CW74" s="420">
        <f t="shared" si="114"/>
        <v>0</v>
      </c>
      <c r="CX74" s="419"/>
      <c r="CY74" s="419"/>
      <c r="CZ74" s="419"/>
      <c r="DA74" s="419">
        <f t="shared" si="115"/>
        <v>0</v>
      </c>
      <c r="DB74" s="419">
        <f t="shared" si="116"/>
        <v>0</v>
      </c>
      <c r="DC74" s="419"/>
      <c r="DD74" s="419"/>
      <c r="DE74" s="419"/>
      <c r="DF74" s="420">
        <f t="shared" si="117"/>
        <v>0</v>
      </c>
      <c r="DG74" s="421">
        <f t="shared" si="118"/>
        <v>0</v>
      </c>
      <c r="DH74" s="419"/>
      <c r="DI74" s="419"/>
      <c r="DJ74" s="419"/>
      <c r="DK74" s="420">
        <f t="shared" si="119"/>
        <v>0</v>
      </c>
      <c r="DL74" s="422">
        <f t="shared" si="120"/>
        <v>0</v>
      </c>
      <c r="DM74" s="420"/>
      <c r="DN74" s="420"/>
      <c r="DO74" s="420"/>
      <c r="DP74" s="420">
        <f t="shared" si="121"/>
        <v>0</v>
      </c>
      <c r="DQ74" s="420">
        <f t="shared" si="122"/>
        <v>0</v>
      </c>
      <c r="DR74" s="419">
        <v>574790.67000000004</v>
      </c>
      <c r="DS74" s="419"/>
      <c r="DT74" s="419">
        <v>74722.789999999994</v>
      </c>
      <c r="DU74" s="420">
        <f t="shared" si="123"/>
        <v>574790.69230769202</v>
      </c>
      <c r="DV74" s="423">
        <f t="shared" si="124"/>
        <v>2.2307692212052602E-2</v>
      </c>
      <c r="DW74" s="419"/>
      <c r="DX74" s="419">
        <v>574790.67000000004</v>
      </c>
      <c r="DY74" s="419"/>
      <c r="DZ74" s="420">
        <f t="shared" si="125"/>
        <v>0</v>
      </c>
      <c r="EA74" s="423">
        <f t="shared" si="126"/>
        <v>0</v>
      </c>
      <c r="EB74" s="419"/>
      <c r="EC74" s="419"/>
      <c r="ED74" s="420"/>
      <c r="EE74" s="419"/>
      <c r="EF74" s="420">
        <f t="shared" si="127"/>
        <v>0</v>
      </c>
      <c r="EG74" s="419">
        <v>12577689.720000001</v>
      </c>
      <c r="EH74" s="419"/>
      <c r="EI74" s="419">
        <v>1635099.66</v>
      </c>
      <c r="EJ74" s="420">
        <f t="shared" si="128"/>
        <v>12577689.689999999</v>
      </c>
      <c r="EK74" s="420">
        <f t="shared" si="129"/>
        <v>-0.03</v>
      </c>
      <c r="EL74" s="419"/>
      <c r="EM74" s="419"/>
      <c r="EN74" s="419"/>
      <c r="EO74" s="419">
        <f t="shared" si="130"/>
        <v>0</v>
      </c>
      <c r="EP74" s="419">
        <f t="shared" si="131"/>
        <v>0</v>
      </c>
      <c r="EQ74" s="419"/>
      <c r="ER74" s="419">
        <v>12577689.720000001</v>
      </c>
      <c r="ES74" s="419"/>
      <c r="ET74" s="419">
        <f t="shared" si="132"/>
        <v>0</v>
      </c>
      <c r="EU74" s="419">
        <f t="shared" si="133"/>
        <v>0</v>
      </c>
      <c r="EV74" s="419"/>
      <c r="EW74" s="419"/>
      <c r="EX74" s="419"/>
      <c r="EY74" s="419">
        <f t="shared" si="134"/>
        <v>0</v>
      </c>
      <c r="EZ74" s="419">
        <f t="shared" si="154"/>
        <v>0</v>
      </c>
      <c r="FA74" s="420">
        <v>2322123.9</v>
      </c>
      <c r="FB74" s="420"/>
      <c r="FC74" s="420">
        <v>301876.11</v>
      </c>
      <c r="FD74" s="420">
        <f t="shared" si="135"/>
        <v>2322123.92</v>
      </c>
      <c r="FE74" s="420">
        <f t="shared" si="136"/>
        <v>0.02</v>
      </c>
      <c r="FF74" s="419"/>
      <c r="FG74" s="420">
        <v>2322123.9</v>
      </c>
      <c r="FH74" s="419"/>
      <c r="FI74" s="419">
        <f t="shared" si="137"/>
        <v>0</v>
      </c>
      <c r="FJ74" s="419">
        <f t="shared" si="138"/>
        <v>0</v>
      </c>
      <c r="FK74" s="419"/>
      <c r="FL74" s="419"/>
      <c r="FM74" s="419"/>
      <c r="FN74" s="420">
        <f t="shared" si="139"/>
        <v>0</v>
      </c>
      <c r="FO74" s="423">
        <f t="shared" si="140"/>
        <v>0</v>
      </c>
      <c r="FP74" s="419"/>
      <c r="FQ74" s="419"/>
      <c r="FR74" s="419"/>
      <c r="FS74" s="420">
        <f t="shared" si="141"/>
        <v>0</v>
      </c>
      <c r="FT74" s="420">
        <f t="shared" si="142"/>
        <v>0</v>
      </c>
      <c r="FU74" s="419"/>
      <c r="FV74" s="419"/>
      <c r="FW74" s="419"/>
      <c r="FX74" s="420">
        <f t="shared" si="143"/>
        <v>0</v>
      </c>
      <c r="FY74" s="420">
        <f t="shared" si="144"/>
        <v>0</v>
      </c>
      <c r="FZ74" s="419"/>
      <c r="GA74" s="419"/>
      <c r="GB74" s="419"/>
      <c r="GC74" s="420">
        <f t="shared" si="145"/>
        <v>0</v>
      </c>
      <c r="GD74" s="420">
        <f t="shared" si="146"/>
        <v>0</v>
      </c>
      <c r="GE74" s="419"/>
      <c r="GF74" s="419"/>
      <c r="GG74" s="419"/>
      <c r="GH74" s="420">
        <f t="shared" si="147"/>
        <v>0</v>
      </c>
      <c r="GI74" s="423">
        <f t="shared" si="148"/>
        <v>0</v>
      </c>
      <c r="GJ74" s="419"/>
      <c r="GK74" s="419"/>
      <c r="GL74" s="419"/>
      <c r="GM74" s="420">
        <f t="shared" si="149"/>
        <v>0</v>
      </c>
      <c r="GN74" s="420">
        <f t="shared" si="150"/>
        <v>0</v>
      </c>
      <c r="GO74" s="419"/>
      <c r="GP74" s="419"/>
      <c r="GQ74" s="419"/>
      <c r="GR74" s="420">
        <f t="shared" si="155"/>
        <v>0</v>
      </c>
      <c r="GS74" s="423">
        <f t="shared" si="151"/>
        <v>0</v>
      </c>
      <c r="GT74" s="419"/>
      <c r="GU74" s="419"/>
      <c r="GV74" s="419"/>
      <c r="GW74" s="420">
        <f t="shared" si="152"/>
        <v>0</v>
      </c>
      <c r="GX74" s="420">
        <f t="shared" si="153"/>
        <v>0</v>
      </c>
    </row>
    <row r="75" spans="1:206" ht="15">
      <c r="A75" s="414"/>
      <c r="B75" s="415" t="s">
        <v>518</v>
      </c>
      <c r="C75" s="698"/>
      <c r="D75" s="706"/>
      <c r="E75" s="434" t="s">
        <v>124</v>
      </c>
      <c r="F75" s="417">
        <v>0.09</v>
      </c>
      <c r="G75" s="418">
        <f t="shared" si="85"/>
        <v>20331272.289999999</v>
      </c>
      <c r="H75" s="418">
        <f t="shared" si="86"/>
        <v>20331272.289999999</v>
      </c>
      <c r="I75" s="418">
        <f t="shared" si="86"/>
        <v>1829814.5075000001</v>
      </c>
      <c r="J75" s="418">
        <f t="shared" si="87"/>
        <v>20331272.305555601</v>
      </c>
      <c r="K75" s="418">
        <f t="shared" si="83"/>
        <v>1.5555556863546399E-2</v>
      </c>
      <c r="L75" s="418">
        <f t="shared" si="84"/>
        <v>1.5555556863546399E-2</v>
      </c>
      <c r="M75" s="424"/>
      <c r="N75" s="424"/>
      <c r="O75" s="424"/>
      <c r="P75" s="424"/>
      <c r="Q75" s="419"/>
      <c r="R75" s="419"/>
      <c r="S75" s="419"/>
      <c r="T75" s="420"/>
      <c r="U75" s="423"/>
      <c r="V75" s="420"/>
      <c r="W75" s="420"/>
      <c r="X75" s="419"/>
      <c r="Y75" s="419"/>
      <c r="Z75" s="423"/>
      <c r="AA75" s="423"/>
      <c r="AB75" s="419"/>
      <c r="AC75" s="419"/>
      <c r="AD75" s="420">
        <f t="shared" si="89"/>
        <v>0</v>
      </c>
      <c r="AE75" s="423">
        <f t="shared" si="90"/>
        <v>0</v>
      </c>
      <c r="AF75" s="419"/>
      <c r="AG75" s="419"/>
      <c r="AH75" s="419"/>
      <c r="AI75" s="420">
        <f t="shared" si="91"/>
        <v>0</v>
      </c>
      <c r="AJ75" s="423">
        <f t="shared" si="92"/>
        <v>0</v>
      </c>
      <c r="AK75" s="419"/>
      <c r="AL75" s="420"/>
      <c r="AM75" s="419"/>
      <c r="AN75" s="420">
        <f t="shared" si="93"/>
        <v>0</v>
      </c>
      <c r="AO75" s="423">
        <f t="shared" si="94"/>
        <v>0</v>
      </c>
      <c r="AP75" s="419"/>
      <c r="AQ75" s="419"/>
      <c r="AR75" s="419"/>
      <c r="AS75" s="420">
        <f t="shared" si="95"/>
        <v>0</v>
      </c>
      <c r="AT75" s="420">
        <f t="shared" si="96"/>
        <v>0</v>
      </c>
      <c r="AU75" s="420"/>
      <c r="AV75" s="420"/>
      <c r="AW75" s="420"/>
      <c r="AX75" s="426">
        <f t="shared" si="97"/>
        <v>0</v>
      </c>
      <c r="AY75" s="420">
        <f t="shared" si="98"/>
        <v>0</v>
      </c>
      <c r="AZ75" s="419"/>
      <c r="BA75" s="420"/>
      <c r="BB75" s="419"/>
      <c r="BC75" s="420">
        <f t="shared" si="99"/>
        <v>0</v>
      </c>
      <c r="BD75" s="427">
        <f t="shared" si="82"/>
        <v>0</v>
      </c>
      <c r="BE75" s="420"/>
      <c r="BF75" s="420"/>
      <c r="BG75" s="420"/>
      <c r="BH75" s="423">
        <f t="shared" si="100"/>
        <v>0</v>
      </c>
      <c r="BI75" s="420">
        <f t="shared" si="101"/>
        <v>0</v>
      </c>
      <c r="BJ75" s="420"/>
      <c r="BK75" s="420"/>
      <c r="BL75" s="420"/>
      <c r="BM75" s="420">
        <f t="shared" si="102"/>
        <v>0</v>
      </c>
      <c r="BN75" s="420">
        <f t="shared" si="103"/>
        <v>0</v>
      </c>
      <c r="BO75" s="419"/>
      <c r="BP75" s="428"/>
      <c r="BQ75" s="420"/>
      <c r="BR75" s="423">
        <f t="shared" si="104"/>
        <v>0</v>
      </c>
      <c r="BS75" s="423">
        <f t="shared" si="105"/>
        <v>0</v>
      </c>
      <c r="BT75" s="420"/>
      <c r="BU75" s="420"/>
      <c r="BV75" s="420"/>
      <c r="BW75" s="420"/>
      <c r="BX75" s="429">
        <f t="shared" si="106"/>
        <v>0</v>
      </c>
      <c r="BY75" s="419"/>
      <c r="BZ75" s="419"/>
      <c r="CA75" s="419"/>
      <c r="CB75" s="420">
        <f t="shared" si="107"/>
        <v>0</v>
      </c>
      <c r="CC75" s="430">
        <f t="shared" si="108"/>
        <v>0</v>
      </c>
      <c r="CD75" s="419"/>
      <c r="CE75" s="419"/>
      <c r="CF75" s="419"/>
      <c r="CG75" s="420">
        <f t="shared" si="109"/>
        <v>0</v>
      </c>
      <c r="CH75" s="423">
        <f t="shared" si="110"/>
        <v>0</v>
      </c>
      <c r="CI75" s="431"/>
      <c r="CJ75" s="431"/>
      <c r="CK75" s="431"/>
      <c r="CL75" s="420">
        <f t="shared" si="111"/>
        <v>0</v>
      </c>
      <c r="CM75" s="423">
        <f t="shared" si="112"/>
        <v>0</v>
      </c>
      <c r="CN75" s="420"/>
      <c r="CO75" s="420"/>
      <c r="CP75" s="420"/>
      <c r="CQ75" s="432"/>
      <c r="CR75" s="432">
        <f t="shared" si="113"/>
        <v>0</v>
      </c>
      <c r="CS75" s="420"/>
      <c r="CT75" s="420"/>
      <c r="CU75" s="420"/>
      <c r="CV75" s="420"/>
      <c r="CW75" s="420">
        <f t="shared" si="114"/>
        <v>0</v>
      </c>
      <c r="CX75" s="419"/>
      <c r="CY75" s="419"/>
      <c r="CZ75" s="419"/>
      <c r="DA75" s="419">
        <f t="shared" si="115"/>
        <v>0</v>
      </c>
      <c r="DB75" s="419">
        <f t="shared" si="116"/>
        <v>0</v>
      </c>
      <c r="DC75" s="419"/>
      <c r="DD75" s="419"/>
      <c r="DE75" s="419"/>
      <c r="DF75" s="420">
        <f t="shared" si="117"/>
        <v>0</v>
      </c>
      <c r="DG75" s="421">
        <f t="shared" si="118"/>
        <v>0</v>
      </c>
      <c r="DH75" s="419"/>
      <c r="DI75" s="419"/>
      <c r="DJ75" s="419"/>
      <c r="DK75" s="420">
        <f t="shared" si="119"/>
        <v>0</v>
      </c>
      <c r="DL75" s="422">
        <f t="shared" si="120"/>
        <v>0</v>
      </c>
      <c r="DM75" s="420">
        <v>815112.62</v>
      </c>
      <c r="DN75" s="420"/>
      <c r="DO75" s="420">
        <v>73360.14</v>
      </c>
      <c r="DP75" s="420">
        <f t="shared" si="121"/>
        <v>815112.66666666698</v>
      </c>
      <c r="DQ75" s="420">
        <f t="shared" si="122"/>
        <v>4.6666666748933501E-2</v>
      </c>
      <c r="DR75" s="419">
        <v>3340128.69</v>
      </c>
      <c r="DS75" s="419"/>
      <c r="DT75" s="419">
        <v>300611.58</v>
      </c>
      <c r="DU75" s="420">
        <f t="shared" si="123"/>
        <v>3340128.6666666698</v>
      </c>
      <c r="DV75" s="423">
        <f t="shared" si="124"/>
        <v>-2.33333329670131E-2</v>
      </c>
      <c r="DW75" s="419">
        <v>177187.8</v>
      </c>
      <c r="DX75" s="420">
        <v>4155241.31</v>
      </c>
      <c r="DY75" s="419">
        <v>15946.9</v>
      </c>
      <c r="DZ75" s="420">
        <f t="shared" si="125"/>
        <v>177187.78</v>
      </c>
      <c r="EA75" s="423">
        <f t="shared" si="126"/>
        <v>-0.02</v>
      </c>
      <c r="EB75" s="420">
        <v>2585456.75</v>
      </c>
      <c r="EC75" s="419"/>
      <c r="ED75" s="420">
        <v>232691.10750000001</v>
      </c>
      <c r="EE75" s="419">
        <v>2585456.75</v>
      </c>
      <c r="EF75" s="420">
        <f t="shared" si="127"/>
        <v>0</v>
      </c>
      <c r="EG75" s="419">
        <v>1736883.18</v>
      </c>
      <c r="EH75" s="419">
        <v>2762644.54</v>
      </c>
      <c r="EI75" s="419">
        <v>156319.48000000001</v>
      </c>
      <c r="EJ75" s="420">
        <f t="shared" si="128"/>
        <v>1736883.11</v>
      </c>
      <c r="EK75" s="420">
        <f t="shared" si="129"/>
        <v>-7.0000000000000007E-2</v>
      </c>
      <c r="EL75" s="419"/>
      <c r="EM75" s="419"/>
      <c r="EN75" s="419"/>
      <c r="EO75" s="419">
        <f t="shared" si="130"/>
        <v>0</v>
      </c>
      <c r="EP75" s="419">
        <f t="shared" si="131"/>
        <v>0</v>
      </c>
      <c r="EQ75" s="419"/>
      <c r="ER75" s="419">
        <v>1736883.19</v>
      </c>
      <c r="ES75" s="419"/>
      <c r="ET75" s="419">
        <f t="shared" si="132"/>
        <v>0</v>
      </c>
      <c r="EU75" s="419">
        <f t="shared" si="133"/>
        <v>0</v>
      </c>
      <c r="EV75" s="419"/>
      <c r="EW75" s="419"/>
      <c r="EX75" s="419"/>
      <c r="EY75" s="419">
        <f t="shared" si="134"/>
        <v>0</v>
      </c>
      <c r="EZ75" s="419">
        <f t="shared" si="154"/>
        <v>0</v>
      </c>
      <c r="FA75" s="420">
        <v>202288.8</v>
      </c>
      <c r="FB75" s="420"/>
      <c r="FC75" s="420">
        <v>18205.990000000002</v>
      </c>
      <c r="FD75" s="420">
        <f t="shared" si="135"/>
        <v>202288.78</v>
      </c>
      <c r="FE75" s="420">
        <f t="shared" si="136"/>
        <v>-0.02</v>
      </c>
      <c r="FF75" s="419">
        <v>465709.89</v>
      </c>
      <c r="FG75" s="419">
        <v>202288.79</v>
      </c>
      <c r="FH75" s="419">
        <v>41913.89</v>
      </c>
      <c r="FI75" s="419">
        <f t="shared" si="137"/>
        <v>465709.88888888899</v>
      </c>
      <c r="FJ75" s="419">
        <f t="shared" si="138"/>
        <v>0</v>
      </c>
      <c r="FK75" s="419">
        <v>1175458.71</v>
      </c>
      <c r="FL75" s="419">
        <v>1641168.61</v>
      </c>
      <c r="FM75" s="419">
        <v>105791.29</v>
      </c>
      <c r="FN75" s="420">
        <f t="shared" si="139"/>
        <v>1175458.78</v>
      </c>
      <c r="FO75" s="423">
        <f t="shared" si="140"/>
        <v>7.0000000000000007E-2</v>
      </c>
      <c r="FP75" s="431">
        <v>9833045.8499999996</v>
      </c>
      <c r="FQ75" s="431">
        <v>9833045.8499999996</v>
      </c>
      <c r="FR75" s="431">
        <v>884974.13</v>
      </c>
      <c r="FS75" s="420">
        <f t="shared" si="141"/>
        <v>9833045.8900000006</v>
      </c>
      <c r="FT75" s="420">
        <f t="shared" si="142"/>
        <v>4.0000000968575498E-2</v>
      </c>
      <c r="FU75" s="419"/>
      <c r="FV75" s="419"/>
      <c r="FW75" s="419"/>
      <c r="FX75" s="420">
        <f t="shared" si="143"/>
        <v>0</v>
      </c>
      <c r="FY75" s="420">
        <f t="shared" si="144"/>
        <v>0</v>
      </c>
      <c r="FZ75" s="419"/>
      <c r="GA75" s="419"/>
      <c r="GB75" s="419"/>
      <c r="GC75" s="420">
        <f t="shared" si="145"/>
        <v>0</v>
      </c>
      <c r="GD75" s="420">
        <f t="shared" si="146"/>
        <v>0</v>
      </c>
      <c r="GE75" s="419"/>
      <c r="GF75" s="419"/>
      <c r="GG75" s="419"/>
      <c r="GH75" s="420">
        <f t="shared" si="147"/>
        <v>0</v>
      </c>
      <c r="GI75" s="423">
        <f t="shared" si="148"/>
        <v>0</v>
      </c>
      <c r="GJ75" s="419"/>
      <c r="GK75" s="419"/>
      <c r="GL75" s="419"/>
      <c r="GM75" s="420">
        <f t="shared" si="149"/>
        <v>0</v>
      </c>
      <c r="GN75" s="420">
        <f t="shared" si="150"/>
        <v>0</v>
      </c>
      <c r="GO75" s="419"/>
      <c r="GP75" s="419"/>
      <c r="GQ75" s="419"/>
      <c r="GR75" s="420">
        <f t="shared" si="155"/>
        <v>0</v>
      </c>
      <c r="GS75" s="423">
        <f t="shared" si="151"/>
        <v>0</v>
      </c>
      <c r="GT75" s="419"/>
      <c r="GU75" s="419"/>
      <c r="GV75" s="419"/>
      <c r="GW75" s="420">
        <f t="shared" si="152"/>
        <v>0</v>
      </c>
      <c r="GX75" s="420">
        <f t="shared" si="153"/>
        <v>0</v>
      </c>
    </row>
    <row r="76" spans="1:206" ht="15">
      <c r="A76" s="414"/>
      <c r="B76" s="415" t="s">
        <v>518</v>
      </c>
      <c r="C76" s="698"/>
      <c r="D76" s="707"/>
      <c r="E76" s="434" t="s">
        <v>125</v>
      </c>
      <c r="F76" s="417">
        <v>0.06</v>
      </c>
      <c r="G76" s="418">
        <f t="shared" si="85"/>
        <v>1883192.24</v>
      </c>
      <c r="H76" s="418">
        <f t="shared" si="86"/>
        <v>1883192.25</v>
      </c>
      <c r="I76" s="418">
        <f t="shared" si="86"/>
        <v>112991.50019999999</v>
      </c>
      <c r="J76" s="418">
        <f t="shared" si="87"/>
        <v>1883191.67</v>
      </c>
      <c r="K76" s="418">
        <f t="shared" si="83"/>
        <v>-0.57999999984167505</v>
      </c>
      <c r="L76" s="418">
        <f t="shared" si="84"/>
        <v>-0.56999999983236205</v>
      </c>
      <c r="M76" s="424"/>
      <c r="N76" s="424"/>
      <c r="O76" s="424"/>
      <c r="P76" s="424"/>
      <c r="Q76" s="419"/>
      <c r="R76" s="419"/>
      <c r="S76" s="419"/>
      <c r="T76" s="420"/>
      <c r="U76" s="423"/>
      <c r="V76" s="420"/>
      <c r="W76" s="420"/>
      <c r="X76" s="419"/>
      <c r="Y76" s="419"/>
      <c r="Z76" s="423"/>
      <c r="AA76" s="423">
        <v>121136.79</v>
      </c>
      <c r="AB76" s="419"/>
      <c r="AC76" s="423">
        <f>AA76*F76</f>
        <v>7268.2074000000002</v>
      </c>
      <c r="AD76" s="420">
        <f t="shared" si="89"/>
        <v>121136.79</v>
      </c>
      <c r="AE76" s="423">
        <f t="shared" si="90"/>
        <v>0</v>
      </c>
      <c r="AF76" s="419"/>
      <c r="AG76" s="419"/>
      <c r="AH76" s="419"/>
      <c r="AI76" s="420">
        <f t="shared" si="91"/>
        <v>0</v>
      </c>
      <c r="AJ76" s="423">
        <f t="shared" si="92"/>
        <v>0</v>
      </c>
      <c r="AK76" s="419"/>
      <c r="AL76" s="420"/>
      <c r="AM76" s="419"/>
      <c r="AN76" s="420">
        <f t="shared" si="93"/>
        <v>0</v>
      </c>
      <c r="AO76" s="423">
        <f t="shared" si="94"/>
        <v>0</v>
      </c>
      <c r="AP76" s="419"/>
      <c r="AQ76" s="419"/>
      <c r="AR76" s="420"/>
      <c r="AS76" s="420">
        <f t="shared" si="95"/>
        <v>0</v>
      </c>
      <c r="AT76" s="420">
        <f t="shared" si="96"/>
        <v>0</v>
      </c>
      <c r="AU76" s="420"/>
      <c r="AV76" s="420"/>
      <c r="AW76" s="420"/>
      <c r="AX76" s="426">
        <f t="shared" si="97"/>
        <v>0</v>
      </c>
      <c r="AY76" s="420">
        <f t="shared" si="98"/>
        <v>0</v>
      </c>
      <c r="AZ76" s="420"/>
      <c r="BA76" s="420"/>
      <c r="BB76" s="419"/>
      <c r="BC76" s="420">
        <f t="shared" si="99"/>
        <v>0</v>
      </c>
      <c r="BD76" s="427">
        <f t="shared" si="82"/>
        <v>0</v>
      </c>
      <c r="BE76" s="420"/>
      <c r="BF76" s="420"/>
      <c r="BG76" s="420"/>
      <c r="BH76" s="423">
        <f t="shared" si="100"/>
        <v>0</v>
      </c>
      <c r="BI76" s="420">
        <f t="shared" si="101"/>
        <v>0</v>
      </c>
      <c r="BJ76" s="420"/>
      <c r="BK76" s="420"/>
      <c r="BL76" s="420"/>
      <c r="BM76" s="420">
        <f t="shared" si="102"/>
        <v>0</v>
      </c>
      <c r="BN76" s="420">
        <f t="shared" si="103"/>
        <v>0</v>
      </c>
      <c r="BO76" s="419"/>
      <c r="BP76" s="428"/>
      <c r="BQ76" s="420">
        <v>0</v>
      </c>
      <c r="BR76" s="423">
        <f t="shared" si="104"/>
        <v>0</v>
      </c>
      <c r="BS76" s="423">
        <f t="shared" si="105"/>
        <v>0</v>
      </c>
      <c r="BT76" s="420"/>
      <c r="BU76" s="420"/>
      <c r="BV76" s="420"/>
      <c r="BW76" s="420"/>
      <c r="BX76" s="429">
        <f t="shared" si="106"/>
        <v>0</v>
      </c>
      <c r="BY76" s="419"/>
      <c r="BZ76" s="419"/>
      <c r="CA76" s="419"/>
      <c r="CB76" s="420">
        <f t="shared" si="107"/>
        <v>0</v>
      </c>
      <c r="CC76" s="430">
        <f t="shared" si="108"/>
        <v>0</v>
      </c>
      <c r="CD76" s="419"/>
      <c r="CE76" s="419"/>
      <c r="CF76" s="419"/>
      <c r="CG76" s="420">
        <f t="shared" si="109"/>
        <v>0</v>
      </c>
      <c r="CH76" s="423">
        <f t="shared" si="110"/>
        <v>0</v>
      </c>
      <c r="CI76" s="431"/>
      <c r="CJ76" s="431"/>
      <c r="CK76" s="431"/>
      <c r="CL76" s="420">
        <f t="shared" si="111"/>
        <v>0</v>
      </c>
      <c r="CM76" s="423">
        <f t="shared" si="112"/>
        <v>0</v>
      </c>
      <c r="CN76" s="420">
        <v>1147.68</v>
      </c>
      <c r="CO76" s="420"/>
      <c r="CP76" s="420">
        <v>68.86</v>
      </c>
      <c r="CQ76" s="432">
        <v>1147.68</v>
      </c>
      <c r="CR76" s="432">
        <f t="shared" si="113"/>
        <v>0</v>
      </c>
      <c r="CS76" s="420">
        <v>4265.1899999999996</v>
      </c>
      <c r="CT76" s="420"/>
      <c r="CU76" s="420">
        <v>255.91</v>
      </c>
      <c r="CV76" s="420">
        <v>4265.1899999999996</v>
      </c>
      <c r="CW76" s="420">
        <f t="shared" si="114"/>
        <v>0</v>
      </c>
      <c r="CX76" s="419">
        <v>4609.87</v>
      </c>
      <c r="CY76" s="419"/>
      <c r="CZ76" s="419">
        <v>276.58999999999997</v>
      </c>
      <c r="DA76" s="419">
        <f t="shared" si="115"/>
        <v>4609.83</v>
      </c>
      <c r="DB76" s="419">
        <f t="shared" si="116"/>
        <v>-0.04</v>
      </c>
      <c r="DC76" s="419">
        <v>5536.9</v>
      </c>
      <c r="DD76" s="419"/>
      <c r="DE76" s="419">
        <v>332.21</v>
      </c>
      <c r="DF76" s="420">
        <f t="shared" si="117"/>
        <v>5536.8333333333303</v>
      </c>
      <c r="DG76" s="421">
        <f t="shared" si="118"/>
        <v>6.6666666666606006E-2</v>
      </c>
      <c r="DH76" s="419">
        <v>5869.2</v>
      </c>
      <c r="DI76" s="419"/>
      <c r="DJ76" s="419">
        <v>352.15</v>
      </c>
      <c r="DK76" s="420">
        <f t="shared" si="119"/>
        <v>5869.1666666666697</v>
      </c>
      <c r="DL76" s="422">
        <f t="shared" si="120"/>
        <v>-3.3333333333757799E-2</v>
      </c>
      <c r="DM76" s="420">
        <v>15020.82</v>
      </c>
      <c r="DN76" s="420"/>
      <c r="DO76" s="420">
        <v>901.25</v>
      </c>
      <c r="DP76" s="420">
        <f t="shared" si="121"/>
        <v>15020.833333333299</v>
      </c>
      <c r="DQ76" s="420">
        <f t="shared" si="122"/>
        <v>1.33333333342307E-2</v>
      </c>
      <c r="DR76" s="419">
        <v>14001.41</v>
      </c>
      <c r="DS76" s="419"/>
      <c r="DT76" s="419">
        <v>840.08</v>
      </c>
      <c r="DU76" s="420">
        <f t="shared" si="123"/>
        <v>14001.333333333299</v>
      </c>
      <c r="DV76" s="423">
        <f t="shared" si="124"/>
        <v>-7.6666666665914804E-2</v>
      </c>
      <c r="DW76" s="419">
        <v>14044.61</v>
      </c>
      <c r="DX76" s="419">
        <v>171587.85</v>
      </c>
      <c r="DY76" s="419">
        <v>842.68</v>
      </c>
      <c r="DZ76" s="420">
        <f t="shared" si="125"/>
        <v>14044.67</v>
      </c>
      <c r="EA76" s="423">
        <f t="shared" si="126"/>
        <v>0.06</v>
      </c>
      <c r="EB76" s="419">
        <v>175792.38</v>
      </c>
      <c r="EC76" s="419"/>
      <c r="ED76" s="420">
        <v>10547.542799999999</v>
      </c>
      <c r="EE76" s="419">
        <v>175792.38</v>
      </c>
      <c r="EF76" s="420">
        <f t="shared" si="127"/>
        <v>0</v>
      </c>
      <c r="EG76" s="419">
        <v>78884.149999999994</v>
      </c>
      <c r="EI76" s="419">
        <v>4733.04</v>
      </c>
      <c r="EJ76" s="420">
        <f t="shared" si="128"/>
        <v>78884</v>
      </c>
      <c r="EK76" s="420">
        <f t="shared" si="129"/>
        <v>-0.15</v>
      </c>
      <c r="EL76" s="419">
        <v>13250.54</v>
      </c>
      <c r="EN76" s="419">
        <v>795.03</v>
      </c>
      <c r="EO76" s="419">
        <f t="shared" si="130"/>
        <v>13250.5</v>
      </c>
      <c r="EP76" s="419">
        <f t="shared" si="131"/>
        <v>-0.04</v>
      </c>
      <c r="EQ76" s="419">
        <v>10606.03</v>
      </c>
      <c r="ER76" s="419">
        <v>281971.7</v>
      </c>
      <c r="ES76" s="419">
        <v>636.36</v>
      </c>
      <c r="ET76" s="419">
        <f t="shared" si="132"/>
        <v>10606</v>
      </c>
      <c r="EU76" s="419">
        <f t="shared" si="133"/>
        <v>-0.03</v>
      </c>
      <c r="EV76" s="419">
        <v>48681.36</v>
      </c>
      <c r="EW76" s="419"/>
      <c r="EX76" s="419">
        <v>2920.89</v>
      </c>
      <c r="EY76" s="419">
        <f t="shared" si="134"/>
        <v>48681.5</v>
      </c>
      <c r="EZ76" s="419">
        <f t="shared" si="154"/>
        <v>0.14000000000000001</v>
      </c>
      <c r="FA76" s="420">
        <v>847259.03</v>
      </c>
      <c r="FB76" s="420"/>
      <c r="FC76" s="420">
        <v>50835.54</v>
      </c>
      <c r="FD76" s="420">
        <f t="shared" si="135"/>
        <v>847259</v>
      </c>
      <c r="FE76" s="420">
        <f t="shared" si="136"/>
        <v>-0.03</v>
      </c>
      <c r="FF76" s="419">
        <v>523086.28</v>
      </c>
      <c r="FG76" s="419">
        <v>906546.43</v>
      </c>
      <c r="FH76" s="419">
        <v>31385.16</v>
      </c>
      <c r="FI76" s="419">
        <f t="shared" si="137"/>
        <v>523086</v>
      </c>
      <c r="FJ76" s="419">
        <f t="shared" si="138"/>
        <v>-0.28000000000000003</v>
      </c>
      <c r="FK76" s="419"/>
      <c r="FL76" s="419">
        <v>523086.27</v>
      </c>
      <c r="FM76" s="419"/>
      <c r="FN76" s="420">
        <f t="shared" si="139"/>
        <v>0</v>
      </c>
      <c r="FO76" s="423">
        <f t="shared" si="140"/>
        <v>0</v>
      </c>
      <c r="FP76" s="419"/>
      <c r="FQ76" s="419"/>
      <c r="FR76" s="419"/>
      <c r="FS76" s="420">
        <f t="shared" si="141"/>
        <v>0</v>
      </c>
      <c r="FT76" s="420">
        <f t="shared" si="142"/>
        <v>0</v>
      </c>
      <c r="FU76" s="419"/>
      <c r="FV76" s="419"/>
      <c r="FW76" s="419"/>
      <c r="FX76" s="420">
        <f t="shared" si="143"/>
        <v>0</v>
      </c>
      <c r="FY76" s="420">
        <f t="shared" si="144"/>
        <v>0</v>
      </c>
      <c r="FZ76" s="419"/>
      <c r="GA76" s="419"/>
      <c r="GB76" s="419"/>
      <c r="GC76" s="420">
        <f t="shared" si="145"/>
        <v>0</v>
      </c>
      <c r="GD76" s="420">
        <f t="shared" si="146"/>
        <v>0</v>
      </c>
      <c r="GE76" s="419"/>
      <c r="GF76" s="419"/>
      <c r="GG76" s="419"/>
      <c r="GH76" s="420">
        <f t="shared" si="147"/>
        <v>0</v>
      </c>
      <c r="GI76" s="423">
        <f t="shared" si="148"/>
        <v>0</v>
      </c>
      <c r="GJ76" s="419"/>
      <c r="GK76" s="419"/>
      <c r="GL76" s="419"/>
      <c r="GM76" s="420">
        <f t="shared" si="149"/>
        <v>0</v>
      </c>
      <c r="GN76" s="420">
        <f t="shared" si="150"/>
        <v>0</v>
      </c>
      <c r="GO76" s="419"/>
      <c r="GP76" s="419"/>
      <c r="GQ76" s="419"/>
      <c r="GR76" s="420">
        <f t="shared" si="155"/>
        <v>0</v>
      </c>
      <c r="GS76" s="423">
        <f t="shared" si="151"/>
        <v>0</v>
      </c>
      <c r="GT76" s="419"/>
      <c r="GU76" s="419"/>
      <c r="GV76" s="419"/>
      <c r="GW76" s="420">
        <f t="shared" si="152"/>
        <v>0</v>
      </c>
      <c r="GX76" s="420">
        <f t="shared" si="153"/>
        <v>0</v>
      </c>
    </row>
    <row r="77" spans="1:206" ht="15">
      <c r="A77" s="414"/>
      <c r="B77" s="415" t="s">
        <v>520</v>
      </c>
      <c r="C77" s="698"/>
      <c r="D77" s="704" t="s">
        <v>521</v>
      </c>
      <c r="E77" s="434" t="s">
        <v>123</v>
      </c>
      <c r="F77" s="417">
        <v>0.13</v>
      </c>
      <c r="G77" s="418">
        <f t="shared" si="85"/>
        <v>22440628.620000001</v>
      </c>
      <c r="H77" s="418">
        <f t="shared" si="86"/>
        <v>22440628.609999999</v>
      </c>
      <c r="I77" s="418">
        <f t="shared" si="86"/>
        <v>2917281.7168999999</v>
      </c>
      <c r="J77" s="418">
        <f t="shared" si="87"/>
        <v>22440628.5915385</v>
      </c>
      <c r="K77" s="418">
        <f t="shared" si="83"/>
        <v>-1.84615403413773E-2</v>
      </c>
      <c r="L77" s="418">
        <f t="shared" si="84"/>
        <v>-2.8461538255214702E-2</v>
      </c>
      <c r="M77" s="424"/>
      <c r="N77" s="424"/>
      <c r="O77" s="424"/>
      <c r="P77" s="424"/>
      <c r="Q77" s="419"/>
      <c r="R77" s="419"/>
      <c r="S77" s="419"/>
      <c r="T77" s="420"/>
      <c r="U77" s="423"/>
      <c r="V77" s="420"/>
      <c r="W77" s="420"/>
      <c r="X77" s="419"/>
      <c r="Y77" s="419"/>
      <c r="Z77" s="423"/>
      <c r="AA77" s="423"/>
      <c r="AB77" s="419"/>
      <c r="AC77" s="419"/>
      <c r="AD77" s="420">
        <f t="shared" si="89"/>
        <v>0</v>
      </c>
      <c r="AE77" s="423">
        <f t="shared" si="90"/>
        <v>0</v>
      </c>
      <c r="AF77" s="419"/>
      <c r="AG77" s="419"/>
      <c r="AH77" s="419"/>
      <c r="AI77" s="420">
        <f t="shared" si="91"/>
        <v>0</v>
      </c>
      <c r="AJ77" s="423">
        <f t="shared" si="92"/>
        <v>0</v>
      </c>
      <c r="AK77" s="419"/>
      <c r="AL77" s="420"/>
      <c r="AM77" s="419"/>
      <c r="AN77" s="420">
        <f t="shared" si="93"/>
        <v>0</v>
      </c>
      <c r="AO77" s="423">
        <f t="shared" si="94"/>
        <v>0</v>
      </c>
      <c r="AP77" s="419"/>
      <c r="AQ77" s="419"/>
      <c r="AR77" s="420"/>
      <c r="AS77" s="420">
        <f t="shared" si="95"/>
        <v>0</v>
      </c>
      <c r="AT77" s="420">
        <f t="shared" si="96"/>
        <v>0</v>
      </c>
      <c r="AU77" s="420"/>
      <c r="AV77" s="420"/>
      <c r="AW77" s="420"/>
      <c r="AX77" s="426">
        <f t="shared" si="97"/>
        <v>0</v>
      </c>
      <c r="AY77" s="420">
        <f t="shared" si="98"/>
        <v>0</v>
      </c>
      <c r="AZ77" s="419"/>
      <c r="BA77" s="420"/>
      <c r="BB77" s="419"/>
      <c r="BC77" s="420">
        <f t="shared" si="99"/>
        <v>0</v>
      </c>
      <c r="BD77" s="427">
        <f t="shared" si="82"/>
        <v>0</v>
      </c>
      <c r="BE77" s="420"/>
      <c r="BF77" s="420"/>
      <c r="BG77" s="420"/>
      <c r="BH77" s="423">
        <f t="shared" si="100"/>
        <v>0</v>
      </c>
      <c r="BI77" s="420">
        <f t="shared" si="101"/>
        <v>0</v>
      </c>
      <c r="BJ77" s="420"/>
      <c r="BK77" s="420"/>
      <c r="BL77" s="420"/>
      <c r="BM77" s="420">
        <f t="shared" si="102"/>
        <v>0</v>
      </c>
      <c r="BN77" s="420">
        <f t="shared" si="103"/>
        <v>0</v>
      </c>
      <c r="BO77" s="419"/>
      <c r="BP77" s="428"/>
      <c r="BQ77" s="420"/>
      <c r="BR77" s="423">
        <f t="shared" si="104"/>
        <v>0</v>
      </c>
      <c r="BS77" s="423">
        <f t="shared" si="105"/>
        <v>0</v>
      </c>
      <c r="BT77" s="420"/>
      <c r="BU77" s="420"/>
      <c r="BV77" s="420"/>
      <c r="BW77" s="420"/>
      <c r="BX77" s="429">
        <f t="shared" si="106"/>
        <v>0</v>
      </c>
      <c r="BY77" s="419"/>
      <c r="BZ77" s="419"/>
      <c r="CA77" s="419"/>
      <c r="CB77" s="420">
        <f t="shared" si="107"/>
        <v>0</v>
      </c>
      <c r="CC77" s="430">
        <f t="shared" si="108"/>
        <v>0</v>
      </c>
      <c r="CD77" s="419"/>
      <c r="CE77" s="419"/>
      <c r="CF77" s="419"/>
      <c r="CG77" s="420">
        <f t="shared" si="109"/>
        <v>0</v>
      </c>
      <c r="CH77" s="423">
        <f t="shared" si="110"/>
        <v>0</v>
      </c>
      <c r="CI77" s="431"/>
      <c r="CJ77" s="431"/>
      <c r="CK77" s="431"/>
      <c r="CL77" s="420">
        <f t="shared" si="111"/>
        <v>0</v>
      </c>
      <c r="CM77" s="423">
        <f t="shared" si="112"/>
        <v>0</v>
      </c>
      <c r="CN77" s="420"/>
      <c r="CO77" s="420"/>
      <c r="CP77" s="420"/>
      <c r="CQ77" s="432"/>
      <c r="CR77" s="432">
        <f t="shared" si="113"/>
        <v>0</v>
      </c>
      <c r="CS77" s="420"/>
      <c r="CT77" s="420"/>
      <c r="CU77" s="420"/>
      <c r="CV77" s="420"/>
      <c r="CW77" s="420">
        <f t="shared" si="114"/>
        <v>0</v>
      </c>
      <c r="CX77" s="419"/>
      <c r="CY77" s="419"/>
      <c r="CZ77" s="419"/>
      <c r="DA77" s="419">
        <f t="shared" si="115"/>
        <v>0</v>
      </c>
      <c r="DB77" s="419">
        <f t="shared" si="116"/>
        <v>0</v>
      </c>
      <c r="DC77" s="419"/>
      <c r="DD77" s="419"/>
      <c r="DE77" s="419"/>
      <c r="DF77" s="420">
        <f t="shared" si="117"/>
        <v>0</v>
      </c>
      <c r="DG77" s="421">
        <f t="shared" si="118"/>
        <v>0</v>
      </c>
      <c r="DH77" s="419"/>
      <c r="DI77" s="419"/>
      <c r="DJ77" s="419"/>
      <c r="DK77" s="420">
        <f t="shared" si="119"/>
        <v>0</v>
      </c>
      <c r="DL77" s="422">
        <f t="shared" si="120"/>
        <v>0</v>
      </c>
      <c r="DM77" s="420"/>
      <c r="DN77" s="420"/>
      <c r="DO77" s="420"/>
      <c r="DP77" s="420">
        <f t="shared" si="121"/>
        <v>0</v>
      </c>
      <c r="DQ77" s="420">
        <f t="shared" si="122"/>
        <v>0</v>
      </c>
      <c r="DR77" s="419">
        <v>9170585.2100000009</v>
      </c>
      <c r="DS77" s="419"/>
      <c r="DT77" s="419">
        <v>1192176.08</v>
      </c>
      <c r="DU77" s="420">
        <f t="shared" si="123"/>
        <v>9170585.2307692301</v>
      </c>
      <c r="DV77" s="423">
        <f t="shared" si="124"/>
        <v>2.0769231021404301E-2</v>
      </c>
      <c r="DW77" s="419"/>
      <c r="DX77" s="419">
        <v>9170585.2100000009</v>
      </c>
      <c r="DY77" s="419"/>
      <c r="DZ77" s="420">
        <f t="shared" si="125"/>
        <v>0</v>
      </c>
      <c r="EA77" s="423">
        <f t="shared" si="126"/>
        <v>0</v>
      </c>
      <c r="EB77" s="419">
        <v>7910868.1299999999</v>
      </c>
      <c r="EC77" s="419"/>
      <c r="ED77" s="420">
        <v>1028412.8569</v>
      </c>
      <c r="EE77" s="419">
        <v>7910868.1299999999</v>
      </c>
      <c r="EF77" s="420">
        <f t="shared" si="127"/>
        <v>0</v>
      </c>
      <c r="EG77" s="419">
        <v>2413557.4900000002</v>
      </c>
      <c r="EH77" s="419"/>
      <c r="EI77" s="419">
        <v>313762.46999999997</v>
      </c>
      <c r="EJ77" s="420">
        <f t="shared" si="128"/>
        <v>2413557.46</v>
      </c>
      <c r="EK77" s="420">
        <f t="shared" si="129"/>
        <v>-0.03</v>
      </c>
      <c r="EL77" s="419"/>
      <c r="EM77" s="419"/>
      <c r="EN77" s="419"/>
      <c r="EO77" s="419">
        <f t="shared" si="130"/>
        <v>0</v>
      </c>
      <c r="EP77" s="419">
        <f t="shared" si="131"/>
        <v>0</v>
      </c>
      <c r="EQ77" s="419"/>
      <c r="ER77" s="419">
        <v>10324425.609999999</v>
      </c>
      <c r="ES77" s="419"/>
      <c r="ET77" s="419">
        <f t="shared" si="132"/>
        <v>0</v>
      </c>
      <c r="EU77" s="419">
        <f t="shared" si="133"/>
        <v>0</v>
      </c>
      <c r="EV77" s="419"/>
      <c r="EW77" s="419"/>
      <c r="EX77" s="419"/>
      <c r="EY77" s="419">
        <f t="shared" si="134"/>
        <v>0</v>
      </c>
      <c r="EZ77" s="419">
        <f t="shared" si="154"/>
        <v>0</v>
      </c>
      <c r="FA77" s="420">
        <v>2945617.79</v>
      </c>
      <c r="FB77" s="420"/>
      <c r="FC77" s="420">
        <v>382930.31</v>
      </c>
      <c r="FD77" s="420">
        <f t="shared" si="135"/>
        <v>2945617.77</v>
      </c>
      <c r="FE77" s="420">
        <f t="shared" si="136"/>
        <v>-0.02</v>
      </c>
      <c r="FF77" s="419"/>
      <c r="FG77" s="420">
        <v>2945617.79</v>
      </c>
      <c r="FH77" s="419"/>
      <c r="FI77" s="419">
        <f t="shared" si="137"/>
        <v>0</v>
      </c>
      <c r="FJ77" s="419">
        <f t="shared" si="138"/>
        <v>0</v>
      </c>
      <c r="FK77" s="419"/>
      <c r="FL77" s="419"/>
      <c r="FM77" s="419"/>
      <c r="FN77" s="420">
        <f t="shared" si="139"/>
        <v>0</v>
      </c>
      <c r="FO77" s="423">
        <f t="shared" si="140"/>
        <v>0</v>
      </c>
      <c r="FP77" s="419"/>
      <c r="FQ77" s="419"/>
      <c r="FR77" s="419"/>
      <c r="FS77" s="420">
        <f t="shared" si="141"/>
        <v>0</v>
      </c>
      <c r="FT77" s="420">
        <f t="shared" si="142"/>
        <v>0</v>
      </c>
      <c r="FU77" s="419"/>
      <c r="FV77" s="419"/>
      <c r="FW77" s="419"/>
      <c r="FX77" s="420">
        <f t="shared" si="143"/>
        <v>0</v>
      </c>
      <c r="FY77" s="420">
        <f t="shared" si="144"/>
        <v>0</v>
      </c>
      <c r="FZ77" s="419"/>
      <c r="GA77" s="419"/>
      <c r="GB77" s="419"/>
      <c r="GC77" s="420">
        <f t="shared" si="145"/>
        <v>0</v>
      </c>
      <c r="GD77" s="420">
        <f t="shared" si="146"/>
        <v>0</v>
      </c>
      <c r="GE77" s="419"/>
      <c r="GF77" s="419"/>
      <c r="GG77" s="419"/>
      <c r="GH77" s="420">
        <f t="shared" si="147"/>
        <v>0</v>
      </c>
      <c r="GI77" s="423">
        <f t="shared" si="148"/>
        <v>0</v>
      </c>
      <c r="GJ77" s="419"/>
      <c r="GK77" s="419"/>
      <c r="GL77" s="419"/>
      <c r="GM77" s="420">
        <f t="shared" si="149"/>
        <v>0</v>
      </c>
      <c r="GN77" s="420">
        <f t="shared" si="150"/>
        <v>0</v>
      </c>
      <c r="GO77" s="419"/>
      <c r="GP77" s="419"/>
      <c r="GQ77" s="419"/>
      <c r="GR77" s="420">
        <f t="shared" si="155"/>
        <v>0</v>
      </c>
      <c r="GS77" s="423">
        <f t="shared" si="151"/>
        <v>0</v>
      </c>
      <c r="GT77" s="419"/>
      <c r="GU77" s="419"/>
      <c r="GV77" s="419"/>
      <c r="GW77" s="420">
        <f t="shared" si="152"/>
        <v>0</v>
      </c>
      <c r="GX77" s="420">
        <f t="shared" si="153"/>
        <v>0</v>
      </c>
    </row>
    <row r="78" spans="1:206" ht="15">
      <c r="A78" s="414"/>
      <c r="B78" s="415" t="s">
        <v>520</v>
      </c>
      <c r="C78" s="698"/>
      <c r="D78" s="706"/>
      <c r="E78" s="434" t="s">
        <v>124</v>
      </c>
      <c r="F78" s="417">
        <v>0.09</v>
      </c>
      <c r="G78" s="418">
        <f t="shared" si="85"/>
        <v>21806110.66</v>
      </c>
      <c r="H78" s="418">
        <f t="shared" si="86"/>
        <v>21806110.690000001</v>
      </c>
      <c r="I78" s="418">
        <f t="shared" si="86"/>
        <v>1962549.9646000001</v>
      </c>
      <c r="J78" s="418">
        <f t="shared" si="87"/>
        <v>21806110.7177778</v>
      </c>
      <c r="K78" s="418">
        <f t="shared" si="83"/>
        <v>2.7777783572673801E-2</v>
      </c>
      <c r="L78" s="418">
        <f t="shared" si="84"/>
        <v>5.7777781039476402E-2</v>
      </c>
      <c r="M78" s="424"/>
      <c r="N78" s="424"/>
      <c r="O78" s="424"/>
      <c r="P78" s="424"/>
      <c r="Q78" s="419"/>
      <c r="R78" s="419"/>
      <c r="S78" s="419"/>
      <c r="T78" s="420"/>
      <c r="U78" s="423"/>
      <c r="V78" s="420"/>
      <c r="W78" s="420"/>
      <c r="X78" s="419"/>
      <c r="Y78" s="419"/>
      <c r="Z78" s="423"/>
      <c r="AA78" s="423"/>
      <c r="AB78" s="419"/>
      <c r="AC78" s="419"/>
      <c r="AD78" s="420">
        <f t="shared" si="89"/>
        <v>0</v>
      </c>
      <c r="AE78" s="423">
        <f t="shared" si="90"/>
        <v>0</v>
      </c>
      <c r="AF78" s="419"/>
      <c r="AG78" s="419"/>
      <c r="AH78" s="419"/>
      <c r="AI78" s="420">
        <f t="shared" si="91"/>
        <v>0</v>
      </c>
      <c r="AJ78" s="423">
        <f t="shared" si="92"/>
        <v>0</v>
      </c>
      <c r="AK78" s="419"/>
      <c r="AL78" s="420"/>
      <c r="AM78" s="419"/>
      <c r="AN78" s="420">
        <f t="shared" si="93"/>
        <v>0</v>
      </c>
      <c r="AO78" s="423">
        <f t="shared" si="94"/>
        <v>0</v>
      </c>
      <c r="AP78" s="419"/>
      <c r="AQ78" s="419"/>
      <c r="AR78" s="419"/>
      <c r="AS78" s="420">
        <f t="shared" si="95"/>
        <v>0</v>
      </c>
      <c r="AT78" s="420">
        <f t="shared" si="96"/>
        <v>0</v>
      </c>
      <c r="AU78" s="420"/>
      <c r="AV78" s="420"/>
      <c r="AW78" s="420"/>
      <c r="AX78" s="426">
        <f t="shared" si="97"/>
        <v>0</v>
      </c>
      <c r="AY78" s="420">
        <f t="shared" si="98"/>
        <v>0</v>
      </c>
      <c r="AZ78" s="419"/>
      <c r="BA78" s="420"/>
      <c r="BB78" s="419"/>
      <c r="BC78" s="420">
        <f t="shared" si="99"/>
        <v>0</v>
      </c>
      <c r="BD78" s="427">
        <f t="shared" si="82"/>
        <v>0</v>
      </c>
      <c r="BE78" s="420"/>
      <c r="BF78" s="420"/>
      <c r="BG78" s="420"/>
      <c r="BH78" s="423">
        <f t="shared" si="100"/>
        <v>0</v>
      </c>
      <c r="BI78" s="420">
        <f t="shared" si="101"/>
        <v>0</v>
      </c>
      <c r="BJ78" s="420"/>
      <c r="BK78" s="420"/>
      <c r="BL78" s="420"/>
      <c r="BM78" s="420">
        <f t="shared" si="102"/>
        <v>0</v>
      </c>
      <c r="BN78" s="420">
        <f t="shared" si="103"/>
        <v>0</v>
      </c>
      <c r="BO78" s="419"/>
      <c r="BP78" s="428"/>
      <c r="BQ78" s="420"/>
      <c r="BR78" s="423">
        <f t="shared" si="104"/>
        <v>0</v>
      </c>
      <c r="BS78" s="423">
        <f t="shared" si="105"/>
        <v>0</v>
      </c>
      <c r="BT78" s="420"/>
      <c r="BU78" s="420"/>
      <c r="BV78" s="420"/>
      <c r="BW78" s="420"/>
      <c r="BX78" s="429">
        <f t="shared" si="106"/>
        <v>0</v>
      </c>
      <c r="BY78" s="419"/>
      <c r="BZ78" s="419"/>
      <c r="CA78" s="419"/>
      <c r="CB78" s="420">
        <f t="shared" si="107"/>
        <v>0</v>
      </c>
      <c r="CC78" s="430">
        <f t="shared" si="108"/>
        <v>0</v>
      </c>
      <c r="CD78" s="419"/>
      <c r="CE78" s="419"/>
      <c r="CF78" s="419"/>
      <c r="CG78" s="420">
        <f t="shared" si="109"/>
        <v>0</v>
      </c>
      <c r="CH78" s="423">
        <f t="shared" si="110"/>
        <v>0</v>
      </c>
      <c r="CI78" s="431"/>
      <c r="CJ78" s="431"/>
      <c r="CK78" s="431"/>
      <c r="CL78" s="420">
        <f t="shared" si="111"/>
        <v>0</v>
      </c>
      <c r="CM78" s="423">
        <f t="shared" si="112"/>
        <v>0</v>
      </c>
      <c r="CN78" s="420"/>
      <c r="CO78" s="420"/>
      <c r="CP78" s="420"/>
      <c r="CQ78" s="432"/>
      <c r="CR78" s="432">
        <f t="shared" si="113"/>
        <v>0</v>
      </c>
      <c r="CS78" s="420"/>
      <c r="CT78" s="420"/>
      <c r="CU78" s="420"/>
      <c r="CV78" s="420"/>
      <c r="CW78" s="420">
        <f t="shared" si="114"/>
        <v>0</v>
      </c>
      <c r="CX78" s="419"/>
      <c r="CY78" s="419"/>
      <c r="CZ78" s="419"/>
      <c r="DA78" s="419">
        <f t="shared" si="115"/>
        <v>0</v>
      </c>
      <c r="DB78" s="419">
        <f t="shared" si="116"/>
        <v>0</v>
      </c>
      <c r="DC78" s="419"/>
      <c r="DD78" s="419"/>
      <c r="DE78" s="419"/>
      <c r="DF78" s="420">
        <f t="shared" si="117"/>
        <v>0</v>
      </c>
      <c r="DG78" s="421">
        <f t="shared" si="118"/>
        <v>0</v>
      </c>
      <c r="DH78" s="419"/>
      <c r="DI78" s="419"/>
      <c r="DJ78" s="419"/>
      <c r="DK78" s="420">
        <f t="shared" si="119"/>
        <v>0</v>
      </c>
      <c r="DL78" s="422">
        <f t="shared" si="120"/>
        <v>0</v>
      </c>
      <c r="DM78" s="420">
        <v>3319708.38</v>
      </c>
      <c r="DN78" s="420"/>
      <c r="DO78" s="420">
        <v>298773.75</v>
      </c>
      <c r="DP78" s="420">
        <f t="shared" si="121"/>
        <v>3319708.3333333302</v>
      </c>
      <c r="DQ78" s="420">
        <f t="shared" si="122"/>
        <v>-4.6666666399687501E-2</v>
      </c>
      <c r="DR78" s="419">
        <v>4260806.54</v>
      </c>
      <c r="DS78" s="419"/>
      <c r="DT78" s="419">
        <v>383472.59</v>
      </c>
      <c r="DU78" s="420">
        <f t="shared" si="123"/>
        <v>4260806.5555555597</v>
      </c>
      <c r="DV78" s="423">
        <f t="shared" si="124"/>
        <v>1.55555559322238E-2</v>
      </c>
      <c r="DW78" s="419">
        <v>1846968.58</v>
      </c>
      <c r="DX78" s="420">
        <v>7647708.8700000001</v>
      </c>
      <c r="DY78" s="419">
        <v>166227.17000000001</v>
      </c>
      <c r="DZ78" s="420">
        <f t="shared" si="125"/>
        <v>1846968.56</v>
      </c>
      <c r="EA78" s="423">
        <f t="shared" si="126"/>
        <v>-0.02</v>
      </c>
      <c r="EB78" s="420">
        <v>2963842.94</v>
      </c>
      <c r="EC78" s="419"/>
      <c r="ED78" s="420">
        <v>266745.86459999997</v>
      </c>
      <c r="EE78" s="419">
        <v>2963842.94</v>
      </c>
      <c r="EF78" s="420">
        <f t="shared" si="127"/>
        <v>0</v>
      </c>
      <c r="EG78" s="419">
        <v>1504093.06</v>
      </c>
      <c r="EH78" s="419">
        <v>4743617.57</v>
      </c>
      <c r="EI78" s="419">
        <v>135368.37</v>
      </c>
      <c r="EJ78" s="420">
        <f t="shared" si="128"/>
        <v>1504093</v>
      </c>
      <c r="EK78" s="420">
        <f t="shared" si="129"/>
        <v>-0.06</v>
      </c>
      <c r="EL78" s="419"/>
      <c r="EM78" s="419"/>
      <c r="EN78" s="419"/>
      <c r="EO78" s="419">
        <f t="shared" si="130"/>
        <v>0</v>
      </c>
      <c r="EP78" s="419">
        <f t="shared" si="131"/>
        <v>0</v>
      </c>
      <c r="EQ78" s="419">
        <v>3213327.98</v>
      </c>
      <c r="ER78" s="419">
        <v>4717421.0599999996</v>
      </c>
      <c r="ES78" s="419">
        <v>289199.52</v>
      </c>
      <c r="ET78" s="419">
        <f t="shared" si="132"/>
        <v>3213328</v>
      </c>
      <c r="EU78" s="419">
        <f t="shared" si="133"/>
        <v>0.02</v>
      </c>
      <c r="EV78" s="419"/>
      <c r="EW78" s="419"/>
      <c r="EX78" s="419"/>
      <c r="EY78" s="419">
        <f t="shared" si="134"/>
        <v>0</v>
      </c>
      <c r="EZ78" s="419">
        <f t="shared" si="154"/>
        <v>0</v>
      </c>
      <c r="FA78" s="456">
        <v>2040598.26</v>
      </c>
      <c r="FB78" s="420"/>
      <c r="FC78" s="456">
        <v>183653.85</v>
      </c>
      <c r="FD78" s="420">
        <f t="shared" si="135"/>
        <v>2040598.33</v>
      </c>
      <c r="FE78" s="420">
        <f t="shared" si="136"/>
        <v>7.0000000000000007E-2</v>
      </c>
      <c r="FF78" s="419">
        <v>1218003.46</v>
      </c>
      <c r="FG78" s="419">
        <v>2040598.26</v>
      </c>
      <c r="FH78" s="419">
        <v>109620.31</v>
      </c>
      <c r="FI78" s="419">
        <f t="shared" si="137"/>
        <v>1218003.4444444401</v>
      </c>
      <c r="FJ78" s="419">
        <f t="shared" si="138"/>
        <v>-0.02</v>
      </c>
      <c r="FK78" s="419">
        <v>1438761.46</v>
      </c>
      <c r="FL78" s="419">
        <v>2656764.9300000002</v>
      </c>
      <c r="FM78" s="419">
        <v>129488.54</v>
      </c>
      <c r="FN78" s="420">
        <f t="shared" si="139"/>
        <v>1438761.56</v>
      </c>
      <c r="FO78" s="423">
        <f t="shared" si="140"/>
        <v>0.1</v>
      </c>
      <c r="FP78" s="419"/>
      <c r="FQ78" s="419"/>
      <c r="FR78" s="419"/>
      <c r="FS78" s="420">
        <f t="shared" si="141"/>
        <v>0</v>
      </c>
      <c r="FT78" s="420">
        <f t="shared" si="142"/>
        <v>0</v>
      </c>
      <c r="FU78" s="419"/>
      <c r="FV78" s="419"/>
      <c r="FW78" s="419"/>
      <c r="FX78" s="420">
        <f t="shared" si="143"/>
        <v>0</v>
      </c>
      <c r="FY78" s="420">
        <f t="shared" si="144"/>
        <v>0</v>
      </c>
      <c r="FZ78" s="419"/>
      <c r="GA78" s="419"/>
      <c r="GB78" s="419"/>
      <c r="GC78" s="420">
        <f t="shared" si="145"/>
        <v>0</v>
      </c>
      <c r="GD78" s="420">
        <f t="shared" si="146"/>
        <v>0</v>
      </c>
      <c r="GE78" s="419"/>
      <c r="GF78" s="419"/>
      <c r="GG78" s="419"/>
      <c r="GH78" s="420">
        <f t="shared" si="147"/>
        <v>0</v>
      </c>
      <c r="GI78" s="423">
        <f t="shared" si="148"/>
        <v>0</v>
      </c>
      <c r="GJ78" s="419"/>
      <c r="GK78" s="419"/>
      <c r="GL78" s="419"/>
      <c r="GM78" s="420">
        <f t="shared" si="149"/>
        <v>0</v>
      </c>
      <c r="GN78" s="420">
        <f t="shared" si="150"/>
        <v>0</v>
      </c>
      <c r="GO78" s="419"/>
      <c r="GP78" s="419"/>
      <c r="GQ78" s="419"/>
      <c r="GR78" s="420">
        <f t="shared" si="155"/>
        <v>0</v>
      </c>
      <c r="GS78" s="423">
        <f t="shared" si="151"/>
        <v>0</v>
      </c>
      <c r="GT78" s="419"/>
      <c r="GU78" s="419"/>
      <c r="GV78" s="419"/>
      <c r="GW78" s="420">
        <f t="shared" si="152"/>
        <v>0</v>
      </c>
      <c r="GX78" s="420">
        <f t="shared" si="153"/>
        <v>0</v>
      </c>
    </row>
    <row r="79" spans="1:206" ht="15">
      <c r="A79" s="414"/>
      <c r="B79" s="415" t="s">
        <v>520</v>
      </c>
      <c r="C79" s="698"/>
      <c r="D79" s="707"/>
      <c r="E79" s="434" t="s">
        <v>125</v>
      </c>
      <c r="F79" s="417">
        <v>0.06</v>
      </c>
      <c r="G79" s="418">
        <f t="shared" si="85"/>
        <v>2456936.29</v>
      </c>
      <c r="H79" s="418">
        <f t="shared" si="86"/>
        <v>2456936.27</v>
      </c>
      <c r="I79" s="418">
        <f t="shared" si="86"/>
        <v>147416.1776</v>
      </c>
      <c r="J79" s="418">
        <f t="shared" si="87"/>
        <v>2456936.2933333302</v>
      </c>
      <c r="K79" s="418">
        <f t="shared" si="83"/>
        <v>2.3333333432674401E-2</v>
      </c>
      <c r="L79" s="418">
        <f t="shared" si="84"/>
        <v>3.3333334140479599E-3</v>
      </c>
      <c r="M79" s="424"/>
      <c r="N79" s="424"/>
      <c r="O79" s="424"/>
      <c r="P79" s="424"/>
      <c r="Q79" s="419"/>
      <c r="R79" s="419"/>
      <c r="S79" s="419"/>
      <c r="T79" s="420"/>
      <c r="U79" s="423"/>
      <c r="V79" s="420"/>
      <c r="W79" s="420"/>
      <c r="X79" s="419"/>
      <c r="Y79" s="419"/>
      <c r="Z79" s="423"/>
      <c r="AA79" s="423">
        <v>223448.12</v>
      </c>
      <c r="AB79" s="419"/>
      <c r="AC79" s="423">
        <f>AA79*F79</f>
        <v>13406.887199999999</v>
      </c>
      <c r="AD79" s="420">
        <f t="shared" si="89"/>
        <v>223448.12</v>
      </c>
      <c r="AE79" s="423">
        <f t="shared" si="90"/>
        <v>0</v>
      </c>
      <c r="AF79" s="419"/>
      <c r="AG79" s="419"/>
      <c r="AH79" s="419"/>
      <c r="AI79" s="420">
        <f t="shared" si="91"/>
        <v>0</v>
      </c>
      <c r="AJ79" s="423">
        <f t="shared" si="92"/>
        <v>0</v>
      </c>
      <c r="AK79" s="419"/>
      <c r="AL79" s="420"/>
      <c r="AM79" s="419"/>
      <c r="AN79" s="420">
        <f t="shared" si="93"/>
        <v>0</v>
      </c>
      <c r="AO79" s="423">
        <f t="shared" si="94"/>
        <v>0</v>
      </c>
      <c r="AP79" s="419"/>
      <c r="AQ79" s="419"/>
      <c r="AR79" s="420"/>
      <c r="AS79" s="420">
        <f t="shared" si="95"/>
        <v>0</v>
      </c>
      <c r="AT79" s="420">
        <f t="shared" si="96"/>
        <v>0</v>
      </c>
      <c r="AU79" s="420"/>
      <c r="AV79" s="420"/>
      <c r="AW79" s="420"/>
      <c r="AX79" s="426">
        <f t="shared" si="97"/>
        <v>0</v>
      </c>
      <c r="AY79" s="420">
        <f t="shared" si="98"/>
        <v>0</v>
      </c>
      <c r="AZ79" s="420"/>
      <c r="BA79" s="420"/>
      <c r="BB79" s="419"/>
      <c r="BC79" s="420">
        <f t="shared" si="99"/>
        <v>0</v>
      </c>
      <c r="BD79" s="427">
        <f t="shared" si="82"/>
        <v>0</v>
      </c>
      <c r="BE79" s="420"/>
      <c r="BF79" s="420"/>
      <c r="BG79" s="420"/>
      <c r="BH79" s="423">
        <f t="shared" si="100"/>
        <v>0</v>
      </c>
      <c r="BI79" s="420">
        <f t="shared" si="101"/>
        <v>0</v>
      </c>
      <c r="BJ79" s="420"/>
      <c r="BK79" s="420"/>
      <c r="BL79" s="420"/>
      <c r="BM79" s="420">
        <f t="shared" si="102"/>
        <v>0</v>
      </c>
      <c r="BN79" s="420">
        <f t="shared" si="103"/>
        <v>0</v>
      </c>
      <c r="BO79" s="419"/>
      <c r="BP79" s="428"/>
      <c r="BQ79" s="420">
        <v>0</v>
      </c>
      <c r="BR79" s="423">
        <f t="shared" si="104"/>
        <v>0</v>
      </c>
      <c r="BS79" s="423">
        <f t="shared" si="105"/>
        <v>0</v>
      </c>
      <c r="BT79" s="420">
        <v>39433.96</v>
      </c>
      <c r="BU79" s="420"/>
      <c r="BV79" s="420">
        <v>2366.04</v>
      </c>
      <c r="BW79" s="420">
        <v>39433.96</v>
      </c>
      <c r="BX79" s="429">
        <f t="shared" si="106"/>
        <v>0</v>
      </c>
      <c r="BY79" s="419"/>
      <c r="BZ79" s="419"/>
      <c r="CA79" s="419"/>
      <c r="CB79" s="420">
        <f t="shared" si="107"/>
        <v>0</v>
      </c>
      <c r="CC79" s="430">
        <f t="shared" si="108"/>
        <v>0</v>
      </c>
      <c r="CD79" s="419"/>
      <c r="CE79" s="419"/>
      <c r="CF79" s="419"/>
      <c r="CG79" s="420">
        <f t="shared" si="109"/>
        <v>0</v>
      </c>
      <c r="CH79" s="423">
        <f t="shared" si="110"/>
        <v>0</v>
      </c>
      <c r="CI79" s="431"/>
      <c r="CJ79" s="431"/>
      <c r="CK79" s="431"/>
      <c r="CL79" s="420">
        <f t="shared" si="111"/>
        <v>0</v>
      </c>
      <c r="CM79" s="423">
        <f t="shared" si="112"/>
        <v>0</v>
      </c>
      <c r="CN79" s="420">
        <v>1721.53</v>
      </c>
      <c r="CO79" s="420"/>
      <c r="CP79" s="420">
        <v>103.29</v>
      </c>
      <c r="CQ79" s="432">
        <v>1721.53</v>
      </c>
      <c r="CR79" s="432">
        <f t="shared" si="113"/>
        <v>0</v>
      </c>
      <c r="CS79" s="420">
        <v>6397.78</v>
      </c>
      <c r="CT79" s="420"/>
      <c r="CU79" s="420">
        <v>383.87</v>
      </c>
      <c r="CV79" s="420">
        <v>6397.78</v>
      </c>
      <c r="CW79" s="420">
        <f t="shared" si="114"/>
        <v>0</v>
      </c>
      <c r="CX79" s="419">
        <v>6914.81</v>
      </c>
      <c r="CY79" s="419"/>
      <c r="CZ79" s="419">
        <v>414.89</v>
      </c>
      <c r="DA79" s="419">
        <f t="shared" si="115"/>
        <v>6914.83</v>
      </c>
      <c r="DB79" s="419">
        <f t="shared" si="116"/>
        <v>0.02</v>
      </c>
      <c r="DC79" s="419">
        <v>8305.35</v>
      </c>
      <c r="DD79" s="419"/>
      <c r="DE79" s="419">
        <v>498.32</v>
      </c>
      <c r="DF79" s="420">
        <f t="shared" si="117"/>
        <v>8305.3333333333303</v>
      </c>
      <c r="DG79" s="421">
        <f t="shared" si="118"/>
        <v>1.66666666664241E-2</v>
      </c>
      <c r="DH79" s="419">
        <v>8803.7999999999993</v>
      </c>
      <c r="DI79" s="419"/>
      <c r="DJ79" s="419">
        <v>528.23</v>
      </c>
      <c r="DK79" s="420">
        <f t="shared" si="119"/>
        <v>8803.8333333333303</v>
      </c>
      <c r="DL79" s="422">
        <f t="shared" si="120"/>
        <v>3.3333333334667301E-2</v>
      </c>
      <c r="DM79" s="420">
        <v>22531.22</v>
      </c>
      <c r="DN79" s="420"/>
      <c r="DO79" s="420">
        <v>1351.88</v>
      </c>
      <c r="DP79" s="420">
        <f t="shared" si="121"/>
        <v>22531.333333333299</v>
      </c>
      <c r="DQ79" s="420">
        <f t="shared" si="122"/>
        <v>0.113333333334594</v>
      </c>
      <c r="DR79" s="419">
        <v>21002.11</v>
      </c>
      <c r="DS79" s="419"/>
      <c r="DT79" s="419">
        <v>1260.1199999999999</v>
      </c>
      <c r="DU79" s="420">
        <f t="shared" si="123"/>
        <v>21002</v>
      </c>
      <c r="DV79" s="423">
        <f t="shared" si="124"/>
        <v>-0.11000000000058199</v>
      </c>
      <c r="DW79" s="419">
        <v>21066.93</v>
      </c>
      <c r="DX79" s="419">
        <v>338558.67</v>
      </c>
      <c r="DY79" s="419">
        <v>1264.01</v>
      </c>
      <c r="DZ79" s="420">
        <f t="shared" si="125"/>
        <v>21066.83</v>
      </c>
      <c r="EA79" s="423">
        <f t="shared" si="126"/>
        <v>-0.1</v>
      </c>
      <c r="EB79" s="419">
        <v>183900.84</v>
      </c>
      <c r="EC79" s="419"/>
      <c r="ED79" s="420">
        <v>11034.0504</v>
      </c>
      <c r="EE79" s="419">
        <v>183900.84</v>
      </c>
      <c r="EF79" s="420">
        <f t="shared" si="127"/>
        <v>0</v>
      </c>
      <c r="EG79" s="419">
        <v>118326.21</v>
      </c>
      <c r="EI79" s="419">
        <v>7099.58</v>
      </c>
      <c r="EJ79" s="420">
        <f t="shared" si="128"/>
        <v>118326.33</v>
      </c>
      <c r="EK79" s="420">
        <f t="shared" si="129"/>
        <v>0.12</v>
      </c>
      <c r="EL79" s="419">
        <v>19875.82</v>
      </c>
      <c r="EN79" s="419">
        <v>1192.55</v>
      </c>
      <c r="EO79" s="419">
        <f t="shared" si="130"/>
        <v>19875.830000000002</v>
      </c>
      <c r="EP79" s="419">
        <f t="shared" si="131"/>
        <v>0.01</v>
      </c>
      <c r="EQ79" s="419">
        <v>15909.05</v>
      </c>
      <c r="ER79" s="419">
        <v>343169.8</v>
      </c>
      <c r="ES79" s="419">
        <v>954.54</v>
      </c>
      <c r="ET79" s="419">
        <f t="shared" si="132"/>
        <v>15909</v>
      </c>
      <c r="EU79" s="419">
        <f t="shared" si="133"/>
        <v>-0.05</v>
      </c>
      <c r="EV79" s="419">
        <v>92361.67</v>
      </c>
      <c r="EW79" s="419"/>
      <c r="EX79" s="419">
        <v>5541.7</v>
      </c>
      <c r="EY79" s="419">
        <f t="shared" si="134"/>
        <v>92361.67</v>
      </c>
      <c r="EZ79" s="419">
        <f t="shared" si="154"/>
        <v>0</v>
      </c>
      <c r="FA79" s="420">
        <v>1011621.58</v>
      </c>
      <c r="FB79" s="420"/>
      <c r="FC79" s="420">
        <v>60697.3</v>
      </c>
      <c r="FD79" s="420">
        <f t="shared" si="135"/>
        <v>1011621.67</v>
      </c>
      <c r="FE79" s="420">
        <f t="shared" si="136"/>
        <v>0.09</v>
      </c>
      <c r="FF79" s="419">
        <v>655315.51</v>
      </c>
      <c r="FG79" s="419">
        <v>1119892.29</v>
      </c>
      <c r="FH79" s="419">
        <v>39318.92</v>
      </c>
      <c r="FI79" s="419">
        <f t="shared" si="137"/>
        <v>655315.33333333302</v>
      </c>
      <c r="FJ79" s="419">
        <f t="shared" si="138"/>
        <v>-0.18</v>
      </c>
      <c r="FK79" s="419"/>
      <c r="FL79" s="419">
        <v>655315.51</v>
      </c>
      <c r="FM79" s="419"/>
      <c r="FN79" s="420">
        <f t="shared" si="139"/>
        <v>0</v>
      </c>
      <c r="FO79" s="423">
        <f t="shared" si="140"/>
        <v>0</v>
      </c>
      <c r="FP79" s="419"/>
      <c r="FQ79" s="419"/>
      <c r="FR79" s="419"/>
      <c r="FS79" s="420">
        <f t="shared" si="141"/>
        <v>0</v>
      </c>
      <c r="FT79" s="420">
        <f t="shared" si="142"/>
        <v>0</v>
      </c>
      <c r="FU79" s="419"/>
      <c r="FV79" s="419"/>
      <c r="FW79" s="419"/>
      <c r="FX79" s="420">
        <f t="shared" si="143"/>
        <v>0</v>
      </c>
      <c r="FY79" s="420">
        <f t="shared" si="144"/>
        <v>0</v>
      </c>
      <c r="FZ79" s="419"/>
      <c r="GA79" s="419"/>
      <c r="GB79" s="419"/>
      <c r="GC79" s="420">
        <f t="shared" si="145"/>
        <v>0</v>
      </c>
      <c r="GD79" s="420">
        <f t="shared" si="146"/>
        <v>0</v>
      </c>
      <c r="GE79" s="419"/>
      <c r="GF79" s="419"/>
      <c r="GG79" s="419"/>
      <c r="GH79" s="420">
        <f t="shared" si="147"/>
        <v>0</v>
      </c>
      <c r="GI79" s="423">
        <f t="shared" si="148"/>
        <v>0</v>
      </c>
      <c r="GJ79" s="419"/>
      <c r="GK79" s="419"/>
      <c r="GL79" s="419"/>
      <c r="GM79" s="420">
        <f t="shared" si="149"/>
        <v>0</v>
      </c>
      <c r="GN79" s="420">
        <f t="shared" si="150"/>
        <v>0</v>
      </c>
      <c r="GO79" s="419"/>
      <c r="GP79" s="419"/>
      <c r="GQ79" s="419"/>
      <c r="GR79" s="420">
        <f t="shared" si="155"/>
        <v>0</v>
      </c>
      <c r="GS79" s="423">
        <f t="shared" si="151"/>
        <v>0</v>
      </c>
      <c r="GT79" s="419"/>
      <c r="GU79" s="419"/>
      <c r="GV79" s="419"/>
      <c r="GW79" s="420">
        <f t="shared" si="152"/>
        <v>0</v>
      </c>
      <c r="GX79" s="420">
        <f t="shared" si="153"/>
        <v>0</v>
      </c>
    </row>
    <row r="80" spans="1:206" ht="15">
      <c r="A80" s="414"/>
      <c r="B80" s="415" t="s">
        <v>522</v>
      </c>
      <c r="C80" s="698"/>
      <c r="D80" s="704" t="s">
        <v>523</v>
      </c>
      <c r="E80" s="434" t="s">
        <v>123</v>
      </c>
      <c r="F80" s="417">
        <v>0.13</v>
      </c>
      <c r="G80" s="418">
        <f t="shared" si="85"/>
        <v>123055178.94</v>
      </c>
      <c r="H80" s="418">
        <f t="shared" si="86"/>
        <v>123055178.97</v>
      </c>
      <c r="I80" s="418">
        <f t="shared" si="86"/>
        <v>15997173.250321001</v>
      </c>
      <c r="J80" s="418">
        <f t="shared" si="87"/>
        <v>123055178.84862299</v>
      </c>
      <c r="K80" s="418">
        <f t="shared" si="83"/>
        <v>-0.12137690186500499</v>
      </c>
      <c r="L80" s="418">
        <f t="shared" si="84"/>
        <v>-9.1376900672912598E-2</v>
      </c>
      <c r="M80" s="424"/>
      <c r="N80" s="424"/>
      <c r="O80" s="424"/>
      <c r="P80" s="424"/>
      <c r="Q80" s="419"/>
      <c r="R80" s="419"/>
      <c r="S80" s="419"/>
      <c r="T80" s="420"/>
      <c r="U80" s="423"/>
      <c r="V80" s="420"/>
      <c r="W80" s="420"/>
      <c r="X80" s="419"/>
      <c r="Y80" s="419"/>
      <c r="Z80" s="423"/>
      <c r="AA80" s="423"/>
      <c r="AB80" s="419"/>
      <c r="AC80" s="423"/>
      <c r="AD80" s="420"/>
      <c r="AE80" s="423"/>
      <c r="AF80" s="419"/>
      <c r="AG80" s="419"/>
      <c r="AH80" s="419"/>
      <c r="AI80" s="420"/>
      <c r="AJ80" s="423"/>
      <c r="AK80" s="419"/>
      <c r="AL80" s="420"/>
      <c r="AM80" s="419"/>
      <c r="AN80" s="420"/>
      <c r="AO80" s="423"/>
      <c r="AP80" s="444">
        <v>227219.43</v>
      </c>
      <c r="AQ80" s="419"/>
      <c r="AR80" s="420">
        <v>29538.526120999999</v>
      </c>
      <c r="AS80" s="420">
        <f t="shared" si="95"/>
        <v>227219.43169999999</v>
      </c>
      <c r="AT80" s="420">
        <f t="shared" si="96"/>
        <v>1.69999999343418E-3</v>
      </c>
      <c r="AU80" s="420">
        <v>695330.34</v>
      </c>
      <c r="AV80" s="420"/>
      <c r="AW80" s="435">
        <v>90392.944199999998</v>
      </c>
      <c r="AX80" s="426">
        <f t="shared" si="97"/>
        <v>695330.34</v>
      </c>
      <c r="AY80" s="420">
        <f t="shared" si="98"/>
        <v>0</v>
      </c>
      <c r="AZ80" s="419"/>
      <c r="BA80" s="420"/>
      <c r="BB80" s="419"/>
      <c r="BC80" s="420">
        <f t="shared" si="99"/>
        <v>0</v>
      </c>
      <c r="BD80" s="427">
        <f t="shared" si="82"/>
        <v>0</v>
      </c>
      <c r="BE80" s="420"/>
      <c r="BF80" s="420"/>
      <c r="BG80" s="420"/>
      <c r="BH80" s="423">
        <f t="shared" si="100"/>
        <v>0</v>
      </c>
      <c r="BI80" s="420">
        <f t="shared" si="101"/>
        <v>0</v>
      </c>
      <c r="BJ80" s="420">
        <v>4870499.67</v>
      </c>
      <c r="BK80" s="420"/>
      <c r="BL80" s="420">
        <v>633164.96</v>
      </c>
      <c r="BM80" s="420">
        <f t="shared" si="102"/>
        <v>4870499.6923076902</v>
      </c>
      <c r="BN80" s="420">
        <f t="shared" si="103"/>
        <v>2.2307692095637301E-2</v>
      </c>
      <c r="BO80" s="419"/>
      <c r="BP80" s="428"/>
      <c r="BQ80" s="420"/>
      <c r="BR80" s="423">
        <f t="shared" si="104"/>
        <v>0</v>
      </c>
      <c r="BS80" s="423">
        <f t="shared" si="105"/>
        <v>0</v>
      </c>
      <c r="BT80" s="420">
        <v>84364.800000000003</v>
      </c>
      <c r="BU80" s="426">
        <v>5793049.4400000004</v>
      </c>
      <c r="BV80" s="420">
        <v>10967.42</v>
      </c>
      <c r="BW80" s="420">
        <v>84364.800000000003</v>
      </c>
      <c r="BX80" s="429">
        <f t="shared" si="106"/>
        <v>0</v>
      </c>
      <c r="BY80" s="419"/>
      <c r="BZ80" s="419"/>
      <c r="CA80" s="419"/>
      <c r="CB80" s="420">
        <f t="shared" si="107"/>
        <v>0</v>
      </c>
      <c r="CC80" s="430">
        <f t="shared" si="108"/>
        <v>0</v>
      </c>
      <c r="CD80" s="419"/>
      <c r="CE80" s="419"/>
      <c r="CF80" s="419"/>
      <c r="CG80" s="420">
        <f t="shared" si="109"/>
        <v>0</v>
      </c>
      <c r="CH80" s="423">
        <f t="shared" si="110"/>
        <v>0</v>
      </c>
      <c r="CI80" s="431"/>
      <c r="CJ80" s="431"/>
      <c r="CK80" s="431"/>
      <c r="CL80" s="420">
        <f t="shared" si="111"/>
        <v>0</v>
      </c>
      <c r="CM80" s="423">
        <f t="shared" si="112"/>
        <v>0</v>
      </c>
      <c r="CN80" s="420"/>
      <c r="CO80" s="420"/>
      <c r="CP80" s="420"/>
      <c r="CQ80" s="432"/>
      <c r="CR80" s="432">
        <f t="shared" si="113"/>
        <v>0</v>
      </c>
      <c r="CS80" s="420">
        <v>27172547.760000002</v>
      </c>
      <c r="CT80" s="420"/>
      <c r="CU80" s="420">
        <v>3532431.2</v>
      </c>
      <c r="CV80" s="420">
        <v>27172547.760000002</v>
      </c>
      <c r="CW80" s="420">
        <f t="shared" si="114"/>
        <v>0</v>
      </c>
      <c r="CX80" s="419"/>
      <c r="CY80" s="419"/>
      <c r="CZ80" s="419"/>
      <c r="DA80" s="419">
        <f t="shared" si="115"/>
        <v>0</v>
      </c>
      <c r="DB80" s="419">
        <f t="shared" si="116"/>
        <v>0</v>
      </c>
      <c r="DC80" s="419">
        <v>9672226.6500000004</v>
      </c>
      <c r="DD80" s="420">
        <v>3023594.16</v>
      </c>
      <c r="DE80" s="419">
        <v>1257389.47</v>
      </c>
      <c r="DF80" s="420">
        <f t="shared" si="117"/>
        <v>9672226.6923076902</v>
      </c>
      <c r="DG80" s="421">
        <f t="shared" si="118"/>
        <v>-4.23076916486025E-2</v>
      </c>
      <c r="DH80" s="419">
        <v>4656261.0599999996</v>
      </c>
      <c r="DI80" s="419"/>
      <c r="DJ80" s="419">
        <v>605313.93999999994</v>
      </c>
      <c r="DK80" s="420">
        <f t="shared" si="119"/>
        <v>4656261.0769230798</v>
      </c>
      <c r="DL80" s="422">
        <f t="shared" si="120"/>
        <v>1.69230764731765E-2</v>
      </c>
      <c r="DM80" s="420">
        <v>33315268.170000002</v>
      </c>
      <c r="DN80" s="420">
        <v>63877738</v>
      </c>
      <c r="DO80" s="420">
        <v>4330984.8600000003</v>
      </c>
      <c r="DP80" s="420">
        <f t="shared" si="121"/>
        <v>33315268.153846201</v>
      </c>
      <c r="DQ80" s="420">
        <f t="shared" si="122"/>
        <v>-1.615384593606E-2</v>
      </c>
      <c r="DR80" s="419">
        <v>42260668.729999997</v>
      </c>
      <c r="DS80" s="419">
        <v>32148289.850000001</v>
      </c>
      <c r="DT80" s="419">
        <v>5493886.9299999997</v>
      </c>
      <c r="DU80" s="420">
        <f t="shared" si="123"/>
        <v>42260668.692307703</v>
      </c>
      <c r="DV80" s="423">
        <f t="shared" si="124"/>
        <v>-3.7692308425903299E-2</v>
      </c>
      <c r="DW80" s="419"/>
      <c r="DX80" s="419">
        <v>18111715.190000001</v>
      </c>
      <c r="DY80" s="419"/>
      <c r="DZ80" s="420">
        <f t="shared" si="125"/>
        <v>0</v>
      </c>
      <c r="EA80" s="423">
        <f t="shared" si="126"/>
        <v>0</v>
      </c>
      <c r="EB80" s="419"/>
      <c r="EC80" s="419"/>
      <c r="ED80" s="420"/>
      <c r="EE80" s="419"/>
      <c r="EF80" s="420">
        <f t="shared" si="127"/>
        <v>0</v>
      </c>
      <c r="EG80" s="420">
        <v>100792.33</v>
      </c>
      <c r="EH80" s="420"/>
      <c r="EI80" s="420">
        <v>13103</v>
      </c>
      <c r="EJ80" s="420">
        <f t="shared" si="128"/>
        <v>100792.31</v>
      </c>
      <c r="EK80" s="420">
        <f t="shared" si="129"/>
        <v>-0.02</v>
      </c>
      <c r="EL80" s="419"/>
      <c r="EM80" s="419">
        <v>100792.33</v>
      </c>
      <c r="EN80" s="419"/>
      <c r="EO80" s="419">
        <f t="shared" si="130"/>
        <v>0</v>
      </c>
      <c r="EP80" s="419">
        <f t="shared" si="131"/>
        <v>0</v>
      </c>
      <c r="EQ80" s="419"/>
      <c r="ER80" s="419"/>
      <c r="ES80" s="419"/>
      <c r="ET80" s="419">
        <f t="shared" si="132"/>
        <v>0</v>
      </c>
      <c r="EU80" s="419">
        <f t="shared" si="133"/>
        <v>0</v>
      </c>
      <c r="EV80" s="419"/>
      <c r="EW80" s="419"/>
      <c r="EX80" s="419"/>
      <c r="EY80" s="419">
        <f t="shared" si="134"/>
        <v>0</v>
      </c>
      <c r="EZ80" s="419">
        <f t="shared" si="154"/>
        <v>0</v>
      </c>
      <c r="FA80" s="420"/>
      <c r="FB80" s="420"/>
      <c r="FC80" s="420"/>
      <c r="FD80" s="420">
        <f t="shared" si="135"/>
        <v>0</v>
      </c>
      <c r="FE80" s="420">
        <f t="shared" si="136"/>
        <v>0</v>
      </c>
      <c r="FF80" s="419"/>
      <c r="FG80" s="419"/>
      <c r="FH80" s="419"/>
      <c r="FI80" s="419">
        <f t="shared" si="137"/>
        <v>0</v>
      </c>
      <c r="FJ80" s="419">
        <f t="shared" si="138"/>
        <v>0</v>
      </c>
      <c r="FK80" s="419"/>
      <c r="FL80" s="419"/>
      <c r="FM80" s="419"/>
      <c r="FN80" s="420">
        <f t="shared" si="139"/>
        <v>0</v>
      </c>
      <c r="FO80" s="423">
        <f t="shared" si="140"/>
        <v>0</v>
      </c>
      <c r="FP80" s="419"/>
      <c r="FQ80" s="419"/>
      <c r="FR80" s="419"/>
      <c r="FS80" s="420">
        <f t="shared" si="141"/>
        <v>0</v>
      </c>
      <c r="FT80" s="420">
        <f t="shared" si="142"/>
        <v>0</v>
      </c>
      <c r="FU80" s="419"/>
      <c r="FV80" s="419"/>
      <c r="FW80" s="419"/>
      <c r="FX80" s="420">
        <f t="shared" si="143"/>
        <v>0</v>
      </c>
      <c r="FY80" s="420">
        <f t="shared" si="144"/>
        <v>0</v>
      </c>
      <c r="FZ80" s="419"/>
      <c r="GA80" s="419"/>
      <c r="GB80" s="419"/>
      <c r="GC80" s="420">
        <f t="shared" si="145"/>
        <v>0</v>
      </c>
      <c r="GD80" s="420">
        <f t="shared" si="146"/>
        <v>0</v>
      </c>
      <c r="GE80" s="419"/>
      <c r="GF80" s="419"/>
      <c r="GG80" s="419"/>
      <c r="GH80" s="420">
        <f t="shared" si="147"/>
        <v>0</v>
      </c>
      <c r="GI80" s="423">
        <f t="shared" si="148"/>
        <v>0</v>
      </c>
      <c r="GJ80" s="419"/>
      <c r="GK80" s="419"/>
      <c r="GL80" s="419"/>
      <c r="GM80" s="420">
        <f t="shared" si="149"/>
        <v>0</v>
      </c>
      <c r="GN80" s="420">
        <f t="shared" si="150"/>
        <v>0</v>
      </c>
      <c r="GO80" s="419"/>
      <c r="GP80" s="419"/>
      <c r="GQ80" s="419"/>
      <c r="GR80" s="420">
        <f t="shared" si="155"/>
        <v>0</v>
      </c>
      <c r="GS80" s="423">
        <f t="shared" si="151"/>
        <v>0</v>
      </c>
      <c r="GT80" s="419"/>
      <c r="GU80" s="419"/>
      <c r="GV80" s="419"/>
      <c r="GW80" s="420">
        <f t="shared" si="152"/>
        <v>0</v>
      </c>
      <c r="GX80" s="420">
        <f t="shared" si="153"/>
        <v>0</v>
      </c>
    </row>
    <row r="81" spans="1:206" ht="15">
      <c r="A81" s="414"/>
      <c r="B81" s="415" t="s">
        <v>522</v>
      </c>
      <c r="C81" s="698"/>
      <c r="D81" s="706"/>
      <c r="E81" s="434" t="s">
        <v>124</v>
      </c>
      <c r="F81" s="417">
        <v>0.09</v>
      </c>
      <c r="G81" s="418">
        <f t="shared" si="85"/>
        <v>79607436.610400006</v>
      </c>
      <c r="H81" s="418">
        <f t="shared" si="86"/>
        <v>79607436.599999994</v>
      </c>
      <c r="I81" s="418">
        <f t="shared" si="86"/>
        <v>7164669.3361299997</v>
      </c>
      <c r="J81" s="418">
        <f t="shared" si="87"/>
        <v>79607437.068111107</v>
      </c>
      <c r="K81" s="418">
        <f t="shared" si="83"/>
        <v>0.46811112761497498</v>
      </c>
      <c r="L81" s="418">
        <f t="shared" si="84"/>
        <v>0.45771111547946902</v>
      </c>
      <c r="M81" s="424"/>
      <c r="N81" s="424"/>
      <c r="O81" s="424"/>
      <c r="P81" s="424"/>
      <c r="Q81" s="419"/>
      <c r="R81" s="419"/>
      <c r="S81" s="419"/>
      <c r="T81" s="420"/>
      <c r="U81" s="423"/>
      <c r="V81" s="420"/>
      <c r="W81" s="420"/>
      <c r="X81" s="419"/>
      <c r="Y81" s="419"/>
      <c r="Z81" s="423"/>
      <c r="AA81" s="423"/>
      <c r="AB81" s="419"/>
      <c r="AC81" s="423"/>
      <c r="AD81" s="420"/>
      <c r="AE81" s="423"/>
      <c r="AF81" s="419"/>
      <c r="AG81" s="419"/>
      <c r="AH81" s="419"/>
      <c r="AI81" s="420"/>
      <c r="AJ81" s="423"/>
      <c r="AK81" s="419"/>
      <c r="AL81" s="420"/>
      <c r="AM81" s="419"/>
      <c r="AN81" s="420"/>
      <c r="AO81" s="423"/>
      <c r="AP81" s="444">
        <v>953783.06</v>
      </c>
      <c r="AQ81" s="419"/>
      <c r="AR81" s="420">
        <v>85840.475319000005</v>
      </c>
      <c r="AS81" s="420">
        <f t="shared" si="95"/>
        <v>953783.05909999995</v>
      </c>
      <c r="AT81" s="420">
        <f t="shared" si="96"/>
        <v>-8.9999998454004504E-4</v>
      </c>
      <c r="AU81" s="420"/>
      <c r="AV81" s="420"/>
      <c r="AW81" s="420"/>
      <c r="AX81" s="426">
        <f t="shared" si="97"/>
        <v>0</v>
      </c>
      <c r="AY81" s="420">
        <f t="shared" si="98"/>
        <v>0</v>
      </c>
      <c r="AZ81" s="444">
        <v>8038752.6799999997</v>
      </c>
      <c r="BA81" s="420"/>
      <c r="BB81" s="420">
        <v>723487.74097499996</v>
      </c>
      <c r="BC81" s="420">
        <f t="shared" si="99"/>
        <v>8038752.6775000002</v>
      </c>
      <c r="BD81" s="427">
        <f t="shared" si="82"/>
        <v>-2.49999947845936E-3</v>
      </c>
      <c r="BE81" s="420">
        <v>7499386.4104000004</v>
      </c>
      <c r="BF81" s="420"/>
      <c r="BG81" s="420">
        <v>674944.77693599998</v>
      </c>
      <c r="BH81" s="423">
        <f t="shared" si="100"/>
        <v>7499386.4104000004</v>
      </c>
      <c r="BI81" s="420">
        <f t="shared" si="101"/>
        <v>0</v>
      </c>
      <c r="BJ81" s="420"/>
      <c r="BK81" s="420"/>
      <c r="BL81" s="420"/>
      <c r="BM81" s="420">
        <f t="shared" si="102"/>
        <v>0</v>
      </c>
      <c r="BN81" s="420">
        <f t="shared" si="103"/>
        <v>0</v>
      </c>
      <c r="BO81" s="419">
        <v>27778672.539999999</v>
      </c>
      <c r="BP81" s="428"/>
      <c r="BQ81" s="420">
        <v>2500080.54</v>
      </c>
      <c r="BR81" s="423">
        <f t="shared" si="104"/>
        <v>27778672.666666701</v>
      </c>
      <c r="BS81" s="423">
        <f t="shared" si="105"/>
        <v>0.12666666880249999</v>
      </c>
      <c r="BT81" s="445">
        <v>-15119705.33</v>
      </c>
      <c r="BU81" s="426">
        <v>28732455.550000001</v>
      </c>
      <c r="BV81" s="445">
        <v>-1360773.47</v>
      </c>
      <c r="BW81" s="420">
        <v>-15119705.33</v>
      </c>
      <c r="BX81" s="429">
        <f t="shared" si="106"/>
        <v>0</v>
      </c>
      <c r="BY81" s="455">
        <v>3996377.91</v>
      </c>
      <c r="BZ81" s="419"/>
      <c r="CA81" s="419">
        <v>359674.01</v>
      </c>
      <c r="CB81" s="420">
        <f t="shared" si="107"/>
        <v>3996377.8888888899</v>
      </c>
      <c r="CC81" s="430">
        <f t="shared" si="108"/>
        <v>-2.1111111156642399E-2</v>
      </c>
      <c r="CD81" s="419"/>
      <c r="CE81" s="419"/>
      <c r="CF81" s="419"/>
      <c r="CG81" s="420">
        <f t="shared" si="109"/>
        <v>0</v>
      </c>
      <c r="CH81" s="423">
        <f t="shared" si="110"/>
        <v>0</v>
      </c>
      <c r="CI81" s="431"/>
      <c r="CJ81" s="431"/>
      <c r="CK81" s="431"/>
      <c r="CL81" s="420">
        <f t="shared" si="111"/>
        <v>0</v>
      </c>
      <c r="CM81" s="423">
        <f t="shared" si="112"/>
        <v>0</v>
      </c>
      <c r="CN81" s="420">
        <v>958922.1</v>
      </c>
      <c r="CO81" s="420"/>
      <c r="CP81" s="420">
        <v>86302.99</v>
      </c>
      <c r="CQ81" s="432">
        <v>958922.1</v>
      </c>
      <c r="CR81" s="432">
        <f t="shared" si="113"/>
        <v>0</v>
      </c>
      <c r="CS81" s="420">
        <v>5037192.6100000003</v>
      </c>
      <c r="CT81" s="420"/>
      <c r="CU81" s="420">
        <v>453347.34</v>
      </c>
      <c r="CV81" s="420">
        <v>5037192.6100000003</v>
      </c>
      <c r="CW81" s="420">
        <f t="shared" si="114"/>
        <v>0</v>
      </c>
      <c r="CX81" s="419">
        <v>2447308.48</v>
      </c>
      <c r="CY81" s="419"/>
      <c r="CZ81" s="419">
        <v>220257.76</v>
      </c>
      <c r="DA81" s="419">
        <f t="shared" si="115"/>
        <v>2447308.44</v>
      </c>
      <c r="DB81" s="419">
        <f t="shared" si="116"/>
        <v>-0.04</v>
      </c>
      <c r="DC81" s="419">
        <v>6579926.9800000004</v>
      </c>
      <c r="DD81" s="419"/>
      <c r="DE81" s="419">
        <v>592193.43000000005</v>
      </c>
      <c r="DF81" s="420">
        <f t="shared" si="117"/>
        <v>6579927</v>
      </c>
      <c r="DG81" s="421">
        <f t="shared" si="118"/>
        <v>-2.0000000484287701E-2</v>
      </c>
      <c r="DH81" s="419">
        <v>6494829.3099999996</v>
      </c>
      <c r="DI81" s="419"/>
      <c r="DJ81" s="419">
        <v>584534.64</v>
      </c>
      <c r="DK81" s="420">
        <f t="shared" si="119"/>
        <v>6494829.3333333302</v>
      </c>
      <c r="DL81" s="422">
        <f t="shared" si="120"/>
        <v>2.3333334363997E-2</v>
      </c>
      <c r="DM81" s="420">
        <v>5291362.7300000004</v>
      </c>
      <c r="DN81" s="420">
        <v>10016554.75</v>
      </c>
      <c r="DO81" s="420">
        <v>476222.65</v>
      </c>
      <c r="DP81" s="420">
        <f t="shared" si="121"/>
        <v>5291362.7777777798</v>
      </c>
      <c r="DQ81" s="420">
        <f t="shared" si="122"/>
        <v>4.77777775377035E-2</v>
      </c>
      <c r="DR81" s="419">
        <v>3691496.23</v>
      </c>
      <c r="DS81" s="419">
        <v>24899295.420000002</v>
      </c>
      <c r="DT81" s="419">
        <v>332234.65999999997</v>
      </c>
      <c r="DU81" s="420">
        <f t="shared" si="123"/>
        <v>3691496.2222222202</v>
      </c>
      <c r="DV81" s="423">
        <f t="shared" si="124"/>
        <v>-7.7777779661119002E-3</v>
      </c>
      <c r="DW81" s="419">
        <v>1841119.12</v>
      </c>
      <c r="DX81" s="419"/>
      <c r="DY81" s="419">
        <v>165700.72</v>
      </c>
      <c r="DZ81" s="420">
        <f t="shared" si="125"/>
        <v>1841119.11</v>
      </c>
      <c r="EA81" s="423">
        <f t="shared" si="126"/>
        <v>-0.01</v>
      </c>
      <c r="EB81" s="420">
        <v>57585.81</v>
      </c>
      <c r="EC81" s="419"/>
      <c r="ED81" s="420">
        <v>5182.7228999999998</v>
      </c>
      <c r="EE81" s="419">
        <v>57585.81</v>
      </c>
      <c r="EF81" s="420">
        <f t="shared" si="127"/>
        <v>0</v>
      </c>
      <c r="EG81" s="420">
        <v>14060425.970000001</v>
      </c>
      <c r="EH81" s="420">
        <v>12775048.310000001</v>
      </c>
      <c r="EI81" s="420">
        <v>1265438.3500000001</v>
      </c>
      <c r="EJ81" s="420">
        <f t="shared" si="128"/>
        <v>14060426.109999999</v>
      </c>
      <c r="EK81" s="420">
        <f t="shared" si="129"/>
        <v>0.14000000000000001</v>
      </c>
      <c r="EL81" s="419"/>
      <c r="EM81" s="420">
        <v>1961605.5</v>
      </c>
      <c r="EN81" s="419"/>
      <c r="EO81" s="419">
        <f t="shared" si="130"/>
        <v>0</v>
      </c>
      <c r="EP81" s="419">
        <f t="shared" si="131"/>
        <v>0</v>
      </c>
      <c r="EQ81" s="419"/>
      <c r="ER81" s="420">
        <v>1222477.07</v>
      </c>
      <c r="ES81" s="419"/>
      <c r="ET81" s="419">
        <f t="shared" si="132"/>
        <v>0</v>
      </c>
      <c r="EU81" s="419">
        <f t="shared" si="133"/>
        <v>0</v>
      </c>
      <c r="EV81" s="419"/>
      <c r="EW81" s="419"/>
      <c r="EX81" s="419"/>
      <c r="EY81" s="419">
        <f t="shared" si="134"/>
        <v>0</v>
      </c>
      <c r="EZ81" s="419">
        <f t="shared" si="154"/>
        <v>0</v>
      </c>
      <c r="FA81" s="420"/>
      <c r="FB81" s="420"/>
      <c r="FC81" s="420"/>
      <c r="FD81" s="420">
        <f t="shared" si="135"/>
        <v>0</v>
      </c>
      <c r="FE81" s="420">
        <f t="shared" si="136"/>
        <v>0</v>
      </c>
      <c r="FF81" s="419"/>
      <c r="FG81" s="419"/>
      <c r="FH81" s="419"/>
      <c r="FI81" s="419">
        <f t="shared" si="137"/>
        <v>0</v>
      </c>
      <c r="FJ81" s="419">
        <f t="shared" si="138"/>
        <v>0</v>
      </c>
      <c r="FK81" s="419"/>
      <c r="FL81" s="419"/>
      <c r="FM81" s="419"/>
      <c r="FN81" s="420">
        <f t="shared" si="139"/>
        <v>0</v>
      </c>
      <c r="FO81" s="423">
        <f t="shared" si="140"/>
        <v>0</v>
      </c>
      <c r="FP81" s="419"/>
      <c r="FQ81" s="419"/>
      <c r="FR81" s="419"/>
      <c r="FS81" s="420">
        <f t="shared" si="141"/>
        <v>0</v>
      </c>
      <c r="FT81" s="420">
        <f t="shared" si="142"/>
        <v>0</v>
      </c>
      <c r="FU81" s="419"/>
      <c r="FV81" s="419"/>
      <c r="FW81" s="419"/>
      <c r="FX81" s="420">
        <f t="shared" si="143"/>
        <v>0</v>
      </c>
      <c r="FY81" s="420">
        <f t="shared" si="144"/>
        <v>0</v>
      </c>
      <c r="FZ81" s="419"/>
      <c r="GA81" s="419"/>
      <c r="GB81" s="419"/>
      <c r="GC81" s="420">
        <f t="shared" si="145"/>
        <v>0</v>
      </c>
      <c r="GD81" s="420">
        <f t="shared" si="146"/>
        <v>0</v>
      </c>
      <c r="GE81" s="419"/>
      <c r="GF81" s="419"/>
      <c r="GG81" s="419"/>
      <c r="GH81" s="420">
        <f t="shared" si="147"/>
        <v>0</v>
      </c>
      <c r="GI81" s="423">
        <f t="shared" si="148"/>
        <v>0</v>
      </c>
      <c r="GJ81" s="419"/>
      <c r="GK81" s="419"/>
      <c r="GL81" s="419"/>
      <c r="GM81" s="420">
        <f t="shared" si="149"/>
        <v>0</v>
      </c>
      <c r="GN81" s="420">
        <f t="shared" si="150"/>
        <v>0</v>
      </c>
      <c r="GO81" s="419"/>
      <c r="GP81" s="419"/>
      <c r="GQ81" s="419"/>
      <c r="GR81" s="420">
        <f t="shared" si="155"/>
        <v>0</v>
      </c>
      <c r="GS81" s="423">
        <f t="shared" si="151"/>
        <v>0</v>
      </c>
      <c r="GT81" s="419"/>
      <c r="GU81" s="419"/>
      <c r="GV81" s="419"/>
      <c r="GW81" s="420">
        <f t="shared" si="152"/>
        <v>0</v>
      </c>
      <c r="GX81" s="420">
        <f t="shared" si="153"/>
        <v>0</v>
      </c>
    </row>
    <row r="82" spans="1:206" ht="15">
      <c r="A82" s="414"/>
      <c r="B82" s="415" t="s">
        <v>522</v>
      </c>
      <c r="C82" s="698"/>
      <c r="D82" s="707"/>
      <c r="E82" s="434" t="s">
        <v>125</v>
      </c>
      <c r="F82" s="417">
        <v>0.06</v>
      </c>
      <c r="G82" s="418">
        <f t="shared" si="85"/>
        <v>11400012.7313</v>
      </c>
      <c r="H82" s="418">
        <f t="shared" si="86"/>
        <v>11400012.73</v>
      </c>
      <c r="I82" s="418">
        <f t="shared" si="86"/>
        <v>684000.76861799997</v>
      </c>
      <c r="J82" s="418">
        <f t="shared" si="87"/>
        <v>11400012.8103</v>
      </c>
      <c r="K82" s="418">
        <f t="shared" si="83"/>
        <v>8.0299999564886093E-2</v>
      </c>
      <c r="L82" s="418">
        <f t="shared" si="84"/>
        <v>7.9000001773238196E-2</v>
      </c>
      <c r="M82" s="424"/>
      <c r="N82" s="424"/>
      <c r="O82" s="424"/>
      <c r="P82" s="424"/>
      <c r="Q82" s="419"/>
      <c r="R82" s="419"/>
      <c r="S82" s="419"/>
      <c r="T82" s="420"/>
      <c r="U82" s="423"/>
      <c r="V82" s="420"/>
      <c r="W82" s="420"/>
      <c r="X82" s="419"/>
      <c r="Y82" s="419"/>
      <c r="Z82" s="423"/>
      <c r="AA82" s="423"/>
      <c r="AB82" s="419"/>
      <c r="AC82" s="423"/>
      <c r="AD82" s="420"/>
      <c r="AE82" s="423"/>
      <c r="AF82" s="419"/>
      <c r="AG82" s="419"/>
      <c r="AH82" s="419"/>
      <c r="AI82" s="420"/>
      <c r="AJ82" s="423"/>
      <c r="AK82" s="419"/>
      <c r="AL82" s="420"/>
      <c r="AM82" s="419"/>
      <c r="AN82" s="420"/>
      <c r="AO82" s="423"/>
      <c r="AP82" s="420">
        <v>2072441.7467</v>
      </c>
      <c r="AQ82" s="419"/>
      <c r="AR82" s="420">
        <v>124346.504802</v>
      </c>
      <c r="AS82" s="420">
        <f t="shared" si="95"/>
        <v>2072441.7467</v>
      </c>
      <c r="AT82" s="420">
        <f t="shared" si="96"/>
        <v>0</v>
      </c>
      <c r="AU82" s="420">
        <v>52865.38</v>
      </c>
      <c r="AV82" s="420"/>
      <c r="AW82" s="435">
        <v>3171.92274</v>
      </c>
      <c r="AX82" s="426">
        <f t="shared" si="97"/>
        <v>52865.379000000001</v>
      </c>
      <c r="AY82" s="420">
        <f t="shared" si="98"/>
        <v>-9.9999999656574801E-4</v>
      </c>
      <c r="AZ82" s="420">
        <v>681643.95</v>
      </c>
      <c r="BA82" s="420"/>
      <c r="BB82" s="419">
        <v>40898.639999999999</v>
      </c>
      <c r="BC82" s="420">
        <f t="shared" si="99"/>
        <v>681644</v>
      </c>
      <c r="BD82" s="427">
        <f t="shared" si="82"/>
        <v>5.0000000046566101E-2</v>
      </c>
      <c r="BE82" s="420">
        <v>614219.77859999996</v>
      </c>
      <c r="BF82" s="420"/>
      <c r="BG82" s="420">
        <v>36853.188516000002</v>
      </c>
      <c r="BH82" s="423">
        <f t="shared" si="100"/>
        <v>614219.80859999999</v>
      </c>
      <c r="BI82" s="420">
        <f t="shared" si="101"/>
        <v>3.0000000144354999E-2</v>
      </c>
      <c r="BJ82" s="420">
        <v>95716.42</v>
      </c>
      <c r="BK82" s="420"/>
      <c r="BL82" s="420">
        <v>5742.98</v>
      </c>
      <c r="BM82" s="420">
        <f t="shared" si="102"/>
        <v>95716.333333333299</v>
      </c>
      <c r="BN82" s="420">
        <f t="shared" si="103"/>
        <v>-8.6666666669771103E-2</v>
      </c>
      <c r="BO82" s="419">
        <v>332948.28000000003</v>
      </c>
      <c r="BP82" s="428"/>
      <c r="BQ82" s="420">
        <v>19976.896799999999</v>
      </c>
      <c r="BR82" s="423">
        <f t="shared" si="104"/>
        <v>332948.28000000003</v>
      </c>
      <c r="BS82" s="423">
        <f t="shared" si="105"/>
        <v>0</v>
      </c>
      <c r="BT82" s="420">
        <v>99788.82</v>
      </c>
      <c r="BU82" s="426">
        <v>3849835.54</v>
      </c>
      <c r="BV82" s="420">
        <v>5987.34</v>
      </c>
      <c r="BW82" s="420">
        <v>99788.82</v>
      </c>
      <c r="BX82" s="429">
        <f t="shared" si="106"/>
        <v>0</v>
      </c>
      <c r="BY82" s="419">
        <v>510696.53</v>
      </c>
      <c r="BZ82" s="419"/>
      <c r="CA82" s="419">
        <v>30641.79</v>
      </c>
      <c r="CB82" s="420">
        <f t="shared" si="107"/>
        <v>510696.5</v>
      </c>
      <c r="CC82" s="430">
        <f t="shared" si="108"/>
        <v>-2.9999999969731999E-2</v>
      </c>
      <c r="CD82" s="419">
        <v>43079.45</v>
      </c>
      <c r="CE82" s="419"/>
      <c r="CF82" s="419">
        <v>2584.77</v>
      </c>
      <c r="CG82" s="420">
        <f t="shared" si="109"/>
        <v>43079.5</v>
      </c>
      <c r="CH82" s="423">
        <f t="shared" si="110"/>
        <v>5.0000000002910397E-2</v>
      </c>
      <c r="CI82" s="431">
        <v>156053.68</v>
      </c>
      <c r="CJ82" s="431"/>
      <c r="CK82" s="431">
        <v>9363.23</v>
      </c>
      <c r="CL82" s="420">
        <f t="shared" si="111"/>
        <v>156053.83333333299</v>
      </c>
      <c r="CM82" s="423">
        <f t="shared" si="112"/>
        <v>0.15333333335002</v>
      </c>
      <c r="CN82" s="420">
        <v>328339.02</v>
      </c>
      <c r="CO82" s="420"/>
      <c r="CP82" s="420">
        <v>19700.34</v>
      </c>
      <c r="CQ82" s="432">
        <v>328339.02</v>
      </c>
      <c r="CR82" s="432">
        <f t="shared" si="113"/>
        <v>0</v>
      </c>
      <c r="CS82" s="420">
        <v>46521.8</v>
      </c>
      <c r="CT82" s="420"/>
      <c r="CU82" s="420">
        <v>2791.31</v>
      </c>
      <c r="CV82" s="420">
        <v>46521.8</v>
      </c>
      <c r="CW82" s="420">
        <f t="shared" si="114"/>
        <v>0</v>
      </c>
      <c r="CX82" s="419">
        <v>47978.55</v>
      </c>
      <c r="CY82" s="419"/>
      <c r="CZ82" s="419">
        <v>2878.71</v>
      </c>
      <c r="DA82" s="419">
        <f t="shared" si="115"/>
        <v>47978.5</v>
      </c>
      <c r="DB82" s="419">
        <f t="shared" si="116"/>
        <v>-0.05</v>
      </c>
      <c r="DC82" s="419">
        <v>66360.45</v>
      </c>
      <c r="DD82" s="419"/>
      <c r="DE82" s="419">
        <v>3981.62</v>
      </c>
      <c r="DF82" s="420">
        <f t="shared" si="117"/>
        <v>66360.333333333299</v>
      </c>
      <c r="DG82" s="421">
        <f t="shared" si="118"/>
        <v>0.11666666666860701</v>
      </c>
      <c r="DH82" s="419">
        <v>67184.509999999995</v>
      </c>
      <c r="DI82" s="419"/>
      <c r="DJ82" s="419">
        <v>4031.07</v>
      </c>
      <c r="DK82" s="420">
        <f t="shared" si="119"/>
        <v>67184.5</v>
      </c>
      <c r="DL82" s="422">
        <f t="shared" si="120"/>
        <v>-9.9999999947613105E-3</v>
      </c>
      <c r="DM82" s="420">
        <v>356109.93</v>
      </c>
      <c r="DN82" s="420">
        <v>1656568.01</v>
      </c>
      <c r="DO82" s="420">
        <v>21366.59</v>
      </c>
      <c r="DP82" s="420">
        <f t="shared" si="121"/>
        <v>356109.83333333302</v>
      </c>
      <c r="DQ82" s="420">
        <f t="shared" si="122"/>
        <v>-9.6666666620876598E-2</v>
      </c>
      <c r="DR82" s="419">
        <v>52505.3</v>
      </c>
      <c r="DS82" s="419">
        <v>65544.740000000005</v>
      </c>
      <c r="DT82" s="419">
        <v>3150.32</v>
      </c>
      <c r="DU82" s="420">
        <f t="shared" si="123"/>
        <v>52505.333333333299</v>
      </c>
      <c r="DV82" s="423">
        <f t="shared" si="124"/>
        <v>3.3333333332848297E-2</v>
      </c>
      <c r="DW82" s="419">
        <v>66747.495250000007</v>
      </c>
      <c r="DX82" s="419">
        <v>52505.29</v>
      </c>
      <c r="DY82" s="419">
        <v>4004.8517149999998</v>
      </c>
      <c r="DZ82" s="420">
        <f t="shared" si="125"/>
        <v>66747.53</v>
      </c>
      <c r="EA82" s="423">
        <f t="shared" si="126"/>
        <v>0.03</v>
      </c>
      <c r="EB82" s="419">
        <v>227612.84</v>
      </c>
      <c r="EC82" s="419"/>
      <c r="ED82" s="420">
        <v>13656.770399999999</v>
      </c>
      <c r="EE82" s="419">
        <v>227612.84</v>
      </c>
      <c r="EF82" s="420">
        <f t="shared" si="127"/>
        <v>0</v>
      </c>
      <c r="EG82" s="419">
        <v>5481198.8007500004</v>
      </c>
      <c r="EH82" s="419">
        <v>374118.83</v>
      </c>
      <c r="EI82" s="419">
        <v>328871.92364499997</v>
      </c>
      <c r="EJ82" s="420">
        <f t="shared" si="128"/>
        <v>5481198.7300000004</v>
      </c>
      <c r="EK82" s="420">
        <f t="shared" si="129"/>
        <v>-7.0000000000000007E-2</v>
      </c>
      <c r="EL82" s="419"/>
      <c r="EM82" s="419">
        <v>291152.23</v>
      </c>
      <c r="EN82" s="419"/>
      <c r="EO82" s="419">
        <f t="shared" si="130"/>
        <v>0</v>
      </c>
      <c r="EP82" s="419">
        <f t="shared" si="131"/>
        <v>0</v>
      </c>
      <c r="EQ82" s="419"/>
      <c r="ER82" s="419">
        <v>5110288.09</v>
      </c>
      <c r="ES82" s="419"/>
      <c r="ET82" s="419">
        <f t="shared" si="132"/>
        <v>0</v>
      </c>
      <c r="EU82" s="419">
        <f t="shared" si="133"/>
        <v>0</v>
      </c>
      <c r="EV82" s="419"/>
      <c r="EW82" s="419"/>
      <c r="EX82" s="419"/>
      <c r="EY82" s="419">
        <f t="shared" si="134"/>
        <v>0</v>
      </c>
      <c r="EZ82" s="419">
        <f t="shared" si="154"/>
        <v>0</v>
      </c>
      <c r="FA82" s="420"/>
      <c r="FB82" s="420"/>
      <c r="FC82" s="420"/>
      <c r="FD82" s="420">
        <f t="shared" si="135"/>
        <v>0</v>
      </c>
      <c r="FE82" s="420">
        <f t="shared" si="136"/>
        <v>0</v>
      </c>
      <c r="FF82" s="419"/>
      <c r="FG82" s="419"/>
      <c r="FH82" s="419"/>
      <c r="FI82" s="419">
        <f t="shared" si="137"/>
        <v>0</v>
      </c>
      <c r="FJ82" s="419">
        <f t="shared" si="138"/>
        <v>0</v>
      </c>
      <c r="FK82" s="419"/>
      <c r="FL82" s="419"/>
      <c r="FM82" s="419"/>
      <c r="FN82" s="420">
        <f t="shared" si="139"/>
        <v>0</v>
      </c>
      <c r="FO82" s="423">
        <f t="shared" si="140"/>
        <v>0</v>
      </c>
      <c r="FP82" s="419"/>
      <c r="FQ82" s="419"/>
      <c r="FR82" s="419"/>
      <c r="FS82" s="420">
        <f t="shared" si="141"/>
        <v>0</v>
      </c>
      <c r="FT82" s="420">
        <f t="shared" si="142"/>
        <v>0</v>
      </c>
      <c r="FU82" s="419"/>
      <c r="FV82" s="419"/>
      <c r="FW82" s="419"/>
      <c r="FX82" s="420">
        <f t="shared" si="143"/>
        <v>0</v>
      </c>
      <c r="FY82" s="420">
        <f t="shared" si="144"/>
        <v>0</v>
      </c>
      <c r="FZ82" s="419"/>
      <c r="GA82" s="419"/>
      <c r="GB82" s="419"/>
      <c r="GC82" s="420">
        <f t="shared" si="145"/>
        <v>0</v>
      </c>
      <c r="GD82" s="420">
        <f t="shared" si="146"/>
        <v>0</v>
      </c>
      <c r="GE82" s="419"/>
      <c r="GF82" s="419"/>
      <c r="GG82" s="419"/>
      <c r="GH82" s="420">
        <f t="shared" si="147"/>
        <v>0</v>
      </c>
      <c r="GI82" s="423">
        <f t="shared" si="148"/>
        <v>0</v>
      </c>
      <c r="GJ82" s="419"/>
      <c r="GK82" s="419"/>
      <c r="GL82" s="419"/>
      <c r="GM82" s="420">
        <f t="shared" si="149"/>
        <v>0</v>
      </c>
      <c r="GN82" s="420">
        <f t="shared" si="150"/>
        <v>0</v>
      </c>
      <c r="GO82" s="419"/>
      <c r="GP82" s="419"/>
      <c r="GQ82" s="419"/>
      <c r="GR82" s="420">
        <f t="shared" si="155"/>
        <v>0</v>
      </c>
      <c r="GS82" s="423">
        <f t="shared" si="151"/>
        <v>0</v>
      </c>
      <c r="GT82" s="419"/>
      <c r="GU82" s="419"/>
      <c r="GV82" s="419"/>
      <c r="GW82" s="420">
        <f t="shared" si="152"/>
        <v>0</v>
      </c>
      <c r="GX82" s="420">
        <f t="shared" si="153"/>
        <v>0</v>
      </c>
    </row>
    <row r="83" spans="1:206" ht="15">
      <c r="A83" s="414"/>
      <c r="B83" s="415" t="s">
        <v>524</v>
      </c>
      <c r="C83" s="698"/>
      <c r="D83" s="704" t="s">
        <v>525</v>
      </c>
      <c r="E83" s="434" t="s">
        <v>123</v>
      </c>
      <c r="F83" s="417">
        <v>0.13</v>
      </c>
      <c r="G83" s="418">
        <f t="shared" si="85"/>
        <v>81098654.510000005</v>
      </c>
      <c r="H83" s="418">
        <f t="shared" si="86"/>
        <v>80383150.069999993</v>
      </c>
      <c r="I83" s="418">
        <f t="shared" si="86"/>
        <v>10542825.069599999</v>
      </c>
      <c r="J83" s="418">
        <f t="shared" si="87"/>
        <v>81098654.381538495</v>
      </c>
      <c r="K83" s="418">
        <f t="shared" si="83"/>
        <v>715504.31153845799</v>
      </c>
      <c r="L83" s="418">
        <f t="shared" si="84"/>
        <v>-0.128461554646492</v>
      </c>
      <c r="M83" s="424"/>
      <c r="N83" s="424"/>
      <c r="O83" s="424"/>
      <c r="P83" s="424"/>
      <c r="Q83" s="419"/>
      <c r="R83" s="419"/>
      <c r="S83" s="419"/>
      <c r="T83" s="420"/>
      <c r="U83" s="423"/>
      <c r="V83" s="420"/>
      <c r="W83" s="420"/>
      <c r="X83" s="419"/>
      <c r="Y83" s="419"/>
      <c r="Z83" s="423"/>
      <c r="AA83" s="423"/>
      <c r="AB83" s="419"/>
      <c r="AC83" s="423"/>
      <c r="AD83" s="420"/>
      <c r="AE83" s="423"/>
      <c r="AF83" s="444"/>
      <c r="AG83" s="419"/>
      <c r="AH83" s="420"/>
      <c r="AI83" s="420"/>
      <c r="AJ83" s="423"/>
      <c r="AK83" s="444"/>
      <c r="AL83" s="420"/>
      <c r="AM83" s="420"/>
      <c r="AN83" s="420"/>
      <c r="AO83" s="423"/>
      <c r="AP83" s="420"/>
      <c r="AQ83" s="419"/>
      <c r="AR83" s="420"/>
      <c r="AS83" s="420"/>
      <c r="AT83" s="420"/>
      <c r="AU83" s="420"/>
      <c r="AV83" s="420"/>
      <c r="AW83" s="420"/>
      <c r="AX83" s="426">
        <f t="shared" si="97"/>
        <v>0</v>
      </c>
      <c r="AY83" s="420">
        <f t="shared" si="98"/>
        <v>0</v>
      </c>
      <c r="AZ83" s="419"/>
      <c r="BA83" s="420"/>
      <c r="BB83" s="419"/>
      <c r="BC83" s="420">
        <f t="shared" si="99"/>
        <v>0</v>
      </c>
      <c r="BD83" s="427">
        <f t="shared" si="82"/>
        <v>0</v>
      </c>
      <c r="BE83" s="420"/>
      <c r="BF83" s="420"/>
      <c r="BG83" s="420"/>
      <c r="BH83" s="423">
        <f t="shared" si="100"/>
        <v>0</v>
      </c>
      <c r="BI83" s="420">
        <f t="shared" si="101"/>
        <v>0</v>
      </c>
      <c r="BJ83" s="420"/>
      <c r="BK83" s="420"/>
      <c r="BL83" s="420"/>
      <c r="BM83" s="420">
        <f t="shared" si="102"/>
        <v>0</v>
      </c>
      <c r="BN83" s="420">
        <f t="shared" si="103"/>
        <v>0</v>
      </c>
      <c r="BO83" s="419"/>
      <c r="BP83" s="428"/>
      <c r="BQ83" s="420"/>
      <c r="BR83" s="423">
        <f t="shared" si="104"/>
        <v>0</v>
      </c>
      <c r="BS83" s="423">
        <f t="shared" si="105"/>
        <v>0</v>
      </c>
      <c r="BT83" s="420">
        <v>21845315.239999998</v>
      </c>
      <c r="BU83" s="426">
        <v>21172517.789999999</v>
      </c>
      <c r="BV83" s="420">
        <v>2839890.98</v>
      </c>
      <c r="BW83" s="420">
        <v>21845315.239999998</v>
      </c>
      <c r="BX83" s="429">
        <f t="shared" si="106"/>
        <v>0</v>
      </c>
      <c r="BY83" s="419">
        <v>15574807.77</v>
      </c>
      <c r="BZ83" s="419"/>
      <c r="CA83" s="419">
        <v>2024724.99</v>
      </c>
      <c r="CB83" s="420">
        <f t="shared" si="107"/>
        <v>15574807.615384599</v>
      </c>
      <c r="CC83" s="430">
        <f t="shared" si="108"/>
        <v>-0.15461538545787301</v>
      </c>
      <c r="CD83" s="452"/>
      <c r="CE83" s="419"/>
      <c r="CF83" s="419"/>
      <c r="CG83" s="420">
        <f t="shared" si="109"/>
        <v>0</v>
      </c>
      <c r="CH83" s="423">
        <f t="shared" si="110"/>
        <v>0</v>
      </c>
      <c r="CI83" s="431"/>
      <c r="CJ83" s="431"/>
      <c r="CK83" s="431"/>
      <c r="CL83" s="420">
        <f t="shared" si="111"/>
        <v>0</v>
      </c>
      <c r="CM83" s="423">
        <f t="shared" si="112"/>
        <v>0</v>
      </c>
      <c r="CN83" s="420">
        <v>5852245.54</v>
      </c>
      <c r="CO83" s="420"/>
      <c r="CP83" s="420">
        <v>760791.92</v>
      </c>
      <c r="CQ83" s="432">
        <v>5852245.54</v>
      </c>
      <c r="CR83" s="432">
        <f t="shared" si="113"/>
        <v>0</v>
      </c>
      <c r="CS83" s="420"/>
      <c r="CT83" s="420"/>
      <c r="CU83" s="420"/>
      <c r="CV83" s="420"/>
      <c r="CW83" s="420">
        <f t="shared" si="114"/>
        <v>0</v>
      </c>
      <c r="CX83" s="419"/>
      <c r="CY83" s="419"/>
      <c r="CZ83" s="419"/>
      <c r="DA83" s="419">
        <f t="shared" si="115"/>
        <v>0</v>
      </c>
      <c r="DB83" s="419">
        <f t="shared" si="116"/>
        <v>0</v>
      </c>
      <c r="DC83" s="419"/>
      <c r="DD83" s="397">
        <v>5476655.46</v>
      </c>
      <c r="DE83" s="419"/>
      <c r="DF83" s="420">
        <f t="shared" si="117"/>
        <v>0</v>
      </c>
      <c r="DG83" s="421">
        <f t="shared" si="118"/>
        <v>0</v>
      </c>
      <c r="DH83" s="419">
        <v>4870382.0199999996</v>
      </c>
      <c r="DI83" s="419">
        <v>21493577.300000001</v>
      </c>
      <c r="DJ83" s="419">
        <v>633149.66</v>
      </c>
      <c r="DK83" s="420">
        <f t="shared" si="119"/>
        <v>4870382</v>
      </c>
      <c r="DL83" s="422">
        <f t="shared" si="120"/>
        <v>-1.9999999552965199E-2</v>
      </c>
      <c r="DM83" s="420"/>
      <c r="DN83" s="420"/>
      <c r="DO83" s="420"/>
      <c r="DP83" s="420">
        <f t="shared" si="121"/>
        <v>0</v>
      </c>
      <c r="DQ83" s="420">
        <f t="shared" si="122"/>
        <v>0</v>
      </c>
      <c r="DR83" s="419">
        <v>550616.88</v>
      </c>
      <c r="DS83" s="419">
        <v>550616.88</v>
      </c>
      <c r="DT83" s="419">
        <v>71580.2</v>
      </c>
      <c r="DU83" s="420">
        <f t="shared" si="123"/>
        <v>550616.92307692301</v>
      </c>
      <c r="DV83" s="423">
        <f t="shared" si="124"/>
        <v>4.3076923000626301E-2</v>
      </c>
      <c r="DW83" s="419">
        <v>6037250.5599999996</v>
      </c>
      <c r="DX83" s="419"/>
      <c r="DY83" s="419">
        <v>784842.57</v>
      </c>
      <c r="DZ83" s="420">
        <f t="shared" si="125"/>
        <v>6037250.54</v>
      </c>
      <c r="EA83" s="423">
        <f t="shared" si="126"/>
        <v>-0.02</v>
      </c>
      <c r="EB83" s="419">
        <v>5825592.9199999999</v>
      </c>
      <c r="EC83" s="419"/>
      <c r="ED83" s="420">
        <v>757327.07960000006</v>
      </c>
      <c r="EE83" s="419">
        <v>5825592.9199999999</v>
      </c>
      <c r="EF83" s="420">
        <f t="shared" si="127"/>
        <v>0</v>
      </c>
      <c r="EG83" s="419"/>
      <c r="EH83" s="419"/>
      <c r="EI83" s="419"/>
      <c r="EJ83" s="420">
        <f t="shared" si="128"/>
        <v>0</v>
      </c>
      <c r="EK83" s="420">
        <f t="shared" si="129"/>
        <v>0</v>
      </c>
      <c r="EL83" s="419">
        <v>9840116.6199999992</v>
      </c>
      <c r="EN83" s="419">
        <v>1279215.1599999999</v>
      </c>
      <c r="EO83" s="419">
        <f t="shared" si="130"/>
        <v>9840116.6199999992</v>
      </c>
      <c r="EP83" s="419">
        <f t="shared" si="131"/>
        <v>0</v>
      </c>
      <c r="EQ83" s="420">
        <v>9986822.5299999993</v>
      </c>
      <c r="ER83" s="420">
        <v>31689782.640000001</v>
      </c>
      <c r="ES83" s="420">
        <v>1298286.93</v>
      </c>
      <c r="ET83" s="419">
        <f t="shared" si="132"/>
        <v>9986822.5399999991</v>
      </c>
      <c r="EU83" s="419">
        <f t="shared" si="133"/>
        <v>0.01</v>
      </c>
      <c r="EV83" s="455">
        <v>715504.43</v>
      </c>
      <c r="EW83" s="419"/>
      <c r="EX83" s="455">
        <v>93015.58</v>
      </c>
      <c r="EY83" s="419">
        <f t="shared" si="134"/>
        <v>715504.46</v>
      </c>
      <c r="EZ83" s="419">
        <f t="shared" si="154"/>
        <v>0.03</v>
      </c>
      <c r="FA83" s="420"/>
      <c r="FB83" s="420"/>
      <c r="FC83" s="420"/>
      <c r="FD83" s="420">
        <f t="shared" si="135"/>
        <v>0</v>
      </c>
      <c r="FE83" s="420">
        <f t="shared" si="136"/>
        <v>0</v>
      </c>
      <c r="FF83" s="419"/>
      <c r="FG83" s="419"/>
      <c r="FH83" s="419"/>
      <c r="FI83" s="419">
        <f t="shared" si="137"/>
        <v>0</v>
      </c>
      <c r="FJ83" s="419">
        <f t="shared" si="138"/>
        <v>0</v>
      </c>
      <c r="FK83" s="419"/>
      <c r="FL83" s="419"/>
      <c r="FM83" s="419"/>
      <c r="FN83" s="420">
        <f t="shared" si="139"/>
        <v>0</v>
      </c>
      <c r="FO83" s="423">
        <f t="shared" si="140"/>
        <v>0</v>
      </c>
      <c r="FP83" s="419"/>
      <c r="FQ83" s="419"/>
      <c r="FR83" s="419"/>
      <c r="FS83" s="420">
        <f t="shared" si="141"/>
        <v>0</v>
      </c>
      <c r="FT83" s="420">
        <f t="shared" si="142"/>
        <v>0</v>
      </c>
      <c r="FU83" s="419"/>
      <c r="FV83" s="419"/>
      <c r="FW83" s="419"/>
      <c r="FX83" s="420">
        <f t="shared" si="143"/>
        <v>0</v>
      </c>
      <c r="FY83" s="420">
        <f t="shared" si="144"/>
        <v>0</v>
      </c>
      <c r="FZ83" s="419"/>
      <c r="GA83" s="419"/>
      <c r="GB83" s="419"/>
      <c r="GC83" s="420">
        <f t="shared" si="145"/>
        <v>0</v>
      </c>
      <c r="GD83" s="420">
        <f t="shared" si="146"/>
        <v>0</v>
      </c>
      <c r="GE83" s="419"/>
      <c r="GF83" s="419"/>
      <c r="GG83" s="419"/>
      <c r="GH83" s="420">
        <f t="shared" si="147"/>
        <v>0</v>
      </c>
      <c r="GI83" s="423">
        <f t="shared" si="148"/>
        <v>0</v>
      </c>
      <c r="GJ83" s="419"/>
      <c r="GK83" s="419"/>
      <c r="GL83" s="419"/>
      <c r="GM83" s="420">
        <f t="shared" si="149"/>
        <v>0</v>
      </c>
      <c r="GN83" s="420">
        <f t="shared" si="150"/>
        <v>0</v>
      </c>
      <c r="GO83" s="419"/>
      <c r="GP83" s="419"/>
      <c r="GQ83" s="419"/>
      <c r="GR83" s="420">
        <f t="shared" si="155"/>
        <v>0</v>
      </c>
      <c r="GS83" s="423">
        <f t="shared" si="151"/>
        <v>0</v>
      </c>
      <c r="GT83" s="419"/>
      <c r="GU83" s="419"/>
      <c r="GV83" s="419"/>
      <c r="GW83" s="420">
        <f t="shared" si="152"/>
        <v>0</v>
      </c>
      <c r="GX83" s="420">
        <f t="shared" si="153"/>
        <v>0</v>
      </c>
    </row>
    <row r="84" spans="1:206" ht="15">
      <c r="A84" s="414"/>
      <c r="B84" s="415" t="s">
        <v>524</v>
      </c>
      <c r="C84" s="698"/>
      <c r="D84" s="706"/>
      <c r="E84" s="434" t="s">
        <v>124</v>
      </c>
      <c r="F84" s="417">
        <v>0.09</v>
      </c>
      <c r="G84" s="418">
        <f t="shared" si="85"/>
        <v>58678880.775399998</v>
      </c>
      <c r="H84" s="418">
        <f t="shared" si="86"/>
        <v>48845527.289999999</v>
      </c>
      <c r="I84" s="418">
        <f t="shared" si="86"/>
        <v>5281099.2903859997</v>
      </c>
      <c r="J84" s="418">
        <f t="shared" si="87"/>
        <v>58678881.004288897</v>
      </c>
      <c r="K84" s="418">
        <f t="shared" si="83"/>
        <v>9833353.7142888904</v>
      </c>
      <c r="L84" s="418">
        <f t="shared" si="84"/>
        <v>0.22888889163732501</v>
      </c>
      <c r="M84" s="424"/>
      <c r="N84" s="424"/>
      <c r="O84" s="424"/>
      <c r="P84" s="424"/>
      <c r="Q84" s="419"/>
      <c r="R84" s="419"/>
      <c r="S84" s="419"/>
      <c r="T84" s="420"/>
      <c r="U84" s="423"/>
      <c r="V84" s="420"/>
      <c r="W84" s="420"/>
      <c r="X84" s="419"/>
      <c r="Y84" s="419"/>
      <c r="Z84" s="423"/>
      <c r="AA84" s="423"/>
      <c r="AB84" s="419"/>
      <c r="AC84" s="423"/>
      <c r="AD84" s="420"/>
      <c r="AE84" s="423"/>
      <c r="AF84" s="444"/>
      <c r="AG84" s="419"/>
      <c r="AH84" s="420"/>
      <c r="AI84" s="420"/>
      <c r="AJ84" s="423"/>
      <c r="AK84" s="444"/>
      <c r="AL84" s="420"/>
      <c r="AM84" s="420"/>
      <c r="AN84" s="420"/>
      <c r="AO84" s="423"/>
      <c r="AP84" s="420"/>
      <c r="AQ84" s="419"/>
      <c r="AR84" s="420"/>
      <c r="AS84" s="420"/>
      <c r="AT84" s="420"/>
      <c r="AU84" s="420"/>
      <c r="AV84" s="420"/>
      <c r="AW84" s="420"/>
      <c r="AX84" s="426">
        <f t="shared" si="97"/>
        <v>0</v>
      </c>
      <c r="AY84" s="420">
        <f t="shared" si="98"/>
        <v>0</v>
      </c>
      <c r="AZ84" s="444">
        <v>246376</v>
      </c>
      <c r="BA84" s="420"/>
      <c r="BB84" s="420">
        <v>22173.84</v>
      </c>
      <c r="BC84" s="420">
        <f t="shared" si="99"/>
        <v>246376</v>
      </c>
      <c r="BD84" s="427">
        <f t="shared" si="82"/>
        <v>0</v>
      </c>
      <c r="BE84" s="420">
        <v>4994811.1153999995</v>
      </c>
      <c r="BF84" s="420"/>
      <c r="BG84" s="420">
        <v>449533.00038600003</v>
      </c>
      <c r="BH84" s="423">
        <f t="shared" si="100"/>
        <v>4994811.1153999995</v>
      </c>
      <c r="BI84" s="420">
        <f t="shared" si="101"/>
        <v>0</v>
      </c>
      <c r="BJ84" s="420">
        <v>6534678.8600000003</v>
      </c>
      <c r="BK84" s="420"/>
      <c r="BL84" s="420">
        <v>588121.1</v>
      </c>
      <c r="BM84" s="420">
        <f t="shared" si="102"/>
        <v>6534678.8888888899</v>
      </c>
      <c r="BN84" s="420">
        <f t="shared" si="103"/>
        <v>2.8888888657093E-2</v>
      </c>
      <c r="BO84" s="419">
        <v>7554713.4800000004</v>
      </c>
      <c r="BP84" s="428"/>
      <c r="BQ84" s="420">
        <v>679924.21</v>
      </c>
      <c r="BR84" s="423">
        <f t="shared" si="104"/>
        <v>7554713.4444444403</v>
      </c>
      <c r="BS84" s="423">
        <f t="shared" si="105"/>
        <v>-3.5555556416511501E-2</v>
      </c>
      <c r="BT84" s="445">
        <v>7537122.2699999996</v>
      </c>
      <c r="BU84" s="426">
        <v>19330579.460000001</v>
      </c>
      <c r="BV84" s="420">
        <v>678341.01</v>
      </c>
      <c r="BW84" s="420">
        <v>7537122.2699999996</v>
      </c>
      <c r="BX84" s="429">
        <f t="shared" si="106"/>
        <v>0</v>
      </c>
      <c r="BY84" s="455">
        <v>5467905.5499999998</v>
      </c>
      <c r="BZ84" s="419"/>
      <c r="CA84" s="419">
        <v>492111.5</v>
      </c>
      <c r="CB84" s="420">
        <f t="shared" si="107"/>
        <v>5467905.5555555597</v>
      </c>
      <c r="CC84" s="430">
        <f t="shared" si="108"/>
        <v>5.5555561557412104E-3</v>
      </c>
      <c r="CD84" s="419"/>
      <c r="CE84" s="419"/>
      <c r="CF84" s="419"/>
      <c r="CG84" s="420">
        <f t="shared" si="109"/>
        <v>0</v>
      </c>
      <c r="CH84" s="423">
        <f t="shared" si="110"/>
        <v>0</v>
      </c>
      <c r="CI84" s="431">
        <v>940277.57</v>
      </c>
      <c r="CJ84" s="431"/>
      <c r="CK84" s="431">
        <v>84624.98</v>
      </c>
      <c r="CL84" s="420">
        <f t="shared" si="111"/>
        <v>940277.55555555597</v>
      </c>
      <c r="CM84" s="423">
        <f t="shared" si="112"/>
        <v>-1.4444444444961801E-2</v>
      </c>
      <c r="CN84" s="420">
        <v>766972.48</v>
      </c>
      <c r="CO84" s="420"/>
      <c r="CP84" s="420">
        <v>69027.53</v>
      </c>
      <c r="CQ84" s="432">
        <v>766972.48</v>
      </c>
      <c r="CR84" s="432">
        <f t="shared" si="113"/>
        <v>0</v>
      </c>
      <c r="CS84" s="420"/>
      <c r="CT84" s="420"/>
      <c r="CU84" s="420"/>
      <c r="CV84" s="420"/>
      <c r="CW84" s="420">
        <f t="shared" si="114"/>
        <v>0</v>
      </c>
      <c r="CX84" s="419"/>
      <c r="CY84" s="419"/>
      <c r="CZ84" s="419"/>
      <c r="DA84" s="419">
        <f t="shared" si="115"/>
        <v>0</v>
      </c>
      <c r="DB84" s="419">
        <f t="shared" si="116"/>
        <v>0</v>
      </c>
      <c r="DC84" s="419">
        <v>704493.35</v>
      </c>
      <c r="DD84" s="397">
        <v>15416771.23</v>
      </c>
      <c r="DE84" s="419">
        <v>63404.4</v>
      </c>
      <c r="DF84" s="420">
        <f t="shared" si="117"/>
        <v>704493.33333333302</v>
      </c>
      <c r="DG84" s="421">
        <f t="shared" si="118"/>
        <v>1.6666666604578498E-2</v>
      </c>
      <c r="DH84" s="419">
        <v>1213701.1399999999</v>
      </c>
      <c r="DI84" s="419">
        <v>1213701.1299999999</v>
      </c>
      <c r="DJ84" s="419">
        <v>109233.1</v>
      </c>
      <c r="DK84" s="420">
        <f t="shared" si="119"/>
        <v>1213701.1111111101</v>
      </c>
      <c r="DL84" s="422">
        <f t="shared" si="120"/>
        <v>-2.8888888657093E-2</v>
      </c>
      <c r="DM84" s="420">
        <v>2969567.19</v>
      </c>
      <c r="DN84" s="420">
        <v>2969567.2</v>
      </c>
      <c r="DO84" s="420">
        <v>267261.05</v>
      </c>
      <c r="DP84" s="420">
        <f t="shared" si="121"/>
        <v>2969567.2222222202</v>
      </c>
      <c r="DQ84" s="420">
        <f t="shared" si="122"/>
        <v>3.2222222071140998E-2</v>
      </c>
      <c r="DR84" s="419">
        <v>1044143.62</v>
      </c>
      <c r="DS84" s="419">
        <v>1044143.62</v>
      </c>
      <c r="DT84" s="419">
        <v>93972.93</v>
      </c>
      <c r="DU84" s="420">
        <f t="shared" si="123"/>
        <v>1044143.66666667</v>
      </c>
      <c r="DV84" s="423">
        <f t="shared" si="124"/>
        <v>4.66666666325182E-2</v>
      </c>
      <c r="DW84" s="419">
        <v>2783825</v>
      </c>
      <c r="DX84" s="419"/>
      <c r="DY84" s="419">
        <v>250544.25</v>
      </c>
      <c r="DZ84" s="420">
        <f t="shared" si="125"/>
        <v>2783825</v>
      </c>
      <c r="EA84" s="423">
        <f t="shared" si="126"/>
        <v>0</v>
      </c>
      <c r="EB84" s="420"/>
      <c r="EC84" s="419"/>
      <c r="ED84" s="420"/>
      <c r="EE84" s="419"/>
      <c r="EF84" s="420">
        <f t="shared" si="127"/>
        <v>0</v>
      </c>
      <c r="EG84" s="419">
        <v>1319956.28</v>
      </c>
      <c r="EH84" s="419"/>
      <c r="EI84" s="419">
        <v>118796.07</v>
      </c>
      <c r="EJ84" s="420">
        <f t="shared" si="128"/>
        <v>1319956.33</v>
      </c>
      <c r="EK84" s="420">
        <f t="shared" si="129"/>
        <v>0.05</v>
      </c>
      <c r="EL84" s="420">
        <v>2162844.0299999998</v>
      </c>
      <c r="EM84" s="419"/>
      <c r="EN84" s="420">
        <v>194655.96</v>
      </c>
      <c r="EO84" s="419">
        <f t="shared" si="130"/>
        <v>2162844</v>
      </c>
      <c r="EP84" s="419">
        <f t="shared" si="131"/>
        <v>-0.03</v>
      </c>
      <c r="EQ84" s="420">
        <v>2604139.37</v>
      </c>
      <c r="ER84" s="419">
        <v>8870764.6500000004</v>
      </c>
      <c r="ES84" s="419">
        <v>234372.54</v>
      </c>
      <c r="ET84" s="419">
        <f t="shared" si="132"/>
        <v>2604139.33</v>
      </c>
      <c r="EU84" s="419">
        <f t="shared" si="133"/>
        <v>-0.04</v>
      </c>
      <c r="EV84" s="455">
        <v>2617003.67</v>
      </c>
      <c r="EW84" s="419"/>
      <c r="EX84" s="455">
        <v>235530.33</v>
      </c>
      <c r="EY84" s="419">
        <f t="shared" si="134"/>
        <v>2617003.67</v>
      </c>
      <c r="EZ84" s="419">
        <f t="shared" si="154"/>
        <v>0</v>
      </c>
      <c r="FA84" s="420"/>
      <c r="FB84" s="420"/>
      <c r="FC84" s="420"/>
      <c r="FD84" s="420">
        <f t="shared" si="135"/>
        <v>0</v>
      </c>
      <c r="FE84" s="420">
        <f t="shared" si="136"/>
        <v>0</v>
      </c>
      <c r="FF84" s="419"/>
      <c r="FG84" s="419"/>
      <c r="FH84" s="419"/>
      <c r="FI84" s="419">
        <f t="shared" si="137"/>
        <v>0</v>
      </c>
      <c r="FJ84" s="419">
        <f t="shared" si="138"/>
        <v>0</v>
      </c>
      <c r="FK84" s="419"/>
      <c r="FL84" s="419"/>
      <c r="FM84" s="419"/>
      <c r="FN84" s="420">
        <f t="shared" si="139"/>
        <v>0</v>
      </c>
      <c r="FO84" s="423">
        <f t="shared" si="140"/>
        <v>0</v>
      </c>
      <c r="FP84" s="419"/>
      <c r="FQ84" s="419"/>
      <c r="FR84" s="419"/>
      <c r="FS84" s="420">
        <f t="shared" si="141"/>
        <v>0</v>
      </c>
      <c r="FT84" s="420">
        <f t="shared" si="142"/>
        <v>0</v>
      </c>
      <c r="FU84" s="419"/>
      <c r="FV84" s="419"/>
      <c r="FW84" s="419"/>
      <c r="FX84" s="420">
        <f t="shared" si="143"/>
        <v>0</v>
      </c>
      <c r="FY84" s="420">
        <f t="shared" si="144"/>
        <v>0</v>
      </c>
      <c r="FZ84" s="419">
        <v>7216349.7999999998</v>
      </c>
      <c r="GA84" s="419"/>
      <c r="GB84" s="419">
        <v>649471.49</v>
      </c>
      <c r="GC84" s="420">
        <f t="shared" si="145"/>
        <v>7216349.8899999997</v>
      </c>
      <c r="GD84" s="420">
        <f t="shared" si="146"/>
        <v>8.9999999850988402E-2</v>
      </c>
      <c r="GE84" s="419"/>
      <c r="GF84" s="419"/>
      <c r="GG84" s="419"/>
      <c r="GH84" s="420">
        <f t="shared" si="147"/>
        <v>0</v>
      </c>
      <c r="GI84" s="423">
        <f t="shared" si="148"/>
        <v>0</v>
      </c>
      <c r="GJ84" s="419"/>
      <c r="GK84" s="419"/>
      <c r="GL84" s="419"/>
      <c r="GM84" s="420">
        <f t="shared" si="149"/>
        <v>0</v>
      </c>
      <c r="GN84" s="420">
        <f t="shared" si="150"/>
        <v>0</v>
      </c>
      <c r="GO84" s="419"/>
      <c r="GP84" s="419"/>
      <c r="GQ84" s="419"/>
      <c r="GR84" s="420">
        <f t="shared" si="155"/>
        <v>0</v>
      </c>
      <c r="GS84" s="423">
        <f t="shared" si="151"/>
        <v>0</v>
      </c>
      <c r="GT84" s="419"/>
      <c r="GU84" s="419"/>
      <c r="GV84" s="419"/>
      <c r="GW84" s="420">
        <f t="shared" si="152"/>
        <v>0</v>
      </c>
      <c r="GX84" s="420">
        <f t="shared" si="153"/>
        <v>0</v>
      </c>
    </row>
    <row r="85" spans="1:206" ht="15">
      <c r="A85" s="414"/>
      <c r="B85" s="415" t="s">
        <v>524</v>
      </c>
      <c r="C85" s="698"/>
      <c r="D85" s="707"/>
      <c r="E85" s="434" t="s">
        <v>125</v>
      </c>
      <c r="F85" s="417">
        <v>0.06</v>
      </c>
      <c r="G85" s="418">
        <f t="shared" si="85"/>
        <v>1551060.01</v>
      </c>
      <c r="H85" s="418">
        <f t="shared" si="86"/>
        <v>1525544.85</v>
      </c>
      <c r="I85" s="418">
        <f t="shared" si="86"/>
        <v>93063.616918</v>
      </c>
      <c r="J85" s="418">
        <f t="shared" si="87"/>
        <v>1551060.28196667</v>
      </c>
      <c r="K85" s="418">
        <f t="shared" si="83"/>
        <v>25515.431966666602</v>
      </c>
      <c r="L85" s="418">
        <f t="shared" si="84"/>
        <v>0.27196666644886103</v>
      </c>
      <c r="M85" s="424"/>
      <c r="N85" s="424"/>
      <c r="O85" s="424"/>
      <c r="P85" s="424"/>
      <c r="Q85" s="419"/>
      <c r="R85" s="419"/>
      <c r="S85" s="419"/>
      <c r="T85" s="420"/>
      <c r="U85" s="423"/>
      <c r="V85" s="420"/>
      <c r="W85" s="420"/>
      <c r="X85" s="419"/>
      <c r="Y85" s="419"/>
      <c r="Z85" s="423"/>
      <c r="AA85" s="423"/>
      <c r="AB85" s="419"/>
      <c r="AC85" s="423"/>
      <c r="AD85" s="420"/>
      <c r="AE85" s="423"/>
      <c r="AF85" s="444"/>
      <c r="AG85" s="419"/>
      <c r="AH85" s="420"/>
      <c r="AI85" s="420"/>
      <c r="AJ85" s="423"/>
      <c r="AK85" s="444"/>
      <c r="AL85" s="420"/>
      <c r="AM85" s="420"/>
      <c r="AN85" s="420"/>
      <c r="AO85" s="423"/>
      <c r="AP85" s="420"/>
      <c r="AQ85" s="419"/>
      <c r="AR85" s="420"/>
      <c r="AS85" s="420"/>
      <c r="AT85" s="420"/>
      <c r="AU85" s="420">
        <f>32440.12+98538.03</f>
        <v>130978.15</v>
      </c>
      <c r="AV85" s="420"/>
      <c r="AW85" s="435">
        <v>7858.6887180000003</v>
      </c>
      <c r="AX85" s="426">
        <f t="shared" si="97"/>
        <v>130978.1453</v>
      </c>
      <c r="AY85" s="420">
        <f t="shared" si="98"/>
        <v>-4.6999999904073801E-3</v>
      </c>
      <c r="AZ85" s="420">
        <v>33587.480000000003</v>
      </c>
      <c r="BA85" s="420"/>
      <c r="BB85" s="419">
        <v>2015.25</v>
      </c>
      <c r="BC85" s="420">
        <f t="shared" si="99"/>
        <v>33587.5</v>
      </c>
      <c r="BD85" s="427">
        <f t="shared" si="82"/>
        <v>1.9999999996798599E-2</v>
      </c>
      <c r="BE85" s="420">
        <v>37221.33</v>
      </c>
      <c r="BF85" s="420"/>
      <c r="BG85" s="420">
        <v>2233.2800000000002</v>
      </c>
      <c r="BH85" s="423">
        <f t="shared" si="100"/>
        <v>37221.333333333299</v>
      </c>
      <c r="BI85" s="420">
        <f t="shared" si="101"/>
        <v>3.3333333340124201E-3</v>
      </c>
      <c r="BJ85" s="420">
        <v>49364.72</v>
      </c>
      <c r="BK85" s="420"/>
      <c r="BL85" s="420">
        <v>2961.88</v>
      </c>
      <c r="BM85" s="420">
        <f t="shared" si="102"/>
        <v>49364.666666666701</v>
      </c>
      <c r="BN85" s="420">
        <f t="shared" si="103"/>
        <v>-5.33333333296468E-2</v>
      </c>
      <c r="BO85" s="419">
        <v>52413.34</v>
      </c>
      <c r="BP85" s="428"/>
      <c r="BQ85" s="420">
        <v>3144.8004000000001</v>
      </c>
      <c r="BR85" s="423">
        <f t="shared" si="104"/>
        <v>52413.34</v>
      </c>
      <c r="BS85" s="423">
        <f t="shared" si="105"/>
        <v>0</v>
      </c>
      <c r="BT85" s="420">
        <v>683108.96</v>
      </c>
      <c r="BU85" s="426">
        <v>303565.01</v>
      </c>
      <c r="BV85" s="420">
        <v>40986.54</v>
      </c>
      <c r="BW85" s="420">
        <v>683108.96</v>
      </c>
      <c r="BX85" s="429">
        <f t="shared" si="106"/>
        <v>0</v>
      </c>
      <c r="BY85" s="419">
        <v>116362.37</v>
      </c>
      <c r="BZ85" s="419"/>
      <c r="CA85" s="419">
        <v>6981.74</v>
      </c>
      <c r="CB85" s="420">
        <f t="shared" si="107"/>
        <v>116362.33333333299</v>
      </c>
      <c r="CC85" s="430">
        <f t="shared" si="108"/>
        <v>-3.6666666666860699E-2</v>
      </c>
      <c r="CD85" s="419">
        <v>19369.13</v>
      </c>
      <c r="CE85" s="419"/>
      <c r="CF85" s="419">
        <v>1162.1400000000001</v>
      </c>
      <c r="CG85" s="420">
        <f t="shared" si="109"/>
        <v>19369</v>
      </c>
      <c r="CH85" s="423">
        <f t="shared" si="110"/>
        <v>-0.12999999999738099</v>
      </c>
      <c r="CI85" s="431">
        <v>15735.09</v>
      </c>
      <c r="CJ85" s="431"/>
      <c r="CK85" s="431">
        <v>944.11</v>
      </c>
      <c r="CL85" s="420">
        <f t="shared" si="111"/>
        <v>15735.166666666701</v>
      </c>
      <c r="CM85" s="423">
        <f t="shared" si="112"/>
        <v>7.6666666667733793E-2</v>
      </c>
      <c r="CN85" s="420">
        <v>12658.42</v>
      </c>
      <c r="CO85" s="420"/>
      <c r="CP85" s="420">
        <v>759.51</v>
      </c>
      <c r="CQ85" s="432">
        <v>12658.42</v>
      </c>
      <c r="CR85" s="432">
        <f t="shared" si="113"/>
        <v>0</v>
      </c>
      <c r="CS85" s="420">
        <v>18299.62</v>
      </c>
      <c r="CT85" s="420"/>
      <c r="CU85" s="420">
        <v>1097.98</v>
      </c>
      <c r="CV85" s="420">
        <v>18299.62</v>
      </c>
      <c r="CW85" s="420">
        <f t="shared" si="114"/>
        <v>0</v>
      </c>
      <c r="CX85" s="419">
        <v>21454.5</v>
      </c>
      <c r="CY85" s="419"/>
      <c r="CZ85" s="419">
        <v>1287.27</v>
      </c>
      <c r="DA85" s="419">
        <f t="shared" si="115"/>
        <v>21454.5</v>
      </c>
      <c r="DB85" s="419">
        <f t="shared" si="116"/>
        <v>0</v>
      </c>
      <c r="DC85" s="419">
        <v>28452.36</v>
      </c>
      <c r="DD85" s="419"/>
      <c r="DE85" s="419">
        <v>1707.15</v>
      </c>
      <c r="DF85" s="420">
        <f t="shared" si="117"/>
        <v>28452.5</v>
      </c>
      <c r="DG85" s="421">
        <f t="shared" si="118"/>
        <v>-0.14000000000305601</v>
      </c>
      <c r="DH85" s="419">
        <v>29142.41</v>
      </c>
      <c r="DI85" s="419">
        <v>915440.46</v>
      </c>
      <c r="DJ85" s="419">
        <v>1748.55</v>
      </c>
      <c r="DK85" s="420">
        <f t="shared" si="119"/>
        <v>29142.5</v>
      </c>
      <c r="DL85" s="422">
        <f t="shared" si="120"/>
        <v>9.0000000000145505E-2</v>
      </c>
      <c r="DM85" s="420">
        <v>28688.36</v>
      </c>
      <c r="DN85" s="420">
        <v>29142.41</v>
      </c>
      <c r="DO85" s="420">
        <v>1721.3</v>
      </c>
      <c r="DP85" s="420">
        <f t="shared" si="121"/>
        <v>28688.333333333299</v>
      </c>
      <c r="DQ85" s="420">
        <f t="shared" si="122"/>
        <v>-2.6666666668461399E-2</v>
      </c>
      <c r="DR85" s="419">
        <v>26286.18</v>
      </c>
      <c r="DS85" s="419">
        <v>28688.36</v>
      </c>
      <c r="DT85" s="419">
        <v>1577.16</v>
      </c>
      <c r="DU85" s="420">
        <f t="shared" si="123"/>
        <v>26286</v>
      </c>
      <c r="DV85" s="423">
        <f t="shared" si="124"/>
        <v>-0.179999999996653</v>
      </c>
      <c r="DW85" s="419">
        <v>26847.48</v>
      </c>
      <c r="DX85" s="419"/>
      <c r="DY85" s="419">
        <v>1610.85</v>
      </c>
      <c r="DZ85" s="420">
        <f t="shared" si="125"/>
        <v>26847.5</v>
      </c>
      <c r="EA85" s="423">
        <f t="shared" si="126"/>
        <v>0.02</v>
      </c>
      <c r="EB85" s="419">
        <v>32563.13</v>
      </c>
      <c r="EC85" s="419"/>
      <c r="ED85" s="420">
        <v>1953.7878000000001</v>
      </c>
      <c r="EE85" s="419">
        <v>32563.13</v>
      </c>
      <c r="EF85" s="420">
        <f t="shared" si="127"/>
        <v>0</v>
      </c>
      <c r="EG85" s="419">
        <v>138281.95000000001</v>
      </c>
      <c r="EI85" s="419">
        <v>8296.92</v>
      </c>
      <c r="EJ85" s="420">
        <f t="shared" si="128"/>
        <v>138282</v>
      </c>
      <c r="EK85" s="420">
        <f t="shared" si="129"/>
        <v>0.05</v>
      </c>
      <c r="EL85" s="419">
        <v>24729.87</v>
      </c>
      <c r="EN85" s="419">
        <v>1483.79</v>
      </c>
      <c r="EO85" s="419">
        <f t="shared" si="130"/>
        <v>24729.83</v>
      </c>
      <c r="EP85" s="419">
        <f t="shared" si="131"/>
        <v>-0.04</v>
      </c>
      <c r="EQ85" s="419">
        <v>12442.6</v>
      </c>
      <c r="ER85" s="419">
        <v>248708.61</v>
      </c>
      <c r="ES85" s="419">
        <v>746.56</v>
      </c>
      <c r="ET85" s="419">
        <f t="shared" si="132"/>
        <v>12442.67</v>
      </c>
      <c r="EU85" s="419">
        <f t="shared" si="133"/>
        <v>7.0000000000000007E-2</v>
      </c>
      <c r="EV85" s="419">
        <v>13072.56</v>
      </c>
      <c r="EW85" s="419"/>
      <c r="EX85" s="419">
        <v>784.36</v>
      </c>
      <c r="EY85" s="419">
        <f t="shared" si="134"/>
        <v>13072.67</v>
      </c>
      <c r="EZ85" s="419">
        <f t="shared" si="154"/>
        <v>0.11</v>
      </c>
      <c r="FA85" s="420"/>
      <c r="FB85" s="420"/>
      <c r="FC85" s="420"/>
      <c r="FD85" s="420">
        <f t="shared" si="135"/>
        <v>0</v>
      </c>
      <c r="FE85" s="420">
        <f t="shared" si="136"/>
        <v>0</v>
      </c>
      <c r="FF85" s="419"/>
      <c r="FG85" s="419"/>
      <c r="FH85" s="419"/>
      <c r="FI85" s="419">
        <f t="shared" si="137"/>
        <v>0</v>
      </c>
      <c r="FJ85" s="419">
        <f t="shared" si="138"/>
        <v>0</v>
      </c>
      <c r="FK85" s="419"/>
      <c r="FL85" s="419"/>
      <c r="FM85" s="419"/>
      <c r="FN85" s="420">
        <f t="shared" si="139"/>
        <v>0</v>
      </c>
      <c r="FO85" s="423">
        <f t="shared" si="140"/>
        <v>0</v>
      </c>
      <c r="FP85" s="419"/>
      <c r="FQ85" s="419"/>
      <c r="FR85" s="419"/>
      <c r="FS85" s="420">
        <f t="shared" si="141"/>
        <v>0</v>
      </c>
      <c r="FT85" s="420">
        <f t="shared" si="142"/>
        <v>0</v>
      </c>
      <c r="FU85" s="419"/>
      <c r="FV85" s="419"/>
      <c r="FW85" s="419"/>
      <c r="FX85" s="420">
        <f t="shared" si="143"/>
        <v>0</v>
      </c>
      <c r="FY85" s="420">
        <f t="shared" si="144"/>
        <v>0</v>
      </c>
      <c r="FZ85" s="419"/>
      <c r="GA85" s="419"/>
      <c r="GB85" s="419"/>
      <c r="GC85" s="420">
        <f t="shared" si="145"/>
        <v>0</v>
      </c>
      <c r="GD85" s="420">
        <f t="shared" si="146"/>
        <v>0</v>
      </c>
      <c r="GE85" s="419"/>
      <c r="GF85" s="419"/>
      <c r="GG85" s="419"/>
      <c r="GH85" s="420">
        <f t="shared" si="147"/>
        <v>0</v>
      </c>
      <c r="GI85" s="423">
        <f t="shared" si="148"/>
        <v>0</v>
      </c>
      <c r="GJ85" s="419"/>
      <c r="GK85" s="419"/>
      <c r="GL85" s="419"/>
      <c r="GM85" s="420">
        <f t="shared" si="149"/>
        <v>0</v>
      </c>
      <c r="GN85" s="420">
        <f t="shared" si="150"/>
        <v>0</v>
      </c>
      <c r="GO85" s="419"/>
      <c r="GP85" s="419"/>
      <c r="GQ85" s="419"/>
      <c r="GR85" s="420">
        <f t="shared" si="155"/>
        <v>0</v>
      </c>
      <c r="GS85" s="423">
        <f t="shared" si="151"/>
        <v>0</v>
      </c>
      <c r="GT85" s="419"/>
      <c r="GU85" s="419"/>
      <c r="GV85" s="419"/>
      <c r="GW85" s="420">
        <f t="shared" si="152"/>
        <v>0</v>
      </c>
      <c r="GX85" s="420">
        <f t="shared" si="153"/>
        <v>0</v>
      </c>
    </row>
    <row r="86" spans="1:206" ht="15">
      <c r="A86" s="414"/>
      <c r="B86" s="415" t="s">
        <v>526</v>
      </c>
      <c r="C86" s="698"/>
      <c r="D86" s="704" t="s">
        <v>527</v>
      </c>
      <c r="E86" s="434" t="s">
        <v>123</v>
      </c>
      <c r="F86" s="417">
        <v>0.13</v>
      </c>
      <c r="G86" s="418">
        <f t="shared" si="85"/>
        <v>122629143.90000001</v>
      </c>
      <c r="H86" s="418">
        <f t="shared" si="86"/>
        <v>122629143.94</v>
      </c>
      <c r="I86" s="418">
        <f t="shared" si="86"/>
        <v>15941788.706599999</v>
      </c>
      <c r="J86" s="418">
        <f t="shared" si="87"/>
        <v>122629143.89692301</v>
      </c>
      <c r="K86" s="418">
        <f t="shared" si="83"/>
        <v>-4.3076917529106099E-2</v>
      </c>
      <c r="L86" s="418">
        <f t="shared" si="84"/>
        <v>-3.07692587375641E-3</v>
      </c>
      <c r="M86" s="424"/>
      <c r="N86" s="424"/>
      <c r="O86" s="424"/>
      <c r="P86" s="424"/>
      <c r="Q86" s="419"/>
      <c r="R86" s="419"/>
      <c r="S86" s="419"/>
      <c r="T86" s="420"/>
      <c r="U86" s="423"/>
      <c r="V86" s="420"/>
      <c r="W86" s="420"/>
      <c r="X86" s="419"/>
      <c r="Y86" s="419"/>
      <c r="Z86" s="423"/>
      <c r="AA86" s="423"/>
      <c r="AB86" s="419"/>
      <c r="AC86" s="423"/>
      <c r="AD86" s="420"/>
      <c r="AE86" s="423"/>
      <c r="AF86" s="444"/>
      <c r="AG86" s="419"/>
      <c r="AH86" s="420"/>
      <c r="AI86" s="420"/>
      <c r="AJ86" s="423"/>
      <c r="AK86" s="444"/>
      <c r="AL86" s="420"/>
      <c r="AM86" s="420"/>
      <c r="AN86" s="420"/>
      <c r="AO86" s="423"/>
      <c r="AP86" s="420"/>
      <c r="AQ86" s="419"/>
      <c r="AR86" s="420"/>
      <c r="AS86" s="420"/>
      <c r="AT86" s="420"/>
      <c r="AU86" s="420"/>
      <c r="AV86" s="420"/>
      <c r="AW86" s="420"/>
      <c r="AX86" s="426">
        <f t="shared" si="97"/>
        <v>0</v>
      </c>
      <c r="AY86" s="420">
        <f t="shared" si="98"/>
        <v>0</v>
      </c>
      <c r="AZ86" s="419"/>
      <c r="BA86" s="420"/>
      <c r="BB86" s="419"/>
      <c r="BC86" s="420">
        <f t="shared" si="99"/>
        <v>0</v>
      </c>
      <c r="BD86" s="427">
        <f t="shared" si="82"/>
        <v>0</v>
      </c>
      <c r="BE86" s="420"/>
      <c r="BF86" s="420"/>
      <c r="BG86" s="420"/>
      <c r="BH86" s="423">
        <f t="shared" si="100"/>
        <v>0</v>
      </c>
      <c r="BI86" s="420">
        <f t="shared" si="101"/>
        <v>0</v>
      </c>
      <c r="BJ86" s="420"/>
      <c r="BK86" s="420"/>
      <c r="BL86" s="420"/>
      <c r="BM86" s="420">
        <f t="shared" si="102"/>
        <v>0</v>
      </c>
      <c r="BN86" s="420">
        <f t="shared" si="103"/>
        <v>0</v>
      </c>
      <c r="BO86" s="419"/>
      <c r="BP86" s="428"/>
      <c r="BQ86" s="420"/>
      <c r="BR86" s="423">
        <f t="shared" si="104"/>
        <v>0</v>
      </c>
      <c r="BS86" s="423">
        <f t="shared" si="105"/>
        <v>0</v>
      </c>
      <c r="BT86" s="420"/>
      <c r="BU86" s="420"/>
      <c r="BV86" s="420"/>
      <c r="BW86" s="420"/>
      <c r="BX86" s="429">
        <f t="shared" si="106"/>
        <v>0</v>
      </c>
      <c r="BY86" s="419"/>
      <c r="BZ86" s="419"/>
      <c r="CA86" s="419"/>
      <c r="CB86" s="420">
        <f t="shared" si="107"/>
        <v>0</v>
      </c>
      <c r="CC86" s="430">
        <f t="shared" si="108"/>
        <v>0</v>
      </c>
      <c r="CD86" s="419"/>
      <c r="CE86" s="419"/>
      <c r="CF86" s="419"/>
      <c r="CG86" s="420">
        <f t="shared" si="109"/>
        <v>0</v>
      </c>
      <c r="CH86" s="423">
        <f t="shared" si="110"/>
        <v>0</v>
      </c>
      <c r="CI86" s="431">
        <v>4323069.07</v>
      </c>
      <c r="CJ86" s="431"/>
      <c r="CK86" s="431">
        <v>561998.99</v>
      </c>
      <c r="CL86" s="420">
        <f t="shared" si="111"/>
        <v>4323069.1538461503</v>
      </c>
      <c r="CM86" s="423">
        <f t="shared" si="112"/>
        <v>8.3846153691411004E-2</v>
      </c>
      <c r="CN86" s="420"/>
      <c r="CO86" s="420"/>
      <c r="CP86" s="420"/>
      <c r="CQ86" s="432"/>
      <c r="CR86" s="432">
        <f t="shared" si="113"/>
        <v>0</v>
      </c>
      <c r="CS86" s="420"/>
      <c r="CT86" s="420"/>
      <c r="CU86" s="420"/>
      <c r="CV86" s="420"/>
      <c r="CW86" s="420">
        <f t="shared" si="114"/>
        <v>0</v>
      </c>
      <c r="CX86" s="419"/>
      <c r="CY86" s="419"/>
      <c r="CZ86" s="419"/>
      <c r="DA86" s="419">
        <f t="shared" si="115"/>
        <v>0</v>
      </c>
      <c r="DB86" s="419">
        <f t="shared" si="116"/>
        <v>0</v>
      </c>
      <c r="DC86" s="419"/>
      <c r="DD86" s="419"/>
      <c r="DE86" s="419"/>
      <c r="DF86" s="420">
        <f t="shared" si="117"/>
        <v>0</v>
      </c>
      <c r="DG86" s="421">
        <f t="shared" si="118"/>
        <v>0</v>
      </c>
      <c r="DH86" s="419">
        <v>23549505.960000001</v>
      </c>
      <c r="DI86" s="419"/>
      <c r="DJ86" s="419">
        <v>3061435.77</v>
      </c>
      <c r="DK86" s="420">
        <f t="shared" si="119"/>
        <v>23549505.923076902</v>
      </c>
      <c r="DL86" s="422">
        <f t="shared" si="120"/>
        <v>-3.6923076957464197E-2</v>
      </c>
      <c r="DM86" s="420">
        <v>37009871.829999998</v>
      </c>
      <c r="DN86" s="420">
        <v>64882446.859999999</v>
      </c>
      <c r="DO86" s="420">
        <v>4811283.34</v>
      </c>
      <c r="DP86" s="420">
        <f t="shared" si="121"/>
        <v>37009871.846153803</v>
      </c>
      <c r="DQ86" s="420">
        <f t="shared" si="122"/>
        <v>1.6153842210769698E-2</v>
      </c>
      <c r="DR86" s="419">
        <v>17662129.469999999</v>
      </c>
      <c r="DS86" s="419">
        <v>17662129.48</v>
      </c>
      <c r="DT86" s="419">
        <v>2296076.83</v>
      </c>
      <c r="DU86" s="420">
        <f t="shared" si="123"/>
        <v>17662129.461538501</v>
      </c>
      <c r="DV86" s="423">
        <f t="shared" si="124"/>
        <v>-8.4615387022495304E-3</v>
      </c>
      <c r="DW86" s="419">
        <v>11363857.15</v>
      </c>
      <c r="DX86" s="419">
        <v>11363857.15</v>
      </c>
      <c r="DY86" s="419">
        <v>1477301.42</v>
      </c>
      <c r="DZ86" s="420">
        <f t="shared" si="125"/>
        <v>11363857.08</v>
      </c>
      <c r="EA86" s="423">
        <f t="shared" si="126"/>
        <v>-7.0000000000000007E-2</v>
      </c>
      <c r="EB86" s="419">
        <v>28720683.82</v>
      </c>
      <c r="EC86" s="419"/>
      <c r="ED86" s="420">
        <v>3733688.8966000001</v>
      </c>
      <c r="EE86" s="419">
        <v>28720683.82</v>
      </c>
      <c r="EF86" s="420">
        <f t="shared" si="127"/>
        <v>0</v>
      </c>
      <c r="EG86" s="419"/>
      <c r="EH86" s="419">
        <v>28720683.82</v>
      </c>
      <c r="EI86" s="419"/>
      <c r="EJ86" s="420">
        <f t="shared" si="128"/>
        <v>0</v>
      </c>
      <c r="EK86" s="420">
        <f t="shared" si="129"/>
        <v>0</v>
      </c>
      <c r="EL86" s="419"/>
      <c r="EM86" s="419"/>
      <c r="EN86" s="419"/>
      <c r="EO86" s="419">
        <f t="shared" si="130"/>
        <v>0</v>
      </c>
      <c r="EP86" s="419">
        <f t="shared" si="131"/>
        <v>0</v>
      </c>
      <c r="EQ86" s="419">
        <v>26.6</v>
      </c>
      <c r="ER86" s="419"/>
      <c r="ES86" s="419">
        <v>3.46</v>
      </c>
      <c r="ET86" s="419">
        <f t="shared" si="132"/>
        <v>26.62</v>
      </c>
      <c r="EU86" s="419">
        <f t="shared" si="133"/>
        <v>0.02</v>
      </c>
      <c r="EV86" s="419"/>
      <c r="EW86" s="419">
        <v>26.63</v>
      </c>
      <c r="EX86" s="419"/>
      <c r="EY86" s="419">
        <f t="shared" si="134"/>
        <v>0</v>
      </c>
      <c r="EZ86" s="419">
        <f t="shared" si="154"/>
        <v>0</v>
      </c>
      <c r="FA86" s="420"/>
      <c r="FB86" s="420"/>
      <c r="FC86" s="420"/>
      <c r="FD86" s="420">
        <f t="shared" si="135"/>
        <v>0</v>
      </c>
      <c r="FE86" s="420">
        <f t="shared" si="136"/>
        <v>0</v>
      </c>
      <c r="FF86" s="419"/>
      <c r="FG86" s="419"/>
      <c r="FH86" s="419"/>
      <c r="FI86" s="419">
        <f t="shared" si="137"/>
        <v>0</v>
      </c>
      <c r="FJ86" s="419">
        <f t="shared" si="138"/>
        <v>0</v>
      </c>
      <c r="FK86" s="419"/>
      <c r="FL86" s="419"/>
      <c r="FM86" s="419"/>
      <c r="FN86" s="420">
        <f t="shared" si="139"/>
        <v>0</v>
      </c>
      <c r="FO86" s="423">
        <f t="shared" si="140"/>
        <v>0</v>
      </c>
      <c r="FP86" s="419"/>
      <c r="FQ86" s="419"/>
      <c r="FR86" s="419"/>
      <c r="FS86" s="420">
        <f t="shared" si="141"/>
        <v>0</v>
      </c>
      <c r="FT86" s="420">
        <f t="shared" si="142"/>
        <v>0</v>
      </c>
      <c r="FU86" s="419"/>
      <c r="FV86" s="419"/>
      <c r="FW86" s="419"/>
      <c r="FX86" s="420">
        <f t="shared" si="143"/>
        <v>0</v>
      </c>
      <c r="FY86" s="420">
        <f t="shared" si="144"/>
        <v>0</v>
      </c>
      <c r="FZ86" s="419"/>
      <c r="GA86" s="419"/>
      <c r="GB86" s="419"/>
      <c r="GC86" s="420">
        <f t="shared" si="145"/>
        <v>0</v>
      </c>
      <c r="GD86" s="420">
        <f t="shared" si="146"/>
        <v>0</v>
      </c>
      <c r="GE86" s="419"/>
      <c r="GF86" s="419"/>
      <c r="GG86" s="419"/>
      <c r="GH86" s="420">
        <f t="shared" si="147"/>
        <v>0</v>
      </c>
      <c r="GI86" s="423">
        <f t="shared" si="148"/>
        <v>0</v>
      </c>
      <c r="GJ86" s="419"/>
      <c r="GK86" s="419"/>
      <c r="GL86" s="419"/>
      <c r="GM86" s="420">
        <f t="shared" si="149"/>
        <v>0</v>
      </c>
      <c r="GN86" s="420">
        <f t="shared" si="150"/>
        <v>0</v>
      </c>
      <c r="GO86" s="419"/>
      <c r="GP86" s="419"/>
      <c r="GQ86" s="419"/>
      <c r="GR86" s="420">
        <f t="shared" si="155"/>
        <v>0</v>
      </c>
      <c r="GS86" s="423">
        <f t="shared" si="151"/>
        <v>0</v>
      </c>
      <c r="GT86" s="419"/>
      <c r="GU86" s="419"/>
      <c r="GV86" s="419"/>
      <c r="GW86" s="420">
        <f t="shared" si="152"/>
        <v>0</v>
      </c>
      <c r="GX86" s="420">
        <f t="shared" si="153"/>
        <v>0</v>
      </c>
    </row>
    <row r="87" spans="1:206" ht="15">
      <c r="A87" s="414"/>
      <c r="B87" s="415" t="s">
        <v>526</v>
      </c>
      <c r="C87" s="698"/>
      <c r="D87" s="706"/>
      <c r="E87" s="434" t="s">
        <v>124</v>
      </c>
      <c r="F87" s="417">
        <v>0.09</v>
      </c>
      <c r="G87" s="418">
        <f t="shared" si="85"/>
        <v>90969709.717325002</v>
      </c>
      <c r="H87" s="418">
        <f t="shared" si="86"/>
        <v>90969709.730000004</v>
      </c>
      <c r="I87" s="418">
        <f t="shared" si="86"/>
        <v>8187273.8843592498</v>
      </c>
      <c r="J87" s="418">
        <f t="shared" si="87"/>
        <v>90969709.826213896</v>
      </c>
      <c r="K87" s="418">
        <f t="shared" si="83"/>
        <v>9.6213892102241502E-2</v>
      </c>
      <c r="L87" s="418">
        <f t="shared" si="84"/>
        <v>0.108888894319534</v>
      </c>
      <c r="M87" s="424"/>
      <c r="N87" s="424"/>
      <c r="O87" s="424"/>
      <c r="P87" s="424"/>
      <c r="Q87" s="419"/>
      <c r="R87" s="419"/>
      <c r="S87" s="419"/>
      <c r="T87" s="420"/>
      <c r="U87" s="423"/>
      <c r="V87" s="420"/>
      <c r="W87" s="420"/>
      <c r="X87" s="419"/>
      <c r="Y87" s="419"/>
      <c r="Z87" s="423"/>
      <c r="AA87" s="423"/>
      <c r="AB87" s="419"/>
      <c r="AC87" s="423"/>
      <c r="AD87" s="420"/>
      <c r="AE87" s="423"/>
      <c r="AF87" s="444"/>
      <c r="AG87" s="419"/>
      <c r="AH87" s="420"/>
      <c r="AI87" s="420"/>
      <c r="AJ87" s="423"/>
      <c r="AK87" s="444"/>
      <c r="AL87" s="420"/>
      <c r="AM87" s="420"/>
      <c r="AN87" s="420"/>
      <c r="AO87" s="423"/>
      <c r="AP87" s="420"/>
      <c r="AQ87" s="419"/>
      <c r="AR87" s="420"/>
      <c r="AS87" s="420"/>
      <c r="AT87" s="420"/>
      <c r="AU87" s="420"/>
      <c r="AV87" s="420"/>
      <c r="AW87" s="420"/>
      <c r="AX87" s="426">
        <f t="shared" si="97"/>
        <v>0</v>
      </c>
      <c r="AY87" s="420">
        <f t="shared" si="98"/>
        <v>0</v>
      </c>
      <c r="AZ87" s="419"/>
      <c r="BA87" s="420"/>
      <c r="BB87" s="419"/>
      <c r="BC87" s="420">
        <f t="shared" si="99"/>
        <v>0</v>
      </c>
      <c r="BD87" s="427">
        <f t="shared" si="82"/>
        <v>0</v>
      </c>
      <c r="BE87" s="420"/>
      <c r="BF87" s="420"/>
      <c r="BG87" s="420"/>
      <c r="BH87" s="423">
        <f t="shared" si="100"/>
        <v>0</v>
      </c>
      <c r="BI87" s="420">
        <f t="shared" si="101"/>
        <v>0</v>
      </c>
      <c r="BJ87" s="420"/>
      <c r="BK87" s="420"/>
      <c r="BL87" s="420"/>
      <c r="BM87" s="420">
        <f t="shared" si="102"/>
        <v>0</v>
      </c>
      <c r="BN87" s="420">
        <f t="shared" si="103"/>
        <v>0</v>
      </c>
      <c r="BO87" s="419"/>
      <c r="BP87" s="428"/>
      <c r="BQ87" s="420"/>
      <c r="BR87" s="423">
        <f t="shared" si="104"/>
        <v>0</v>
      </c>
      <c r="BS87" s="423">
        <f t="shared" si="105"/>
        <v>0</v>
      </c>
      <c r="BT87" s="420">
        <v>3233837.82</v>
      </c>
      <c r="BU87" s="420"/>
      <c r="BV87" s="420">
        <v>291045.40000000002</v>
      </c>
      <c r="BW87" s="420">
        <v>3233837.82</v>
      </c>
      <c r="BX87" s="429">
        <f t="shared" si="106"/>
        <v>0</v>
      </c>
      <c r="BY87" s="455">
        <v>6973152.5800000001</v>
      </c>
      <c r="BZ87" s="419"/>
      <c r="CA87" s="419">
        <v>627583.74</v>
      </c>
      <c r="CB87" s="420">
        <f t="shared" si="107"/>
        <v>6973152.6666666698</v>
      </c>
      <c r="CC87" s="430">
        <f t="shared" si="108"/>
        <v>8.6666666902601705E-2</v>
      </c>
      <c r="CD87" s="419"/>
      <c r="CE87" s="419"/>
      <c r="CF87" s="419"/>
      <c r="CG87" s="420">
        <f t="shared" si="109"/>
        <v>0</v>
      </c>
      <c r="CH87" s="423">
        <f t="shared" si="110"/>
        <v>0</v>
      </c>
      <c r="CI87" s="431">
        <v>3239656.92</v>
      </c>
      <c r="CJ87" s="431"/>
      <c r="CK87" s="431">
        <v>291569.12</v>
      </c>
      <c r="CL87" s="420">
        <f t="shared" si="111"/>
        <v>3239656.8888888899</v>
      </c>
      <c r="CM87" s="423">
        <f t="shared" si="112"/>
        <v>-3.1111110933125002E-2</v>
      </c>
      <c r="CN87" s="420"/>
      <c r="CO87" s="420"/>
      <c r="CP87" s="420"/>
      <c r="CQ87" s="432"/>
      <c r="CR87" s="432">
        <f t="shared" si="113"/>
        <v>0</v>
      </c>
      <c r="CS87" s="420">
        <v>5013873.6100000003</v>
      </c>
      <c r="CT87" s="420"/>
      <c r="CU87" s="420">
        <v>451248.63</v>
      </c>
      <c r="CV87" s="420">
        <v>5013873.6100000003</v>
      </c>
      <c r="CW87" s="420">
        <f t="shared" si="114"/>
        <v>0</v>
      </c>
      <c r="CX87" s="419">
        <v>14250667.960000001</v>
      </c>
      <c r="CY87" s="419"/>
      <c r="CZ87" s="419">
        <v>1282560.1200000001</v>
      </c>
      <c r="DA87" s="419">
        <f t="shared" si="115"/>
        <v>14250668</v>
      </c>
      <c r="DB87" s="419">
        <f t="shared" si="116"/>
        <v>0.04</v>
      </c>
      <c r="DC87" s="419">
        <v>15443205.560000001</v>
      </c>
      <c r="DD87" s="419"/>
      <c r="DE87" s="419">
        <v>1389888.5</v>
      </c>
      <c r="DF87" s="420">
        <f t="shared" si="117"/>
        <v>15443205.555555601</v>
      </c>
      <c r="DG87" s="421">
        <f t="shared" si="118"/>
        <v>4.4444445520639402E-3</v>
      </c>
      <c r="DH87" s="419">
        <v>9802330.0999999996</v>
      </c>
      <c r="DI87" s="419"/>
      <c r="DJ87" s="419">
        <v>882209.71</v>
      </c>
      <c r="DK87" s="420">
        <f t="shared" si="119"/>
        <v>9802330.1111111101</v>
      </c>
      <c r="DL87" s="422">
        <f t="shared" si="120"/>
        <v>1.11111123114824E-2</v>
      </c>
      <c r="DM87" s="420">
        <v>4527596.2</v>
      </c>
      <c r="DN87" s="420"/>
      <c r="DO87" s="420">
        <v>407483.66</v>
      </c>
      <c r="DP87" s="420">
        <f t="shared" si="121"/>
        <v>4527596.2222222202</v>
      </c>
      <c r="DQ87" s="420">
        <f t="shared" si="122"/>
        <v>2.22222218289971E-2</v>
      </c>
      <c r="DR87" s="419">
        <v>12046331.42</v>
      </c>
      <c r="DS87" s="419">
        <v>74530652.170000002</v>
      </c>
      <c r="DT87" s="419">
        <v>1084169.83</v>
      </c>
      <c r="DU87" s="420">
        <f t="shared" si="123"/>
        <v>12046331.444444399</v>
      </c>
      <c r="DV87" s="423">
        <f t="shared" si="124"/>
        <v>2.44444459676743E-2</v>
      </c>
      <c r="DW87" s="419">
        <v>9974932.6400000006</v>
      </c>
      <c r="DX87" s="420">
        <v>9974932.6500000004</v>
      </c>
      <c r="DY87" s="419">
        <v>897743.93</v>
      </c>
      <c r="DZ87" s="420">
        <f t="shared" si="125"/>
        <v>9974932.5600000005</v>
      </c>
      <c r="EA87" s="423">
        <f t="shared" si="126"/>
        <v>-0.08</v>
      </c>
      <c r="EB87" s="420">
        <v>4559692.3099999996</v>
      </c>
      <c r="EC87" s="419"/>
      <c r="ED87" s="420">
        <v>410372.30790000001</v>
      </c>
      <c r="EE87" s="419">
        <v>4559692.3099999996</v>
      </c>
      <c r="EF87" s="420">
        <f t="shared" si="127"/>
        <v>0</v>
      </c>
      <c r="EG87" s="419"/>
      <c r="EH87" s="420">
        <v>4559692.3099999996</v>
      </c>
      <c r="EI87" s="419"/>
      <c r="EJ87" s="420">
        <f t="shared" si="128"/>
        <v>0</v>
      </c>
      <c r="EK87" s="420">
        <f t="shared" si="129"/>
        <v>0</v>
      </c>
      <c r="EL87" s="420">
        <v>1706315.627325</v>
      </c>
      <c r="EM87" s="419"/>
      <c r="EN87" s="420">
        <v>153568.40645924999</v>
      </c>
      <c r="EO87" s="419">
        <f t="shared" si="130"/>
        <v>1706315.63</v>
      </c>
      <c r="EP87" s="419">
        <f t="shared" si="131"/>
        <v>0</v>
      </c>
      <c r="EQ87" s="420"/>
      <c r="ER87" s="420">
        <v>1398815.63</v>
      </c>
      <c r="ES87" s="419"/>
      <c r="ET87" s="419">
        <f t="shared" si="132"/>
        <v>0</v>
      </c>
      <c r="EU87" s="419">
        <f t="shared" si="133"/>
        <v>0</v>
      </c>
      <c r="EV87" s="419">
        <v>198116.97</v>
      </c>
      <c r="EW87" s="419">
        <v>505616.97</v>
      </c>
      <c r="EX87" s="419">
        <v>17830.53</v>
      </c>
      <c r="EY87" s="419">
        <f t="shared" si="134"/>
        <v>198117</v>
      </c>
      <c r="EZ87" s="419">
        <f t="shared" si="154"/>
        <v>0.03</v>
      </c>
      <c r="FA87" s="420"/>
      <c r="FB87" s="420"/>
      <c r="FC87" s="420"/>
      <c r="FD87" s="420">
        <f t="shared" si="135"/>
        <v>0</v>
      </c>
      <c r="FE87" s="420">
        <f t="shared" si="136"/>
        <v>0</v>
      </c>
      <c r="FF87" s="419"/>
      <c r="FG87" s="419"/>
      <c r="FH87" s="419"/>
      <c r="FI87" s="419">
        <f t="shared" si="137"/>
        <v>0</v>
      </c>
      <c r="FJ87" s="419">
        <f t="shared" si="138"/>
        <v>0</v>
      </c>
      <c r="FK87" s="419"/>
      <c r="FL87" s="419"/>
      <c r="FM87" s="419"/>
      <c r="FN87" s="420">
        <f t="shared" si="139"/>
        <v>0</v>
      </c>
      <c r="FO87" s="423">
        <f t="shared" si="140"/>
        <v>0</v>
      </c>
      <c r="FP87" s="419"/>
      <c r="FQ87" s="419"/>
      <c r="FR87" s="419"/>
      <c r="FS87" s="420">
        <f t="shared" si="141"/>
        <v>0</v>
      </c>
      <c r="FT87" s="420">
        <f t="shared" si="142"/>
        <v>0</v>
      </c>
      <c r="FU87" s="419"/>
      <c r="FV87" s="419"/>
      <c r="FW87" s="419"/>
      <c r="FX87" s="420">
        <f t="shared" si="143"/>
        <v>0</v>
      </c>
      <c r="FY87" s="420">
        <f t="shared" si="144"/>
        <v>0</v>
      </c>
      <c r="FZ87" s="419"/>
      <c r="GA87" s="419"/>
      <c r="GB87" s="419"/>
      <c r="GC87" s="420">
        <f t="shared" si="145"/>
        <v>0</v>
      </c>
      <c r="GD87" s="420">
        <f t="shared" si="146"/>
        <v>0</v>
      </c>
      <c r="GE87" s="419"/>
      <c r="GF87" s="419"/>
      <c r="GG87" s="419"/>
      <c r="GH87" s="420">
        <f t="shared" si="147"/>
        <v>0</v>
      </c>
      <c r="GI87" s="423">
        <f t="shared" si="148"/>
        <v>0</v>
      </c>
      <c r="GJ87" s="419"/>
      <c r="GK87" s="419"/>
      <c r="GL87" s="419"/>
      <c r="GM87" s="420">
        <f t="shared" si="149"/>
        <v>0</v>
      </c>
      <c r="GN87" s="420">
        <f t="shared" si="150"/>
        <v>0</v>
      </c>
      <c r="GO87" s="419"/>
      <c r="GP87" s="419"/>
      <c r="GQ87" s="419"/>
      <c r="GR87" s="420">
        <f t="shared" si="155"/>
        <v>0</v>
      </c>
      <c r="GS87" s="423">
        <f t="shared" si="151"/>
        <v>0</v>
      </c>
      <c r="GT87" s="419"/>
      <c r="GU87" s="419"/>
      <c r="GV87" s="419"/>
      <c r="GW87" s="420">
        <f t="shared" si="152"/>
        <v>0</v>
      </c>
      <c r="GX87" s="420">
        <f t="shared" si="153"/>
        <v>0</v>
      </c>
    </row>
    <row r="88" spans="1:206" ht="15">
      <c r="A88" s="414"/>
      <c r="B88" s="415" t="s">
        <v>526</v>
      </c>
      <c r="C88" s="698"/>
      <c r="D88" s="707"/>
      <c r="E88" s="434" t="s">
        <v>125</v>
      </c>
      <c r="F88" s="417">
        <v>0.06</v>
      </c>
      <c r="G88" s="418">
        <f t="shared" si="85"/>
        <v>5808693.1399999997</v>
      </c>
      <c r="H88" s="418">
        <f t="shared" si="86"/>
        <v>5808693.0800000001</v>
      </c>
      <c r="I88" s="418">
        <f t="shared" si="86"/>
        <v>348521.60119999998</v>
      </c>
      <c r="J88" s="418">
        <f t="shared" si="87"/>
        <v>5808693.3533333298</v>
      </c>
      <c r="K88" s="418">
        <f t="shared" si="83"/>
        <v>0.273333332501352</v>
      </c>
      <c r="L88" s="418">
        <f t="shared" si="84"/>
        <v>0.21333333291113399</v>
      </c>
      <c r="M88" s="424"/>
      <c r="N88" s="424"/>
      <c r="O88" s="424"/>
      <c r="P88" s="424"/>
      <c r="Q88" s="419"/>
      <c r="R88" s="419"/>
      <c r="S88" s="419"/>
      <c r="T88" s="420"/>
      <c r="U88" s="423"/>
      <c r="V88" s="420"/>
      <c r="W88" s="420"/>
      <c r="X88" s="419"/>
      <c r="Y88" s="419"/>
      <c r="Z88" s="423"/>
      <c r="AA88" s="423"/>
      <c r="AB88" s="419"/>
      <c r="AC88" s="423"/>
      <c r="AD88" s="420"/>
      <c r="AE88" s="423"/>
      <c r="AF88" s="444"/>
      <c r="AG88" s="419"/>
      <c r="AH88" s="420"/>
      <c r="AI88" s="420"/>
      <c r="AJ88" s="423"/>
      <c r="AK88" s="444"/>
      <c r="AL88" s="420"/>
      <c r="AM88" s="420"/>
      <c r="AN88" s="420"/>
      <c r="AO88" s="423"/>
      <c r="AP88" s="420"/>
      <c r="AQ88" s="419"/>
      <c r="AR88" s="420"/>
      <c r="AS88" s="420"/>
      <c r="AT88" s="420"/>
      <c r="AU88" s="420">
        <f>79298.07+507563.77</f>
        <v>586861.84</v>
      </c>
      <c r="AV88" s="420"/>
      <c r="AW88" s="420">
        <v>35211.71</v>
      </c>
      <c r="AX88" s="426">
        <f t="shared" si="97"/>
        <v>586861.83333333302</v>
      </c>
      <c r="AY88" s="420">
        <f t="shared" si="98"/>
        <v>-6.6666667116805902E-3</v>
      </c>
      <c r="AZ88" s="420">
        <v>1538451.13</v>
      </c>
      <c r="BA88" s="420"/>
      <c r="BB88" s="419">
        <v>92307.08</v>
      </c>
      <c r="BC88" s="420">
        <f t="shared" si="99"/>
        <v>1538451.33333333</v>
      </c>
      <c r="BD88" s="427">
        <f t="shared" si="82"/>
        <v>0.203333333600312</v>
      </c>
      <c r="BE88" s="420">
        <v>90985.45</v>
      </c>
      <c r="BF88" s="420"/>
      <c r="BG88" s="420">
        <v>5459.13</v>
      </c>
      <c r="BH88" s="423">
        <f t="shared" si="100"/>
        <v>90985.5</v>
      </c>
      <c r="BI88" s="420">
        <f t="shared" si="101"/>
        <v>5.0000000002910397E-2</v>
      </c>
      <c r="BJ88" s="420">
        <v>477423.86</v>
      </c>
      <c r="BK88" s="420"/>
      <c r="BL88" s="420">
        <v>28645.43</v>
      </c>
      <c r="BM88" s="420">
        <f t="shared" si="102"/>
        <v>477423.83333333302</v>
      </c>
      <c r="BN88" s="420">
        <f t="shared" si="103"/>
        <v>-2.66666666138917E-2</v>
      </c>
      <c r="BO88" s="419">
        <v>48198.18</v>
      </c>
      <c r="BP88" s="428"/>
      <c r="BQ88" s="420">
        <v>2891.8908000000001</v>
      </c>
      <c r="BR88" s="423">
        <f t="shared" si="104"/>
        <v>48198.18</v>
      </c>
      <c r="BS88" s="423">
        <f t="shared" si="105"/>
        <v>0</v>
      </c>
      <c r="BT88" s="420">
        <v>93428.35</v>
      </c>
      <c r="BU88" s="426">
        <v>2741920.47</v>
      </c>
      <c r="BV88" s="420">
        <v>5605.71</v>
      </c>
      <c r="BW88" s="420">
        <v>93428.35</v>
      </c>
      <c r="BX88" s="429">
        <f t="shared" si="106"/>
        <v>0</v>
      </c>
      <c r="BY88" s="419">
        <v>536002.03</v>
      </c>
      <c r="BZ88" s="419"/>
      <c r="CA88" s="419">
        <v>32160.12</v>
      </c>
      <c r="CB88" s="420">
        <f t="shared" si="107"/>
        <v>536002</v>
      </c>
      <c r="CC88" s="430">
        <f t="shared" si="108"/>
        <v>-3.0000000027939702E-2</v>
      </c>
      <c r="CD88" s="419">
        <v>42068.78</v>
      </c>
      <c r="CE88" s="419"/>
      <c r="CF88" s="419">
        <v>2524.13</v>
      </c>
      <c r="CG88" s="420">
        <f t="shared" si="109"/>
        <v>42068.833333333299</v>
      </c>
      <c r="CH88" s="423">
        <f t="shared" si="110"/>
        <v>5.3333333336922799E-2</v>
      </c>
      <c r="CI88" s="431">
        <v>44567.88</v>
      </c>
      <c r="CJ88" s="431"/>
      <c r="CK88" s="431">
        <v>2674.07</v>
      </c>
      <c r="CL88" s="420">
        <f t="shared" si="111"/>
        <v>44567.833333333299</v>
      </c>
      <c r="CM88" s="423">
        <f t="shared" si="112"/>
        <v>-4.6666666661622003E-2</v>
      </c>
      <c r="CN88" s="420">
        <v>192818.15</v>
      </c>
      <c r="CO88" s="420"/>
      <c r="CP88" s="420">
        <v>11569.09</v>
      </c>
      <c r="CQ88" s="432">
        <v>192818.15</v>
      </c>
      <c r="CR88" s="432">
        <f t="shared" si="113"/>
        <v>0</v>
      </c>
      <c r="CS88" s="420">
        <v>40318.89</v>
      </c>
      <c r="CT88" s="420"/>
      <c r="CU88" s="420">
        <v>2419.13</v>
      </c>
      <c r="CV88" s="420">
        <v>40318.89</v>
      </c>
      <c r="CW88" s="420">
        <f t="shared" si="114"/>
        <v>0</v>
      </c>
      <c r="CX88" s="419">
        <v>38436.68</v>
      </c>
      <c r="CY88" s="419"/>
      <c r="CZ88" s="419">
        <v>2306.1999999999998</v>
      </c>
      <c r="DA88" s="419">
        <f t="shared" si="115"/>
        <v>38436.67</v>
      </c>
      <c r="DB88" s="419">
        <f t="shared" si="116"/>
        <v>-0.01</v>
      </c>
      <c r="DC88" s="419">
        <v>51353.39</v>
      </c>
      <c r="DD88" s="419"/>
      <c r="DE88" s="419">
        <v>3081.21</v>
      </c>
      <c r="DF88" s="420">
        <f t="shared" si="117"/>
        <v>51353.5</v>
      </c>
      <c r="DG88" s="421">
        <f t="shared" si="118"/>
        <v>-0.11000000000058199</v>
      </c>
      <c r="DH88" s="419">
        <v>32992.68</v>
      </c>
      <c r="DI88" s="419"/>
      <c r="DJ88" s="419">
        <v>1979.56</v>
      </c>
      <c r="DK88" s="420">
        <f t="shared" si="119"/>
        <v>32992.666666666701</v>
      </c>
      <c r="DL88" s="422">
        <f t="shared" si="120"/>
        <v>-1.33333333360497E-2</v>
      </c>
      <c r="DM88" s="420">
        <v>29047.24</v>
      </c>
      <c r="DN88" s="420"/>
      <c r="DO88" s="420">
        <v>1742.83</v>
      </c>
      <c r="DP88" s="420">
        <f t="shared" si="121"/>
        <v>29047.166666666701</v>
      </c>
      <c r="DQ88" s="420">
        <f t="shared" si="122"/>
        <v>-7.3333333333721398E-2</v>
      </c>
      <c r="DR88" s="419">
        <v>28140.84</v>
      </c>
      <c r="DS88" s="419">
        <v>1130081.3</v>
      </c>
      <c r="DT88" s="419">
        <v>1688.45</v>
      </c>
      <c r="DU88" s="420">
        <f t="shared" si="123"/>
        <v>28140.833333333299</v>
      </c>
      <c r="DV88" s="423">
        <f t="shared" si="124"/>
        <v>-6.6666666643868701E-3</v>
      </c>
      <c r="DW88" s="419">
        <v>27013.360000000001</v>
      </c>
      <c r="DX88" s="419"/>
      <c r="DY88" s="419">
        <v>1620.8</v>
      </c>
      <c r="DZ88" s="420">
        <f t="shared" si="125"/>
        <v>27013.33</v>
      </c>
      <c r="EA88" s="423">
        <f t="shared" si="126"/>
        <v>-0.03</v>
      </c>
      <c r="EB88" s="419">
        <v>438621.16</v>
      </c>
      <c r="EC88" s="419"/>
      <c r="ED88" s="420">
        <v>26317.2696</v>
      </c>
      <c r="EE88" s="419">
        <v>438621.16</v>
      </c>
      <c r="EF88" s="420">
        <f t="shared" si="127"/>
        <v>0</v>
      </c>
      <c r="EG88" s="420">
        <v>224924.86</v>
      </c>
      <c r="EH88" s="420">
        <v>464728.07</v>
      </c>
      <c r="EI88" s="420">
        <v>13495.5</v>
      </c>
      <c r="EJ88" s="420">
        <f t="shared" si="128"/>
        <v>224925</v>
      </c>
      <c r="EK88" s="420">
        <f t="shared" si="129"/>
        <v>0.14000000000000001</v>
      </c>
      <c r="EL88" s="419">
        <v>1080222.24</v>
      </c>
      <c r="EM88" s="419">
        <v>224924.86</v>
      </c>
      <c r="EN88" s="419">
        <v>64813.33</v>
      </c>
      <c r="EO88" s="419">
        <f t="shared" si="130"/>
        <v>1080222.17</v>
      </c>
      <c r="EP88" s="419">
        <f t="shared" si="131"/>
        <v>-7.0000000000000007E-2</v>
      </c>
      <c r="EQ88" s="419">
        <v>97302.69</v>
      </c>
      <c r="ER88" s="419">
        <v>3972.25</v>
      </c>
      <c r="ES88" s="419">
        <v>5838.16</v>
      </c>
      <c r="ET88" s="419">
        <f t="shared" si="132"/>
        <v>97302.67</v>
      </c>
      <c r="EU88" s="419">
        <f t="shared" si="133"/>
        <v>-0.02</v>
      </c>
      <c r="EV88" s="419">
        <v>-61500</v>
      </c>
      <c r="EW88" s="419">
        <v>1112052.69</v>
      </c>
      <c r="EX88" s="419">
        <v>-3690</v>
      </c>
      <c r="EY88" s="419">
        <f t="shared" si="134"/>
        <v>-61500</v>
      </c>
      <c r="EZ88" s="419">
        <f t="shared" si="154"/>
        <v>0</v>
      </c>
      <c r="FA88" s="420">
        <v>6090.39</v>
      </c>
      <c r="FB88" s="420"/>
      <c r="FC88" s="420">
        <v>365.42</v>
      </c>
      <c r="FD88" s="420">
        <f t="shared" si="135"/>
        <v>6090.33</v>
      </c>
      <c r="FE88" s="420">
        <f t="shared" si="136"/>
        <v>-0.06</v>
      </c>
      <c r="FF88" s="419">
        <v>25833.71</v>
      </c>
      <c r="FG88" s="419">
        <v>6090.39</v>
      </c>
      <c r="FH88" s="419">
        <v>1550.02</v>
      </c>
      <c r="FI88" s="419">
        <f t="shared" si="137"/>
        <v>25833.666666666701</v>
      </c>
      <c r="FJ88" s="419">
        <f t="shared" si="138"/>
        <v>-0.04</v>
      </c>
      <c r="FK88" s="419">
        <v>49544.68</v>
      </c>
      <c r="FL88" s="419"/>
      <c r="FM88" s="419">
        <v>2972.68</v>
      </c>
      <c r="FN88" s="420">
        <f t="shared" si="139"/>
        <v>49544.67</v>
      </c>
      <c r="FO88" s="423">
        <f t="shared" si="140"/>
        <v>-0.01</v>
      </c>
      <c r="FP88" s="431">
        <v>49544.68</v>
      </c>
      <c r="FQ88" s="431">
        <v>124923.05</v>
      </c>
      <c r="FR88" s="431">
        <v>2972.6808000000001</v>
      </c>
      <c r="FS88" s="420">
        <f t="shared" si="141"/>
        <v>49544.68</v>
      </c>
      <c r="FT88" s="420">
        <f t="shared" si="142"/>
        <v>0</v>
      </c>
      <c r="FU88" s="419"/>
      <c r="FV88" s="419"/>
      <c r="FW88" s="419"/>
      <c r="FX88" s="420">
        <f t="shared" si="143"/>
        <v>0</v>
      </c>
      <c r="FY88" s="420">
        <f t="shared" si="144"/>
        <v>0</v>
      </c>
      <c r="FZ88" s="419"/>
      <c r="GA88" s="419"/>
      <c r="GB88" s="419"/>
      <c r="GC88" s="420">
        <f t="shared" si="145"/>
        <v>0</v>
      </c>
      <c r="GD88" s="420">
        <f t="shared" si="146"/>
        <v>0</v>
      </c>
      <c r="GE88" s="419"/>
      <c r="GF88" s="419"/>
      <c r="GG88" s="419"/>
      <c r="GH88" s="420">
        <f t="shared" si="147"/>
        <v>0</v>
      </c>
      <c r="GI88" s="423">
        <f t="shared" si="148"/>
        <v>0</v>
      </c>
      <c r="GJ88" s="419"/>
      <c r="GK88" s="419"/>
      <c r="GL88" s="419"/>
      <c r="GM88" s="420">
        <f t="shared" si="149"/>
        <v>0</v>
      </c>
      <c r="GN88" s="420">
        <f t="shared" si="150"/>
        <v>0</v>
      </c>
      <c r="GO88" s="419"/>
      <c r="GP88" s="419"/>
      <c r="GQ88" s="419"/>
      <c r="GR88" s="420">
        <f t="shared" si="155"/>
        <v>0</v>
      </c>
      <c r="GS88" s="423">
        <f t="shared" si="151"/>
        <v>0</v>
      </c>
      <c r="GT88" s="419"/>
      <c r="GU88" s="419"/>
      <c r="GV88" s="419"/>
      <c r="GW88" s="420">
        <f t="shared" si="152"/>
        <v>0</v>
      </c>
      <c r="GX88" s="420">
        <f t="shared" si="153"/>
        <v>0</v>
      </c>
    </row>
    <row r="89" spans="1:206" ht="15">
      <c r="A89" s="414"/>
      <c r="B89" s="415" t="s">
        <v>528</v>
      </c>
      <c r="C89" s="698"/>
      <c r="D89" s="704" t="s">
        <v>529</v>
      </c>
      <c r="E89" s="434" t="s">
        <v>123</v>
      </c>
      <c r="F89" s="417">
        <v>0.13</v>
      </c>
      <c r="G89" s="418">
        <f t="shared" si="85"/>
        <v>0</v>
      </c>
      <c r="H89" s="418">
        <f t="shared" si="86"/>
        <v>0</v>
      </c>
      <c r="I89" s="418">
        <f t="shared" si="86"/>
        <v>0</v>
      </c>
      <c r="J89" s="418">
        <f t="shared" si="87"/>
        <v>0</v>
      </c>
      <c r="K89" s="418">
        <f t="shared" si="83"/>
        <v>0</v>
      </c>
      <c r="L89" s="418">
        <f t="shared" si="84"/>
        <v>0</v>
      </c>
      <c r="M89" s="424"/>
      <c r="N89" s="424"/>
      <c r="O89" s="424"/>
      <c r="P89" s="424"/>
      <c r="Q89" s="419"/>
      <c r="R89" s="419"/>
      <c r="S89" s="419"/>
      <c r="T89" s="420"/>
      <c r="U89" s="423"/>
      <c r="V89" s="420"/>
      <c r="W89" s="420"/>
      <c r="X89" s="419"/>
      <c r="Y89" s="419"/>
      <c r="Z89" s="423"/>
      <c r="AA89" s="423"/>
      <c r="AB89" s="419"/>
      <c r="AC89" s="423"/>
      <c r="AD89" s="420"/>
      <c r="AE89" s="423"/>
      <c r="AF89" s="444"/>
      <c r="AG89" s="419"/>
      <c r="AH89" s="420"/>
      <c r="AI89" s="420"/>
      <c r="AJ89" s="423"/>
      <c r="AK89" s="444"/>
      <c r="AL89" s="420"/>
      <c r="AM89" s="420"/>
      <c r="AN89" s="420"/>
      <c r="AO89" s="423"/>
      <c r="AP89" s="420"/>
      <c r="AQ89" s="419"/>
      <c r="AR89" s="420"/>
      <c r="AS89" s="420"/>
      <c r="AT89" s="420"/>
      <c r="AU89" s="420"/>
      <c r="AV89" s="420"/>
      <c r="AW89" s="420"/>
      <c r="AX89" s="426">
        <f t="shared" si="97"/>
        <v>0</v>
      </c>
      <c r="AY89" s="420">
        <f t="shared" si="98"/>
        <v>0</v>
      </c>
      <c r="AZ89" s="419"/>
      <c r="BA89" s="420"/>
      <c r="BB89" s="419"/>
      <c r="BC89" s="420">
        <f t="shared" si="99"/>
        <v>0</v>
      </c>
      <c r="BD89" s="427">
        <f t="shared" si="82"/>
        <v>0</v>
      </c>
      <c r="BE89" s="420"/>
      <c r="BF89" s="420"/>
      <c r="BG89" s="420"/>
      <c r="BH89" s="423">
        <f t="shared" si="100"/>
        <v>0</v>
      </c>
      <c r="BI89" s="420">
        <f t="shared" si="101"/>
        <v>0</v>
      </c>
      <c r="BJ89" s="420"/>
      <c r="BK89" s="420"/>
      <c r="BL89" s="420"/>
      <c r="BM89" s="420">
        <f t="shared" si="102"/>
        <v>0</v>
      </c>
      <c r="BN89" s="420">
        <f t="shared" si="103"/>
        <v>0</v>
      </c>
      <c r="BO89" s="419"/>
      <c r="BP89" s="428"/>
      <c r="BQ89" s="420"/>
      <c r="BR89" s="423">
        <f t="shared" si="104"/>
        <v>0</v>
      </c>
      <c r="BS89" s="423">
        <f t="shared" si="105"/>
        <v>0</v>
      </c>
      <c r="BT89" s="420"/>
      <c r="BU89" s="420"/>
      <c r="BV89" s="420"/>
      <c r="BW89" s="420"/>
      <c r="BX89" s="429">
        <f t="shared" si="106"/>
        <v>0</v>
      </c>
      <c r="BY89" s="419"/>
      <c r="BZ89" s="419"/>
      <c r="CA89" s="419"/>
      <c r="CB89" s="420">
        <f t="shared" si="107"/>
        <v>0</v>
      </c>
      <c r="CC89" s="430">
        <f t="shared" si="108"/>
        <v>0</v>
      </c>
      <c r="CD89" s="419"/>
      <c r="CE89" s="419"/>
      <c r="CF89" s="419"/>
      <c r="CG89" s="420">
        <f t="shared" si="109"/>
        <v>0</v>
      </c>
      <c r="CH89" s="423">
        <f t="shared" si="110"/>
        <v>0</v>
      </c>
      <c r="CI89" s="431"/>
      <c r="CJ89" s="431"/>
      <c r="CK89" s="431"/>
      <c r="CL89" s="420">
        <f t="shared" si="111"/>
        <v>0</v>
      </c>
      <c r="CM89" s="423">
        <f t="shared" si="112"/>
        <v>0</v>
      </c>
      <c r="CN89" s="420"/>
      <c r="CO89" s="420"/>
      <c r="CP89" s="420"/>
      <c r="CQ89" s="432"/>
      <c r="CR89" s="432">
        <f t="shared" si="113"/>
        <v>0</v>
      </c>
      <c r="CS89" s="420"/>
      <c r="CT89" s="420"/>
      <c r="CU89" s="420"/>
      <c r="CV89" s="420"/>
      <c r="CW89" s="420">
        <f t="shared" si="114"/>
        <v>0</v>
      </c>
      <c r="CX89" s="419"/>
      <c r="CY89" s="419"/>
      <c r="CZ89" s="419"/>
      <c r="DA89" s="419">
        <f t="shared" si="115"/>
        <v>0</v>
      </c>
      <c r="DB89" s="419">
        <f t="shared" si="116"/>
        <v>0</v>
      </c>
      <c r="DC89" s="419"/>
      <c r="DD89" s="419"/>
      <c r="DE89" s="419"/>
      <c r="DF89" s="420">
        <f t="shared" si="117"/>
        <v>0</v>
      </c>
      <c r="DG89" s="421">
        <f t="shared" si="118"/>
        <v>0</v>
      </c>
      <c r="DH89" s="419"/>
      <c r="DI89" s="419"/>
      <c r="DJ89" s="419"/>
      <c r="DK89" s="420">
        <f t="shared" si="119"/>
        <v>0</v>
      </c>
      <c r="DL89" s="422">
        <f t="shared" si="120"/>
        <v>0</v>
      </c>
      <c r="DM89" s="420"/>
      <c r="DN89" s="420"/>
      <c r="DO89" s="420"/>
      <c r="DP89" s="420">
        <f t="shared" si="121"/>
        <v>0</v>
      </c>
      <c r="DQ89" s="420">
        <f t="shared" si="122"/>
        <v>0</v>
      </c>
      <c r="DR89" s="419"/>
      <c r="DS89" s="419"/>
      <c r="DT89" s="419"/>
      <c r="DU89" s="420">
        <f t="shared" si="123"/>
        <v>0</v>
      </c>
      <c r="DV89" s="423">
        <f t="shared" si="124"/>
        <v>0</v>
      </c>
      <c r="DW89" s="419"/>
      <c r="DX89" s="419"/>
      <c r="DY89" s="419"/>
      <c r="DZ89" s="420">
        <f t="shared" si="125"/>
        <v>0</v>
      </c>
      <c r="EA89" s="423">
        <f t="shared" si="126"/>
        <v>0</v>
      </c>
      <c r="EB89" s="419"/>
      <c r="EC89" s="419"/>
      <c r="ED89" s="420"/>
      <c r="EE89" s="419"/>
      <c r="EF89" s="420">
        <f t="shared" si="127"/>
        <v>0</v>
      </c>
      <c r="EG89" s="419"/>
      <c r="EH89" s="419"/>
      <c r="EI89" s="419"/>
      <c r="EJ89" s="420">
        <f t="shared" si="128"/>
        <v>0</v>
      </c>
      <c r="EK89" s="420">
        <f t="shared" si="129"/>
        <v>0</v>
      </c>
      <c r="EL89" s="419"/>
      <c r="EM89" s="419"/>
      <c r="EN89" s="419"/>
      <c r="EO89" s="419">
        <f t="shared" si="130"/>
        <v>0</v>
      </c>
      <c r="EP89" s="419">
        <f t="shared" si="131"/>
        <v>0</v>
      </c>
      <c r="EQ89" s="419"/>
      <c r="ER89" s="419"/>
      <c r="ES89" s="419"/>
      <c r="ET89" s="419">
        <f t="shared" si="132"/>
        <v>0</v>
      </c>
      <c r="EU89" s="419">
        <f t="shared" si="133"/>
        <v>0</v>
      </c>
      <c r="EV89" s="419"/>
      <c r="EW89" s="419"/>
      <c r="EX89" s="419"/>
      <c r="EY89" s="419">
        <f t="shared" si="134"/>
        <v>0</v>
      </c>
      <c r="EZ89" s="419">
        <f t="shared" si="154"/>
        <v>0</v>
      </c>
      <c r="FA89" s="420"/>
      <c r="FB89" s="420"/>
      <c r="FC89" s="420"/>
      <c r="FD89" s="420">
        <f t="shared" si="135"/>
        <v>0</v>
      </c>
      <c r="FE89" s="420">
        <f t="shared" si="136"/>
        <v>0</v>
      </c>
      <c r="FF89" s="419"/>
      <c r="FG89" s="419"/>
      <c r="FH89" s="419"/>
      <c r="FI89" s="419">
        <f t="shared" si="137"/>
        <v>0</v>
      </c>
      <c r="FJ89" s="419">
        <f t="shared" si="138"/>
        <v>0</v>
      </c>
      <c r="FK89" s="419"/>
      <c r="FL89" s="419"/>
      <c r="FM89" s="419"/>
      <c r="FN89" s="420">
        <f t="shared" si="139"/>
        <v>0</v>
      </c>
      <c r="FO89" s="423">
        <f t="shared" si="140"/>
        <v>0</v>
      </c>
      <c r="FP89" s="419"/>
      <c r="FQ89" s="419"/>
      <c r="FR89" s="419"/>
      <c r="FS89" s="420">
        <f t="shared" si="141"/>
        <v>0</v>
      </c>
      <c r="FT89" s="420">
        <f t="shared" si="142"/>
        <v>0</v>
      </c>
      <c r="FU89" s="419"/>
      <c r="FV89" s="419"/>
      <c r="FW89" s="419"/>
      <c r="FX89" s="420">
        <f t="shared" si="143"/>
        <v>0</v>
      </c>
      <c r="FY89" s="420">
        <f t="shared" si="144"/>
        <v>0</v>
      </c>
      <c r="FZ89" s="419"/>
      <c r="GA89" s="419"/>
      <c r="GB89" s="419"/>
      <c r="GC89" s="420">
        <f t="shared" si="145"/>
        <v>0</v>
      </c>
      <c r="GD89" s="420">
        <f t="shared" si="146"/>
        <v>0</v>
      </c>
      <c r="GE89" s="419"/>
      <c r="GF89" s="419"/>
      <c r="GG89" s="419"/>
      <c r="GH89" s="420">
        <f t="shared" si="147"/>
        <v>0</v>
      </c>
      <c r="GI89" s="423">
        <f t="shared" si="148"/>
        <v>0</v>
      </c>
      <c r="GJ89" s="419"/>
      <c r="GK89" s="419"/>
      <c r="GL89" s="419"/>
      <c r="GM89" s="420">
        <f t="shared" si="149"/>
        <v>0</v>
      </c>
      <c r="GN89" s="420">
        <f t="shared" si="150"/>
        <v>0</v>
      </c>
      <c r="GO89" s="419"/>
      <c r="GP89" s="419"/>
      <c r="GQ89" s="419"/>
      <c r="GR89" s="420">
        <f t="shared" si="155"/>
        <v>0</v>
      </c>
      <c r="GS89" s="423">
        <f t="shared" si="151"/>
        <v>0</v>
      </c>
      <c r="GT89" s="419"/>
      <c r="GU89" s="419"/>
      <c r="GV89" s="419"/>
      <c r="GW89" s="420">
        <f t="shared" si="152"/>
        <v>0</v>
      </c>
      <c r="GX89" s="420">
        <f t="shared" si="153"/>
        <v>0</v>
      </c>
    </row>
    <row r="90" spans="1:206" ht="15">
      <c r="A90" s="414"/>
      <c r="B90" s="415" t="s">
        <v>528</v>
      </c>
      <c r="C90" s="698"/>
      <c r="D90" s="706"/>
      <c r="E90" s="434" t="s">
        <v>124</v>
      </c>
      <c r="F90" s="417">
        <v>0.09</v>
      </c>
      <c r="G90" s="418">
        <f t="shared" si="85"/>
        <v>0</v>
      </c>
      <c r="H90" s="418">
        <f t="shared" si="86"/>
        <v>0</v>
      </c>
      <c r="I90" s="418">
        <f t="shared" si="86"/>
        <v>0</v>
      </c>
      <c r="J90" s="418">
        <f t="shared" si="87"/>
        <v>0</v>
      </c>
      <c r="K90" s="418">
        <f t="shared" si="83"/>
        <v>0</v>
      </c>
      <c r="L90" s="418">
        <f t="shared" si="84"/>
        <v>0</v>
      </c>
      <c r="M90" s="424"/>
      <c r="N90" s="424"/>
      <c r="O90" s="424"/>
      <c r="P90" s="424"/>
      <c r="Q90" s="419"/>
      <c r="R90" s="419"/>
      <c r="S90" s="419"/>
      <c r="T90" s="420"/>
      <c r="U90" s="423"/>
      <c r="V90" s="420"/>
      <c r="W90" s="420"/>
      <c r="X90" s="419"/>
      <c r="Y90" s="419"/>
      <c r="Z90" s="423"/>
      <c r="AA90" s="423"/>
      <c r="AB90" s="419"/>
      <c r="AC90" s="423"/>
      <c r="AD90" s="420"/>
      <c r="AE90" s="423"/>
      <c r="AF90" s="444"/>
      <c r="AG90" s="419"/>
      <c r="AH90" s="420"/>
      <c r="AI90" s="420"/>
      <c r="AJ90" s="423"/>
      <c r="AK90" s="444"/>
      <c r="AL90" s="420"/>
      <c r="AM90" s="420"/>
      <c r="AN90" s="420"/>
      <c r="AO90" s="423"/>
      <c r="AP90" s="420"/>
      <c r="AQ90" s="419"/>
      <c r="AR90" s="420"/>
      <c r="AS90" s="420"/>
      <c r="AT90" s="420"/>
      <c r="AU90" s="420"/>
      <c r="AV90" s="420"/>
      <c r="AW90" s="420"/>
      <c r="AX90" s="426">
        <f t="shared" si="97"/>
        <v>0</v>
      </c>
      <c r="AY90" s="420">
        <f t="shared" si="98"/>
        <v>0</v>
      </c>
      <c r="AZ90" s="419"/>
      <c r="BA90" s="420"/>
      <c r="BB90" s="419"/>
      <c r="BC90" s="420">
        <f t="shared" si="99"/>
        <v>0</v>
      </c>
      <c r="BD90" s="427">
        <f t="shared" si="82"/>
        <v>0</v>
      </c>
      <c r="BE90" s="420"/>
      <c r="BF90" s="420"/>
      <c r="BG90" s="420"/>
      <c r="BH90" s="423">
        <f t="shared" si="100"/>
        <v>0</v>
      </c>
      <c r="BI90" s="420">
        <f t="shared" si="101"/>
        <v>0</v>
      </c>
      <c r="BJ90" s="420"/>
      <c r="BK90" s="420"/>
      <c r="BL90" s="420"/>
      <c r="BM90" s="420">
        <f t="shared" si="102"/>
        <v>0</v>
      </c>
      <c r="BN90" s="420">
        <f t="shared" si="103"/>
        <v>0</v>
      </c>
      <c r="BO90" s="419"/>
      <c r="BP90" s="428"/>
      <c r="BQ90" s="420"/>
      <c r="BR90" s="423">
        <f t="shared" si="104"/>
        <v>0</v>
      </c>
      <c r="BS90" s="423">
        <f t="shared" si="105"/>
        <v>0</v>
      </c>
      <c r="BT90" s="420"/>
      <c r="BU90" s="420"/>
      <c r="BV90" s="420"/>
      <c r="BW90" s="420"/>
      <c r="BX90" s="429">
        <f t="shared" si="106"/>
        <v>0</v>
      </c>
      <c r="BY90" s="419"/>
      <c r="BZ90" s="419"/>
      <c r="CA90" s="419"/>
      <c r="CB90" s="420">
        <f t="shared" si="107"/>
        <v>0</v>
      </c>
      <c r="CC90" s="430">
        <f t="shared" si="108"/>
        <v>0</v>
      </c>
      <c r="CD90" s="419"/>
      <c r="CE90" s="419"/>
      <c r="CF90" s="419"/>
      <c r="CG90" s="420">
        <f t="shared" si="109"/>
        <v>0</v>
      </c>
      <c r="CH90" s="423">
        <f t="shared" si="110"/>
        <v>0</v>
      </c>
      <c r="CI90" s="431"/>
      <c r="CJ90" s="431"/>
      <c r="CK90" s="431"/>
      <c r="CL90" s="420">
        <f t="shared" si="111"/>
        <v>0</v>
      </c>
      <c r="CM90" s="423">
        <f t="shared" si="112"/>
        <v>0</v>
      </c>
      <c r="CN90" s="420"/>
      <c r="CO90" s="420"/>
      <c r="CP90" s="420"/>
      <c r="CQ90" s="432"/>
      <c r="CR90" s="432">
        <f t="shared" si="113"/>
        <v>0</v>
      </c>
      <c r="CS90" s="420"/>
      <c r="CT90" s="420"/>
      <c r="CU90" s="420"/>
      <c r="CV90" s="420"/>
      <c r="CW90" s="420">
        <f t="shared" si="114"/>
        <v>0</v>
      </c>
      <c r="CX90" s="419"/>
      <c r="CY90" s="419"/>
      <c r="CZ90" s="419"/>
      <c r="DA90" s="419">
        <f t="shared" si="115"/>
        <v>0</v>
      </c>
      <c r="DB90" s="419">
        <f t="shared" si="116"/>
        <v>0</v>
      </c>
      <c r="DC90" s="419"/>
      <c r="DD90" s="419"/>
      <c r="DE90" s="419"/>
      <c r="DF90" s="420">
        <f t="shared" si="117"/>
        <v>0</v>
      </c>
      <c r="DG90" s="421">
        <f t="shared" si="118"/>
        <v>0</v>
      </c>
      <c r="DH90" s="419"/>
      <c r="DI90" s="419"/>
      <c r="DJ90" s="419"/>
      <c r="DK90" s="420">
        <f t="shared" si="119"/>
        <v>0</v>
      </c>
      <c r="DL90" s="422">
        <f t="shared" si="120"/>
        <v>0</v>
      </c>
      <c r="DM90" s="420"/>
      <c r="DN90" s="420"/>
      <c r="DO90" s="420"/>
      <c r="DP90" s="420">
        <f t="shared" si="121"/>
        <v>0</v>
      </c>
      <c r="DQ90" s="420">
        <f t="shared" si="122"/>
        <v>0</v>
      </c>
      <c r="DR90" s="419"/>
      <c r="DS90" s="419"/>
      <c r="DT90" s="419"/>
      <c r="DU90" s="420">
        <f t="shared" si="123"/>
        <v>0</v>
      </c>
      <c r="DV90" s="423">
        <f t="shared" si="124"/>
        <v>0</v>
      </c>
      <c r="DW90" s="419"/>
      <c r="DX90" s="419"/>
      <c r="DY90" s="419"/>
      <c r="DZ90" s="420">
        <f t="shared" si="125"/>
        <v>0</v>
      </c>
      <c r="EA90" s="423">
        <f t="shared" si="126"/>
        <v>0</v>
      </c>
      <c r="EB90" s="420"/>
      <c r="EC90" s="419"/>
      <c r="ED90" s="420"/>
      <c r="EE90" s="419"/>
      <c r="EF90" s="420">
        <f t="shared" si="127"/>
        <v>0</v>
      </c>
      <c r="EG90" s="419"/>
      <c r="EH90" s="419"/>
      <c r="EI90" s="419"/>
      <c r="EJ90" s="420">
        <f t="shared" si="128"/>
        <v>0</v>
      </c>
      <c r="EK90" s="420">
        <f t="shared" si="129"/>
        <v>0</v>
      </c>
      <c r="EL90" s="419"/>
      <c r="EM90" s="419"/>
      <c r="EN90" s="419"/>
      <c r="EO90" s="419">
        <f t="shared" si="130"/>
        <v>0</v>
      </c>
      <c r="EP90" s="419">
        <f t="shared" si="131"/>
        <v>0</v>
      </c>
      <c r="EQ90" s="419"/>
      <c r="ER90" s="419"/>
      <c r="ES90" s="419"/>
      <c r="ET90" s="419">
        <f t="shared" si="132"/>
        <v>0</v>
      </c>
      <c r="EU90" s="419">
        <f t="shared" si="133"/>
        <v>0</v>
      </c>
      <c r="EV90" s="419"/>
      <c r="EW90" s="419"/>
      <c r="EX90" s="419"/>
      <c r="EY90" s="419">
        <f t="shared" si="134"/>
        <v>0</v>
      </c>
      <c r="EZ90" s="419">
        <f t="shared" si="154"/>
        <v>0</v>
      </c>
      <c r="FA90" s="420"/>
      <c r="FB90" s="420"/>
      <c r="FC90" s="420"/>
      <c r="FD90" s="420">
        <f t="shared" si="135"/>
        <v>0</v>
      </c>
      <c r="FE90" s="420">
        <f t="shared" si="136"/>
        <v>0</v>
      </c>
      <c r="FF90" s="419"/>
      <c r="FG90" s="419"/>
      <c r="FH90" s="419"/>
      <c r="FI90" s="419">
        <f t="shared" si="137"/>
        <v>0</v>
      </c>
      <c r="FJ90" s="419">
        <f t="shared" si="138"/>
        <v>0</v>
      </c>
      <c r="FK90" s="419"/>
      <c r="FL90" s="419"/>
      <c r="FM90" s="419"/>
      <c r="FN90" s="420">
        <f t="shared" si="139"/>
        <v>0</v>
      </c>
      <c r="FO90" s="423">
        <f t="shared" si="140"/>
        <v>0</v>
      </c>
      <c r="FP90" s="419"/>
      <c r="FQ90" s="419"/>
      <c r="FR90" s="419"/>
      <c r="FS90" s="420">
        <f t="shared" si="141"/>
        <v>0</v>
      </c>
      <c r="FT90" s="420">
        <f t="shared" si="142"/>
        <v>0</v>
      </c>
      <c r="FU90" s="419"/>
      <c r="FV90" s="419"/>
      <c r="FW90" s="419"/>
      <c r="FX90" s="420">
        <f t="shared" si="143"/>
        <v>0</v>
      </c>
      <c r="FY90" s="420">
        <f t="shared" si="144"/>
        <v>0</v>
      </c>
      <c r="FZ90" s="419"/>
      <c r="GA90" s="419"/>
      <c r="GB90" s="419"/>
      <c r="GC90" s="420">
        <f t="shared" si="145"/>
        <v>0</v>
      </c>
      <c r="GD90" s="420">
        <f t="shared" si="146"/>
        <v>0</v>
      </c>
      <c r="GE90" s="419"/>
      <c r="GF90" s="419"/>
      <c r="GG90" s="419"/>
      <c r="GH90" s="420">
        <f t="shared" si="147"/>
        <v>0</v>
      </c>
      <c r="GI90" s="423">
        <f t="shared" si="148"/>
        <v>0</v>
      </c>
      <c r="GJ90" s="419"/>
      <c r="GK90" s="419"/>
      <c r="GL90" s="419"/>
      <c r="GM90" s="420">
        <f t="shared" si="149"/>
        <v>0</v>
      </c>
      <c r="GN90" s="420">
        <f t="shared" si="150"/>
        <v>0</v>
      </c>
      <c r="GO90" s="419"/>
      <c r="GP90" s="419"/>
      <c r="GQ90" s="419"/>
      <c r="GR90" s="420">
        <f t="shared" si="155"/>
        <v>0</v>
      </c>
      <c r="GS90" s="423">
        <f t="shared" si="151"/>
        <v>0</v>
      </c>
      <c r="GT90" s="419"/>
      <c r="GU90" s="419"/>
      <c r="GV90" s="419"/>
      <c r="GW90" s="420">
        <f t="shared" si="152"/>
        <v>0</v>
      </c>
      <c r="GX90" s="420">
        <f t="shared" si="153"/>
        <v>0</v>
      </c>
    </row>
    <row r="91" spans="1:206" ht="15">
      <c r="A91" s="414"/>
      <c r="B91" s="415" t="s">
        <v>528</v>
      </c>
      <c r="C91" s="698"/>
      <c r="D91" s="707"/>
      <c r="E91" s="434" t="s">
        <v>125</v>
      </c>
      <c r="F91" s="417">
        <v>0.06</v>
      </c>
      <c r="G91" s="418">
        <f t="shared" si="85"/>
        <v>56204.57</v>
      </c>
      <c r="H91" s="418">
        <f t="shared" si="86"/>
        <v>56204.56</v>
      </c>
      <c r="I91" s="418">
        <f t="shared" si="86"/>
        <v>3372.2687999999998</v>
      </c>
      <c r="J91" s="418">
        <f t="shared" si="87"/>
        <v>56204.480000000003</v>
      </c>
      <c r="K91" s="418">
        <f t="shared" si="83"/>
        <v>-8.0000000001746202E-2</v>
      </c>
      <c r="L91" s="418">
        <f t="shared" si="84"/>
        <v>-8.9999999996507499E-2</v>
      </c>
      <c r="M91" s="424"/>
      <c r="N91" s="424"/>
      <c r="O91" s="424"/>
      <c r="P91" s="424"/>
      <c r="Q91" s="419"/>
      <c r="R91" s="419"/>
      <c r="S91" s="419"/>
      <c r="T91" s="420"/>
      <c r="U91" s="423"/>
      <c r="V91" s="420"/>
      <c r="W91" s="420"/>
      <c r="X91" s="419"/>
      <c r="Y91" s="419"/>
      <c r="Z91" s="423"/>
      <c r="AA91" s="423"/>
      <c r="AB91" s="419"/>
      <c r="AC91" s="423"/>
      <c r="AD91" s="420"/>
      <c r="AE91" s="423"/>
      <c r="AF91" s="444"/>
      <c r="AG91" s="419"/>
      <c r="AH91" s="420"/>
      <c r="AI91" s="420"/>
      <c r="AJ91" s="423"/>
      <c r="AK91" s="444"/>
      <c r="AL91" s="420"/>
      <c r="AM91" s="420"/>
      <c r="AN91" s="420"/>
      <c r="AO91" s="423"/>
      <c r="AP91" s="420"/>
      <c r="AQ91" s="419"/>
      <c r="AR91" s="420"/>
      <c r="AS91" s="420"/>
      <c r="AT91" s="420"/>
      <c r="AU91" s="420">
        <v>10264.67</v>
      </c>
      <c r="AV91" s="420"/>
      <c r="AW91" s="420">
        <v>615.88</v>
      </c>
      <c r="AX91" s="426">
        <f t="shared" si="97"/>
        <v>10264.666666666701</v>
      </c>
      <c r="AY91" s="420">
        <f t="shared" si="98"/>
        <v>-3.3333333321934298E-3</v>
      </c>
      <c r="AZ91" s="420">
        <v>11102.58</v>
      </c>
      <c r="BA91" s="420"/>
      <c r="BB91" s="419">
        <v>666.15</v>
      </c>
      <c r="BC91" s="420">
        <f t="shared" si="99"/>
        <v>11102.5</v>
      </c>
      <c r="BD91" s="427">
        <f t="shared" si="82"/>
        <v>-7.9999999999927199E-2</v>
      </c>
      <c r="BE91" s="420">
        <v>11328.05</v>
      </c>
      <c r="BF91" s="420"/>
      <c r="BG91" s="420">
        <v>679.68</v>
      </c>
      <c r="BH91" s="423">
        <f t="shared" si="100"/>
        <v>11328</v>
      </c>
      <c r="BI91" s="420">
        <f t="shared" si="101"/>
        <v>-4.9999999999272397E-2</v>
      </c>
      <c r="BJ91" s="420">
        <v>14693.29</v>
      </c>
      <c r="BK91" s="420">
        <v>47388.58</v>
      </c>
      <c r="BL91" s="420">
        <v>881.6</v>
      </c>
      <c r="BM91" s="420">
        <f t="shared" si="102"/>
        <v>14693.333333333299</v>
      </c>
      <c r="BN91" s="420">
        <f t="shared" si="103"/>
        <v>4.33333333330665E-2</v>
      </c>
      <c r="BO91" s="419">
        <v>8815.98</v>
      </c>
      <c r="BP91" s="439">
        <v>8815.98</v>
      </c>
      <c r="BQ91" s="420">
        <v>528.9588</v>
      </c>
      <c r="BR91" s="423">
        <f t="shared" si="104"/>
        <v>8815.98</v>
      </c>
      <c r="BS91" s="423">
        <f t="shared" si="105"/>
        <v>0</v>
      </c>
      <c r="BT91" s="420"/>
      <c r="BU91" s="420"/>
      <c r="BV91" s="420"/>
      <c r="BW91" s="420"/>
      <c r="BX91" s="429">
        <f t="shared" si="106"/>
        <v>0</v>
      </c>
      <c r="BY91" s="419"/>
      <c r="BZ91" s="419"/>
      <c r="CA91" s="419"/>
      <c r="CB91" s="420">
        <f t="shared" si="107"/>
        <v>0</v>
      </c>
      <c r="CC91" s="430">
        <f t="shared" si="108"/>
        <v>0</v>
      </c>
      <c r="CD91" s="419"/>
      <c r="CE91" s="419"/>
      <c r="CF91" s="419"/>
      <c r="CG91" s="420">
        <f t="shared" si="109"/>
        <v>0</v>
      </c>
      <c r="CH91" s="423">
        <f t="shared" si="110"/>
        <v>0</v>
      </c>
      <c r="CI91" s="431"/>
      <c r="CJ91" s="431"/>
      <c r="CK91" s="431"/>
      <c r="CL91" s="420">
        <f t="shared" si="111"/>
        <v>0</v>
      </c>
      <c r="CM91" s="423">
        <f t="shared" si="112"/>
        <v>0</v>
      </c>
      <c r="CN91" s="420"/>
      <c r="CO91" s="420"/>
      <c r="CP91" s="420"/>
      <c r="CQ91" s="432"/>
      <c r="CR91" s="432">
        <f t="shared" si="113"/>
        <v>0</v>
      </c>
      <c r="CS91" s="420"/>
      <c r="CT91" s="420"/>
      <c r="CU91" s="420"/>
      <c r="CV91" s="420"/>
      <c r="CW91" s="420">
        <f t="shared" si="114"/>
        <v>0</v>
      </c>
      <c r="CX91" s="419"/>
      <c r="CY91" s="419"/>
      <c r="CZ91" s="419"/>
      <c r="DA91" s="419">
        <f t="shared" si="115"/>
        <v>0</v>
      </c>
      <c r="DB91" s="419">
        <f t="shared" si="116"/>
        <v>0</v>
      </c>
      <c r="DC91" s="419"/>
      <c r="DD91" s="419"/>
      <c r="DE91" s="419"/>
      <c r="DF91" s="420">
        <f t="shared" si="117"/>
        <v>0</v>
      </c>
      <c r="DG91" s="421">
        <f t="shared" si="118"/>
        <v>0</v>
      </c>
      <c r="DH91" s="419"/>
      <c r="DI91" s="419"/>
      <c r="DJ91" s="419"/>
      <c r="DK91" s="420">
        <f t="shared" si="119"/>
        <v>0</v>
      </c>
      <c r="DL91" s="422">
        <f t="shared" si="120"/>
        <v>0</v>
      </c>
      <c r="DM91" s="420"/>
      <c r="DN91" s="420"/>
      <c r="DO91" s="420"/>
      <c r="DP91" s="420">
        <f t="shared" si="121"/>
        <v>0</v>
      </c>
      <c r="DQ91" s="420">
        <f t="shared" si="122"/>
        <v>0</v>
      </c>
      <c r="DR91" s="419"/>
      <c r="DS91" s="419"/>
      <c r="DT91" s="419"/>
      <c r="DU91" s="420">
        <f t="shared" si="123"/>
        <v>0</v>
      </c>
      <c r="DV91" s="423">
        <f t="shared" si="124"/>
        <v>0</v>
      </c>
      <c r="DW91" s="419"/>
      <c r="DX91" s="419"/>
      <c r="DY91" s="419"/>
      <c r="DZ91" s="420">
        <f t="shared" si="125"/>
        <v>0</v>
      </c>
      <c r="EA91" s="423">
        <f t="shared" si="126"/>
        <v>0</v>
      </c>
      <c r="EB91" s="419"/>
      <c r="EC91" s="419"/>
      <c r="ED91" s="420"/>
      <c r="EE91" s="419"/>
      <c r="EF91" s="420">
        <f t="shared" si="127"/>
        <v>0</v>
      </c>
      <c r="EG91" s="419"/>
      <c r="EH91" s="419"/>
      <c r="EI91" s="419"/>
      <c r="EJ91" s="420">
        <f t="shared" si="128"/>
        <v>0</v>
      </c>
      <c r="EK91" s="420">
        <f t="shared" si="129"/>
        <v>0</v>
      </c>
      <c r="EL91" s="419"/>
      <c r="EM91" s="419"/>
      <c r="EN91" s="419"/>
      <c r="EO91" s="419">
        <f t="shared" si="130"/>
        <v>0</v>
      </c>
      <c r="EP91" s="419">
        <f t="shared" si="131"/>
        <v>0</v>
      </c>
      <c r="EQ91" s="419"/>
      <c r="ER91" s="419"/>
      <c r="ES91" s="419"/>
      <c r="ET91" s="419">
        <f t="shared" si="132"/>
        <v>0</v>
      </c>
      <c r="EU91" s="419">
        <f t="shared" si="133"/>
        <v>0</v>
      </c>
      <c r="EV91" s="419"/>
      <c r="EW91" s="419"/>
      <c r="EX91" s="419"/>
      <c r="EY91" s="419">
        <f t="shared" si="134"/>
        <v>0</v>
      </c>
      <c r="EZ91" s="419">
        <f t="shared" si="154"/>
        <v>0</v>
      </c>
      <c r="FA91" s="420"/>
      <c r="FB91" s="420"/>
      <c r="FC91" s="420"/>
      <c r="FD91" s="420">
        <f t="shared" si="135"/>
        <v>0</v>
      </c>
      <c r="FE91" s="420">
        <f t="shared" si="136"/>
        <v>0</v>
      </c>
      <c r="FF91" s="419"/>
      <c r="FG91" s="419"/>
      <c r="FH91" s="419"/>
      <c r="FI91" s="419">
        <f t="shared" si="137"/>
        <v>0</v>
      </c>
      <c r="FJ91" s="419">
        <f t="shared" si="138"/>
        <v>0</v>
      </c>
      <c r="FK91" s="419"/>
      <c r="FL91" s="419"/>
      <c r="FM91" s="419"/>
      <c r="FN91" s="420">
        <f t="shared" si="139"/>
        <v>0</v>
      </c>
      <c r="FO91" s="423">
        <f t="shared" si="140"/>
        <v>0</v>
      </c>
      <c r="FP91" s="419"/>
      <c r="FQ91" s="419"/>
      <c r="FR91" s="419"/>
      <c r="FS91" s="420">
        <f t="shared" si="141"/>
        <v>0</v>
      </c>
      <c r="FT91" s="420">
        <f t="shared" si="142"/>
        <v>0</v>
      </c>
      <c r="FU91" s="419"/>
      <c r="FV91" s="419"/>
      <c r="FW91" s="419"/>
      <c r="FX91" s="420">
        <f t="shared" si="143"/>
        <v>0</v>
      </c>
      <c r="FY91" s="420">
        <f t="shared" si="144"/>
        <v>0</v>
      </c>
      <c r="FZ91" s="419"/>
      <c r="GA91" s="419"/>
      <c r="GB91" s="419"/>
      <c r="GC91" s="420">
        <f t="shared" si="145"/>
        <v>0</v>
      </c>
      <c r="GD91" s="420">
        <f t="shared" si="146"/>
        <v>0</v>
      </c>
      <c r="GE91" s="419"/>
      <c r="GF91" s="419"/>
      <c r="GG91" s="419"/>
      <c r="GH91" s="420">
        <f t="shared" si="147"/>
        <v>0</v>
      </c>
      <c r="GI91" s="423">
        <f t="shared" si="148"/>
        <v>0</v>
      </c>
      <c r="GJ91" s="419"/>
      <c r="GK91" s="419"/>
      <c r="GL91" s="419"/>
      <c r="GM91" s="420">
        <f t="shared" si="149"/>
        <v>0</v>
      </c>
      <c r="GN91" s="420">
        <f t="shared" si="150"/>
        <v>0</v>
      </c>
      <c r="GO91" s="419"/>
      <c r="GP91" s="419"/>
      <c r="GQ91" s="419"/>
      <c r="GR91" s="420">
        <f t="shared" si="155"/>
        <v>0</v>
      </c>
      <c r="GS91" s="423">
        <f t="shared" si="151"/>
        <v>0</v>
      </c>
      <c r="GT91" s="419"/>
      <c r="GU91" s="419"/>
      <c r="GV91" s="419"/>
      <c r="GW91" s="420">
        <f t="shared" si="152"/>
        <v>0</v>
      </c>
      <c r="GX91" s="420">
        <f t="shared" si="153"/>
        <v>0</v>
      </c>
    </row>
    <row r="92" spans="1:206" ht="15">
      <c r="A92" s="414"/>
      <c r="B92" s="415" t="s">
        <v>530</v>
      </c>
      <c r="C92" s="698"/>
      <c r="D92" s="704" t="s">
        <v>531</v>
      </c>
      <c r="E92" s="434" t="s">
        <v>123</v>
      </c>
      <c r="F92" s="417">
        <v>0.13</v>
      </c>
      <c r="G92" s="418">
        <f t="shared" si="85"/>
        <v>316633206.00999999</v>
      </c>
      <c r="H92" s="418">
        <f t="shared" si="86"/>
        <v>316633206</v>
      </c>
      <c r="I92" s="418">
        <f t="shared" si="86"/>
        <v>41162316.800899997</v>
      </c>
      <c r="J92" s="418">
        <f t="shared" si="87"/>
        <v>316633206.16076899</v>
      </c>
      <c r="K92" s="418">
        <f t="shared" si="83"/>
        <v>0.16076922416687001</v>
      </c>
      <c r="L92" s="418">
        <f t="shared" si="84"/>
        <v>0.150769233703613</v>
      </c>
      <c r="M92" s="424"/>
      <c r="N92" s="424"/>
      <c r="O92" s="424"/>
      <c r="P92" s="424"/>
      <c r="Q92" s="419"/>
      <c r="R92" s="419"/>
      <c r="S92" s="419"/>
      <c r="T92" s="420"/>
      <c r="U92" s="423"/>
      <c r="V92" s="420"/>
      <c r="W92" s="420"/>
      <c r="X92" s="419"/>
      <c r="Y92" s="419"/>
      <c r="Z92" s="423"/>
      <c r="AA92" s="423"/>
      <c r="AB92" s="419"/>
      <c r="AC92" s="423"/>
      <c r="AD92" s="420"/>
      <c r="AE92" s="423"/>
      <c r="AF92" s="444"/>
      <c r="AG92" s="419"/>
      <c r="AH92" s="420"/>
      <c r="AI92" s="420"/>
      <c r="AJ92" s="423"/>
      <c r="AK92" s="444"/>
      <c r="AL92" s="420"/>
      <c r="AM92" s="420"/>
      <c r="AN92" s="420"/>
      <c r="AO92" s="423"/>
      <c r="AP92" s="420"/>
      <c r="AQ92" s="419"/>
      <c r="AR92" s="420"/>
      <c r="AS92" s="420"/>
      <c r="AT92" s="420"/>
      <c r="AU92" s="420"/>
      <c r="AV92" s="420"/>
      <c r="AW92" s="420"/>
      <c r="AX92" s="426"/>
      <c r="AY92" s="420"/>
      <c r="AZ92" s="420"/>
      <c r="BA92" s="420"/>
      <c r="BB92" s="419"/>
      <c r="BC92" s="420"/>
      <c r="BD92" s="427"/>
      <c r="BE92" s="420">
        <v>173832.59</v>
      </c>
      <c r="BF92" s="420"/>
      <c r="BG92" s="420">
        <v>22598.236700000001</v>
      </c>
      <c r="BH92" s="423">
        <f t="shared" si="100"/>
        <v>173832.59</v>
      </c>
      <c r="BI92" s="420">
        <f t="shared" si="101"/>
        <v>0</v>
      </c>
      <c r="BJ92" s="420"/>
      <c r="BK92" s="420"/>
      <c r="BL92" s="420"/>
      <c r="BM92" s="420">
        <f t="shared" si="102"/>
        <v>0</v>
      </c>
      <c r="BN92" s="420">
        <f t="shared" si="103"/>
        <v>0</v>
      </c>
      <c r="BO92" s="419"/>
      <c r="BP92" s="428"/>
      <c r="BQ92" s="420"/>
      <c r="BR92" s="423">
        <f t="shared" si="104"/>
        <v>0</v>
      </c>
      <c r="BS92" s="423">
        <f t="shared" si="105"/>
        <v>0</v>
      </c>
      <c r="BT92" s="420">
        <v>2531.54</v>
      </c>
      <c r="BU92" s="420"/>
      <c r="BV92" s="420">
        <v>329.1</v>
      </c>
      <c r="BW92" s="420">
        <v>2531.54</v>
      </c>
      <c r="BX92" s="429">
        <f t="shared" si="106"/>
        <v>0</v>
      </c>
      <c r="BY92" s="419"/>
      <c r="BZ92" s="419"/>
      <c r="CA92" s="419"/>
      <c r="CB92" s="420">
        <f t="shared" si="107"/>
        <v>0</v>
      </c>
      <c r="CC92" s="430">
        <f t="shared" si="108"/>
        <v>0</v>
      </c>
      <c r="CD92" s="419"/>
      <c r="CE92" s="419"/>
      <c r="CF92" s="419"/>
      <c r="CG92" s="420">
        <f t="shared" si="109"/>
        <v>0</v>
      </c>
      <c r="CH92" s="423">
        <f t="shared" si="110"/>
        <v>0</v>
      </c>
      <c r="CI92" s="431">
        <v>11364411.77</v>
      </c>
      <c r="CJ92" s="431"/>
      <c r="CK92" s="431">
        <v>1477373.54</v>
      </c>
      <c r="CL92" s="420">
        <f t="shared" si="111"/>
        <v>11364411.846153799</v>
      </c>
      <c r="CM92" s="423">
        <f t="shared" si="112"/>
        <v>7.6153846457600594E-2</v>
      </c>
      <c r="CN92" s="420">
        <v>51435731.439999998</v>
      </c>
      <c r="CO92" s="420"/>
      <c r="CP92" s="420">
        <v>6686645.0899999999</v>
      </c>
      <c r="CQ92" s="432">
        <v>51435731.439999998</v>
      </c>
      <c r="CR92" s="432">
        <f t="shared" si="113"/>
        <v>0</v>
      </c>
      <c r="CS92" s="420">
        <v>57552812.270000003</v>
      </c>
      <c r="CT92" s="420"/>
      <c r="CU92" s="420">
        <v>7481865.5999999996</v>
      </c>
      <c r="CV92" s="420">
        <v>57552812.270000003</v>
      </c>
      <c r="CW92" s="420">
        <f t="shared" si="114"/>
        <v>0</v>
      </c>
      <c r="CX92" s="419">
        <v>8575421.6799999997</v>
      </c>
      <c r="CY92" s="419">
        <v>77635432.239999995</v>
      </c>
      <c r="CZ92" s="419">
        <v>1114804.82</v>
      </c>
      <c r="DA92" s="419">
        <f t="shared" si="115"/>
        <v>8575421.6899999995</v>
      </c>
      <c r="DB92" s="419">
        <f t="shared" si="116"/>
        <v>0.01</v>
      </c>
      <c r="DC92" s="419">
        <v>50563381.130000003</v>
      </c>
      <c r="DD92" s="420">
        <v>51387928.509999998</v>
      </c>
      <c r="DE92" s="419">
        <v>6573239.54</v>
      </c>
      <c r="DF92" s="420">
        <f t="shared" si="117"/>
        <v>50563381.076923102</v>
      </c>
      <c r="DG92" s="421">
        <f t="shared" si="118"/>
        <v>5.3076930344104802E-2</v>
      </c>
      <c r="DH92" s="419">
        <v>113682848.23</v>
      </c>
      <c r="DI92" s="419">
        <v>139534837.05000001</v>
      </c>
      <c r="DJ92" s="419">
        <v>14778770.27</v>
      </c>
      <c r="DK92" s="420">
        <f t="shared" si="119"/>
        <v>113682848.23076899</v>
      </c>
      <c r="DL92" s="422">
        <f t="shared" si="120"/>
        <v>7.6921284198760997E-4</v>
      </c>
      <c r="DM92" s="420">
        <v>632826.1</v>
      </c>
      <c r="DN92" s="420">
        <v>25425598.949999999</v>
      </c>
      <c r="DO92" s="420">
        <v>82267.399999999994</v>
      </c>
      <c r="DP92" s="420">
        <f t="shared" si="121"/>
        <v>632826.15384615399</v>
      </c>
      <c r="DQ92" s="420">
        <f t="shared" si="122"/>
        <v>5.3846153779886698E-2</v>
      </c>
      <c r="DR92" s="419">
        <v>22649409.260000002</v>
      </c>
      <c r="DS92" s="419">
        <v>18652316.91</v>
      </c>
      <c r="DT92" s="419">
        <v>2944423.2042</v>
      </c>
      <c r="DU92" s="420">
        <f t="shared" si="123"/>
        <v>22649409.263076901</v>
      </c>
      <c r="DV92" s="423">
        <f t="shared" si="124"/>
        <v>3.0769221484661098E-3</v>
      </c>
      <c r="DW92" s="419"/>
      <c r="DX92" s="419"/>
      <c r="DY92" s="419"/>
      <c r="DZ92" s="420">
        <f t="shared" si="125"/>
        <v>0</v>
      </c>
      <c r="EA92" s="423">
        <f t="shared" si="126"/>
        <v>0</v>
      </c>
      <c r="EB92" s="419"/>
      <c r="EC92" s="420">
        <v>3997092.34</v>
      </c>
      <c r="ED92" s="420"/>
      <c r="EE92" s="419"/>
      <c r="EF92" s="420">
        <f t="shared" si="127"/>
        <v>0</v>
      </c>
      <c r="EG92" s="419"/>
      <c r="EH92" s="419"/>
      <c r="EI92" s="419"/>
      <c r="EJ92" s="420">
        <f t="shared" si="128"/>
        <v>0</v>
      </c>
      <c r="EK92" s="420">
        <f t="shared" si="129"/>
        <v>0</v>
      </c>
      <c r="EL92" s="419"/>
      <c r="EM92" s="419"/>
      <c r="EN92" s="419"/>
      <c r="EO92" s="419">
        <f t="shared" si="130"/>
        <v>0</v>
      </c>
      <c r="EP92" s="419">
        <f t="shared" si="131"/>
        <v>0</v>
      </c>
      <c r="EQ92" s="419"/>
      <c r="ER92" s="419"/>
      <c r="ES92" s="419"/>
      <c r="ET92" s="419">
        <f t="shared" si="132"/>
        <v>0</v>
      </c>
      <c r="EU92" s="419">
        <f t="shared" si="133"/>
        <v>0</v>
      </c>
      <c r="EV92" s="419"/>
      <c r="EW92" s="419"/>
      <c r="EX92" s="419"/>
      <c r="EY92" s="419">
        <f t="shared" si="134"/>
        <v>0</v>
      </c>
      <c r="EZ92" s="419">
        <f t="shared" si="154"/>
        <v>0</v>
      </c>
      <c r="FA92" s="420"/>
      <c r="FB92" s="420"/>
      <c r="FC92" s="420"/>
      <c r="FD92" s="420">
        <f t="shared" si="135"/>
        <v>0</v>
      </c>
      <c r="FE92" s="420">
        <f t="shared" si="136"/>
        <v>0</v>
      </c>
      <c r="FF92" s="419"/>
      <c r="FG92" s="419"/>
      <c r="FH92" s="419"/>
      <c r="FI92" s="419">
        <f t="shared" si="137"/>
        <v>0</v>
      </c>
      <c r="FJ92" s="419">
        <f t="shared" si="138"/>
        <v>0</v>
      </c>
      <c r="FK92" s="419"/>
      <c r="FL92" s="419"/>
      <c r="FM92" s="419"/>
      <c r="FN92" s="420">
        <f t="shared" si="139"/>
        <v>0</v>
      </c>
      <c r="FO92" s="423">
        <f t="shared" si="140"/>
        <v>0</v>
      </c>
      <c r="FP92" s="419"/>
      <c r="FQ92" s="419"/>
      <c r="FR92" s="419"/>
      <c r="FS92" s="420">
        <f t="shared" si="141"/>
        <v>0</v>
      </c>
      <c r="FT92" s="420">
        <f t="shared" si="142"/>
        <v>0</v>
      </c>
      <c r="FU92" s="419"/>
      <c r="FV92" s="419"/>
      <c r="FW92" s="419"/>
      <c r="FX92" s="420">
        <f t="shared" si="143"/>
        <v>0</v>
      </c>
      <c r="FY92" s="420">
        <f t="shared" si="144"/>
        <v>0</v>
      </c>
      <c r="FZ92" s="419"/>
      <c r="GA92" s="419"/>
      <c r="GB92" s="419"/>
      <c r="GC92" s="420">
        <f t="shared" si="145"/>
        <v>0</v>
      </c>
      <c r="GD92" s="420">
        <f t="shared" si="146"/>
        <v>0</v>
      </c>
      <c r="GE92" s="419"/>
      <c r="GF92" s="419"/>
      <c r="GG92" s="419"/>
      <c r="GH92" s="420">
        <f t="shared" si="147"/>
        <v>0</v>
      </c>
      <c r="GI92" s="423">
        <f t="shared" si="148"/>
        <v>0</v>
      </c>
      <c r="GJ92" s="419"/>
      <c r="GK92" s="419"/>
      <c r="GL92" s="419"/>
      <c r="GM92" s="420">
        <f t="shared" si="149"/>
        <v>0</v>
      </c>
      <c r="GN92" s="420">
        <f t="shared" si="150"/>
        <v>0</v>
      </c>
      <c r="GO92" s="419"/>
      <c r="GP92" s="419"/>
      <c r="GQ92" s="419"/>
      <c r="GR92" s="420">
        <f t="shared" si="155"/>
        <v>0</v>
      </c>
      <c r="GS92" s="423">
        <f t="shared" si="151"/>
        <v>0</v>
      </c>
      <c r="GT92" s="419"/>
      <c r="GU92" s="419"/>
      <c r="GV92" s="419"/>
      <c r="GW92" s="420">
        <f t="shared" si="152"/>
        <v>0</v>
      </c>
      <c r="GX92" s="420">
        <f t="shared" si="153"/>
        <v>0</v>
      </c>
    </row>
    <row r="93" spans="1:206" ht="15">
      <c r="A93" s="414"/>
      <c r="B93" s="415" t="s">
        <v>530</v>
      </c>
      <c r="C93" s="698"/>
      <c r="D93" s="706"/>
      <c r="E93" s="434" t="s">
        <v>124</v>
      </c>
      <c r="F93" s="417">
        <v>0.09</v>
      </c>
      <c r="G93" s="418">
        <f t="shared" si="85"/>
        <v>335445644.57069999</v>
      </c>
      <c r="H93" s="418">
        <f t="shared" si="86"/>
        <v>335445644.63</v>
      </c>
      <c r="I93" s="418">
        <f t="shared" si="86"/>
        <v>30190108.041462999</v>
      </c>
      <c r="J93" s="418">
        <f t="shared" si="87"/>
        <v>335445644.90514499</v>
      </c>
      <c r="K93" s="418">
        <f t="shared" si="83"/>
        <v>0.27514445781707803</v>
      </c>
      <c r="L93" s="418">
        <f t="shared" si="84"/>
        <v>0.33444458246231101</v>
      </c>
      <c r="M93" s="424"/>
      <c r="N93" s="424"/>
      <c r="O93" s="424"/>
      <c r="P93" s="424"/>
      <c r="Q93" s="419"/>
      <c r="R93" s="419"/>
      <c r="S93" s="419"/>
      <c r="T93" s="420"/>
      <c r="U93" s="423"/>
      <c r="V93" s="420"/>
      <c r="W93" s="420"/>
      <c r="X93" s="419"/>
      <c r="Y93" s="419"/>
      <c r="Z93" s="423"/>
      <c r="AA93" s="423"/>
      <c r="AB93" s="419"/>
      <c r="AC93" s="423"/>
      <c r="AD93" s="420"/>
      <c r="AE93" s="423"/>
      <c r="AF93" s="444"/>
      <c r="AG93" s="419"/>
      <c r="AH93" s="420"/>
      <c r="AI93" s="420"/>
      <c r="AJ93" s="423"/>
      <c r="AK93" s="444"/>
      <c r="AL93" s="420"/>
      <c r="AM93" s="420"/>
      <c r="AN93" s="420"/>
      <c r="AO93" s="423"/>
      <c r="AP93" s="420"/>
      <c r="AQ93" s="419"/>
      <c r="AR93" s="420"/>
      <c r="AS93" s="420"/>
      <c r="AT93" s="420"/>
      <c r="AU93" s="420"/>
      <c r="AV93" s="420"/>
      <c r="AW93" s="420"/>
      <c r="AX93" s="426"/>
      <c r="AY93" s="420"/>
      <c r="AZ93" s="420"/>
      <c r="BA93" s="420"/>
      <c r="BB93" s="419"/>
      <c r="BC93" s="420"/>
      <c r="BD93" s="427"/>
      <c r="BE93" s="420">
        <v>1017254.4607000001</v>
      </c>
      <c r="BF93" s="420"/>
      <c r="BG93" s="420">
        <v>91552.901463000002</v>
      </c>
      <c r="BH93" s="423">
        <f t="shared" si="100"/>
        <v>1017254.4607000001</v>
      </c>
      <c r="BI93" s="420">
        <f t="shared" si="101"/>
        <v>0</v>
      </c>
      <c r="BJ93" s="420"/>
      <c r="BK93" s="420"/>
      <c r="BL93" s="420"/>
      <c r="BM93" s="420">
        <f t="shared" si="102"/>
        <v>0</v>
      </c>
      <c r="BN93" s="420">
        <f t="shared" si="103"/>
        <v>0</v>
      </c>
      <c r="BO93" s="419">
        <v>1113853.07</v>
      </c>
      <c r="BP93" s="428"/>
      <c r="BQ93" s="420">
        <v>100246.78</v>
      </c>
      <c r="BR93" s="423">
        <f t="shared" si="104"/>
        <v>1113853.1111111101</v>
      </c>
      <c r="BS93" s="423">
        <f t="shared" si="105"/>
        <v>4.1111111175268902E-2</v>
      </c>
      <c r="BT93" s="420">
        <v>14509507.689999999</v>
      </c>
      <c r="BU93" s="420"/>
      <c r="BV93" s="420">
        <v>1305855.7</v>
      </c>
      <c r="BW93" s="420">
        <v>14509507.689999999</v>
      </c>
      <c r="BX93" s="429">
        <f t="shared" si="106"/>
        <v>0</v>
      </c>
      <c r="BY93" s="455">
        <v>32423452.579999998</v>
      </c>
      <c r="BZ93" s="419"/>
      <c r="CA93" s="419">
        <v>2918110.73</v>
      </c>
      <c r="CB93" s="420">
        <f t="shared" si="107"/>
        <v>32423452.555555601</v>
      </c>
      <c r="CC93" s="430">
        <f t="shared" si="108"/>
        <v>-2.4444442242383999E-2</v>
      </c>
      <c r="CD93" s="419">
        <v>15359967.880000001</v>
      </c>
      <c r="CE93" s="419"/>
      <c r="CF93" s="419">
        <v>1382397.12</v>
      </c>
      <c r="CG93" s="420">
        <f t="shared" si="109"/>
        <v>15359968</v>
      </c>
      <c r="CH93" s="423">
        <f t="shared" si="110"/>
        <v>0.12000000104308101</v>
      </c>
      <c r="CI93" s="431">
        <v>8576876.3800000008</v>
      </c>
      <c r="CJ93" s="431"/>
      <c r="CK93" s="431">
        <v>771918.87</v>
      </c>
      <c r="CL93" s="420">
        <f t="shared" si="111"/>
        <v>8576876.3333333302</v>
      </c>
      <c r="CM93" s="423">
        <f t="shared" si="112"/>
        <v>-4.6666666865348802E-2</v>
      </c>
      <c r="CN93" s="420">
        <v>41046240.130000003</v>
      </c>
      <c r="CO93" s="420"/>
      <c r="CP93" s="420">
        <v>3694161.62</v>
      </c>
      <c r="CQ93" s="432">
        <v>41046240.130000003</v>
      </c>
      <c r="CR93" s="432">
        <f t="shared" si="113"/>
        <v>0</v>
      </c>
      <c r="CS93" s="420">
        <v>31517719.170000002</v>
      </c>
      <c r="CT93" s="420"/>
      <c r="CU93" s="420">
        <v>2836594.72</v>
      </c>
      <c r="CV93" s="420">
        <v>31517719.170000002</v>
      </c>
      <c r="CW93" s="420">
        <f t="shared" si="114"/>
        <v>0</v>
      </c>
      <c r="CX93" s="419">
        <v>30876039.469999999</v>
      </c>
      <c r="CY93" s="419"/>
      <c r="CZ93" s="419">
        <v>2778843.56</v>
      </c>
      <c r="DA93" s="419">
        <f t="shared" si="115"/>
        <v>30876039.559999999</v>
      </c>
      <c r="DB93" s="419">
        <f t="shared" si="116"/>
        <v>0.09</v>
      </c>
      <c r="DC93" s="419">
        <v>32504331.359999999</v>
      </c>
      <c r="DD93" s="420">
        <v>145564871.37</v>
      </c>
      <c r="DE93" s="419">
        <v>2925389.83</v>
      </c>
      <c r="DF93" s="420">
        <f t="shared" si="117"/>
        <v>32504331.444444399</v>
      </c>
      <c r="DG93" s="421">
        <f t="shared" si="118"/>
        <v>-8.4444448351860005E-2</v>
      </c>
      <c r="DH93" s="419">
        <v>31954595.699999999</v>
      </c>
      <c r="DI93" s="419">
        <v>95334966.530000001</v>
      </c>
      <c r="DJ93" s="419">
        <v>2875913.61</v>
      </c>
      <c r="DK93" s="420">
        <f t="shared" si="119"/>
        <v>31954595.666666701</v>
      </c>
      <c r="DL93" s="422">
        <f t="shared" si="120"/>
        <v>-3.3333331346511799E-2</v>
      </c>
      <c r="DM93" s="420">
        <v>53055391.770000003</v>
      </c>
      <c r="DN93" s="420">
        <v>53055391.780000001</v>
      </c>
      <c r="DO93" s="420">
        <v>4774985.25</v>
      </c>
      <c r="DP93" s="420">
        <f t="shared" si="121"/>
        <v>53055391.666666701</v>
      </c>
      <c r="DQ93" s="420">
        <f t="shared" si="122"/>
        <v>-0.103333331644535</v>
      </c>
      <c r="DR93" s="419">
        <v>41490414.909999996</v>
      </c>
      <c r="DS93" s="419">
        <v>28270675.539999999</v>
      </c>
      <c r="DT93" s="419">
        <v>3734137.35</v>
      </c>
      <c r="DU93" s="420">
        <f t="shared" si="123"/>
        <v>41490415</v>
      </c>
      <c r="DV93" s="423">
        <f t="shared" si="124"/>
        <v>9.00000035762787E-2</v>
      </c>
      <c r="DW93" s="419"/>
      <c r="DX93" s="419"/>
      <c r="DY93" s="419"/>
      <c r="DZ93" s="420">
        <f t="shared" si="125"/>
        <v>0</v>
      </c>
      <c r="EA93" s="423">
        <f t="shared" si="126"/>
        <v>0</v>
      </c>
      <c r="EB93" s="420"/>
      <c r="EC93" s="420">
        <v>13219739.41</v>
      </c>
      <c r="ED93" s="420"/>
      <c r="EE93" s="419"/>
      <c r="EF93" s="420">
        <f t="shared" si="127"/>
        <v>0</v>
      </c>
      <c r="EG93" s="419"/>
      <c r="EH93" s="419"/>
      <c r="EI93" s="419"/>
      <c r="EJ93" s="420">
        <f t="shared" si="128"/>
        <v>0</v>
      </c>
      <c r="EK93" s="420">
        <f t="shared" si="129"/>
        <v>0</v>
      </c>
      <c r="EL93" s="419"/>
      <c r="EM93" s="419"/>
      <c r="EN93" s="419"/>
      <c r="EO93" s="419">
        <f t="shared" si="130"/>
        <v>0</v>
      </c>
      <c r="EP93" s="419">
        <f t="shared" si="131"/>
        <v>0</v>
      </c>
      <c r="EQ93" s="419"/>
      <c r="ER93" s="419"/>
      <c r="ES93" s="419"/>
      <c r="ET93" s="419">
        <f t="shared" si="132"/>
        <v>0</v>
      </c>
      <c r="EU93" s="419">
        <f t="shared" si="133"/>
        <v>0</v>
      </c>
      <c r="EV93" s="419"/>
      <c r="EW93" s="419"/>
      <c r="EX93" s="419"/>
      <c r="EY93" s="419">
        <f t="shared" si="134"/>
        <v>0</v>
      </c>
      <c r="EZ93" s="419">
        <f t="shared" si="154"/>
        <v>0</v>
      </c>
      <c r="FA93" s="420"/>
      <c r="FB93" s="420"/>
      <c r="FC93" s="420"/>
      <c r="FD93" s="420">
        <f t="shared" si="135"/>
        <v>0</v>
      </c>
      <c r="FE93" s="420">
        <f t="shared" si="136"/>
        <v>0</v>
      </c>
      <c r="FF93" s="419"/>
      <c r="FG93" s="419"/>
      <c r="FH93" s="419"/>
      <c r="FI93" s="419">
        <f t="shared" si="137"/>
        <v>0</v>
      </c>
      <c r="FJ93" s="419">
        <f t="shared" si="138"/>
        <v>0</v>
      </c>
      <c r="FK93" s="419"/>
      <c r="FL93" s="419"/>
      <c r="FM93" s="419"/>
      <c r="FN93" s="420">
        <f t="shared" si="139"/>
        <v>0</v>
      </c>
      <c r="FO93" s="423">
        <f t="shared" si="140"/>
        <v>0</v>
      </c>
      <c r="FP93" s="419"/>
      <c r="FQ93" s="419"/>
      <c r="FR93" s="419"/>
      <c r="FS93" s="420">
        <f t="shared" si="141"/>
        <v>0</v>
      </c>
      <c r="FT93" s="420">
        <f t="shared" si="142"/>
        <v>0</v>
      </c>
      <c r="FU93" s="419"/>
      <c r="FV93" s="419"/>
      <c r="FW93" s="419"/>
      <c r="FX93" s="420">
        <f t="shared" si="143"/>
        <v>0</v>
      </c>
      <c r="FY93" s="420">
        <f t="shared" si="144"/>
        <v>0</v>
      </c>
      <c r="FZ93" s="419"/>
      <c r="GA93" s="419"/>
      <c r="GB93" s="419"/>
      <c r="GC93" s="420">
        <f t="shared" si="145"/>
        <v>0</v>
      </c>
      <c r="GD93" s="420">
        <f t="shared" si="146"/>
        <v>0</v>
      </c>
      <c r="GE93" s="419"/>
      <c r="GF93" s="419"/>
      <c r="GG93" s="419"/>
      <c r="GH93" s="420">
        <f t="shared" si="147"/>
        <v>0</v>
      </c>
      <c r="GI93" s="423">
        <f t="shared" si="148"/>
        <v>0</v>
      </c>
      <c r="GJ93" s="419"/>
      <c r="GK93" s="419"/>
      <c r="GL93" s="419"/>
      <c r="GM93" s="420">
        <f t="shared" si="149"/>
        <v>0</v>
      </c>
      <c r="GN93" s="420">
        <f t="shared" si="150"/>
        <v>0</v>
      </c>
      <c r="GO93" s="419"/>
      <c r="GP93" s="419"/>
      <c r="GQ93" s="419"/>
      <c r="GR93" s="420">
        <f t="shared" si="155"/>
        <v>0</v>
      </c>
      <c r="GS93" s="423">
        <f t="shared" si="151"/>
        <v>0</v>
      </c>
      <c r="GT93" s="419"/>
      <c r="GU93" s="419"/>
      <c r="GV93" s="419"/>
      <c r="GW93" s="420">
        <f t="shared" si="152"/>
        <v>0</v>
      </c>
      <c r="GX93" s="420">
        <f t="shared" si="153"/>
        <v>0</v>
      </c>
    </row>
    <row r="94" spans="1:206" ht="15">
      <c r="A94" s="414"/>
      <c r="B94" s="415" t="s">
        <v>530</v>
      </c>
      <c r="C94" s="698"/>
      <c r="D94" s="707"/>
      <c r="E94" s="434" t="s">
        <v>125</v>
      </c>
      <c r="F94" s="417">
        <v>0.06</v>
      </c>
      <c r="G94" s="418">
        <f t="shared" si="85"/>
        <v>15349742.881999999</v>
      </c>
      <c r="H94" s="418">
        <f t="shared" si="86"/>
        <v>15349742.869999999</v>
      </c>
      <c r="I94" s="418">
        <f t="shared" si="86"/>
        <v>920984.58932000003</v>
      </c>
      <c r="J94" s="418">
        <f t="shared" si="87"/>
        <v>15349743.155333299</v>
      </c>
      <c r="K94" s="418">
        <f t="shared" si="83"/>
        <v>0.285333331674337</v>
      </c>
      <c r="L94" s="418">
        <f t="shared" si="84"/>
        <v>0.27333333157002898</v>
      </c>
      <c r="M94" s="424"/>
      <c r="N94" s="424"/>
      <c r="O94" s="424"/>
      <c r="P94" s="424"/>
      <c r="Q94" s="419"/>
      <c r="R94" s="419"/>
      <c r="S94" s="419"/>
      <c r="T94" s="420"/>
      <c r="U94" s="423"/>
      <c r="V94" s="420"/>
      <c r="W94" s="420"/>
      <c r="X94" s="419"/>
      <c r="Y94" s="419"/>
      <c r="Z94" s="423"/>
      <c r="AA94" s="423"/>
      <c r="AB94" s="419"/>
      <c r="AC94" s="423"/>
      <c r="AD94" s="420"/>
      <c r="AE94" s="423"/>
      <c r="AF94" s="444"/>
      <c r="AG94" s="419"/>
      <c r="AH94" s="420"/>
      <c r="AI94" s="420"/>
      <c r="AJ94" s="423"/>
      <c r="AK94" s="444"/>
      <c r="AL94" s="420"/>
      <c r="AM94" s="420"/>
      <c r="AN94" s="420"/>
      <c r="AO94" s="423"/>
      <c r="AP94" s="420"/>
      <c r="AQ94" s="419"/>
      <c r="AR94" s="420"/>
      <c r="AS94" s="420"/>
      <c r="AT94" s="420"/>
      <c r="AU94" s="420"/>
      <c r="AV94" s="420"/>
      <c r="AW94" s="420"/>
      <c r="AX94" s="426"/>
      <c r="AY94" s="420"/>
      <c r="AZ94" s="420"/>
      <c r="BA94" s="420"/>
      <c r="BB94" s="419"/>
      <c r="BC94" s="420"/>
      <c r="BD94" s="427"/>
      <c r="BE94" s="420">
        <v>2451451.8220000002</v>
      </c>
      <c r="BF94" s="420"/>
      <c r="BG94" s="420">
        <v>147087.10952</v>
      </c>
      <c r="BH94" s="423">
        <f t="shared" si="100"/>
        <v>2451451.8253333298</v>
      </c>
      <c r="BI94" s="420">
        <f t="shared" si="101"/>
        <v>3.3333334140479599E-3</v>
      </c>
      <c r="BJ94" s="420">
        <v>519857.02</v>
      </c>
      <c r="BK94" s="420"/>
      <c r="BL94" s="420">
        <v>31191.42</v>
      </c>
      <c r="BM94" s="420">
        <f t="shared" si="102"/>
        <v>519857</v>
      </c>
      <c r="BN94" s="420">
        <f t="shared" si="103"/>
        <v>-2.00000000186265E-2</v>
      </c>
      <c r="BO94" s="419">
        <v>669346.32999999996</v>
      </c>
      <c r="BP94" s="428"/>
      <c r="BQ94" s="420">
        <v>40160.779799999997</v>
      </c>
      <c r="BR94" s="423">
        <f t="shared" si="104"/>
        <v>669346.32999999996</v>
      </c>
      <c r="BS94" s="423">
        <f t="shared" si="105"/>
        <v>0</v>
      </c>
      <c r="BT94" s="420">
        <v>313229.53999999998</v>
      </c>
      <c r="BU94" s="420"/>
      <c r="BV94" s="420">
        <v>18793.77</v>
      </c>
      <c r="BW94" s="420">
        <v>313229.53999999998</v>
      </c>
      <c r="BX94" s="429">
        <f t="shared" si="106"/>
        <v>0</v>
      </c>
      <c r="BY94" s="419">
        <v>1899030.99</v>
      </c>
      <c r="BZ94" s="419"/>
      <c r="CA94" s="419">
        <v>113941.87</v>
      </c>
      <c r="CB94" s="420">
        <f t="shared" si="107"/>
        <v>1899031.16666667</v>
      </c>
      <c r="CC94" s="430">
        <f t="shared" si="108"/>
        <v>0.17666666675359</v>
      </c>
      <c r="CD94" s="419">
        <v>105277.25</v>
      </c>
      <c r="CE94" s="419"/>
      <c r="CF94" s="419">
        <v>6316.64</v>
      </c>
      <c r="CG94" s="420">
        <f t="shared" si="109"/>
        <v>105277.33333333299</v>
      </c>
      <c r="CH94" s="423">
        <f t="shared" si="110"/>
        <v>8.3333333343034596E-2</v>
      </c>
      <c r="CI94" s="431">
        <v>1150825.02</v>
      </c>
      <c r="CJ94" s="431"/>
      <c r="CK94" s="431">
        <v>69049.5</v>
      </c>
      <c r="CL94" s="420">
        <f t="shared" si="111"/>
        <v>1150825</v>
      </c>
      <c r="CM94" s="423">
        <f t="shared" si="112"/>
        <v>-2.00000000186265E-2</v>
      </c>
      <c r="CN94" s="420">
        <v>246107.67</v>
      </c>
      <c r="CO94" s="420"/>
      <c r="CP94" s="420">
        <v>14766.46</v>
      </c>
      <c r="CQ94" s="432">
        <v>246107.67</v>
      </c>
      <c r="CR94" s="432">
        <f t="shared" si="113"/>
        <v>0</v>
      </c>
      <c r="CS94" s="420">
        <v>62029.07</v>
      </c>
      <c r="CT94" s="420"/>
      <c r="CU94" s="420">
        <v>3721.75</v>
      </c>
      <c r="CV94" s="420">
        <v>62029.07</v>
      </c>
      <c r="CW94" s="420">
        <f t="shared" si="114"/>
        <v>0</v>
      </c>
      <c r="CX94" s="419">
        <v>68000.75</v>
      </c>
      <c r="CY94" s="419"/>
      <c r="CZ94" s="419">
        <v>4080.04</v>
      </c>
      <c r="DA94" s="419">
        <f t="shared" si="115"/>
        <v>68000.67</v>
      </c>
      <c r="DB94" s="419">
        <f t="shared" si="116"/>
        <v>-0.08</v>
      </c>
      <c r="DC94" s="419">
        <v>825505.97</v>
      </c>
      <c r="DD94" s="420">
        <v>7417154.7000000002</v>
      </c>
      <c r="DE94" s="419">
        <v>49530.36</v>
      </c>
      <c r="DF94" s="420">
        <f t="shared" si="117"/>
        <v>825506</v>
      </c>
      <c r="DG94" s="421">
        <f t="shared" si="118"/>
        <v>-3.0000000027939702E-2</v>
      </c>
      <c r="DH94" s="419">
        <v>170519.42</v>
      </c>
      <c r="DI94" s="419">
        <v>966555.25</v>
      </c>
      <c r="DJ94" s="419">
        <v>10231.17</v>
      </c>
      <c r="DK94" s="420">
        <f t="shared" si="119"/>
        <v>170519.5</v>
      </c>
      <c r="DL94" s="422">
        <f t="shared" si="120"/>
        <v>7.9999999987194301E-2</v>
      </c>
      <c r="DM94" s="420">
        <v>97627.72</v>
      </c>
      <c r="DN94" s="420">
        <v>97470.88</v>
      </c>
      <c r="DO94" s="420">
        <v>5857.66</v>
      </c>
      <c r="DP94" s="420">
        <f t="shared" si="121"/>
        <v>97627.666666666701</v>
      </c>
      <c r="DQ94" s="420">
        <f t="shared" si="122"/>
        <v>-5.33333333296468E-2</v>
      </c>
      <c r="DR94" s="419">
        <v>6749927.71</v>
      </c>
      <c r="DS94" s="419">
        <v>1990190.83</v>
      </c>
      <c r="DT94" s="419">
        <v>404995.66</v>
      </c>
      <c r="DU94" s="420">
        <f t="shared" si="123"/>
        <v>6749927.6666666698</v>
      </c>
      <c r="DV94" s="423">
        <f t="shared" si="124"/>
        <v>-4.3333333916962098E-2</v>
      </c>
      <c r="DW94" s="419">
        <v>21006.6</v>
      </c>
      <c r="DX94" s="419"/>
      <c r="DY94" s="419">
        <v>1260.4000000000001</v>
      </c>
      <c r="DZ94" s="420">
        <f t="shared" si="125"/>
        <v>21006.67</v>
      </c>
      <c r="EA94" s="423">
        <f t="shared" si="126"/>
        <v>7.0000000000000007E-2</v>
      </c>
      <c r="EB94" s="419"/>
      <c r="EC94" s="419">
        <v>4878371.21</v>
      </c>
      <c r="ED94" s="420"/>
      <c r="EE94" s="419"/>
      <c r="EF94" s="420">
        <f t="shared" si="127"/>
        <v>0</v>
      </c>
      <c r="EG94" s="419"/>
      <c r="EH94" s="419"/>
      <c r="EI94" s="419"/>
      <c r="EJ94" s="420">
        <f t="shared" si="128"/>
        <v>0</v>
      </c>
      <c r="EK94" s="420">
        <f t="shared" si="129"/>
        <v>0</v>
      </c>
      <c r="EL94" s="419"/>
      <c r="EM94" s="419"/>
      <c r="EN94" s="419"/>
      <c r="EO94" s="419">
        <f t="shared" si="130"/>
        <v>0</v>
      </c>
      <c r="EP94" s="419">
        <f t="shared" si="131"/>
        <v>0</v>
      </c>
      <c r="EQ94" s="419"/>
      <c r="ER94" s="419"/>
      <c r="ES94" s="419"/>
      <c r="ET94" s="419">
        <f t="shared" si="132"/>
        <v>0</v>
      </c>
      <c r="EU94" s="419">
        <f t="shared" si="133"/>
        <v>0</v>
      </c>
      <c r="EV94" s="419"/>
      <c r="EW94" s="419"/>
      <c r="EX94" s="419"/>
      <c r="EY94" s="419">
        <f t="shared" si="134"/>
        <v>0</v>
      </c>
      <c r="EZ94" s="419">
        <f t="shared" si="154"/>
        <v>0</v>
      </c>
      <c r="FA94" s="420"/>
      <c r="FB94" s="420"/>
      <c r="FC94" s="420"/>
      <c r="FD94" s="420">
        <f t="shared" si="135"/>
        <v>0</v>
      </c>
      <c r="FE94" s="420">
        <f t="shared" si="136"/>
        <v>0</v>
      </c>
      <c r="FF94" s="419"/>
      <c r="FG94" s="419"/>
      <c r="FH94" s="419"/>
      <c r="FI94" s="419">
        <f t="shared" si="137"/>
        <v>0</v>
      </c>
      <c r="FJ94" s="419">
        <f t="shared" si="138"/>
        <v>0</v>
      </c>
      <c r="FK94" s="419"/>
      <c r="FL94" s="419"/>
      <c r="FM94" s="419"/>
      <c r="FN94" s="420">
        <f t="shared" si="139"/>
        <v>0</v>
      </c>
      <c r="FO94" s="423">
        <f t="shared" si="140"/>
        <v>0</v>
      </c>
      <c r="FP94" s="419"/>
      <c r="FQ94" s="419"/>
      <c r="FR94" s="419"/>
      <c r="FS94" s="420">
        <f t="shared" si="141"/>
        <v>0</v>
      </c>
      <c r="FT94" s="420">
        <f t="shared" si="142"/>
        <v>0</v>
      </c>
      <c r="FU94" s="419"/>
      <c r="FV94" s="419"/>
      <c r="FW94" s="419"/>
      <c r="FX94" s="420">
        <f t="shared" si="143"/>
        <v>0</v>
      </c>
      <c r="FY94" s="420">
        <f t="shared" si="144"/>
        <v>0</v>
      </c>
      <c r="FZ94" s="419"/>
      <c r="GA94" s="419"/>
      <c r="GB94" s="419"/>
      <c r="GC94" s="420">
        <f t="shared" si="145"/>
        <v>0</v>
      </c>
      <c r="GD94" s="420">
        <f t="shared" si="146"/>
        <v>0</v>
      </c>
      <c r="GE94" s="419"/>
      <c r="GF94" s="419"/>
      <c r="GG94" s="419"/>
      <c r="GH94" s="420">
        <f t="shared" si="147"/>
        <v>0</v>
      </c>
      <c r="GI94" s="423">
        <f t="shared" si="148"/>
        <v>0</v>
      </c>
      <c r="GJ94" s="419"/>
      <c r="GK94" s="419"/>
      <c r="GL94" s="419"/>
      <c r="GM94" s="420">
        <f t="shared" si="149"/>
        <v>0</v>
      </c>
      <c r="GN94" s="420">
        <f t="shared" si="150"/>
        <v>0</v>
      </c>
      <c r="GO94" s="419"/>
      <c r="GP94" s="419"/>
      <c r="GQ94" s="419"/>
      <c r="GR94" s="420">
        <f t="shared" si="155"/>
        <v>0</v>
      </c>
      <c r="GS94" s="423">
        <f t="shared" si="151"/>
        <v>0</v>
      </c>
      <c r="GT94" s="419"/>
      <c r="GU94" s="419"/>
      <c r="GV94" s="419"/>
      <c r="GW94" s="420">
        <f t="shared" si="152"/>
        <v>0</v>
      </c>
      <c r="GX94" s="420">
        <f t="shared" si="153"/>
        <v>0</v>
      </c>
    </row>
    <row r="95" spans="1:206" ht="15">
      <c r="A95" s="414"/>
      <c r="B95" s="415" t="s">
        <v>530</v>
      </c>
      <c r="C95" s="698"/>
      <c r="D95" s="704" t="s">
        <v>532</v>
      </c>
      <c r="E95" s="434" t="s">
        <v>123</v>
      </c>
      <c r="F95" s="417">
        <v>0.13</v>
      </c>
      <c r="G95" s="418">
        <f t="shared" si="85"/>
        <v>0</v>
      </c>
      <c r="H95" s="418">
        <f t="shared" si="86"/>
        <v>0</v>
      </c>
      <c r="I95" s="418">
        <f t="shared" si="86"/>
        <v>0</v>
      </c>
      <c r="J95" s="418">
        <f t="shared" si="87"/>
        <v>0</v>
      </c>
      <c r="K95" s="418">
        <f t="shared" si="83"/>
        <v>0</v>
      </c>
      <c r="L95" s="418">
        <f t="shared" si="84"/>
        <v>0</v>
      </c>
      <c r="M95" s="424"/>
      <c r="N95" s="424"/>
      <c r="O95" s="424"/>
      <c r="P95" s="424"/>
      <c r="Q95" s="419"/>
      <c r="R95" s="419"/>
      <c r="S95" s="419"/>
      <c r="T95" s="420"/>
      <c r="U95" s="423"/>
      <c r="V95" s="420"/>
      <c r="W95" s="420"/>
      <c r="X95" s="419"/>
      <c r="Y95" s="419"/>
      <c r="Z95" s="423"/>
      <c r="AA95" s="423"/>
      <c r="AB95" s="419"/>
      <c r="AC95" s="423"/>
      <c r="AD95" s="420"/>
      <c r="AE95" s="423"/>
      <c r="AF95" s="444"/>
      <c r="AG95" s="419"/>
      <c r="AH95" s="420"/>
      <c r="AI95" s="420"/>
      <c r="AJ95" s="423"/>
      <c r="AK95" s="444"/>
      <c r="AL95" s="420"/>
      <c r="AM95" s="420"/>
      <c r="AN95" s="420"/>
      <c r="AO95" s="423"/>
      <c r="AP95" s="420"/>
      <c r="AQ95" s="419"/>
      <c r="AR95" s="420"/>
      <c r="AS95" s="420"/>
      <c r="AT95" s="420"/>
      <c r="AU95" s="420"/>
      <c r="AV95" s="420"/>
      <c r="AW95" s="420"/>
      <c r="AX95" s="426"/>
      <c r="AY95" s="420"/>
      <c r="AZ95" s="420"/>
      <c r="BA95" s="420"/>
      <c r="BB95" s="419"/>
      <c r="BC95" s="420"/>
      <c r="BD95" s="427"/>
      <c r="BE95" s="420"/>
      <c r="BF95" s="420"/>
      <c r="BG95" s="420"/>
      <c r="BH95" s="423"/>
      <c r="BI95" s="420"/>
      <c r="BJ95" s="420"/>
      <c r="BK95" s="420"/>
      <c r="BL95" s="420"/>
      <c r="BM95" s="420"/>
      <c r="BN95" s="420"/>
      <c r="BO95" s="419"/>
      <c r="BP95" s="428"/>
      <c r="BQ95" s="420"/>
      <c r="BR95" s="423"/>
      <c r="BS95" s="423"/>
      <c r="BT95" s="420"/>
      <c r="BU95" s="420"/>
      <c r="BV95" s="420"/>
      <c r="BW95" s="420"/>
      <c r="BX95" s="429"/>
      <c r="BY95" s="419"/>
      <c r="BZ95" s="419"/>
      <c r="CA95" s="419"/>
      <c r="CB95" s="420"/>
      <c r="CC95" s="430"/>
      <c r="CD95" s="419"/>
      <c r="CE95" s="419"/>
      <c r="CF95" s="419"/>
      <c r="CG95" s="420"/>
      <c r="CH95" s="423"/>
      <c r="CI95" s="431"/>
      <c r="CJ95" s="431"/>
      <c r="CK95" s="431"/>
      <c r="CL95" s="420"/>
      <c r="CM95" s="423"/>
      <c r="CN95" s="420"/>
      <c r="CO95" s="420"/>
      <c r="CP95" s="420"/>
      <c r="CQ95" s="432"/>
      <c r="CR95" s="432"/>
      <c r="CS95" s="420"/>
      <c r="CT95" s="420"/>
      <c r="CU95" s="420"/>
      <c r="CV95" s="420"/>
      <c r="CW95" s="420"/>
      <c r="CX95" s="419"/>
      <c r="CY95" s="419"/>
      <c r="CZ95" s="419"/>
      <c r="DA95" s="419"/>
      <c r="DB95" s="419"/>
      <c r="DC95" s="419"/>
      <c r="DD95" s="420"/>
      <c r="DE95" s="419"/>
      <c r="DF95" s="420">
        <f t="shared" si="117"/>
        <v>0</v>
      </c>
      <c r="DG95" s="421">
        <f t="shared" si="118"/>
        <v>0</v>
      </c>
      <c r="DH95" s="419"/>
      <c r="DI95" s="419"/>
      <c r="DJ95" s="419"/>
      <c r="DK95" s="420">
        <f t="shared" si="119"/>
        <v>0</v>
      </c>
      <c r="DL95" s="422">
        <f t="shared" si="120"/>
        <v>0</v>
      </c>
      <c r="DM95" s="420"/>
      <c r="DN95" s="420"/>
      <c r="DO95" s="420"/>
      <c r="DP95" s="420">
        <f t="shared" si="121"/>
        <v>0</v>
      </c>
      <c r="DQ95" s="420">
        <f t="shared" si="122"/>
        <v>0</v>
      </c>
      <c r="DR95" s="419"/>
      <c r="DS95" s="419"/>
      <c r="DT95" s="419"/>
      <c r="DU95" s="420">
        <f t="shared" si="123"/>
        <v>0</v>
      </c>
      <c r="DV95" s="423">
        <f t="shared" si="124"/>
        <v>0</v>
      </c>
      <c r="DW95" s="419"/>
      <c r="DX95" s="419"/>
      <c r="DY95" s="419"/>
      <c r="DZ95" s="420">
        <f t="shared" si="125"/>
        <v>0</v>
      </c>
      <c r="EA95" s="423">
        <f t="shared" si="126"/>
        <v>0</v>
      </c>
      <c r="EB95" s="419"/>
      <c r="EC95" s="419"/>
      <c r="ED95" s="420"/>
      <c r="EE95" s="419"/>
      <c r="EF95" s="420">
        <f t="shared" si="127"/>
        <v>0</v>
      </c>
      <c r="EG95" s="419"/>
      <c r="EH95" s="419"/>
      <c r="EI95" s="419"/>
      <c r="EJ95" s="420">
        <f t="shared" si="128"/>
        <v>0</v>
      </c>
      <c r="EK95" s="420">
        <f t="shared" si="129"/>
        <v>0</v>
      </c>
      <c r="EL95" s="419"/>
      <c r="EM95" s="419"/>
      <c r="EN95" s="419"/>
      <c r="EO95" s="419">
        <f t="shared" si="130"/>
        <v>0</v>
      </c>
      <c r="EP95" s="419">
        <f t="shared" si="131"/>
        <v>0</v>
      </c>
      <c r="EQ95" s="419"/>
      <c r="ER95" s="419"/>
      <c r="ES95" s="419"/>
      <c r="ET95" s="419">
        <f t="shared" si="132"/>
        <v>0</v>
      </c>
      <c r="EU95" s="419">
        <f t="shared" si="133"/>
        <v>0</v>
      </c>
      <c r="EV95" s="419"/>
      <c r="EW95" s="419"/>
      <c r="EX95" s="419"/>
      <c r="EY95" s="419">
        <f t="shared" si="134"/>
        <v>0</v>
      </c>
      <c r="EZ95" s="419">
        <f t="shared" si="154"/>
        <v>0</v>
      </c>
      <c r="FA95" s="420"/>
      <c r="FB95" s="420"/>
      <c r="FC95" s="420"/>
      <c r="FD95" s="420">
        <f t="shared" si="135"/>
        <v>0</v>
      </c>
      <c r="FE95" s="420">
        <f t="shared" si="136"/>
        <v>0</v>
      </c>
      <c r="FF95" s="419"/>
      <c r="FG95" s="419"/>
      <c r="FH95" s="419"/>
      <c r="FI95" s="419">
        <f t="shared" si="137"/>
        <v>0</v>
      </c>
      <c r="FJ95" s="419">
        <f t="shared" si="138"/>
        <v>0</v>
      </c>
      <c r="FK95" s="419"/>
      <c r="FL95" s="419"/>
      <c r="FM95" s="419"/>
      <c r="FN95" s="420">
        <f t="shared" si="139"/>
        <v>0</v>
      </c>
      <c r="FO95" s="423">
        <f t="shared" si="140"/>
        <v>0</v>
      </c>
      <c r="FP95" s="419"/>
      <c r="FQ95" s="419"/>
      <c r="FR95" s="419"/>
      <c r="FS95" s="420">
        <f t="shared" si="141"/>
        <v>0</v>
      </c>
      <c r="FT95" s="420">
        <f t="shared" si="142"/>
        <v>0</v>
      </c>
      <c r="FU95" s="419"/>
      <c r="FV95" s="419"/>
      <c r="FW95" s="419"/>
      <c r="FX95" s="420">
        <f t="shared" si="143"/>
        <v>0</v>
      </c>
      <c r="FY95" s="420">
        <f t="shared" si="144"/>
        <v>0</v>
      </c>
      <c r="FZ95" s="419"/>
      <c r="GA95" s="419"/>
      <c r="GB95" s="419"/>
      <c r="GC95" s="420">
        <f t="shared" si="145"/>
        <v>0</v>
      </c>
      <c r="GD95" s="420">
        <f t="shared" si="146"/>
        <v>0</v>
      </c>
      <c r="GE95" s="419"/>
      <c r="GF95" s="419"/>
      <c r="GG95" s="419"/>
      <c r="GH95" s="420">
        <f t="shared" si="147"/>
        <v>0</v>
      </c>
      <c r="GI95" s="423">
        <f t="shared" si="148"/>
        <v>0</v>
      </c>
      <c r="GJ95" s="419"/>
      <c r="GK95" s="419"/>
      <c r="GL95" s="419"/>
      <c r="GM95" s="420">
        <f t="shared" si="149"/>
        <v>0</v>
      </c>
      <c r="GN95" s="420">
        <f t="shared" si="150"/>
        <v>0</v>
      </c>
      <c r="GO95" s="419"/>
      <c r="GP95" s="419"/>
      <c r="GQ95" s="419"/>
      <c r="GR95" s="420">
        <f t="shared" si="155"/>
        <v>0</v>
      </c>
      <c r="GS95" s="423">
        <f t="shared" si="151"/>
        <v>0</v>
      </c>
      <c r="GT95" s="419"/>
      <c r="GU95" s="419"/>
      <c r="GV95" s="419"/>
      <c r="GW95" s="420">
        <f t="shared" si="152"/>
        <v>0</v>
      </c>
      <c r="GX95" s="420">
        <f t="shared" si="153"/>
        <v>0</v>
      </c>
    </row>
    <row r="96" spans="1:206" ht="15">
      <c r="A96" s="414"/>
      <c r="B96" s="415" t="s">
        <v>530</v>
      </c>
      <c r="C96" s="698"/>
      <c r="D96" s="706"/>
      <c r="E96" s="434" t="s">
        <v>124</v>
      </c>
      <c r="F96" s="417">
        <v>0.09</v>
      </c>
      <c r="G96" s="418">
        <f t="shared" si="85"/>
        <v>0</v>
      </c>
      <c r="H96" s="418">
        <f t="shared" si="86"/>
        <v>0</v>
      </c>
      <c r="I96" s="418">
        <f t="shared" si="86"/>
        <v>0</v>
      </c>
      <c r="J96" s="418">
        <f t="shared" si="87"/>
        <v>0</v>
      </c>
      <c r="K96" s="418">
        <f t="shared" si="83"/>
        <v>0</v>
      </c>
      <c r="L96" s="418">
        <f t="shared" si="84"/>
        <v>0</v>
      </c>
      <c r="M96" s="424"/>
      <c r="N96" s="424"/>
      <c r="O96" s="424"/>
      <c r="P96" s="424"/>
      <c r="Q96" s="419"/>
      <c r="R96" s="419"/>
      <c r="S96" s="419"/>
      <c r="T96" s="420"/>
      <c r="U96" s="423"/>
      <c r="V96" s="420"/>
      <c r="W96" s="420"/>
      <c r="X96" s="419"/>
      <c r="Y96" s="419"/>
      <c r="Z96" s="423"/>
      <c r="AA96" s="423"/>
      <c r="AB96" s="419"/>
      <c r="AC96" s="423"/>
      <c r="AD96" s="420"/>
      <c r="AE96" s="423"/>
      <c r="AF96" s="444"/>
      <c r="AG96" s="419"/>
      <c r="AH96" s="420"/>
      <c r="AI96" s="420"/>
      <c r="AJ96" s="423"/>
      <c r="AK96" s="444"/>
      <c r="AL96" s="420"/>
      <c r="AM96" s="420"/>
      <c r="AN96" s="420"/>
      <c r="AO96" s="423"/>
      <c r="AP96" s="420"/>
      <c r="AQ96" s="419"/>
      <c r="AR96" s="420"/>
      <c r="AS96" s="420"/>
      <c r="AT96" s="420"/>
      <c r="AU96" s="420"/>
      <c r="AV96" s="420"/>
      <c r="AW96" s="420"/>
      <c r="AX96" s="426"/>
      <c r="AY96" s="420"/>
      <c r="AZ96" s="420"/>
      <c r="BA96" s="420"/>
      <c r="BB96" s="419"/>
      <c r="BC96" s="420"/>
      <c r="BD96" s="427"/>
      <c r="BE96" s="420"/>
      <c r="BF96" s="420"/>
      <c r="BG96" s="420"/>
      <c r="BH96" s="423"/>
      <c r="BI96" s="420"/>
      <c r="BJ96" s="420"/>
      <c r="BK96" s="420"/>
      <c r="BL96" s="420"/>
      <c r="BM96" s="420"/>
      <c r="BN96" s="420"/>
      <c r="BO96" s="419"/>
      <c r="BP96" s="428"/>
      <c r="BQ96" s="420"/>
      <c r="BR96" s="423"/>
      <c r="BS96" s="423"/>
      <c r="BT96" s="420"/>
      <c r="BU96" s="420"/>
      <c r="BV96" s="420"/>
      <c r="BW96" s="420"/>
      <c r="BX96" s="429"/>
      <c r="BY96" s="419"/>
      <c r="BZ96" s="419"/>
      <c r="CA96" s="419"/>
      <c r="CB96" s="420"/>
      <c r="CC96" s="430"/>
      <c r="CD96" s="419"/>
      <c r="CE96" s="419"/>
      <c r="CF96" s="419"/>
      <c r="CG96" s="420"/>
      <c r="CH96" s="423"/>
      <c r="CI96" s="431"/>
      <c r="CJ96" s="431"/>
      <c r="CK96" s="431"/>
      <c r="CL96" s="420"/>
      <c r="CM96" s="423"/>
      <c r="CN96" s="420"/>
      <c r="CO96" s="420"/>
      <c r="CP96" s="420"/>
      <c r="CQ96" s="432"/>
      <c r="CR96" s="432"/>
      <c r="CS96" s="420"/>
      <c r="CT96" s="420"/>
      <c r="CU96" s="420"/>
      <c r="CV96" s="420"/>
      <c r="CW96" s="420"/>
      <c r="CX96" s="419"/>
      <c r="CY96" s="419"/>
      <c r="CZ96" s="419"/>
      <c r="DA96" s="419"/>
      <c r="DB96" s="419"/>
      <c r="DC96" s="419"/>
      <c r="DD96" s="420"/>
      <c r="DE96" s="419"/>
      <c r="DF96" s="420">
        <f t="shared" si="117"/>
        <v>0</v>
      </c>
      <c r="DG96" s="421">
        <f t="shared" si="118"/>
        <v>0</v>
      </c>
      <c r="DH96" s="419"/>
      <c r="DI96" s="419"/>
      <c r="DJ96" s="419"/>
      <c r="DK96" s="420">
        <f t="shared" si="119"/>
        <v>0</v>
      </c>
      <c r="DL96" s="422">
        <f t="shared" si="120"/>
        <v>0</v>
      </c>
      <c r="DM96" s="420"/>
      <c r="DN96" s="420"/>
      <c r="DO96" s="420"/>
      <c r="DP96" s="420">
        <f t="shared" si="121"/>
        <v>0</v>
      </c>
      <c r="DQ96" s="420">
        <f t="shared" si="122"/>
        <v>0</v>
      </c>
      <c r="DR96" s="419"/>
      <c r="DS96" s="419"/>
      <c r="DT96" s="419"/>
      <c r="DU96" s="420">
        <f t="shared" si="123"/>
        <v>0</v>
      </c>
      <c r="DV96" s="423">
        <f t="shared" si="124"/>
        <v>0</v>
      </c>
      <c r="DW96" s="419"/>
      <c r="DX96" s="419"/>
      <c r="DY96" s="419"/>
      <c r="DZ96" s="420">
        <f t="shared" si="125"/>
        <v>0</v>
      </c>
      <c r="EA96" s="423">
        <f t="shared" si="126"/>
        <v>0</v>
      </c>
      <c r="EB96" s="420"/>
      <c r="EC96" s="419"/>
      <c r="ED96" s="420"/>
      <c r="EE96" s="419"/>
      <c r="EF96" s="420">
        <f t="shared" si="127"/>
        <v>0</v>
      </c>
      <c r="EG96" s="419"/>
      <c r="EH96" s="419"/>
      <c r="EI96" s="419"/>
      <c r="EJ96" s="420">
        <f t="shared" si="128"/>
        <v>0</v>
      </c>
      <c r="EK96" s="420">
        <f t="shared" si="129"/>
        <v>0</v>
      </c>
      <c r="EL96" s="419"/>
      <c r="EM96" s="419"/>
      <c r="EN96" s="419"/>
      <c r="EO96" s="419">
        <f t="shared" si="130"/>
        <v>0</v>
      </c>
      <c r="EP96" s="419">
        <f t="shared" si="131"/>
        <v>0</v>
      </c>
      <c r="EQ96" s="419"/>
      <c r="ER96" s="419"/>
      <c r="ES96" s="419"/>
      <c r="ET96" s="419">
        <f t="shared" si="132"/>
        <v>0</v>
      </c>
      <c r="EU96" s="419">
        <f t="shared" si="133"/>
        <v>0</v>
      </c>
      <c r="EV96" s="419"/>
      <c r="EW96" s="419"/>
      <c r="EX96" s="419"/>
      <c r="EY96" s="419">
        <f t="shared" si="134"/>
        <v>0</v>
      </c>
      <c r="EZ96" s="419">
        <f t="shared" si="154"/>
        <v>0</v>
      </c>
      <c r="FA96" s="420"/>
      <c r="FB96" s="420"/>
      <c r="FC96" s="420"/>
      <c r="FD96" s="420">
        <f t="shared" si="135"/>
        <v>0</v>
      </c>
      <c r="FE96" s="420">
        <f t="shared" si="136"/>
        <v>0</v>
      </c>
      <c r="FF96" s="419"/>
      <c r="FG96" s="419"/>
      <c r="FH96" s="419"/>
      <c r="FI96" s="419">
        <f t="shared" si="137"/>
        <v>0</v>
      </c>
      <c r="FJ96" s="419">
        <f t="shared" si="138"/>
        <v>0</v>
      </c>
      <c r="FK96" s="419"/>
      <c r="FL96" s="419"/>
      <c r="FM96" s="419"/>
      <c r="FN96" s="420">
        <f t="shared" si="139"/>
        <v>0</v>
      </c>
      <c r="FO96" s="423">
        <f t="shared" si="140"/>
        <v>0</v>
      </c>
      <c r="FP96" s="419"/>
      <c r="FQ96" s="419"/>
      <c r="FR96" s="419"/>
      <c r="FS96" s="420">
        <f t="shared" si="141"/>
        <v>0</v>
      </c>
      <c r="FT96" s="420">
        <f t="shared" si="142"/>
        <v>0</v>
      </c>
      <c r="FU96" s="419"/>
      <c r="FV96" s="419"/>
      <c r="FW96" s="419"/>
      <c r="FX96" s="420">
        <f t="shared" si="143"/>
        <v>0</v>
      </c>
      <c r="FY96" s="420">
        <f t="shared" si="144"/>
        <v>0</v>
      </c>
      <c r="FZ96" s="419"/>
      <c r="GA96" s="419"/>
      <c r="GB96" s="419"/>
      <c r="GC96" s="420">
        <f t="shared" si="145"/>
        <v>0</v>
      </c>
      <c r="GD96" s="420">
        <f t="shared" si="146"/>
        <v>0</v>
      </c>
      <c r="GE96" s="419"/>
      <c r="GF96" s="419"/>
      <c r="GG96" s="419"/>
      <c r="GH96" s="420">
        <f t="shared" si="147"/>
        <v>0</v>
      </c>
      <c r="GI96" s="423">
        <f t="shared" si="148"/>
        <v>0</v>
      </c>
      <c r="GJ96" s="419"/>
      <c r="GK96" s="419"/>
      <c r="GL96" s="419"/>
      <c r="GM96" s="420">
        <f t="shared" si="149"/>
        <v>0</v>
      </c>
      <c r="GN96" s="420">
        <f t="shared" si="150"/>
        <v>0</v>
      </c>
      <c r="GO96" s="419"/>
      <c r="GP96" s="419"/>
      <c r="GQ96" s="419"/>
      <c r="GR96" s="420">
        <f t="shared" si="155"/>
        <v>0</v>
      </c>
      <c r="GS96" s="423">
        <f t="shared" si="151"/>
        <v>0</v>
      </c>
      <c r="GT96" s="419"/>
      <c r="GU96" s="419"/>
      <c r="GV96" s="419"/>
      <c r="GW96" s="420">
        <f t="shared" si="152"/>
        <v>0</v>
      </c>
      <c r="GX96" s="420">
        <f t="shared" si="153"/>
        <v>0</v>
      </c>
    </row>
    <row r="97" spans="1:206" ht="15">
      <c r="A97" s="414"/>
      <c r="B97" s="415" t="s">
        <v>530</v>
      </c>
      <c r="C97" s="698"/>
      <c r="D97" s="707"/>
      <c r="E97" s="434" t="s">
        <v>125</v>
      </c>
      <c r="F97" s="417">
        <v>0.06</v>
      </c>
      <c r="G97" s="418">
        <f t="shared" si="85"/>
        <v>98993.86</v>
      </c>
      <c r="H97" s="418">
        <f t="shared" si="86"/>
        <v>98993.86</v>
      </c>
      <c r="I97" s="418">
        <f t="shared" si="86"/>
        <v>5939.63</v>
      </c>
      <c r="J97" s="418">
        <f t="shared" si="87"/>
        <v>98993.833333333299</v>
      </c>
      <c r="K97" s="418">
        <f t="shared" si="83"/>
        <v>-2.6666666657547501E-2</v>
      </c>
      <c r="L97" s="418">
        <f t="shared" si="84"/>
        <v>-2.6666666657547501E-2</v>
      </c>
      <c r="M97" s="424"/>
      <c r="N97" s="424"/>
      <c r="O97" s="424"/>
      <c r="P97" s="424"/>
      <c r="Q97" s="419"/>
      <c r="R97" s="419"/>
      <c r="S97" s="419"/>
      <c r="T97" s="420"/>
      <c r="U97" s="423"/>
      <c r="V97" s="420"/>
      <c r="W97" s="420"/>
      <c r="X97" s="419"/>
      <c r="Y97" s="419"/>
      <c r="Z97" s="423"/>
      <c r="AA97" s="423"/>
      <c r="AB97" s="419"/>
      <c r="AC97" s="423"/>
      <c r="AD97" s="420"/>
      <c r="AE97" s="423"/>
      <c r="AF97" s="444"/>
      <c r="AG97" s="419"/>
      <c r="AH97" s="420"/>
      <c r="AI97" s="420"/>
      <c r="AJ97" s="423"/>
      <c r="AK97" s="444"/>
      <c r="AL97" s="420"/>
      <c r="AM97" s="420"/>
      <c r="AN97" s="420"/>
      <c r="AO97" s="423"/>
      <c r="AP97" s="420"/>
      <c r="AQ97" s="419"/>
      <c r="AR97" s="420"/>
      <c r="AS97" s="420"/>
      <c r="AT97" s="420"/>
      <c r="AU97" s="420"/>
      <c r="AV97" s="420"/>
      <c r="AW97" s="420"/>
      <c r="AX97" s="426"/>
      <c r="AY97" s="420"/>
      <c r="AZ97" s="420"/>
      <c r="BA97" s="420"/>
      <c r="BB97" s="419"/>
      <c r="BC97" s="420"/>
      <c r="BD97" s="427"/>
      <c r="BE97" s="420"/>
      <c r="BF97" s="420"/>
      <c r="BG97" s="420"/>
      <c r="BH97" s="423"/>
      <c r="BI97" s="420"/>
      <c r="BJ97" s="420"/>
      <c r="BK97" s="420"/>
      <c r="BL97" s="420"/>
      <c r="BM97" s="420"/>
      <c r="BN97" s="420"/>
      <c r="BO97" s="419"/>
      <c r="BP97" s="428"/>
      <c r="BQ97" s="420"/>
      <c r="BR97" s="423"/>
      <c r="BS97" s="423"/>
      <c r="BT97" s="420"/>
      <c r="BU97" s="420"/>
      <c r="BV97" s="420"/>
      <c r="BW97" s="420"/>
      <c r="BX97" s="429"/>
      <c r="BY97" s="419"/>
      <c r="BZ97" s="419"/>
      <c r="CA97" s="419"/>
      <c r="CB97" s="420"/>
      <c r="CC97" s="430"/>
      <c r="CD97" s="419"/>
      <c r="CE97" s="419"/>
      <c r="CF97" s="419"/>
      <c r="CG97" s="420"/>
      <c r="CH97" s="423"/>
      <c r="CI97" s="431"/>
      <c r="CJ97" s="431"/>
      <c r="CK97" s="431"/>
      <c r="CL97" s="420"/>
      <c r="CM97" s="423"/>
      <c r="CN97" s="420"/>
      <c r="CO97" s="420"/>
      <c r="CP97" s="420"/>
      <c r="CQ97" s="432"/>
      <c r="CR97" s="432"/>
      <c r="CS97" s="420"/>
      <c r="CT97" s="420"/>
      <c r="CU97" s="420"/>
      <c r="CV97" s="420"/>
      <c r="CW97" s="420"/>
      <c r="CX97" s="419"/>
      <c r="CY97" s="419"/>
      <c r="CZ97" s="419"/>
      <c r="DA97" s="419"/>
      <c r="DB97" s="419"/>
      <c r="DC97" s="419">
        <v>19035.310000000001</v>
      </c>
      <c r="DD97" s="420"/>
      <c r="DE97" s="419">
        <v>1142.1199999999999</v>
      </c>
      <c r="DF97" s="420">
        <f t="shared" si="117"/>
        <v>19035.333333333299</v>
      </c>
      <c r="DG97" s="421">
        <f t="shared" si="118"/>
        <v>-2.3333333330811001E-2</v>
      </c>
      <c r="DH97" s="419">
        <v>20102.12</v>
      </c>
      <c r="DI97" s="419"/>
      <c r="DJ97" s="419">
        <v>1206.1300000000001</v>
      </c>
      <c r="DK97" s="420">
        <f t="shared" si="119"/>
        <v>20102.166666666701</v>
      </c>
      <c r="DL97" s="422">
        <f t="shared" si="120"/>
        <v>4.6666666668898002E-2</v>
      </c>
      <c r="DM97" s="420">
        <v>21130.51</v>
      </c>
      <c r="DN97" s="420"/>
      <c r="DO97" s="420">
        <v>1267.83</v>
      </c>
      <c r="DP97" s="420">
        <f t="shared" si="121"/>
        <v>21130.5</v>
      </c>
      <c r="DQ97" s="420">
        <f t="shared" si="122"/>
        <v>-9.9999999983992893E-3</v>
      </c>
      <c r="DR97" s="419">
        <v>18699.080000000002</v>
      </c>
      <c r="DS97" s="419"/>
      <c r="DT97" s="419">
        <v>1121.94</v>
      </c>
      <c r="DU97" s="420">
        <f t="shared" si="123"/>
        <v>18699</v>
      </c>
      <c r="DV97" s="423">
        <f t="shared" si="124"/>
        <v>-8.0000000001746202E-2</v>
      </c>
      <c r="DW97" s="419">
        <v>20026.84</v>
      </c>
      <c r="DX97" s="419"/>
      <c r="DY97" s="419">
        <v>1201.6099999999999</v>
      </c>
      <c r="DZ97" s="420">
        <f t="shared" si="125"/>
        <v>20026.830000000002</v>
      </c>
      <c r="EA97" s="423">
        <f t="shared" si="126"/>
        <v>-0.01</v>
      </c>
      <c r="EB97" s="419"/>
      <c r="EC97" s="419">
        <v>98993.86</v>
      </c>
      <c r="ED97" s="420"/>
      <c r="EE97" s="419"/>
      <c r="EF97" s="420">
        <f t="shared" si="127"/>
        <v>0</v>
      </c>
      <c r="EG97" s="419"/>
      <c r="EH97" s="419"/>
      <c r="EI97" s="419"/>
      <c r="EJ97" s="420">
        <f t="shared" si="128"/>
        <v>0</v>
      </c>
      <c r="EK97" s="420">
        <f t="shared" si="129"/>
        <v>0</v>
      </c>
      <c r="EL97" s="419"/>
      <c r="EM97" s="419"/>
      <c r="EN97" s="419"/>
      <c r="EO97" s="419">
        <f t="shared" si="130"/>
        <v>0</v>
      </c>
      <c r="EP97" s="419">
        <f t="shared" si="131"/>
        <v>0</v>
      </c>
      <c r="EQ97" s="419"/>
      <c r="ER97" s="419"/>
      <c r="ES97" s="419"/>
      <c r="ET97" s="419">
        <f t="shared" si="132"/>
        <v>0</v>
      </c>
      <c r="EU97" s="419">
        <f t="shared" si="133"/>
        <v>0</v>
      </c>
      <c r="EV97" s="419"/>
      <c r="EW97" s="419"/>
      <c r="EX97" s="419"/>
      <c r="EY97" s="419">
        <f t="shared" si="134"/>
        <v>0</v>
      </c>
      <c r="EZ97" s="419">
        <f t="shared" si="154"/>
        <v>0</v>
      </c>
      <c r="FA97" s="420"/>
      <c r="FB97" s="420"/>
      <c r="FC97" s="420"/>
      <c r="FD97" s="420">
        <f t="shared" si="135"/>
        <v>0</v>
      </c>
      <c r="FE97" s="420">
        <f t="shared" si="136"/>
        <v>0</v>
      </c>
      <c r="FF97" s="419"/>
      <c r="FG97" s="419"/>
      <c r="FH97" s="419"/>
      <c r="FI97" s="419">
        <f t="shared" si="137"/>
        <v>0</v>
      </c>
      <c r="FJ97" s="419">
        <f t="shared" si="138"/>
        <v>0</v>
      </c>
      <c r="FK97" s="419"/>
      <c r="FL97" s="419"/>
      <c r="FM97" s="419"/>
      <c r="FN97" s="420">
        <f t="shared" si="139"/>
        <v>0</v>
      </c>
      <c r="FO97" s="423">
        <f t="shared" si="140"/>
        <v>0</v>
      </c>
      <c r="FP97" s="419"/>
      <c r="FQ97" s="419"/>
      <c r="FR97" s="419"/>
      <c r="FS97" s="420">
        <f t="shared" si="141"/>
        <v>0</v>
      </c>
      <c r="FT97" s="420">
        <f t="shared" si="142"/>
        <v>0</v>
      </c>
      <c r="FU97" s="419"/>
      <c r="FV97" s="419"/>
      <c r="FW97" s="419"/>
      <c r="FX97" s="420">
        <f t="shared" si="143"/>
        <v>0</v>
      </c>
      <c r="FY97" s="420">
        <f t="shared" si="144"/>
        <v>0</v>
      </c>
      <c r="FZ97" s="419"/>
      <c r="GA97" s="419"/>
      <c r="GB97" s="419"/>
      <c r="GC97" s="420">
        <f t="shared" si="145"/>
        <v>0</v>
      </c>
      <c r="GD97" s="420">
        <f t="shared" si="146"/>
        <v>0</v>
      </c>
      <c r="GE97" s="419"/>
      <c r="GF97" s="419"/>
      <c r="GG97" s="419"/>
      <c r="GH97" s="420">
        <f t="shared" si="147"/>
        <v>0</v>
      </c>
      <c r="GI97" s="423">
        <f t="shared" si="148"/>
        <v>0</v>
      </c>
      <c r="GJ97" s="419"/>
      <c r="GK97" s="419"/>
      <c r="GL97" s="419"/>
      <c r="GM97" s="420">
        <f t="shared" si="149"/>
        <v>0</v>
      </c>
      <c r="GN97" s="420">
        <f t="shared" si="150"/>
        <v>0</v>
      </c>
      <c r="GO97" s="419"/>
      <c r="GP97" s="419"/>
      <c r="GQ97" s="419"/>
      <c r="GR97" s="420">
        <f t="shared" si="155"/>
        <v>0</v>
      </c>
      <c r="GS97" s="423">
        <f t="shared" si="151"/>
        <v>0</v>
      </c>
      <c r="GT97" s="419"/>
      <c r="GU97" s="419"/>
      <c r="GV97" s="419"/>
      <c r="GW97" s="420">
        <f t="shared" si="152"/>
        <v>0</v>
      </c>
      <c r="GX97" s="420">
        <f t="shared" si="153"/>
        <v>0</v>
      </c>
    </row>
    <row r="98" spans="1:206" ht="15">
      <c r="A98" s="414"/>
      <c r="B98" s="415" t="s">
        <v>530</v>
      </c>
      <c r="C98" s="698"/>
      <c r="D98" s="704" t="s">
        <v>533</v>
      </c>
      <c r="E98" s="434" t="s">
        <v>123</v>
      </c>
      <c r="F98" s="417">
        <v>0.13</v>
      </c>
      <c r="G98" s="418">
        <f t="shared" si="85"/>
        <v>22460228.43</v>
      </c>
      <c r="H98" s="418">
        <f t="shared" si="86"/>
        <v>22460228.620000001</v>
      </c>
      <c r="I98" s="418">
        <f t="shared" si="86"/>
        <v>2919829.6998999999</v>
      </c>
      <c r="J98" s="418">
        <f t="shared" si="87"/>
        <v>22460228.460769199</v>
      </c>
      <c r="K98" s="418">
        <f t="shared" si="83"/>
        <v>-0.159230772405863</v>
      </c>
      <c r="L98" s="418">
        <f t="shared" si="84"/>
        <v>3.0769228935241699E-2</v>
      </c>
      <c r="M98" s="424"/>
      <c r="N98" s="424"/>
      <c r="O98" s="424"/>
      <c r="P98" s="424"/>
      <c r="Q98" s="419"/>
      <c r="R98" s="419"/>
      <c r="S98" s="419"/>
      <c r="T98" s="420"/>
      <c r="U98" s="423"/>
      <c r="V98" s="420"/>
      <c r="W98" s="420"/>
      <c r="X98" s="419"/>
      <c r="Y98" s="419"/>
      <c r="Z98" s="423"/>
      <c r="AA98" s="423"/>
      <c r="AB98" s="419"/>
      <c r="AC98" s="423"/>
      <c r="AD98" s="420"/>
      <c r="AE98" s="423"/>
      <c r="AF98" s="444"/>
      <c r="AG98" s="419"/>
      <c r="AH98" s="420"/>
      <c r="AI98" s="420"/>
      <c r="AJ98" s="423"/>
      <c r="AK98" s="444"/>
      <c r="AL98" s="420"/>
      <c r="AM98" s="420"/>
      <c r="AN98" s="420"/>
      <c r="AO98" s="423"/>
      <c r="AP98" s="420"/>
      <c r="AQ98" s="419"/>
      <c r="AR98" s="420"/>
      <c r="AS98" s="420"/>
      <c r="AT98" s="420"/>
      <c r="AU98" s="420"/>
      <c r="AV98" s="420"/>
      <c r="AW98" s="420"/>
      <c r="AX98" s="426"/>
      <c r="AY98" s="420"/>
      <c r="AZ98" s="420"/>
      <c r="BA98" s="420"/>
      <c r="BB98" s="419"/>
      <c r="BC98" s="420"/>
      <c r="BD98" s="427"/>
      <c r="BE98" s="420"/>
      <c r="BF98" s="420"/>
      <c r="BG98" s="420"/>
      <c r="BH98" s="423"/>
      <c r="BI98" s="420"/>
      <c r="BJ98" s="420"/>
      <c r="BK98" s="420"/>
      <c r="BL98" s="420"/>
      <c r="BM98" s="420"/>
      <c r="BN98" s="420"/>
      <c r="BO98" s="419"/>
      <c r="BP98" s="428"/>
      <c r="BQ98" s="420"/>
      <c r="BR98" s="423"/>
      <c r="BS98" s="423"/>
      <c r="BT98" s="420"/>
      <c r="BU98" s="420"/>
      <c r="BV98" s="420"/>
      <c r="BW98" s="420"/>
      <c r="BX98" s="429"/>
      <c r="BY98" s="419"/>
      <c r="BZ98" s="419"/>
      <c r="CA98" s="419"/>
      <c r="CB98" s="420"/>
      <c r="CC98" s="430"/>
      <c r="CD98" s="419"/>
      <c r="CE98" s="419"/>
      <c r="CF98" s="419"/>
      <c r="CG98" s="420"/>
      <c r="CH98" s="423"/>
      <c r="CI98" s="431"/>
      <c r="CJ98" s="431"/>
      <c r="CK98" s="431"/>
      <c r="CL98" s="420"/>
      <c r="CM98" s="423"/>
      <c r="CN98" s="420"/>
      <c r="CO98" s="420"/>
      <c r="CP98" s="420"/>
      <c r="CQ98" s="432"/>
      <c r="CR98" s="432"/>
      <c r="CS98" s="420"/>
      <c r="CT98" s="420"/>
      <c r="CU98" s="420"/>
      <c r="CV98" s="420"/>
      <c r="CW98" s="420"/>
      <c r="CX98" s="419"/>
      <c r="CY98" s="419"/>
      <c r="CZ98" s="419"/>
      <c r="DA98" s="419"/>
      <c r="DB98" s="419"/>
      <c r="DC98" s="419"/>
      <c r="DD98" s="420"/>
      <c r="DE98" s="419"/>
      <c r="DF98" s="420">
        <f t="shared" si="117"/>
        <v>0</v>
      </c>
      <c r="DG98" s="421">
        <f t="shared" si="118"/>
        <v>0</v>
      </c>
      <c r="DH98" s="419"/>
      <c r="DI98" s="419"/>
      <c r="DJ98" s="419"/>
      <c r="DK98" s="420">
        <f t="shared" si="119"/>
        <v>0</v>
      </c>
      <c r="DL98" s="422">
        <f t="shared" si="120"/>
        <v>0</v>
      </c>
      <c r="DM98" s="420"/>
      <c r="DN98" s="420"/>
      <c r="DO98" s="420"/>
      <c r="DP98" s="420">
        <f t="shared" si="121"/>
        <v>0</v>
      </c>
      <c r="DQ98" s="420">
        <f t="shared" si="122"/>
        <v>0</v>
      </c>
      <c r="DR98" s="419">
        <v>447883.98</v>
      </c>
      <c r="DS98" s="419"/>
      <c r="DT98" s="419">
        <v>58224.92</v>
      </c>
      <c r="DU98" s="420">
        <f t="shared" si="123"/>
        <v>447884</v>
      </c>
      <c r="DV98" s="423">
        <f t="shared" si="124"/>
        <v>2.00000000186265E-2</v>
      </c>
      <c r="DW98" s="419">
        <v>3845136.22</v>
      </c>
      <c r="DX98" s="419"/>
      <c r="DY98" s="419">
        <v>499867.71</v>
      </c>
      <c r="DZ98" s="420">
        <f t="shared" si="125"/>
        <v>3845136.23</v>
      </c>
      <c r="EA98" s="423">
        <f t="shared" si="126"/>
        <v>0.01</v>
      </c>
      <c r="EB98" s="419">
        <v>18167208.23</v>
      </c>
      <c r="EC98" s="420">
        <v>22460228.620000001</v>
      </c>
      <c r="ED98" s="420">
        <v>2361737.0699</v>
      </c>
      <c r="EE98" s="419">
        <v>18167208.23</v>
      </c>
      <c r="EF98" s="420">
        <f t="shared" si="127"/>
        <v>0</v>
      </c>
      <c r="EG98" s="419"/>
      <c r="EH98" s="419"/>
      <c r="EI98" s="419"/>
      <c r="EJ98" s="420">
        <f t="shared" si="128"/>
        <v>0</v>
      </c>
      <c r="EK98" s="420">
        <f t="shared" si="129"/>
        <v>0</v>
      </c>
      <c r="EL98" s="419"/>
      <c r="EM98" s="419"/>
      <c r="EN98" s="419"/>
      <c r="EO98" s="419">
        <f t="shared" si="130"/>
        <v>0</v>
      </c>
      <c r="EP98" s="419">
        <f t="shared" si="131"/>
        <v>0</v>
      </c>
      <c r="EQ98" s="419"/>
      <c r="ER98" s="419"/>
      <c r="ES98" s="419"/>
      <c r="ET98" s="419">
        <f t="shared" si="132"/>
        <v>0</v>
      </c>
      <c r="EU98" s="419">
        <f t="shared" si="133"/>
        <v>0</v>
      </c>
      <c r="EV98" s="419"/>
      <c r="EW98" s="419"/>
      <c r="EX98" s="419"/>
      <c r="EY98" s="419">
        <f t="shared" si="134"/>
        <v>0</v>
      </c>
      <c r="EZ98" s="419">
        <f t="shared" si="154"/>
        <v>0</v>
      </c>
      <c r="FA98" s="420"/>
      <c r="FB98" s="420"/>
      <c r="FC98" s="420"/>
      <c r="FD98" s="420">
        <f t="shared" si="135"/>
        <v>0</v>
      </c>
      <c r="FE98" s="420">
        <f t="shared" si="136"/>
        <v>0</v>
      </c>
      <c r="FF98" s="419"/>
      <c r="FG98" s="419"/>
      <c r="FH98" s="419"/>
      <c r="FI98" s="419">
        <f t="shared" si="137"/>
        <v>0</v>
      </c>
      <c r="FJ98" s="419">
        <f t="shared" si="138"/>
        <v>0</v>
      </c>
      <c r="FK98" s="419"/>
      <c r="FL98" s="419"/>
      <c r="FM98" s="419"/>
      <c r="FN98" s="420">
        <f t="shared" si="139"/>
        <v>0</v>
      </c>
      <c r="FO98" s="423">
        <f t="shared" si="140"/>
        <v>0</v>
      </c>
      <c r="FP98" s="419"/>
      <c r="FQ98" s="419"/>
      <c r="FR98" s="419"/>
      <c r="FS98" s="420">
        <f t="shared" si="141"/>
        <v>0</v>
      </c>
      <c r="FT98" s="420">
        <f t="shared" si="142"/>
        <v>0</v>
      </c>
      <c r="FU98" s="419"/>
      <c r="FV98" s="419"/>
      <c r="FW98" s="419"/>
      <c r="FX98" s="420">
        <f t="shared" si="143"/>
        <v>0</v>
      </c>
      <c r="FY98" s="420">
        <f t="shared" si="144"/>
        <v>0</v>
      </c>
      <c r="FZ98" s="419"/>
      <c r="GA98" s="419"/>
      <c r="GB98" s="419"/>
      <c r="GC98" s="420">
        <f t="shared" si="145"/>
        <v>0</v>
      </c>
      <c r="GD98" s="420">
        <f t="shared" si="146"/>
        <v>0</v>
      </c>
      <c r="GE98" s="419"/>
      <c r="GF98" s="419"/>
      <c r="GG98" s="419"/>
      <c r="GH98" s="420">
        <f t="shared" si="147"/>
        <v>0</v>
      </c>
      <c r="GI98" s="423">
        <f t="shared" si="148"/>
        <v>0</v>
      </c>
      <c r="GJ98" s="419"/>
      <c r="GK98" s="419"/>
      <c r="GL98" s="419"/>
      <c r="GM98" s="420">
        <f t="shared" si="149"/>
        <v>0</v>
      </c>
      <c r="GN98" s="420">
        <f t="shared" si="150"/>
        <v>0</v>
      </c>
      <c r="GO98" s="419"/>
      <c r="GP98" s="419"/>
      <c r="GQ98" s="419"/>
      <c r="GR98" s="420">
        <f t="shared" si="155"/>
        <v>0</v>
      </c>
      <c r="GS98" s="423">
        <f t="shared" si="151"/>
        <v>0</v>
      </c>
      <c r="GT98" s="419"/>
      <c r="GU98" s="419"/>
      <c r="GV98" s="419"/>
      <c r="GW98" s="420">
        <f t="shared" si="152"/>
        <v>0</v>
      </c>
      <c r="GX98" s="420">
        <f t="shared" si="153"/>
        <v>0</v>
      </c>
    </row>
    <row r="99" spans="1:206" ht="15">
      <c r="A99" s="414"/>
      <c r="B99" s="415" t="s">
        <v>530</v>
      </c>
      <c r="C99" s="698"/>
      <c r="D99" s="706"/>
      <c r="E99" s="434" t="s">
        <v>124</v>
      </c>
      <c r="F99" s="417">
        <v>0.09</v>
      </c>
      <c r="G99" s="418">
        <f t="shared" si="85"/>
        <v>23012050.48</v>
      </c>
      <c r="H99" s="418">
        <f t="shared" si="86"/>
        <v>23012050.300000001</v>
      </c>
      <c r="I99" s="418">
        <f t="shared" si="86"/>
        <v>2071084.5432</v>
      </c>
      <c r="J99" s="418">
        <f t="shared" si="87"/>
        <v>23012050.48</v>
      </c>
      <c r="K99" s="418">
        <f t="shared" si="83"/>
        <v>0.179999999701977</v>
      </c>
      <c r="L99" s="418">
        <f t="shared" si="84"/>
        <v>0</v>
      </c>
      <c r="M99" s="424"/>
      <c r="N99" s="424"/>
      <c r="O99" s="424"/>
      <c r="P99" s="424"/>
      <c r="Q99" s="419"/>
      <c r="R99" s="419"/>
      <c r="S99" s="419"/>
      <c r="T99" s="420"/>
      <c r="U99" s="423"/>
      <c r="V99" s="420"/>
      <c r="W99" s="420"/>
      <c r="X99" s="419"/>
      <c r="Y99" s="419"/>
      <c r="Z99" s="423"/>
      <c r="AA99" s="423"/>
      <c r="AB99" s="419"/>
      <c r="AC99" s="423"/>
      <c r="AD99" s="420"/>
      <c r="AE99" s="423"/>
      <c r="AF99" s="444"/>
      <c r="AG99" s="419"/>
      <c r="AH99" s="420"/>
      <c r="AI99" s="420"/>
      <c r="AJ99" s="423"/>
      <c r="AK99" s="444"/>
      <c r="AL99" s="420"/>
      <c r="AM99" s="420"/>
      <c r="AN99" s="420"/>
      <c r="AO99" s="423"/>
      <c r="AP99" s="420"/>
      <c r="AQ99" s="419"/>
      <c r="AR99" s="420"/>
      <c r="AS99" s="420"/>
      <c r="AT99" s="420"/>
      <c r="AU99" s="420"/>
      <c r="AV99" s="420"/>
      <c r="AW99" s="420"/>
      <c r="AX99" s="426"/>
      <c r="AY99" s="420"/>
      <c r="AZ99" s="420"/>
      <c r="BA99" s="420"/>
      <c r="BB99" s="419"/>
      <c r="BC99" s="420"/>
      <c r="BD99" s="427"/>
      <c r="BE99" s="420"/>
      <c r="BF99" s="420"/>
      <c r="BG99" s="420"/>
      <c r="BH99" s="423"/>
      <c r="BI99" s="420"/>
      <c r="BJ99" s="420"/>
      <c r="BK99" s="420"/>
      <c r="BL99" s="420"/>
      <c r="BM99" s="420"/>
      <c r="BN99" s="420"/>
      <c r="BO99" s="419"/>
      <c r="BP99" s="428"/>
      <c r="BQ99" s="420"/>
      <c r="BR99" s="423"/>
      <c r="BS99" s="423"/>
      <c r="BT99" s="420"/>
      <c r="BU99" s="420"/>
      <c r="BV99" s="420"/>
      <c r="BW99" s="420"/>
      <c r="BX99" s="429"/>
      <c r="BY99" s="419"/>
      <c r="BZ99" s="419"/>
      <c r="CA99" s="419"/>
      <c r="CB99" s="420"/>
      <c r="CC99" s="430"/>
      <c r="CD99" s="419"/>
      <c r="CE99" s="419"/>
      <c r="CF99" s="419"/>
      <c r="CG99" s="420"/>
      <c r="CH99" s="423"/>
      <c r="CI99" s="431"/>
      <c r="CJ99" s="431"/>
      <c r="CK99" s="431"/>
      <c r="CL99" s="420"/>
      <c r="CM99" s="423"/>
      <c r="CN99" s="420"/>
      <c r="CO99" s="420"/>
      <c r="CP99" s="420"/>
      <c r="CQ99" s="432"/>
      <c r="CR99" s="432"/>
      <c r="CS99" s="420"/>
      <c r="CT99" s="420"/>
      <c r="CU99" s="420"/>
      <c r="CV99" s="420"/>
      <c r="CW99" s="420"/>
      <c r="CX99" s="419"/>
      <c r="CY99" s="419"/>
      <c r="CZ99" s="419"/>
      <c r="DA99" s="419"/>
      <c r="DB99" s="419"/>
      <c r="DC99" s="419"/>
      <c r="DD99" s="420"/>
      <c r="DE99" s="419"/>
      <c r="DF99" s="420">
        <f t="shared" si="117"/>
        <v>0</v>
      </c>
      <c r="DG99" s="421">
        <f t="shared" si="118"/>
        <v>0</v>
      </c>
      <c r="DH99" s="419"/>
      <c r="DI99" s="419"/>
      <c r="DJ99" s="419"/>
      <c r="DK99" s="420">
        <f t="shared" si="119"/>
        <v>0</v>
      </c>
      <c r="DL99" s="422">
        <f t="shared" si="120"/>
        <v>0</v>
      </c>
      <c r="DM99" s="420"/>
      <c r="DN99" s="420"/>
      <c r="DO99" s="420"/>
      <c r="DP99" s="420">
        <f t="shared" si="121"/>
        <v>0</v>
      </c>
      <c r="DQ99" s="420">
        <f t="shared" si="122"/>
        <v>0</v>
      </c>
      <c r="DR99" s="419"/>
      <c r="DS99" s="419"/>
      <c r="DT99" s="419"/>
      <c r="DU99" s="420">
        <f t="shared" si="123"/>
        <v>0</v>
      </c>
      <c r="DV99" s="423">
        <f t="shared" si="124"/>
        <v>0</v>
      </c>
      <c r="DW99" s="419"/>
      <c r="DX99" s="419"/>
      <c r="DY99" s="419"/>
      <c r="DZ99" s="420">
        <f t="shared" si="125"/>
        <v>0</v>
      </c>
      <c r="EA99" s="423">
        <f t="shared" si="126"/>
        <v>0</v>
      </c>
      <c r="EB99" s="420">
        <v>23012050.48</v>
      </c>
      <c r="EC99" s="420">
        <v>23012050.300000001</v>
      </c>
      <c r="ED99" s="420">
        <v>2071084.5432</v>
      </c>
      <c r="EE99" s="419">
        <v>23012050.48</v>
      </c>
      <c r="EF99" s="420">
        <f t="shared" si="127"/>
        <v>0</v>
      </c>
      <c r="EG99" s="419"/>
      <c r="EH99" s="419"/>
      <c r="EI99" s="419"/>
      <c r="EJ99" s="420">
        <f t="shared" si="128"/>
        <v>0</v>
      </c>
      <c r="EK99" s="420">
        <f t="shared" si="129"/>
        <v>0</v>
      </c>
      <c r="EL99" s="419"/>
      <c r="EM99" s="419"/>
      <c r="EN99" s="419"/>
      <c r="EO99" s="419">
        <f t="shared" si="130"/>
        <v>0</v>
      </c>
      <c r="EP99" s="419">
        <f t="shared" si="131"/>
        <v>0</v>
      </c>
      <c r="EQ99" s="419"/>
      <c r="ER99" s="419"/>
      <c r="ES99" s="419"/>
      <c r="ET99" s="419">
        <f t="shared" si="132"/>
        <v>0</v>
      </c>
      <c r="EU99" s="419">
        <f t="shared" si="133"/>
        <v>0</v>
      </c>
      <c r="EV99" s="456"/>
      <c r="EW99" s="420"/>
      <c r="EX99" s="456"/>
      <c r="EY99" s="420">
        <f t="shared" si="134"/>
        <v>0</v>
      </c>
      <c r="EZ99" s="419">
        <f t="shared" si="154"/>
        <v>0</v>
      </c>
      <c r="FA99" s="420"/>
      <c r="FB99" s="420"/>
      <c r="FC99" s="420"/>
      <c r="FD99" s="420">
        <f t="shared" si="135"/>
        <v>0</v>
      </c>
      <c r="FE99" s="420">
        <f t="shared" si="136"/>
        <v>0</v>
      </c>
      <c r="FF99" s="419"/>
      <c r="FG99" s="419"/>
      <c r="FH99" s="419"/>
      <c r="FI99" s="419">
        <f t="shared" si="137"/>
        <v>0</v>
      </c>
      <c r="FJ99" s="419">
        <f t="shared" si="138"/>
        <v>0</v>
      </c>
      <c r="FK99" s="419"/>
      <c r="FL99" s="419"/>
      <c r="FM99" s="419"/>
      <c r="FN99" s="420">
        <f t="shared" si="139"/>
        <v>0</v>
      </c>
      <c r="FO99" s="423">
        <f t="shared" si="140"/>
        <v>0</v>
      </c>
      <c r="FP99" s="419"/>
      <c r="FQ99" s="419"/>
      <c r="FR99" s="419"/>
      <c r="FS99" s="420">
        <f t="shared" si="141"/>
        <v>0</v>
      </c>
      <c r="FT99" s="420">
        <f t="shared" si="142"/>
        <v>0</v>
      </c>
      <c r="FU99" s="419"/>
      <c r="FV99" s="419"/>
      <c r="FW99" s="419"/>
      <c r="FX99" s="420">
        <f t="shared" si="143"/>
        <v>0</v>
      </c>
      <c r="FY99" s="420">
        <f t="shared" si="144"/>
        <v>0</v>
      </c>
      <c r="FZ99" s="419"/>
      <c r="GA99" s="419"/>
      <c r="GB99" s="419"/>
      <c r="GC99" s="420">
        <f t="shared" si="145"/>
        <v>0</v>
      </c>
      <c r="GD99" s="420">
        <f t="shared" si="146"/>
        <v>0</v>
      </c>
      <c r="GE99" s="419"/>
      <c r="GF99" s="419"/>
      <c r="GG99" s="419"/>
      <c r="GH99" s="420">
        <f t="shared" si="147"/>
        <v>0</v>
      </c>
      <c r="GI99" s="423">
        <f t="shared" si="148"/>
        <v>0</v>
      </c>
      <c r="GJ99" s="419"/>
      <c r="GK99" s="419"/>
      <c r="GL99" s="419"/>
      <c r="GM99" s="420">
        <f t="shared" si="149"/>
        <v>0</v>
      </c>
      <c r="GN99" s="420">
        <f t="shared" si="150"/>
        <v>0</v>
      </c>
      <c r="GO99" s="419"/>
      <c r="GP99" s="419"/>
      <c r="GQ99" s="419"/>
      <c r="GR99" s="420">
        <f t="shared" si="155"/>
        <v>0</v>
      </c>
      <c r="GS99" s="423">
        <f t="shared" si="151"/>
        <v>0</v>
      </c>
      <c r="GT99" s="419"/>
      <c r="GU99" s="419"/>
      <c r="GV99" s="419"/>
      <c r="GW99" s="420">
        <f t="shared" si="152"/>
        <v>0</v>
      </c>
      <c r="GX99" s="420">
        <f t="shared" si="153"/>
        <v>0</v>
      </c>
    </row>
    <row r="100" spans="1:206" ht="15">
      <c r="A100" s="414"/>
      <c r="B100" s="415" t="s">
        <v>530</v>
      </c>
      <c r="C100" s="698"/>
      <c r="D100" s="707"/>
      <c r="E100" s="434" t="s">
        <v>125</v>
      </c>
      <c r="F100" s="417">
        <v>0.06</v>
      </c>
      <c r="G100" s="418">
        <f t="shared" si="85"/>
        <v>4458242.25</v>
      </c>
      <c r="H100" s="418">
        <f t="shared" si="86"/>
        <v>4458242.25</v>
      </c>
      <c r="I100" s="418">
        <f t="shared" si="86"/>
        <v>267494.54379999998</v>
      </c>
      <c r="J100" s="418">
        <f t="shared" si="87"/>
        <v>4458242.3966666702</v>
      </c>
      <c r="K100" s="418">
        <f t="shared" si="83"/>
        <v>0.14666666649282001</v>
      </c>
      <c r="L100" s="418">
        <f t="shared" si="84"/>
        <v>0.14666666649282001</v>
      </c>
      <c r="M100" s="424"/>
      <c r="N100" s="424"/>
      <c r="O100" s="424"/>
      <c r="P100" s="424"/>
      <c r="Q100" s="419"/>
      <c r="R100" s="419"/>
      <c r="S100" s="419"/>
      <c r="T100" s="420"/>
      <c r="U100" s="423"/>
      <c r="V100" s="420"/>
      <c r="W100" s="420"/>
      <c r="X100" s="419"/>
      <c r="Y100" s="419"/>
      <c r="Z100" s="423"/>
      <c r="AA100" s="423"/>
      <c r="AB100" s="419"/>
      <c r="AC100" s="423"/>
      <c r="AD100" s="420"/>
      <c r="AE100" s="423"/>
      <c r="AF100" s="444"/>
      <c r="AG100" s="419"/>
      <c r="AH100" s="420"/>
      <c r="AI100" s="420"/>
      <c r="AJ100" s="423"/>
      <c r="AK100" s="444"/>
      <c r="AL100" s="420"/>
      <c r="AM100" s="420"/>
      <c r="AN100" s="420"/>
      <c r="AO100" s="423"/>
      <c r="AP100" s="420"/>
      <c r="AQ100" s="419"/>
      <c r="AR100" s="420"/>
      <c r="AS100" s="420"/>
      <c r="AT100" s="420"/>
      <c r="AU100" s="420"/>
      <c r="AV100" s="420"/>
      <c r="AW100" s="420"/>
      <c r="AX100" s="426"/>
      <c r="AY100" s="420"/>
      <c r="AZ100" s="420"/>
      <c r="BA100" s="420"/>
      <c r="BB100" s="419"/>
      <c r="BC100" s="420"/>
      <c r="BD100" s="427"/>
      <c r="BE100" s="420"/>
      <c r="BF100" s="420"/>
      <c r="BG100" s="420"/>
      <c r="BH100" s="423"/>
      <c r="BI100" s="420"/>
      <c r="BJ100" s="420"/>
      <c r="BK100" s="420"/>
      <c r="BL100" s="420"/>
      <c r="BM100" s="420"/>
      <c r="BN100" s="420"/>
      <c r="BO100" s="419"/>
      <c r="BP100" s="428"/>
      <c r="BQ100" s="420"/>
      <c r="BR100" s="423"/>
      <c r="BS100" s="423"/>
      <c r="BT100" s="420"/>
      <c r="BU100" s="420"/>
      <c r="BV100" s="420"/>
      <c r="BW100" s="420"/>
      <c r="BX100" s="429"/>
      <c r="BY100" s="419"/>
      <c r="BZ100" s="419"/>
      <c r="CA100" s="419"/>
      <c r="CB100" s="420"/>
      <c r="CC100" s="430"/>
      <c r="CD100" s="419"/>
      <c r="CE100" s="419"/>
      <c r="CF100" s="419"/>
      <c r="CG100" s="420"/>
      <c r="CH100" s="423"/>
      <c r="CI100" s="431"/>
      <c r="CJ100" s="431"/>
      <c r="CK100" s="431"/>
      <c r="CL100" s="420"/>
      <c r="CM100" s="423"/>
      <c r="CN100" s="420"/>
      <c r="CO100" s="420"/>
      <c r="CP100" s="420"/>
      <c r="CQ100" s="432"/>
      <c r="CR100" s="432"/>
      <c r="CS100" s="420"/>
      <c r="CT100" s="420"/>
      <c r="CU100" s="420"/>
      <c r="CV100" s="420"/>
      <c r="CW100" s="420"/>
      <c r="CX100" s="419"/>
      <c r="CY100" s="419"/>
      <c r="CZ100" s="419"/>
      <c r="DA100" s="419"/>
      <c r="DB100" s="419"/>
      <c r="DC100" s="419">
        <v>37273.22</v>
      </c>
      <c r="DD100" s="420"/>
      <c r="DE100" s="419">
        <v>2236.4</v>
      </c>
      <c r="DF100" s="420">
        <f t="shared" si="117"/>
        <v>37273.333333333299</v>
      </c>
      <c r="DG100" s="421">
        <f t="shared" si="118"/>
        <v>-0.113333333334594</v>
      </c>
      <c r="DH100" s="419">
        <v>27626.51</v>
      </c>
      <c r="DI100" s="419"/>
      <c r="DJ100" s="419">
        <v>1657.59</v>
      </c>
      <c r="DK100" s="420">
        <f t="shared" si="119"/>
        <v>27626.5</v>
      </c>
      <c r="DL100" s="422">
        <f t="shared" si="120"/>
        <v>-9.9999999983992893E-3</v>
      </c>
      <c r="DM100" s="420">
        <v>98019.32</v>
      </c>
      <c r="DN100" s="420"/>
      <c r="DO100" s="420">
        <v>5881.16</v>
      </c>
      <c r="DP100" s="420">
        <f t="shared" si="121"/>
        <v>98019.333333333299</v>
      </c>
      <c r="DQ100" s="420">
        <f t="shared" si="122"/>
        <v>1.33333333214978E-2</v>
      </c>
      <c r="DR100" s="419">
        <v>13356.73</v>
      </c>
      <c r="DS100" s="419"/>
      <c r="DT100" s="419">
        <v>801.4</v>
      </c>
      <c r="DU100" s="420">
        <f t="shared" si="123"/>
        <v>13356.666666666701</v>
      </c>
      <c r="DV100" s="423">
        <f t="shared" si="124"/>
        <v>-6.3333333333503106E-2</v>
      </c>
      <c r="DW100" s="419">
        <v>161514.23999999999</v>
      </c>
      <c r="DX100" s="419"/>
      <c r="DY100" s="419">
        <v>9690.86</v>
      </c>
      <c r="DZ100" s="420">
        <f t="shared" si="125"/>
        <v>161514.32999999999</v>
      </c>
      <c r="EA100" s="423">
        <f t="shared" si="126"/>
        <v>0.09</v>
      </c>
      <c r="EB100" s="419">
        <v>4120452.23</v>
      </c>
      <c r="EC100" s="419">
        <v>4458242.25</v>
      </c>
      <c r="ED100" s="420">
        <v>247227.13380000001</v>
      </c>
      <c r="EE100" s="419">
        <v>4120452.23</v>
      </c>
      <c r="EF100" s="420">
        <f t="shared" si="127"/>
        <v>0</v>
      </c>
      <c r="EG100" s="419"/>
      <c r="EH100" s="419"/>
      <c r="EI100" s="419"/>
      <c r="EJ100" s="420">
        <f t="shared" si="128"/>
        <v>0</v>
      </c>
      <c r="EK100" s="420">
        <f t="shared" si="129"/>
        <v>0</v>
      </c>
      <c r="EL100" s="419"/>
      <c r="EM100" s="419"/>
      <c r="EN100" s="419"/>
      <c r="EO100" s="419">
        <f t="shared" si="130"/>
        <v>0</v>
      </c>
      <c r="EP100" s="419">
        <f t="shared" si="131"/>
        <v>0</v>
      </c>
      <c r="EQ100" s="419"/>
      <c r="ER100" s="419"/>
      <c r="ES100" s="419"/>
      <c r="ET100" s="419">
        <f t="shared" si="132"/>
        <v>0</v>
      </c>
      <c r="EU100" s="419">
        <f t="shared" si="133"/>
        <v>0</v>
      </c>
      <c r="EV100" s="419"/>
      <c r="EW100" s="419"/>
      <c r="EX100" s="419"/>
      <c r="EY100" s="419">
        <f t="shared" si="134"/>
        <v>0</v>
      </c>
      <c r="EZ100" s="419">
        <f t="shared" si="154"/>
        <v>0</v>
      </c>
      <c r="FA100" s="420"/>
      <c r="FB100" s="420"/>
      <c r="FC100" s="420"/>
      <c r="FD100" s="420">
        <f t="shared" si="135"/>
        <v>0</v>
      </c>
      <c r="FE100" s="420">
        <f t="shared" si="136"/>
        <v>0</v>
      </c>
      <c r="FF100" s="419"/>
      <c r="FG100" s="419"/>
      <c r="FH100" s="419"/>
      <c r="FI100" s="419">
        <f t="shared" si="137"/>
        <v>0</v>
      </c>
      <c r="FJ100" s="419">
        <f t="shared" si="138"/>
        <v>0</v>
      </c>
      <c r="FK100" s="419"/>
      <c r="FL100" s="419"/>
      <c r="FM100" s="419"/>
      <c r="FN100" s="420">
        <f t="shared" si="139"/>
        <v>0</v>
      </c>
      <c r="FO100" s="423">
        <f t="shared" si="140"/>
        <v>0</v>
      </c>
      <c r="FP100" s="419"/>
      <c r="FQ100" s="419"/>
      <c r="FR100" s="419"/>
      <c r="FS100" s="420">
        <f t="shared" si="141"/>
        <v>0</v>
      </c>
      <c r="FT100" s="420">
        <f t="shared" si="142"/>
        <v>0</v>
      </c>
      <c r="FU100" s="419"/>
      <c r="FV100" s="419"/>
      <c r="FW100" s="419"/>
      <c r="FX100" s="420">
        <f t="shared" si="143"/>
        <v>0</v>
      </c>
      <c r="FY100" s="420">
        <f t="shared" si="144"/>
        <v>0</v>
      </c>
      <c r="FZ100" s="419"/>
      <c r="GA100" s="419"/>
      <c r="GB100" s="419"/>
      <c r="GC100" s="420">
        <f t="shared" si="145"/>
        <v>0</v>
      </c>
      <c r="GD100" s="420">
        <f t="shared" si="146"/>
        <v>0</v>
      </c>
      <c r="GE100" s="419"/>
      <c r="GF100" s="419"/>
      <c r="GG100" s="419"/>
      <c r="GH100" s="420">
        <f t="shared" si="147"/>
        <v>0</v>
      </c>
      <c r="GI100" s="423">
        <f t="shared" si="148"/>
        <v>0</v>
      </c>
      <c r="GJ100" s="419"/>
      <c r="GK100" s="419"/>
      <c r="GL100" s="419"/>
      <c r="GM100" s="420">
        <f t="shared" si="149"/>
        <v>0</v>
      </c>
      <c r="GN100" s="420">
        <f t="shared" si="150"/>
        <v>0</v>
      </c>
      <c r="GO100" s="419"/>
      <c r="GP100" s="419"/>
      <c r="GQ100" s="419"/>
      <c r="GR100" s="420">
        <f t="shared" si="155"/>
        <v>0</v>
      </c>
      <c r="GS100" s="423">
        <f t="shared" si="151"/>
        <v>0</v>
      </c>
      <c r="GT100" s="419"/>
      <c r="GU100" s="419"/>
      <c r="GV100" s="419"/>
      <c r="GW100" s="420">
        <f t="shared" si="152"/>
        <v>0</v>
      </c>
      <c r="GX100" s="420">
        <f t="shared" si="153"/>
        <v>0</v>
      </c>
    </row>
    <row r="101" spans="1:206" ht="15">
      <c r="A101" s="414"/>
      <c r="B101" s="415" t="s">
        <v>534</v>
      </c>
      <c r="C101" s="698"/>
      <c r="D101" s="704" t="s">
        <v>535</v>
      </c>
      <c r="E101" s="434" t="s">
        <v>123</v>
      </c>
      <c r="F101" s="417">
        <v>0.13</v>
      </c>
      <c r="G101" s="418">
        <f t="shared" si="85"/>
        <v>234993032.11000001</v>
      </c>
      <c r="H101" s="418">
        <f t="shared" si="86"/>
        <v>231895873.56</v>
      </c>
      <c r="I101" s="418">
        <f t="shared" si="86"/>
        <v>30549094.18</v>
      </c>
      <c r="J101" s="418">
        <f t="shared" si="87"/>
        <v>234993032.153846</v>
      </c>
      <c r="K101" s="418">
        <f t="shared" si="83"/>
        <v>3097158.5938461102</v>
      </c>
      <c r="L101" s="418">
        <f t="shared" si="84"/>
        <v>4.3846130371093799E-2</v>
      </c>
      <c r="M101" s="424"/>
      <c r="N101" s="424"/>
      <c r="O101" s="424"/>
      <c r="P101" s="424"/>
      <c r="Q101" s="419"/>
      <c r="R101" s="419"/>
      <c r="S101" s="419"/>
      <c r="T101" s="420"/>
      <c r="U101" s="423"/>
      <c r="V101" s="420"/>
      <c r="W101" s="420"/>
      <c r="X101" s="419"/>
      <c r="Y101" s="419"/>
      <c r="Z101" s="423"/>
      <c r="AA101" s="423"/>
      <c r="AB101" s="419"/>
      <c r="AC101" s="423"/>
      <c r="AD101" s="420"/>
      <c r="AE101" s="423"/>
      <c r="AF101" s="444"/>
      <c r="AG101" s="419"/>
      <c r="AH101" s="420"/>
      <c r="AI101" s="420"/>
      <c r="AJ101" s="423"/>
      <c r="AK101" s="444"/>
      <c r="AL101" s="420"/>
      <c r="AM101" s="420"/>
      <c r="AN101" s="420"/>
      <c r="AO101" s="423"/>
      <c r="AP101" s="420"/>
      <c r="AQ101" s="419"/>
      <c r="AR101" s="420"/>
      <c r="AS101" s="420"/>
      <c r="AT101" s="420"/>
      <c r="AU101" s="420"/>
      <c r="AV101" s="420"/>
      <c r="AW101" s="420"/>
      <c r="AX101" s="426"/>
      <c r="AY101" s="420"/>
      <c r="AZ101" s="420"/>
      <c r="BA101" s="420"/>
      <c r="BB101" s="419"/>
      <c r="BC101" s="420"/>
      <c r="BD101" s="427"/>
      <c r="BE101" s="420"/>
      <c r="BF101" s="420"/>
      <c r="BG101" s="420"/>
      <c r="BH101" s="423">
        <f t="shared" ref="BH101:BH106" si="156">BG101/F101</f>
        <v>0</v>
      </c>
      <c r="BI101" s="420">
        <f t="shared" ref="BI101:BI106" si="157">BH101-BE101</f>
        <v>0</v>
      </c>
      <c r="BJ101" s="420"/>
      <c r="BK101" s="420"/>
      <c r="BL101" s="420"/>
      <c r="BM101" s="420">
        <f t="shared" ref="BM101:BM106" si="158">BL101/F101</f>
        <v>0</v>
      </c>
      <c r="BN101" s="420">
        <f t="shared" ref="BN101:BN106" si="159">BM101-BJ101</f>
        <v>0</v>
      </c>
      <c r="BO101" s="419"/>
      <c r="BP101" s="428"/>
      <c r="BQ101" s="420"/>
      <c r="BR101" s="423">
        <f t="shared" ref="BR101:BR106" si="160">BQ101/F101</f>
        <v>0</v>
      </c>
      <c r="BS101" s="423">
        <f t="shared" ref="BS101:BS106" si="161">BR101-BO101</f>
        <v>0</v>
      </c>
      <c r="BT101" s="420"/>
      <c r="BU101" s="420"/>
      <c r="BV101" s="420"/>
      <c r="BW101" s="420"/>
      <c r="BX101" s="429">
        <f t="shared" ref="BX101:BX106" si="162">BW101-BT101</f>
        <v>0</v>
      </c>
      <c r="BY101" s="419"/>
      <c r="BZ101" s="419"/>
      <c r="CA101" s="419"/>
      <c r="CB101" s="420">
        <f t="shared" ref="CB101:CB106" si="163">CA101/F101</f>
        <v>0</v>
      </c>
      <c r="CC101" s="430">
        <f t="shared" ref="CC101:CC106" si="164">CB101-BY101</f>
        <v>0</v>
      </c>
      <c r="CD101" s="419"/>
      <c r="CE101" s="419"/>
      <c r="CF101" s="419"/>
      <c r="CG101" s="420">
        <f t="shared" ref="CG101:CG106" si="165">CF101/F101</f>
        <v>0</v>
      </c>
      <c r="CH101" s="423">
        <f t="shared" ref="CH101:CH106" si="166">CG101-CD101</f>
        <v>0</v>
      </c>
      <c r="CI101" s="431"/>
      <c r="CJ101" s="431"/>
      <c r="CK101" s="431"/>
      <c r="CL101" s="420">
        <f t="shared" ref="CL101:CL121" si="167">CK101/F101</f>
        <v>0</v>
      </c>
      <c r="CM101" s="423">
        <f t="shared" ref="CM101:CM106" si="168">CL101-CI101</f>
        <v>0</v>
      </c>
      <c r="CN101" s="420"/>
      <c r="CO101" s="420"/>
      <c r="CP101" s="420"/>
      <c r="CQ101" s="432"/>
      <c r="CR101" s="432">
        <f t="shared" ref="CR101:CR121" si="169">ROUND(CQ101-CN101,2)</f>
        <v>0</v>
      </c>
      <c r="CS101" s="420"/>
      <c r="CT101" s="420"/>
      <c r="CU101" s="420"/>
      <c r="CV101" s="420"/>
      <c r="CW101" s="420">
        <f t="shared" ref="CW101:CW121" si="170">CV101-CS101</f>
        <v>0</v>
      </c>
      <c r="CX101" s="419"/>
      <c r="CY101" s="419"/>
      <c r="CZ101" s="419"/>
      <c r="DA101" s="419">
        <f t="shared" si="115"/>
        <v>0</v>
      </c>
      <c r="DB101" s="419">
        <f t="shared" si="116"/>
        <v>0</v>
      </c>
      <c r="DC101" s="419"/>
      <c r="DD101" s="419"/>
      <c r="DE101" s="419"/>
      <c r="DF101" s="420">
        <f t="shared" si="117"/>
        <v>0</v>
      </c>
      <c r="DG101" s="421">
        <f t="shared" si="118"/>
        <v>0</v>
      </c>
      <c r="DH101" s="419">
        <v>4148449.03</v>
      </c>
      <c r="DI101" s="419"/>
      <c r="DJ101" s="419">
        <v>539298.37</v>
      </c>
      <c r="DK101" s="420">
        <f t="shared" si="119"/>
        <v>4148449</v>
      </c>
      <c r="DL101" s="422">
        <f t="shared" si="120"/>
        <v>-2.9999999795108999E-2</v>
      </c>
      <c r="DM101" s="420"/>
      <c r="DN101" s="420">
        <v>4148449.03</v>
      </c>
      <c r="DO101" s="420"/>
      <c r="DP101" s="420">
        <f t="shared" si="121"/>
        <v>0</v>
      </c>
      <c r="DQ101" s="420">
        <f t="shared" si="122"/>
        <v>0</v>
      </c>
      <c r="DR101" s="419">
        <v>5292848.75</v>
      </c>
      <c r="DS101" s="419"/>
      <c r="DT101" s="419">
        <v>688070.33</v>
      </c>
      <c r="DU101" s="420">
        <f t="shared" si="123"/>
        <v>5292848.6923076902</v>
      </c>
      <c r="DV101" s="423">
        <f t="shared" si="124"/>
        <v>-5.7692307978868498E-2</v>
      </c>
      <c r="DW101" s="419">
        <v>2724171.7</v>
      </c>
      <c r="DX101" s="419"/>
      <c r="DY101" s="419">
        <v>354142.32</v>
      </c>
      <c r="DZ101" s="420">
        <f t="shared" si="125"/>
        <v>2724171.69</v>
      </c>
      <c r="EA101" s="423">
        <f t="shared" si="126"/>
        <v>-0.01</v>
      </c>
      <c r="EB101" s="419"/>
      <c r="EC101" s="419"/>
      <c r="ED101" s="420"/>
      <c r="EE101" s="419"/>
      <c r="EF101" s="420">
        <f t="shared" si="127"/>
        <v>0</v>
      </c>
      <c r="EG101" s="419"/>
      <c r="EH101" s="419"/>
      <c r="EI101" s="419"/>
      <c r="EJ101" s="420">
        <f t="shared" si="128"/>
        <v>0</v>
      </c>
      <c r="EK101" s="420">
        <f t="shared" si="129"/>
        <v>0</v>
      </c>
      <c r="EL101" s="419"/>
      <c r="EM101" s="419">
        <v>27504.12</v>
      </c>
      <c r="EN101" s="419"/>
      <c r="EO101" s="419">
        <f t="shared" si="130"/>
        <v>0</v>
      </c>
      <c r="EP101" s="419">
        <f t="shared" si="131"/>
        <v>0</v>
      </c>
      <c r="EQ101" s="419"/>
      <c r="ER101" s="419">
        <v>8017020.4500000002</v>
      </c>
      <c r="ES101" s="419"/>
      <c r="ET101" s="419">
        <f t="shared" si="132"/>
        <v>0</v>
      </c>
      <c r="EU101" s="419">
        <f t="shared" si="133"/>
        <v>0</v>
      </c>
      <c r="EV101" s="455">
        <v>32824561.489999998</v>
      </c>
      <c r="EW101" s="419"/>
      <c r="EX101" s="455">
        <v>4267193</v>
      </c>
      <c r="EY101" s="419">
        <f t="shared" si="134"/>
        <v>32824561.539999999</v>
      </c>
      <c r="EZ101" s="419">
        <f t="shared" si="154"/>
        <v>0.05</v>
      </c>
      <c r="FA101" s="420">
        <v>34762562.579999998</v>
      </c>
      <c r="FB101" s="420"/>
      <c r="FC101" s="420">
        <v>4519133.13</v>
      </c>
      <c r="FD101" s="420">
        <f t="shared" si="135"/>
        <v>34762562.539999999</v>
      </c>
      <c r="FE101" s="420">
        <f t="shared" si="136"/>
        <v>-0.04</v>
      </c>
      <c r="FF101" s="419">
        <v>54021116.310000002</v>
      </c>
      <c r="FG101" s="419"/>
      <c r="FH101" s="419">
        <v>7022745.1200000001</v>
      </c>
      <c r="FI101" s="419">
        <f t="shared" si="137"/>
        <v>54021116.307692297</v>
      </c>
      <c r="FJ101" s="419">
        <f t="shared" si="138"/>
        <v>0</v>
      </c>
      <c r="FK101" s="419">
        <v>72809247.909999996</v>
      </c>
      <c r="FL101" s="419"/>
      <c r="FM101" s="420">
        <v>9465202.2300000004</v>
      </c>
      <c r="FN101" s="420">
        <f t="shared" si="139"/>
        <v>72809247.920000002</v>
      </c>
      <c r="FO101" s="423">
        <f t="shared" si="140"/>
        <v>0.01</v>
      </c>
      <c r="FP101" s="431">
        <v>11258115.310000001</v>
      </c>
      <c r="FQ101" s="431">
        <v>0</v>
      </c>
      <c r="FR101" s="431">
        <v>1463554.99</v>
      </c>
      <c r="FS101" s="420">
        <f t="shared" si="141"/>
        <v>11258115.310000001</v>
      </c>
      <c r="FT101" s="420">
        <f t="shared" si="142"/>
        <v>0</v>
      </c>
      <c r="FU101" s="419"/>
      <c r="FV101" s="419">
        <v>39772689.490000002</v>
      </c>
      <c r="FW101" s="419"/>
      <c r="FX101" s="420">
        <f t="shared" si="143"/>
        <v>0</v>
      </c>
      <c r="FY101" s="420">
        <f t="shared" si="144"/>
        <v>0</v>
      </c>
      <c r="FZ101" s="419">
        <v>3648511.07</v>
      </c>
      <c r="GA101" s="419"/>
      <c r="GB101" s="419">
        <v>474306.45</v>
      </c>
      <c r="GC101" s="420">
        <f t="shared" si="145"/>
        <v>3648511.15</v>
      </c>
      <c r="GD101" s="420">
        <f t="shared" si="146"/>
        <v>8.0000000074505806E-2</v>
      </c>
      <c r="GE101" s="419">
        <v>3499060.63</v>
      </c>
      <c r="GF101" s="419"/>
      <c r="GG101" s="419">
        <v>454877.88</v>
      </c>
      <c r="GH101" s="420">
        <f t="shared" si="147"/>
        <v>3499060.6153846201</v>
      </c>
      <c r="GI101" s="423">
        <f t="shared" si="148"/>
        <v>-1.4615384396165601E-2</v>
      </c>
      <c r="GJ101" s="419">
        <v>6790286.6600000001</v>
      </c>
      <c r="GK101" s="419">
        <v>173050485.75</v>
      </c>
      <c r="GL101" s="419">
        <v>882737.27</v>
      </c>
      <c r="GM101" s="420">
        <f t="shared" si="149"/>
        <v>6790286.6923076902</v>
      </c>
      <c r="GN101" s="420">
        <f t="shared" si="150"/>
        <v>3.2307691872119897E-2</v>
      </c>
      <c r="GO101" s="419">
        <v>89438.06</v>
      </c>
      <c r="GP101" s="419"/>
      <c r="GQ101" s="419">
        <v>11626.95</v>
      </c>
      <c r="GR101" s="420">
        <f t="shared" si="155"/>
        <v>89438.076923076893</v>
      </c>
      <c r="GS101" s="423">
        <f t="shared" si="151"/>
        <v>1.69230769242859E-2</v>
      </c>
      <c r="GT101" s="419">
        <v>3124662.61</v>
      </c>
      <c r="GU101" s="419">
        <v>6879724.7199999997</v>
      </c>
      <c r="GV101" s="419">
        <v>406206.14</v>
      </c>
      <c r="GW101" s="420">
        <f t="shared" si="152"/>
        <v>3124662.62</v>
      </c>
      <c r="GX101" s="420">
        <f t="shared" si="153"/>
        <v>1.0000000242143901E-2</v>
      </c>
    </row>
    <row r="102" spans="1:206" ht="15">
      <c r="A102" s="414"/>
      <c r="B102" s="415" t="s">
        <v>534</v>
      </c>
      <c r="C102" s="698"/>
      <c r="D102" s="706"/>
      <c r="E102" s="434" t="s">
        <v>124</v>
      </c>
      <c r="F102" s="417">
        <v>0.09</v>
      </c>
      <c r="G102" s="418">
        <f t="shared" si="85"/>
        <v>180739590.25</v>
      </c>
      <c r="H102" s="418">
        <f t="shared" si="86"/>
        <v>180739590.25999999</v>
      </c>
      <c r="I102" s="418">
        <f t="shared" si="86"/>
        <v>16266563.109999999</v>
      </c>
      <c r="J102" s="418">
        <f t="shared" si="87"/>
        <v>180739590.11111099</v>
      </c>
      <c r="K102" s="418">
        <f t="shared" si="83"/>
        <v>-0.14888885617256201</v>
      </c>
      <c r="L102" s="418">
        <f t="shared" si="84"/>
        <v>-0.13888892531395</v>
      </c>
      <c r="M102" s="424"/>
      <c r="N102" s="424"/>
      <c r="O102" s="424"/>
      <c r="P102" s="424"/>
      <c r="Q102" s="419"/>
      <c r="R102" s="419"/>
      <c r="S102" s="419"/>
      <c r="T102" s="420"/>
      <c r="U102" s="423"/>
      <c r="V102" s="420"/>
      <c r="W102" s="420"/>
      <c r="X102" s="419"/>
      <c r="Y102" s="419"/>
      <c r="Z102" s="423"/>
      <c r="AA102" s="423"/>
      <c r="AB102" s="419"/>
      <c r="AC102" s="423"/>
      <c r="AD102" s="420"/>
      <c r="AE102" s="423"/>
      <c r="AF102" s="444"/>
      <c r="AG102" s="419"/>
      <c r="AH102" s="420"/>
      <c r="AI102" s="420"/>
      <c r="AJ102" s="423"/>
      <c r="AK102" s="444"/>
      <c r="AL102" s="420"/>
      <c r="AM102" s="420"/>
      <c r="AN102" s="420"/>
      <c r="AO102" s="423"/>
      <c r="AP102" s="420"/>
      <c r="AQ102" s="419"/>
      <c r="AR102" s="420"/>
      <c r="AS102" s="420"/>
      <c r="AT102" s="420"/>
      <c r="AU102" s="420"/>
      <c r="AV102" s="420"/>
      <c r="AW102" s="420"/>
      <c r="AX102" s="426"/>
      <c r="AY102" s="420"/>
      <c r="AZ102" s="420"/>
      <c r="BA102" s="420"/>
      <c r="BB102" s="419"/>
      <c r="BC102" s="420"/>
      <c r="BD102" s="427"/>
      <c r="BE102" s="420"/>
      <c r="BF102" s="420"/>
      <c r="BG102" s="420"/>
      <c r="BH102" s="423">
        <f t="shared" si="156"/>
        <v>0</v>
      </c>
      <c r="BI102" s="420">
        <f t="shared" si="157"/>
        <v>0</v>
      </c>
      <c r="BJ102" s="420"/>
      <c r="BK102" s="420"/>
      <c r="BL102" s="420"/>
      <c r="BM102" s="420">
        <f t="shared" si="158"/>
        <v>0</v>
      </c>
      <c r="BN102" s="420">
        <f t="shared" si="159"/>
        <v>0</v>
      </c>
      <c r="BO102" s="419"/>
      <c r="BP102" s="428"/>
      <c r="BQ102" s="420"/>
      <c r="BR102" s="423">
        <f t="shared" si="160"/>
        <v>0</v>
      </c>
      <c r="BS102" s="423">
        <f t="shared" si="161"/>
        <v>0</v>
      </c>
      <c r="BT102" s="420"/>
      <c r="BU102" s="420"/>
      <c r="BV102" s="420"/>
      <c r="BW102" s="420"/>
      <c r="BX102" s="429">
        <f t="shared" si="162"/>
        <v>0</v>
      </c>
      <c r="BY102" s="455"/>
      <c r="BZ102" s="419"/>
      <c r="CA102" s="419"/>
      <c r="CB102" s="420">
        <f t="shared" si="163"/>
        <v>0</v>
      </c>
      <c r="CC102" s="430">
        <f t="shared" si="164"/>
        <v>0</v>
      </c>
      <c r="CD102" s="419"/>
      <c r="CE102" s="419"/>
      <c r="CF102" s="419"/>
      <c r="CG102" s="420">
        <f t="shared" si="165"/>
        <v>0</v>
      </c>
      <c r="CH102" s="423">
        <f t="shared" si="166"/>
        <v>0</v>
      </c>
      <c r="CI102" s="431"/>
      <c r="CJ102" s="431"/>
      <c r="CK102" s="431"/>
      <c r="CL102" s="420">
        <f t="shared" si="167"/>
        <v>0</v>
      </c>
      <c r="CM102" s="423">
        <f t="shared" si="168"/>
        <v>0</v>
      </c>
      <c r="CN102" s="420"/>
      <c r="CO102" s="420"/>
      <c r="CP102" s="420"/>
      <c r="CQ102" s="432"/>
      <c r="CR102" s="432">
        <f t="shared" si="169"/>
        <v>0</v>
      </c>
      <c r="CS102" s="420"/>
      <c r="CT102" s="420"/>
      <c r="CU102" s="420"/>
      <c r="CV102" s="420"/>
      <c r="CW102" s="420">
        <f t="shared" si="170"/>
        <v>0</v>
      </c>
      <c r="CX102" s="419"/>
      <c r="CY102" s="419"/>
      <c r="CZ102" s="419"/>
      <c r="DA102" s="419">
        <f t="shared" si="115"/>
        <v>0</v>
      </c>
      <c r="DB102" s="419">
        <f t="shared" si="116"/>
        <v>0</v>
      </c>
      <c r="DC102" s="419">
        <v>1653744.75</v>
      </c>
      <c r="DD102" s="419"/>
      <c r="DE102" s="419">
        <v>148837.04</v>
      </c>
      <c r="DF102" s="420">
        <f t="shared" si="117"/>
        <v>1653744.8888888899</v>
      </c>
      <c r="DG102" s="421">
        <f t="shared" si="118"/>
        <v>-0.13888888899236901</v>
      </c>
      <c r="DH102" s="419">
        <v>235024.16</v>
      </c>
      <c r="DI102" s="419">
        <v>1653744.76</v>
      </c>
      <c r="DJ102" s="419">
        <v>21152.17</v>
      </c>
      <c r="DK102" s="420">
        <f t="shared" si="119"/>
        <v>235024.11111111101</v>
      </c>
      <c r="DL102" s="422">
        <f t="shared" si="120"/>
        <v>-4.8888888908550102E-2</v>
      </c>
      <c r="DM102" s="420">
        <v>25379672.399999999</v>
      </c>
      <c r="DN102" s="420">
        <v>18347284.23</v>
      </c>
      <c r="DO102" s="420">
        <v>2284170.5099999998</v>
      </c>
      <c r="DP102" s="420">
        <f t="shared" si="121"/>
        <v>25379672.333333299</v>
      </c>
      <c r="DQ102" s="420">
        <f t="shared" si="122"/>
        <v>-6.6666666418313994E-2</v>
      </c>
      <c r="DR102" s="419">
        <v>32392796.75</v>
      </c>
      <c r="DS102" s="419"/>
      <c r="DT102" s="419">
        <v>2915351.71</v>
      </c>
      <c r="DU102" s="420">
        <f t="shared" si="123"/>
        <v>32392796.777777798</v>
      </c>
      <c r="DV102" s="423">
        <f t="shared" si="124"/>
        <v>2.7777779847383499E-2</v>
      </c>
      <c r="DW102" s="419">
        <v>12465996.76</v>
      </c>
      <c r="DX102" s="419"/>
      <c r="DY102" s="419">
        <v>1121939.71</v>
      </c>
      <c r="DZ102" s="420">
        <f t="shared" si="125"/>
        <v>12465996.779999999</v>
      </c>
      <c r="EA102" s="423">
        <f t="shared" si="126"/>
        <v>0.02</v>
      </c>
      <c r="EB102" s="420"/>
      <c r="EC102" s="419"/>
      <c r="ED102" s="420"/>
      <c r="EE102" s="419"/>
      <c r="EF102" s="420">
        <f t="shared" si="127"/>
        <v>0</v>
      </c>
      <c r="EG102" s="419"/>
      <c r="EH102" s="419"/>
      <c r="EI102" s="419"/>
      <c r="EJ102" s="420">
        <f t="shared" si="128"/>
        <v>0</v>
      </c>
      <c r="EK102" s="420">
        <f t="shared" si="129"/>
        <v>0</v>
      </c>
      <c r="EL102" s="419"/>
      <c r="EM102" s="419"/>
      <c r="EN102" s="419"/>
      <c r="EO102" s="419">
        <f t="shared" si="130"/>
        <v>0</v>
      </c>
      <c r="EP102" s="419">
        <f t="shared" si="131"/>
        <v>0</v>
      </c>
      <c r="EQ102" s="419"/>
      <c r="ER102" s="420">
        <v>52126205.829999998</v>
      </c>
      <c r="ES102" s="419"/>
      <c r="ET102" s="419">
        <f t="shared" si="132"/>
        <v>0</v>
      </c>
      <c r="EU102" s="419">
        <f t="shared" si="133"/>
        <v>0</v>
      </c>
      <c r="EV102" s="419">
        <v>5235049.0199999996</v>
      </c>
      <c r="EW102" s="419"/>
      <c r="EX102" s="419">
        <v>471154.41</v>
      </c>
      <c r="EY102" s="419">
        <f t="shared" si="134"/>
        <v>5235049</v>
      </c>
      <c r="EZ102" s="419">
        <f t="shared" si="154"/>
        <v>-0.02</v>
      </c>
      <c r="FA102" s="420">
        <v>9631140.1799999997</v>
      </c>
      <c r="FB102" s="420"/>
      <c r="FC102" s="420">
        <v>866802.62</v>
      </c>
      <c r="FD102" s="420">
        <f t="shared" si="135"/>
        <v>9631140.2200000007</v>
      </c>
      <c r="FE102" s="420">
        <f t="shared" si="136"/>
        <v>0.04</v>
      </c>
      <c r="FF102" s="447">
        <v>19992507.719999999</v>
      </c>
      <c r="FG102" s="419"/>
      <c r="FH102" s="447">
        <v>1799325.69</v>
      </c>
      <c r="FI102" s="419">
        <f t="shared" si="137"/>
        <v>19992507.666666701</v>
      </c>
      <c r="FJ102" s="419">
        <f t="shared" si="138"/>
        <v>-0.05</v>
      </c>
      <c r="FK102" s="419">
        <v>22551947.289999999</v>
      </c>
      <c r="FL102" s="419"/>
      <c r="FM102" s="420">
        <v>2029675.25</v>
      </c>
      <c r="FN102" s="420">
        <f t="shared" si="139"/>
        <v>22551947.219999999</v>
      </c>
      <c r="FO102" s="423">
        <f t="shared" si="140"/>
        <v>-7.0000000000000007E-2</v>
      </c>
      <c r="FP102" s="431">
        <v>19451705.739999998</v>
      </c>
      <c r="FQ102" s="431">
        <v>0</v>
      </c>
      <c r="FR102" s="431">
        <v>1750653.51</v>
      </c>
      <c r="FS102" s="420">
        <f t="shared" si="141"/>
        <v>19451705.670000002</v>
      </c>
      <c r="FT102" s="420">
        <f t="shared" si="142"/>
        <v>-6.9999996572732898E-2</v>
      </c>
      <c r="FU102" s="419">
        <v>14895029.4</v>
      </c>
      <c r="FV102" s="419">
        <v>76862349.959999993</v>
      </c>
      <c r="FW102" s="419">
        <v>1340552.6399999999</v>
      </c>
      <c r="FX102" s="420">
        <f t="shared" si="143"/>
        <v>14895029.33</v>
      </c>
      <c r="FY102" s="420">
        <f t="shared" si="144"/>
        <v>-7.0000000298023196E-2</v>
      </c>
      <c r="FZ102" s="419">
        <v>11627285.550000001</v>
      </c>
      <c r="GA102" s="419"/>
      <c r="GB102" s="419">
        <v>1046455.7</v>
      </c>
      <c r="GC102" s="420">
        <f t="shared" si="145"/>
        <v>11627285.560000001</v>
      </c>
      <c r="GD102" s="420">
        <f t="shared" si="146"/>
        <v>9.9999997764825804E-3</v>
      </c>
      <c r="GE102" s="419">
        <v>5227690.53</v>
      </c>
      <c r="GF102" s="419"/>
      <c r="GG102" s="419">
        <v>470492.15</v>
      </c>
      <c r="GH102" s="420">
        <f t="shared" si="147"/>
        <v>5227690.5555555597</v>
      </c>
      <c r="GI102" s="423">
        <f t="shared" si="148"/>
        <v>2.55555557087064E-2</v>
      </c>
      <c r="GJ102" s="419"/>
      <c r="GK102" s="420">
        <v>31750005.48</v>
      </c>
      <c r="GL102" s="419"/>
      <c r="GM102" s="420">
        <f t="shared" si="149"/>
        <v>0</v>
      </c>
      <c r="GN102" s="420">
        <f t="shared" si="150"/>
        <v>0</v>
      </c>
      <c r="GO102" s="419"/>
      <c r="GP102" s="419"/>
      <c r="GQ102" s="419"/>
      <c r="GR102" s="420">
        <f t="shared" si="155"/>
        <v>0</v>
      </c>
      <c r="GS102" s="423">
        <f t="shared" si="151"/>
        <v>0</v>
      </c>
      <c r="GT102" s="419"/>
      <c r="GU102" s="419"/>
      <c r="GV102" s="419"/>
      <c r="GW102" s="420">
        <f t="shared" si="152"/>
        <v>0</v>
      </c>
      <c r="GX102" s="420">
        <f t="shared" si="153"/>
        <v>0</v>
      </c>
    </row>
    <row r="103" spans="1:206" ht="15">
      <c r="A103" s="414"/>
      <c r="B103" s="415" t="s">
        <v>534</v>
      </c>
      <c r="C103" s="698"/>
      <c r="D103" s="707"/>
      <c r="E103" s="434" t="s">
        <v>125</v>
      </c>
      <c r="F103" s="417">
        <v>0.06</v>
      </c>
      <c r="G103" s="418">
        <f t="shared" si="85"/>
        <v>9664723.3472000007</v>
      </c>
      <c r="H103" s="418">
        <f t="shared" si="86"/>
        <v>8208056.0300000003</v>
      </c>
      <c r="I103" s="418">
        <f t="shared" si="86"/>
        <v>579883.40483200003</v>
      </c>
      <c r="J103" s="418">
        <f t="shared" si="87"/>
        <v>9664723.4138666708</v>
      </c>
      <c r="K103" s="418">
        <f t="shared" si="83"/>
        <v>1456667.3838666701</v>
      </c>
      <c r="L103" s="418">
        <f t="shared" si="84"/>
        <v>6.6666666418313994E-2</v>
      </c>
      <c r="M103" s="424"/>
      <c r="N103" s="424"/>
      <c r="O103" s="424"/>
      <c r="P103" s="424"/>
      <c r="Q103" s="419"/>
      <c r="R103" s="419"/>
      <c r="S103" s="419"/>
      <c r="T103" s="420"/>
      <c r="U103" s="423"/>
      <c r="V103" s="420"/>
      <c r="W103" s="420"/>
      <c r="X103" s="419"/>
      <c r="Y103" s="419"/>
      <c r="Z103" s="423"/>
      <c r="AA103" s="423"/>
      <c r="AB103" s="419"/>
      <c r="AC103" s="423"/>
      <c r="AD103" s="420"/>
      <c r="AE103" s="423"/>
      <c r="AF103" s="444"/>
      <c r="AG103" s="419"/>
      <c r="AH103" s="420"/>
      <c r="AI103" s="420"/>
      <c r="AJ103" s="423"/>
      <c r="AK103" s="444"/>
      <c r="AL103" s="420"/>
      <c r="AM103" s="420"/>
      <c r="AN103" s="420"/>
      <c r="AO103" s="423"/>
      <c r="AP103" s="420"/>
      <c r="AQ103" s="419"/>
      <c r="AR103" s="420"/>
      <c r="AS103" s="420"/>
      <c r="AT103" s="420"/>
      <c r="AU103" s="420"/>
      <c r="AV103" s="420"/>
      <c r="AW103" s="420"/>
      <c r="AX103" s="426"/>
      <c r="AY103" s="420"/>
      <c r="AZ103" s="420"/>
      <c r="BA103" s="420"/>
      <c r="BB103" s="419"/>
      <c r="BC103" s="420"/>
      <c r="BD103" s="427"/>
      <c r="BE103" s="420">
        <v>679244.21719999996</v>
      </c>
      <c r="BF103" s="420"/>
      <c r="BG103" s="420">
        <v>40754.663031999997</v>
      </c>
      <c r="BH103" s="423">
        <f t="shared" si="156"/>
        <v>679244.38386666705</v>
      </c>
      <c r="BI103" s="420">
        <f t="shared" si="157"/>
        <v>0.166666666627862</v>
      </c>
      <c r="BJ103" s="420"/>
      <c r="BK103" s="420"/>
      <c r="BL103" s="420"/>
      <c r="BM103" s="420">
        <f t="shared" si="158"/>
        <v>0</v>
      </c>
      <c r="BN103" s="420">
        <f t="shared" si="159"/>
        <v>0</v>
      </c>
      <c r="BO103" s="419"/>
      <c r="BP103" s="428"/>
      <c r="BQ103" s="420">
        <v>0</v>
      </c>
      <c r="BR103" s="423">
        <f t="shared" si="160"/>
        <v>0</v>
      </c>
      <c r="BS103" s="423">
        <f t="shared" si="161"/>
        <v>0</v>
      </c>
      <c r="BT103" s="420">
        <v>9891.91</v>
      </c>
      <c r="BU103" s="426">
        <v>679244.22</v>
      </c>
      <c r="BV103" s="420">
        <v>593.51</v>
      </c>
      <c r="BW103" s="420">
        <v>9891.91</v>
      </c>
      <c r="BX103" s="429">
        <f t="shared" si="162"/>
        <v>0</v>
      </c>
      <c r="BY103" s="419">
        <v>799232.83</v>
      </c>
      <c r="BZ103" s="419"/>
      <c r="CA103" s="419">
        <v>47953.97</v>
      </c>
      <c r="CB103" s="420">
        <f t="shared" si="163"/>
        <v>799232.83333333302</v>
      </c>
      <c r="CC103" s="430">
        <f t="shared" si="164"/>
        <v>3.3333334140479599E-3</v>
      </c>
      <c r="CD103" s="419">
        <v>168443.6</v>
      </c>
      <c r="CE103" s="419"/>
      <c r="CF103" s="419">
        <v>10106.620000000001</v>
      </c>
      <c r="CG103" s="420">
        <f t="shared" si="165"/>
        <v>168443.66666666701</v>
      </c>
      <c r="CH103" s="423">
        <f t="shared" si="166"/>
        <v>6.6666666680248496E-2</v>
      </c>
      <c r="CI103" s="431">
        <v>77015.509999999995</v>
      </c>
      <c r="CJ103" s="431"/>
      <c r="CK103" s="431">
        <v>4620.93</v>
      </c>
      <c r="CL103" s="420">
        <f t="shared" si="167"/>
        <v>77015.5</v>
      </c>
      <c r="CM103" s="423">
        <f t="shared" si="168"/>
        <v>-9.9999999802094005E-3</v>
      </c>
      <c r="CN103" s="420">
        <v>225567.53</v>
      </c>
      <c r="CO103" s="420"/>
      <c r="CP103" s="420">
        <v>13534.05</v>
      </c>
      <c r="CQ103" s="432">
        <v>225567.53</v>
      </c>
      <c r="CR103" s="432">
        <f t="shared" si="169"/>
        <v>0</v>
      </c>
      <c r="CS103" s="420">
        <v>21325.93</v>
      </c>
      <c r="CT103" s="420"/>
      <c r="CU103" s="420">
        <v>1279.56</v>
      </c>
      <c r="CV103" s="420">
        <v>21325.93</v>
      </c>
      <c r="CW103" s="420">
        <f t="shared" si="170"/>
        <v>0</v>
      </c>
      <c r="CX103" s="419">
        <v>718072.94</v>
      </c>
      <c r="CY103" s="419"/>
      <c r="CZ103" s="419">
        <v>43084.37</v>
      </c>
      <c r="DA103" s="419">
        <f t="shared" si="115"/>
        <v>718072.83</v>
      </c>
      <c r="DB103" s="419">
        <f t="shared" si="116"/>
        <v>-0.11</v>
      </c>
      <c r="DC103" s="419">
        <v>1005230.51</v>
      </c>
      <c r="DD103" s="419"/>
      <c r="DE103" s="419">
        <v>60313.83</v>
      </c>
      <c r="DF103" s="420">
        <f t="shared" si="117"/>
        <v>1005230.5</v>
      </c>
      <c r="DG103" s="421">
        <f t="shared" si="118"/>
        <v>9.9999998928979004E-3</v>
      </c>
      <c r="DH103" s="419">
        <v>80103.95</v>
      </c>
      <c r="DI103" s="419">
        <v>3024780.77</v>
      </c>
      <c r="DJ103" s="419">
        <v>4806.24</v>
      </c>
      <c r="DK103" s="420">
        <f t="shared" si="119"/>
        <v>80104</v>
      </c>
      <c r="DL103" s="422">
        <f t="shared" si="120"/>
        <v>5.0000000002910397E-2</v>
      </c>
      <c r="DM103" s="420">
        <v>75104.070000000007</v>
      </c>
      <c r="DN103" s="420">
        <v>80103.95</v>
      </c>
      <c r="DO103" s="420">
        <v>4506.24</v>
      </c>
      <c r="DP103" s="420">
        <f t="shared" si="121"/>
        <v>75104</v>
      </c>
      <c r="DQ103" s="420">
        <f t="shared" si="122"/>
        <v>-7.0000000006984905E-2</v>
      </c>
      <c r="DR103" s="419">
        <v>672678.27</v>
      </c>
      <c r="DS103" s="419"/>
      <c r="DT103" s="419">
        <v>40360.699999999997</v>
      </c>
      <c r="DU103" s="420">
        <f t="shared" si="123"/>
        <v>672678.33333333302</v>
      </c>
      <c r="DV103" s="423">
        <f t="shared" si="124"/>
        <v>6.3333333237096695E-2</v>
      </c>
      <c r="DW103" s="419">
        <v>90123.08</v>
      </c>
      <c r="DX103" s="419"/>
      <c r="DY103" s="419">
        <v>5407.38</v>
      </c>
      <c r="DZ103" s="420">
        <f t="shared" si="125"/>
        <v>90123</v>
      </c>
      <c r="EA103" s="423">
        <f t="shared" si="126"/>
        <v>-0.08</v>
      </c>
      <c r="EB103" s="420">
        <v>242053.03</v>
      </c>
      <c r="EC103" s="419"/>
      <c r="ED103" s="420">
        <v>14523.1818</v>
      </c>
      <c r="EE103" s="419">
        <v>242053.03</v>
      </c>
      <c r="EF103" s="420">
        <f t="shared" si="127"/>
        <v>0</v>
      </c>
      <c r="EG103" s="419">
        <v>394420.71</v>
      </c>
      <c r="EI103" s="419">
        <v>23665.24</v>
      </c>
      <c r="EJ103" s="420">
        <f t="shared" si="128"/>
        <v>394420.67</v>
      </c>
      <c r="EK103" s="420">
        <f t="shared" si="129"/>
        <v>-0.04</v>
      </c>
      <c r="EL103" s="419">
        <v>66252.72</v>
      </c>
      <c r="EN103" s="419">
        <v>3975.16</v>
      </c>
      <c r="EO103" s="419">
        <f t="shared" si="130"/>
        <v>66252.67</v>
      </c>
      <c r="EP103" s="419">
        <f t="shared" si="131"/>
        <v>-0.05</v>
      </c>
      <c r="EQ103" s="419">
        <v>72958.78</v>
      </c>
      <c r="ER103" s="419">
        <v>1540631.87</v>
      </c>
      <c r="ES103" s="419">
        <v>4377.53</v>
      </c>
      <c r="ET103" s="419">
        <f t="shared" si="132"/>
        <v>72958.83</v>
      </c>
      <c r="EU103" s="419">
        <f t="shared" si="133"/>
        <v>0.05</v>
      </c>
      <c r="EV103" s="419">
        <v>71057.16</v>
      </c>
      <c r="EW103" s="419"/>
      <c r="EX103" s="419">
        <v>4263.43</v>
      </c>
      <c r="EY103" s="419">
        <f t="shared" si="134"/>
        <v>71057.17</v>
      </c>
      <c r="EZ103" s="419">
        <f t="shared" si="154"/>
        <v>0.01</v>
      </c>
      <c r="FA103" s="420">
        <v>74862.710000000006</v>
      </c>
      <c r="FB103" s="420"/>
      <c r="FC103" s="420">
        <v>4491.76</v>
      </c>
      <c r="FD103" s="420">
        <f t="shared" si="135"/>
        <v>74862.67</v>
      </c>
      <c r="FE103" s="420">
        <f t="shared" si="136"/>
        <v>-0.04</v>
      </c>
      <c r="FF103" s="419">
        <v>65482.46</v>
      </c>
      <c r="FG103" s="419"/>
      <c r="FH103" s="419">
        <v>3928.95</v>
      </c>
      <c r="FI103" s="419">
        <f t="shared" si="137"/>
        <v>65482.5</v>
      </c>
      <c r="FJ103" s="419">
        <f t="shared" si="138"/>
        <v>0.04</v>
      </c>
      <c r="FK103" s="419">
        <v>1550501.89</v>
      </c>
      <c r="FL103" s="419"/>
      <c r="FM103" s="420">
        <v>93030.12</v>
      </c>
      <c r="FN103" s="420">
        <f t="shared" si="139"/>
        <v>1550502</v>
      </c>
      <c r="FO103" s="423">
        <f t="shared" si="140"/>
        <v>0.11</v>
      </c>
      <c r="FP103" s="431">
        <v>84094.95</v>
      </c>
      <c r="FQ103" s="431">
        <v>0</v>
      </c>
      <c r="FR103" s="431">
        <v>5045.7</v>
      </c>
      <c r="FS103" s="420">
        <f t="shared" si="141"/>
        <v>84095</v>
      </c>
      <c r="FT103" s="420">
        <f t="shared" si="142"/>
        <v>5.0000000002910397E-2</v>
      </c>
      <c r="FU103" s="419">
        <v>98877.11</v>
      </c>
      <c r="FV103" s="419">
        <v>1918957.95</v>
      </c>
      <c r="FW103" s="419">
        <v>5932.62</v>
      </c>
      <c r="FX103" s="420">
        <f t="shared" si="143"/>
        <v>98877</v>
      </c>
      <c r="FY103" s="420">
        <f t="shared" si="144"/>
        <v>-0.11000000000058199</v>
      </c>
      <c r="FZ103" s="419">
        <v>86883.91</v>
      </c>
      <c r="GA103" s="419"/>
      <c r="GB103" s="419">
        <v>5213.03</v>
      </c>
      <c r="GC103" s="420">
        <f t="shared" si="145"/>
        <v>86883.83</v>
      </c>
      <c r="GD103" s="420">
        <f t="shared" si="146"/>
        <v>-8.0000000001746202E-2</v>
      </c>
      <c r="GE103" s="419">
        <v>84071.86</v>
      </c>
      <c r="GF103" s="419"/>
      <c r="GG103" s="419">
        <v>5044.3100000000004</v>
      </c>
      <c r="GH103" s="420">
        <f t="shared" si="147"/>
        <v>84071.833333333299</v>
      </c>
      <c r="GI103" s="423">
        <f t="shared" si="148"/>
        <v>-2.6666666657547501E-2</v>
      </c>
      <c r="GJ103" s="437">
        <v>694504.38</v>
      </c>
      <c r="GK103" s="419">
        <v>269832.89</v>
      </c>
      <c r="GL103" s="419">
        <v>41670.26</v>
      </c>
      <c r="GM103" s="420">
        <f t="shared" si="149"/>
        <v>694504.33333333302</v>
      </c>
      <c r="GN103" s="420">
        <f t="shared" si="150"/>
        <v>-4.66666666325182E-2</v>
      </c>
      <c r="GO103" s="419"/>
      <c r="GP103" s="419"/>
      <c r="GQ103" s="419"/>
      <c r="GR103" s="420">
        <f t="shared" si="155"/>
        <v>0</v>
      </c>
      <c r="GS103" s="423">
        <f t="shared" si="151"/>
        <v>0</v>
      </c>
      <c r="GT103" s="419">
        <v>1456667.33</v>
      </c>
      <c r="GU103" s="419">
        <v>694504.38</v>
      </c>
      <c r="GV103" s="419">
        <v>87400.05</v>
      </c>
      <c r="GW103" s="420">
        <f t="shared" si="152"/>
        <v>1456667.5</v>
      </c>
      <c r="GX103" s="420">
        <f t="shared" si="153"/>
        <v>0.169999999925494</v>
      </c>
    </row>
    <row r="104" spans="1:206" ht="15">
      <c r="A104" s="414"/>
      <c r="B104" s="415" t="s">
        <v>482</v>
      </c>
      <c r="C104" s="698"/>
      <c r="D104" s="704" t="s">
        <v>536</v>
      </c>
      <c r="E104" s="434" t="s">
        <v>123</v>
      </c>
      <c r="F104" s="417">
        <v>0.13</v>
      </c>
      <c r="G104" s="418">
        <f t="shared" si="85"/>
        <v>0</v>
      </c>
      <c r="H104" s="418">
        <f t="shared" si="86"/>
        <v>0</v>
      </c>
      <c r="I104" s="418">
        <f t="shared" si="86"/>
        <v>0</v>
      </c>
      <c r="J104" s="418">
        <f t="shared" si="87"/>
        <v>0</v>
      </c>
      <c r="K104" s="418">
        <f t="shared" si="83"/>
        <v>0</v>
      </c>
      <c r="L104" s="418">
        <f t="shared" si="84"/>
        <v>0</v>
      </c>
      <c r="M104" s="424"/>
      <c r="N104" s="424"/>
      <c r="O104" s="424"/>
      <c r="P104" s="424"/>
      <c r="Q104" s="419"/>
      <c r="R104" s="419"/>
      <c r="S104" s="419"/>
      <c r="T104" s="420"/>
      <c r="U104" s="423"/>
      <c r="V104" s="420"/>
      <c r="W104" s="420"/>
      <c r="X104" s="419"/>
      <c r="Y104" s="419"/>
      <c r="Z104" s="423"/>
      <c r="AA104" s="423"/>
      <c r="AB104" s="419"/>
      <c r="AC104" s="423"/>
      <c r="AD104" s="420"/>
      <c r="AE104" s="423"/>
      <c r="AF104" s="444"/>
      <c r="AG104" s="419"/>
      <c r="AH104" s="420"/>
      <c r="AI104" s="420"/>
      <c r="AJ104" s="423"/>
      <c r="AK104" s="444"/>
      <c r="AL104" s="420"/>
      <c r="AM104" s="420"/>
      <c r="AN104" s="420"/>
      <c r="AO104" s="423"/>
      <c r="AP104" s="420"/>
      <c r="AQ104" s="419"/>
      <c r="AR104" s="420"/>
      <c r="AS104" s="420"/>
      <c r="AT104" s="420"/>
      <c r="AU104" s="420"/>
      <c r="AV104" s="420"/>
      <c r="AW104" s="420"/>
      <c r="AX104" s="426"/>
      <c r="AY104" s="420"/>
      <c r="AZ104" s="420"/>
      <c r="BA104" s="420"/>
      <c r="BB104" s="419"/>
      <c r="BC104" s="420"/>
      <c r="BD104" s="427"/>
      <c r="BE104" s="420"/>
      <c r="BF104" s="420"/>
      <c r="BG104" s="420"/>
      <c r="BH104" s="423">
        <f t="shared" si="156"/>
        <v>0</v>
      </c>
      <c r="BI104" s="420">
        <f t="shared" si="157"/>
        <v>0</v>
      </c>
      <c r="BJ104" s="420"/>
      <c r="BK104" s="420"/>
      <c r="BL104" s="420"/>
      <c r="BM104" s="420">
        <f t="shared" si="158"/>
        <v>0</v>
      </c>
      <c r="BN104" s="420">
        <f t="shared" si="159"/>
        <v>0</v>
      </c>
      <c r="BO104" s="419"/>
      <c r="BP104" s="428"/>
      <c r="BQ104" s="420"/>
      <c r="BR104" s="423">
        <f t="shared" si="160"/>
        <v>0</v>
      </c>
      <c r="BS104" s="423">
        <f t="shared" si="161"/>
        <v>0</v>
      </c>
      <c r="BT104" s="420"/>
      <c r="BU104" s="420"/>
      <c r="BV104" s="420"/>
      <c r="BW104" s="420"/>
      <c r="BX104" s="429">
        <f t="shared" si="162"/>
        <v>0</v>
      </c>
      <c r="BY104" s="419"/>
      <c r="BZ104" s="419"/>
      <c r="CA104" s="419"/>
      <c r="CB104" s="420">
        <f t="shared" si="163"/>
        <v>0</v>
      </c>
      <c r="CC104" s="430">
        <f t="shared" si="164"/>
        <v>0</v>
      </c>
      <c r="CD104" s="419"/>
      <c r="CE104" s="419"/>
      <c r="CF104" s="419"/>
      <c r="CG104" s="420">
        <f t="shared" si="165"/>
        <v>0</v>
      </c>
      <c r="CH104" s="423">
        <f t="shared" si="166"/>
        <v>0</v>
      </c>
      <c r="CI104" s="431"/>
      <c r="CJ104" s="431"/>
      <c r="CK104" s="431"/>
      <c r="CL104" s="420">
        <f t="shared" si="167"/>
        <v>0</v>
      </c>
      <c r="CM104" s="423">
        <f t="shared" si="168"/>
        <v>0</v>
      </c>
      <c r="CN104" s="420"/>
      <c r="CO104" s="420"/>
      <c r="CP104" s="420"/>
      <c r="CQ104" s="432"/>
      <c r="CR104" s="432">
        <f t="shared" si="169"/>
        <v>0</v>
      </c>
      <c r="CS104" s="420"/>
      <c r="CT104" s="420"/>
      <c r="CU104" s="420"/>
      <c r="CV104" s="420"/>
      <c r="CW104" s="420">
        <f t="shared" si="170"/>
        <v>0</v>
      </c>
      <c r="CX104" s="419"/>
      <c r="CY104" s="419"/>
      <c r="CZ104" s="419"/>
      <c r="DA104" s="419">
        <f t="shared" si="115"/>
        <v>0</v>
      </c>
      <c r="DB104" s="419">
        <f t="shared" si="116"/>
        <v>0</v>
      </c>
      <c r="DC104" s="419"/>
      <c r="DD104" s="419"/>
      <c r="DE104" s="419"/>
      <c r="DF104" s="420">
        <f t="shared" si="117"/>
        <v>0</v>
      </c>
      <c r="DG104" s="421">
        <f t="shared" si="118"/>
        <v>0</v>
      </c>
      <c r="DH104" s="419"/>
      <c r="DI104" s="419"/>
      <c r="DJ104" s="419"/>
      <c r="DK104" s="420">
        <f t="shared" si="119"/>
        <v>0</v>
      </c>
      <c r="DL104" s="422">
        <f t="shared" si="120"/>
        <v>0</v>
      </c>
      <c r="DM104" s="420"/>
      <c r="DN104" s="420"/>
      <c r="DO104" s="420"/>
      <c r="DP104" s="420">
        <f t="shared" si="121"/>
        <v>0</v>
      </c>
      <c r="DQ104" s="420">
        <f t="shared" si="122"/>
        <v>0</v>
      </c>
      <c r="DR104" s="419"/>
      <c r="DS104" s="419"/>
      <c r="DT104" s="419"/>
      <c r="DU104" s="420">
        <f t="shared" si="123"/>
        <v>0</v>
      </c>
      <c r="DV104" s="423">
        <f t="shared" si="124"/>
        <v>0</v>
      </c>
      <c r="DW104" s="419"/>
      <c r="DX104" s="419"/>
      <c r="DY104" s="419"/>
      <c r="DZ104" s="420">
        <f t="shared" si="125"/>
        <v>0</v>
      </c>
      <c r="EA104" s="423">
        <f t="shared" si="126"/>
        <v>0</v>
      </c>
      <c r="EB104" s="419"/>
      <c r="EC104" s="419"/>
      <c r="ED104" s="420"/>
      <c r="EE104" s="419"/>
      <c r="EF104" s="420">
        <f t="shared" si="127"/>
        <v>0</v>
      </c>
      <c r="EG104" s="419"/>
      <c r="EH104" s="419"/>
      <c r="EI104" s="419"/>
      <c r="EJ104" s="420">
        <f t="shared" si="128"/>
        <v>0</v>
      </c>
      <c r="EK104" s="420">
        <f t="shared" si="129"/>
        <v>0</v>
      </c>
      <c r="EL104" s="419"/>
      <c r="EM104" s="419"/>
      <c r="EN104" s="419"/>
      <c r="EO104" s="419">
        <f t="shared" si="130"/>
        <v>0</v>
      </c>
      <c r="EP104" s="419">
        <f t="shared" si="131"/>
        <v>0</v>
      </c>
      <c r="EQ104" s="419"/>
      <c r="ER104" s="419"/>
      <c r="ES104" s="419"/>
      <c r="ET104" s="419">
        <f t="shared" si="132"/>
        <v>0</v>
      </c>
      <c r="EU104" s="419">
        <f t="shared" si="133"/>
        <v>0</v>
      </c>
      <c r="EV104" s="419"/>
      <c r="EW104" s="419"/>
      <c r="EX104" s="419"/>
      <c r="EY104" s="419">
        <f t="shared" si="134"/>
        <v>0</v>
      </c>
      <c r="EZ104" s="419">
        <f t="shared" si="154"/>
        <v>0</v>
      </c>
      <c r="FA104" s="420"/>
      <c r="FB104" s="420"/>
      <c r="FC104" s="420"/>
      <c r="FD104" s="420">
        <f t="shared" si="135"/>
        <v>0</v>
      </c>
      <c r="FE104" s="420">
        <f t="shared" si="136"/>
        <v>0</v>
      </c>
      <c r="FF104" s="419"/>
      <c r="FG104" s="419"/>
      <c r="FH104" s="419"/>
      <c r="FI104" s="419">
        <f t="shared" si="137"/>
        <v>0</v>
      </c>
      <c r="FJ104" s="419">
        <f t="shared" si="138"/>
        <v>0</v>
      </c>
      <c r="FK104" s="419"/>
      <c r="FL104" s="419"/>
      <c r="FM104" s="419"/>
      <c r="FN104" s="420">
        <f t="shared" si="139"/>
        <v>0</v>
      </c>
      <c r="FO104" s="423">
        <f t="shared" si="140"/>
        <v>0</v>
      </c>
      <c r="FP104" s="419"/>
      <c r="FQ104" s="419"/>
      <c r="FR104" s="419"/>
      <c r="FS104" s="420">
        <f t="shared" si="141"/>
        <v>0</v>
      </c>
      <c r="FT104" s="420">
        <f t="shared" si="142"/>
        <v>0</v>
      </c>
      <c r="FU104" s="419"/>
      <c r="FV104" s="419"/>
      <c r="FW104" s="419"/>
      <c r="FX104" s="420">
        <f t="shared" si="143"/>
        <v>0</v>
      </c>
      <c r="FY104" s="420">
        <f t="shared" si="144"/>
        <v>0</v>
      </c>
      <c r="FZ104" s="419"/>
      <c r="GA104" s="419"/>
      <c r="GB104" s="419"/>
      <c r="GC104" s="420">
        <f t="shared" si="145"/>
        <v>0</v>
      </c>
      <c r="GD104" s="420">
        <f t="shared" si="146"/>
        <v>0</v>
      </c>
      <c r="GE104" s="419"/>
      <c r="GF104" s="419"/>
      <c r="GG104" s="419"/>
      <c r="GH104" s="420">
        <f t="shared" si="147"/>
        <v>0</v>
      </c>
      <c r="GI104" s="423">
        <f t="shared" si="148"/>
        <v>0</v>
      </c>
      <c r="GJ104" s="419"/>
      <c r="GK104" s="419"/>
      <c r="GL104" s="419"/>
      <c r="GM104" s="420">
        <f t="shared" si="149"/>
        <v>0</v>
      </c>
      <c r="GN104" s="420">
        <f t="shared" si="150"/>
        <v>0</v>
      </c>
      <c r="GO104" s="419"/>
      <c r="GP104" s="419"/>
      <c r="GQ104" s="419"/>
      <c r="GR104" s="420">
        <f t="shared" si="155"/>
        <v>0</v>
      </c>
      <c r="GS104" s="423">
        <f t="shared" si="151"/>
        <v>0</v>
      </c>
      <c r="GT104" s="419"/>
      <c r="GU104" s="419"/>
      <c r="GV104" s="419"/>
      <c r="GW104" s="420">
        <f t="shared" si="152"/>
        <v>0</v>
      </c>
      <c r="GX104" s="420">
        <f t="shared" si="153"/>
        <v>0</v>
      </c>
    </row>
    <row r="105" spans="1:206" ht="15">
      <c r="A105" s="414"/>
      <c r="B105" s="415" t="s">
        <v>482</v>
      </c>
      <c r="C105" s="698"/>
      <c r="D105" s="706"/>
      <c r="E105" s="434" t="s">
        <v>124</v>
      </c>
      <c r="F105" s="417">
        <v>0.09</v>
      </c>
      <c r="G105" s="418">
        <f t="shared" si="85"/>
        <v>0</v>
      </c>
      <c r="H105" s="418">
        <f t="shared" si="86"/>
        <v>0</v>
      </c>
      <c r="I105" s="418">
        <f t="shared" si="86"/>
        <v>0</v>
      </c>
      <c r="J105" s="418">
        <f t="shared" si="87"/>
        <v>0</v>
      </c>
      <c r="K105" s="418">
        <f t="shared" si="83"/>
        <v>0</v>
      </c>
      <c r="L105" s="418">
        <f t="shared" si="84"/>
        <v>0</v>
      </c>
      <c r="M105" s="424"/>
      <c r="N105" s="424"/>
      <c r="O105" s="424"/>
      <c r="P105" s="424"/>
      <c r="Q105" s="419"/>
      <c r="R105" s="419"/>
      <c r="S105" s="419"/>
      <c r="T105" s="420"/>
      <c r="U105" s="423"/>
      <c r="V105" s="420"/>
      <c r="W105" s="420"/>
      <c r="X105" s="419"/>
      <c r="Y105" s="419"/>
      <c r="Z105" s="423"/>
      <c r="AA105" s="423"/>
      <c r="AB105" s="419"/>
      <c r="AC105" s="423"/>
      <c r="AD105" s="420"/>
      <c r="AE105" s="423"/>
      <c r="AF105" s="444"/>
      <c r="AG105" s="419"/>
      <c r="AH105" s="420"/>
      <c r="AI105" s="420"/>
      <c r="AJ105" s="423"/>
      <c r="AK105" s="444"/>
      <c r="AL105" s="420"/>
      <c r="AM105" s="420"/>
      <c r="AN105" s="420"/>
      <c r="AO105" s="423"/>
      <c r="AP105" s="420"/>
      <c r="AQ105" s="419"/>
      <c r="AR105" s="420"/>
      <c r="AS105" s="420"/>
      <c r="AT105" s="420"/>
      <c r="AU105" s="420"/>
      <c r="AV105" s="420"/>
      <c r="AW105" s="420"/>
      <c r="AX105" s="426"/>
      <c r="AY105" s="420"/>
      <c r="AZ105" s="420"/>
      <c r="BA105" s="420"/>
      <c r="BB105" s="419"/>
      <c r="BC105" s="420"/>
      <c r="BD105" s="427"/>
      <c r="BE105" s="420"/>
      <c r="BF105" s="420"/>
      <c r="BG105" s="420"/>
      <c r="BH105" s="423">
        <f t="shared" si="156"/>
        <v>0</v>
      </c>
      <c r="BI105" s="420">
        <f t="shared" si="157"/>
        <v>0</v>
      </c>
      <c r="BJ105" s="420"/>
      <c r="BK105" s="420"/>
      <c r="BL105" s="420"/>
      <c r="BM105" s="420">
        <f t="shared" si="158"/>
        <v>0</v>
      </c>
      <c r="BN105" s="420">
        <f t="shared" si="159"/>
        <v>0</v>
      </c>
      <c r="BO105" s="419"/>
      <c r="BP105" s="428"/>
      <c r="BQ105" s="420"/>
      <c r="BR105" s="423">
        <f t="shared" si="160"/>
        <v>0</v>
      </c>
      <c r="BS105" s="423">
        <f t="shared" si="161"/>
        <v>0</v>
      </c>
      <c r="BT105" s="420"/>
      <c r="BU105" s="420"/>
      <c r="BV105" s="420"/>
      <c r="BW105" s="420"/>
      <c r="BX105" s="429">
        <f t="shared" si="162"/>
        <v>0</v>
      </c>
      <c r="BY105" s="419"/>
      <c r="BZ105" s="419"/>
      <c r="CA105" s="419"/>
      <c r="CB105" s="420">
        <f t="shared" si="163"/>
        <v>0</v>
      </c>
      <c r="CC105" s="430">
        <f t="shared" si="164"/>
        <v>0</v>
      </c>
      <c r="CD105" s="419"/>
      <c r="CE105" s="419"/>
      <c r="CF105" s="419"/>
      <c r="CG105" s="420">
        <f t="shared" si="165"/>
        <v>0</v>
      </c>
      <c r="CH105" s="423">
        <f t="shared" si="166"/>
        <v>0</v>
      </c>
      <c r="CI105" s="431"/>
      <c r="CJ105" s="431"/>
      <c r="CK105" s="431"/>
      <c r="CL105" s="420">
        <f t="shared" si="167"/>
        <v>0</v>
      </c>
      <c r="CM105" s="423">
        <f t="shared" si="168"/>
        <v>0</v>
      </c>
      <c r="CN105" s="420"/>
      <c r="CO105" s="420"/>
      <c r="CP105" s="420"/>
      <c r="CQ105" s="432"/>
      <c r="CR105" s="432">
        <f t="shared" si="169"/>
        <v>0</v>
      </c>
      <c r="CS105" s="420"/>
      <c r="CT105" s="420"/>
      <c r="CU105" s="420"/>
      <c r="CV105" s="420"/>
      <c r="CW105" s="420">
        <f t="shared" si="170"/>
        <v>0</v>
      </c>
      <c r="CX105" s="419"/>
      <c r="CY105" s="419"/>
      <c r="CZ105" s="419"/>
      <c r="DA105" s="419">
        <f t="shared" si="115"/>
        <v>0</v>
      </c>
      <c r="DB105" s="419">
        <f t="shared" si="116"/>
        <v>0</v>
      </c>
      <c r="DC105" s="419"/>
      <c r="DD105" s="419"/>
      <c r="DE105" s="419"/>
      <c r="DF105" s="420">
        <f t="shared" si="117"/>
        <v>0</v>
      </c>
      <c r="DG105" s="421">
        <f t="shared" si="118"/>
        <v>0</v>
      </c>
      <c r="DH105" s="419"/>
      <c r="DI105" s="419"/>
      <c r="DJ105" s="419"/>
      <c r="DK105" s="420">
        <f t="shared" si="119"/>
        <v>0</v>
      </c>
      <c r="DL105" s="422">
        <f t="shared" si="120"/>
        <v>0</v>
      </c>
      <c r="DM105" s="420"/>
      <c r="DN105" s="420"/>
      <c r="DO105" s="420"/>
      <c r="DP105" s="420">
        <f t="shared" si="121"/>
        <v>0</v>
      </c>
      <c r="DQ105" s="420">
        <f t="shared" si="122"/>
        <v>0</v>
      </c>
      <c r="DR105" s="419"/>
      <c r="DS105" s="419"/>
      <c r="DT105" s="419"/>
      <c r="DU105" s="420">
        <f t="shared" si="123"/>
        <v>0</v>
      </c>
      <c r="DV105" s="423">
        <f t="shared" si="124"/>
        <v>0</v>
      </c>
      <c r="DW105" s="419"/>
      <c r="DX105" s="419"/>
      <c r="DY105" s="419"/>
      <c r="DZ105" s="420">
        <f t="shared" si="125"/>
        <v>0</v>
      </c>
      <c r="EA105" s="423">
        <f t="shared" si="126"/>
        <v>0</v>
      </c>
      <c r="EB105" s="420"/>
      <c r="EC105" s="419"/>
      <c r="ED105" s="420"/>
      <c r="EE105" s="419"/>
      <c r="EF105" s="420">
        <f t="shared" si="127"/>
        <v>0</v>
      </c>
      <c r="EG105" s="419"/>
      <c r="EH105" s="419"/>
      <c r="EI105" s="419"/>
      <c r="EJ105" s="420">
        <f t="shared" si="128"/>
        <v>0</v>
      </c>
      <c r="EK105" s="420">
        <f t="shared" si="129"/>
        <v>0</v>
      </c>
      <c r="EL105" s="419"/>
      <c r="EM105" s="419"/>
      <c r="EN105" s="419"/>
      <c r="EO105" s="419">
        <f t="shared" si="130"/>
        <v>0</v>
      </c>
      <c r="EP105" s="419">
        <f t="shared" si="131"/>
        <v>0</v>
      </c>
      <c r="EQ105" s="419"/>
      <c r="ER105" s="419"/>
      <c r="ES105" s="419"/>
      <c r="ET105" s="419">
        <f t="shared" si="132"/>
        <v>0</v>
      </c>
      <c r="EU105" s="419">
        <f t="shared" si="133"/>
        <v>0</v>
      </c>
      <c r="EV105" s="419"/>
      <c r="EW105" s="419"/>
      <c r="EX105" s="419"/>
      <c r="EY105" s="419">
        <f t="shared" si="134"/>
        <v>0</v>
      </c>
      <c r="EZ105" s="419">
        <f t="shared" si="154"/>
        <v>0</v>
      </c>
      <c r="FA105" s="420"/>
      <c r="FB105" s="420"/>
      <c r="FC105" s="420"/>
      <c r="FD105" s="420">
        <f t="shared" si="135"/>
        <v>0</v>
      </c>
      <c r="FE105" s="420">
        <f t="shared" si="136"/>
        <v>0</v>
      </c>
      <c r="FF105" s="419"/>
      <c r="FG105" s="419"/>
      <c r="FH105" s="419"/>
      <c r="FI105" s="419">
        <f t="shared" si="137"/>
        <v>0</v>
      </c>
      <c r="FJ105" s="419">
        <f t="shared" si="138"/>
        <v>0</v>
      </c>
      <c r="FK105" s="419"/>
      <c r="FL105" s="419"/>
      <c r="FM105" s="419"/>
      <c r="FN105" s="420">
        <f t="shared" si="139"/>
        <v>0</v>
      </c>
      <c r="FO105" s="423">
        <f t="shared" si="140"/>
        <v>0</v>
      </c>
      <c r="FP105" s="419"/>
      <c r="FQ105" s="419"/>
      <c r="FR105" s="419"/>
      <c r="FS105" s="420">
        <f t="shared" si="141"/>
        <v>0</v>
      </c>
      <c r="FT105" s="420">
        <f t="shared" si="142"/>
        <v>0</v>
      </c>
      <c r="FU105" s="419"/>
      <c r="FV105" s="419"/>
      <c r="FW105" s="419"/>
      <c r="FX105" s="420">
        <f t="shared" si="143"/>
        <v>0</v>
      </c>
      <c r="FY105" s="420">
        <f t="shared" si="144"/>
        <v>0</v>
      </c>
      <c r="FZ105" s="419"/>
      <c r="GA105" s="419"/>
      <c r="GB105" s="419"/>
      <c r="GC105" s="420">
        <f t="shared" si="145"/>
        <v>0</v>
      </c>
      <c r="GD105" s="420">
        <f t="shared" si="146"/>
        <v>0</v>
      </c>
      <c r="GE105" s="419"/>
      <c r="GF105" s="419"/>
      <c r="GG105" s="419"/>
      <c r="GH105" s="420">
        <f t="shared" si="147"/>
        <v>0</v>
      </c>
      <c r="GI105" s="423">
        <f t="shared" si="148"/>
        <v>0</v>
      </c>
      <c r="GJ105" s="419"/>
      <c r="GK105" s="419"/>
      <c r="GL105" s="419"/>
      <c r="GM105" s="420">
        <f t="shared" si="149"/>
        <v>0</v>
      </c>
      <c r="GN105" s="420">
        <f t="shared" si="150"/>
        <v>0</v>
      </c>
      <c r="GO105" s="419"/>
      <c r="GP105" s="419"/>
      <c r="GQ105" s="419"/>
      <c r="GR105" s="420">
        <f t="shared" si="155"/>
        <v>0</v>
      </c>
      <c r="GS105" s="423">
        <f t="shared" si="151"/>
        <v>0</v>
      </c>
      <c r="GT105" s="419"/>
      <c r="GU105" s="419"/>
      <c r="GV105" s="419"/>
      <c r="GW105" s="420">
        <f t="shared" si="152"/>
        <v>0</v>
      </c>
      <c r="GX105" s="420">
        <f t="shared" si="153"/>
        <v>0</v>
      </c>
    </row>
    <row r="106" spans="1:206" ht="15">
      <c r="A106" s="414"/>
      <c r="B106" s="415" t="s">
        <v>482</v>
      </c>
      <c r="C106" s="698"/>
      <c r="D106" s="707"/>
      <c r="E106" s="434" t="s">
        <v>125</v>
      </c>
      <c r="F106" s="417">
        <v>0.06</v>
      </c>
      <c r="G106" s="418">
        <f t="shared" si="85"/>
        <v>44050.35</v>
      </c>
      <c r="H106" s="418">
        <f t="shared" si="86"/>
        <v>0</v>
      </c>
      <c r="I106" s="418">
        <f t="shared" si="86"/>
        <v>2643.0187999999998</v>
      </c>
      <c r="J106" s="418">
        <f t="shared" si="87"/>
        <v>44050.313333333303</v>
      </c>
      <c r="K106" s="418">
        <f t="shared" si="83"/>
        <v>44050.313333333303</v>
      </c>
      <c r="L106" s="418">
        <f t="shared" si="84"/>
        <v>-3.66666666595847E-2</v>
      </c>
      <c r="M106" s="424"/>
      <c r="N106" s="424"/>
      <c r="O106" s="424"/>
      <c r="P106" s="424"/>
      <c r="Q106" s="419"/>
      <c r="R106" s="419"/>
      <c r="S106" s="419"/>
      <c r="T106" s="420"/>
      <c r="U106" s="423"/>
      <c r="V106" s="420"/>
      <c r="W106" s="420"/>
      <c r="X106" s="419"/>
      <c r="Y106" s="419"/>
      <c r="Z106" s="423"/>
      <c r="AA106" s="423"/>
      <c r="AB106" s="419"/>
      <c r="AC106" s="423"/>
      <c r="AD106" s="420"/>
      <c r="AE106" s="423"/>
      <c r="AF106" s="444"/>
      <c r="AG106" s="419"/>
      <c r="AH106" s="420"/>
      <c r="AI106" s="420"/>
      <c r="AJ106" s="423"/>
      <c r="AK106" s="444"/>
      <c r="AL106" s="420"/>
      <c r="AM106" s="420"/>
      <c r="AN106" s="420"/>
      <c r="AO106" s="423"/>
      <c r="AP106" s="420"/>
      <c r="AQ106" s="419"/>
      <c r="AR106" s="420"/>
      <c r="AS106" s="420"/>
      <c r="AT106" s="420"/>
      <c r="AU106" s="420"/>
      <c r="AV106" s="420"/>
      <c r="AW106" s="420"/>
      <c r="AX106" s="426"/>
      <c r="AY106" s="420"/>
      <c r="AZ106" s="420"/>
      <c r="BA106" s="420"/>
      <c r="BB106" s="419"/>
      <c r="BC106" s="420"/>
      <c r="BD106" s="427"/>
      <c r="BE106" s="420">
        <v>3240.91</v>
      </c>
      <c r="BF106" s="420"/>
      <c r="BG106" s="420">
        <v>194.45</v>
      </c>
      <c r="BH106" s="423">
        <f t="shared" si="156"/>
        <v>3240.8333333333298</v>
      </c>
      <c r="BI106" s="420">
        <f t="shared" si="157"/>
        <v>-7.6666666666369607E-2</v>
      </c>
      <c r="BJ106" s="420">
        <v>4203.7</v>
      </c>
      <c r="BK106" s="420"/>
      <c r="BL106" s="420">
        <v>252.22</v>
      </c>
      <c r="BM106" s="420">
        <f t="shared" si="158"/>
        <v>4203.6666666666697</v>
      </c>
      <c r="BN106" s="420">
        <f t="shared" si="159"/>
        <v>-3.3333333332848297E-2</v>
      </c>
      <c r="BO106" s="419">
        <v>5231.3900000000003</v>
      </c>
      <c r="BP106" s="428"/>
      <c r="BQ106" s="420">
        <v>313.88339999999999</v>
      </c>
      <c r="BR106" s="423">
        <f t="shared" si="160"/>
        <v>5231.3900000000003</v>
      </c>
      <c r="BS106" s="423">
        <f t="shared" si="161"/>
        <v>0</v>
      </c>
      <c r="BT106" s="420">
        <v>3250.5</v>
      </c>
      <c r="BU106" s="420"/>
      <c r="BV106" s="420">
        <v>195.03</v>
      </c>
      <c r="BW106" s="420">
        <v>3250.5</v>
      </c>
      <c r="BX106" s="429">
        <f t="shared" si="162"/>
        <v>0</v>
      </c>
      <c r="BY106" s="419">
        <v>10467.83</v>
      </c>
      <c r="BZ106" s="419"/>
      <c r="CA106" s="419">
        <v>628.07000000000005</v>
      </c>
      <c r="CB106" s="420">
        <f t="shared" si="163"/>
        <v>10467.833333333299</v>
      </c>
      <c r="CC106" s="430">
        <f t="shared" si="164"/>
        <v>3.3333333340124201E-3</v>
      </c>
      <c r="CD106" s="419">
        <v>1902.67</v>
      </c>
      <c r="CE106" s="419"/>
      <c r="CF106" s="419">
        <v>114.16</v>
      </c>
      <c r="CG106" s="420">
        <f t="shared" si="165"/>
        <v>1902.6666666666699</v>
      </c>
      <c r="CH106" s="423">
        <f t="shared" si="166"/>
        <v>-3.3333333333302999E-3</v>
      </c>
      <c r="CI106" s="432">
        <v>1126.1300000000001</v>
      </c>
      <c r="CJ106" s="432"/>
      <c r="CK106" s="432">
        <v>67.569999999999993</v>
      </c>
      <c r="CL106" s="420">
        <f t="shared" si="167"/>
        <v>1126.1666666666699</v>
      </c>
      <c r="CM106" s="423">
        <f t="shared" si="168"/>
        <v>3.6666666666405903E-2</v>
      </c>
      <c r="CN106" s="420">
        <v>1272.48</v>
      </c>
      <c r="CO106" s="420"/>
      <c r="CP106" s="420">
        <v>76.349999999999994</v>
      </c>
      <c r="CQ106" s="432">
        <v>1272.48</v>
      </c>
      <c r="CR106" s="432">
        <f t="shared" si="169"/>
        <v>0</v>
      </c>
      <c r="CS106" s="420">
        <v>1276.8399999999999</v>
      </c>
      <c r="CT106" s="420"/>
      <c r="CU106" s="420">
        <v>76.61</v>
      </c>
      <c r="CV106" s="420">
        <v>1276.8399999999999</v>
      </c>
      <c r="CW106" s="420">
        <f t="shared" si="170"/>
        <v>0</v>
      </c>
      <c r="CX106" s="419">
        <v>381.34</v>
      </c>
      <c r="CY106" s="419"/>
      <c r="CZ106" s="419">
        <v>22.88</v>
      </c>
      <c r="DA106" s="419">
        <f t="shared" si="115"/>
        <v>381.33</v>
      </c>
      <c r="DB106" s="419">
        <f t="shared" si="116"/>
        <v>-0.01</v>
      </c>
      <c r="DC106" s="419">
        <v>746.87</v>
      </c>
      <c r="DD106" s="419"/>
      <c r="DE106" s="419">
        <v>44.81</v>
      </c>
      <c r="DF106" s="420">
        <f t="shared" si="117"/>
        <v>746.83333333333303</v>
      </c>
      <c r="DG106" s="421">
        <f t="shared" si="118"/>
        <v>3.6666666666633298E-2</v>
      </c>
      <c r="DH106" s="419"/>
      <c r="DI106" s="419"/>
      <c r="DJ106" s="419"/>
      <c r="DK106" s="420">
        <f t="shared" si="119"/>
        <v>0</v>
      </c>
      <c r="DL106" s="422">
        <f t="shared" si="120"/>
        <v>0</v>
      </c>
      <c r="DM106" s="420">
        <v>968.63</v>
      </c>
      <c r="DN106" s="420"/>
      <c r="DO106" s="420">
        <v>58.12</v>
      </c>
      <c r="DP106" s="420">
        <f t="shared" si="121"/>
        <v>968.66666666666697</v>
      </c>
      <c r="DQ106" s="420">
        <f t="shared" si="122"/>
        <v>3.6666666666633298E-2</v>
      </c>
      <c r="DR106" s="419">
        <v>883.71</v>
      </c>
      <c r="DS106" s="419"/>
      <c r="DT106" s="419">
        <v>53.02</v>
      </c>
      <c r="DU106" s="420">
        <f t="shared" si="123"/>
        <v>883.66666666666697</v>
      </c>
      <c r="DV106" s="423">
        <f t="shared" si="124"/>
        <v>-4.3333333333293901E-2</v>
      </c>
      <c r="DW106" s="419">
        <v>891.94</v>
      </c>
      <c r="DX106" s="419"/>
      <c r="DY106" s="419">
        <v>53.52</v>
      </c>
      <c r="DZ106" s="420">
        <f t="shared" si="125"/>
        <v>892</v>
      </c>
      <c r="EA106" s="423">
        <f t="shared" si="126"/>
        <v>0.06</v>
      </c>
      <c r="EB106" s="419">
        <v>1875.59</v>
      </c>
      <c r="EC106" s="419"/>
      <c r="ED106" s="420">
        <v>112.5354</v>
      </c>
      <c r="EE106" s="419">
        <v>1875.59</v>
      </c>
      <c r="EF106" s="420">
        <f t="shared" si="127"/>
        <v>0</v>
      </c>
      <c r="EG106" s="419">
        <v>4796.13</v>
      </c>
      <c r="EI106" s="419">
        <v>287.77</v>
      </c>
      <c r="EJ106" s="420">
        <f t="shared" si="128"/>
        <v>4796.17</v>
      </c>
      <c r="EK106" s="420">
        <f t="shared" si="129"/>
        <v>0.04</v>
      </c>
      <c r="EL106" s="419">
        <v>435.83</v>
      </c>
      <c r="EN106" s="419">
        <v>26.15</v>
      </c>
      <c r="EO106" s="419">
        <f t="shared" si="130"/>
        <v>435.83</v>
      </c>
      <c r="EP106" s="419">
        <f t="shared" si="131"/>
        <v>0</v>
      </c>
      <c r="EQ106" s="419">
        <v>541.17999999999995</v>
      </c>
      <c r="ER106" s="419"/>
      <c r="ES106" s="419">
        <v>32.47</v>
      </c>
      <c r="ET106" s="419">
        <f t="shared" si="132"/>
        <v>541.16999999999996</v>
      </c>
      <c r="EU106" s="419">
        <f t="shared" si="133"/>
        <v>-0.01</v>
      </c>
      <c r="EV106" s="419">
        <v>556.67999999999995</v>
      </c>
      <c r="EW106" s="419"/>
      <c r="EX106" s="419">
        <v>33.4</v>
      </c>
      <c r="EY106" s="419">
        <f t="shared" si="134"/>
        <v>556.66999999999996</v>
      </c>
      <c r="EZ106" s="419">
        <f t="shared" si="154"/>
        <v>-0.01</v>
      </c>
      <c r="FA106" s="420"/>
      <c r="FB106" s="420"/>
      <c r="FC106" s="420"/>
      <c r="FD106" s="420">
        <f t="shared" si="135"/>
        <v>0</v>
      </c>
      <c r="FE106" s="420">
        <f t="shared" si="136"/>
        <v>0</v>
      </c>
      <c r="FF106" s="419"/>
      <c r="FG106" s="419"/>
      <c r="FH106" s="419"/>
      <c r="FI106" s="419">
        <f t="shared" si="137"/>
        <v>0</v>
      </c>
      <c r="FJ106" s="419">
        <f t="shared" si="138"/>
        <v>0</v>
      </c>
      <c r="FK106" s="419"/>
      <c r="FL106" s="419"/>
      <c r="FM106" s="419"/>
      <c r="FN106" s="420">
        <f t="shared" si="139"/>
        <v>0</v>
      </c>
      <c r="FO106" s="423">
        <f t="shared" si="140"/>
        <v>0</v>
      </c>
      <c r="FP106" s="419"/>
      <c r="FQ106" s="419"/>
      <c r="FR106" s="419"/>
      <c r="FS106" s="420">
        <f t="shared" si="141"/>
        <v>0</v>
      </c>
      <c r="FT106" s="420">
        <f t="shared" si="142"/>
        <v>0</v>
      </c>
      <c r="FU106" s="419"/>
      <c r="FV106" s="419"/>
      <c r="FW106" s="419"/>
      <c r="FX106" s="420">
        <f t="shared" si="143"/>
        <v>0</v>
      </c>
      <c r="FY106" s="420">
        <f t="shared" si="144"/>
        <v>0</v>
      </c>
      <c r="FZ106" s="419"/>
      <c r="GA106" s="419"/>
      <c r="GB106" s="419"/>
      <c r="GC106" s="420">
        <f t="shared" si="145"/>
        <v>0</v>
      </c>
      <c r="GD106" s="420">
        <f t="shared" si="146"/>
        <v>0</v>
      </c>
      <c r="GE106" s="419"/>
      <c r="GF106" s="419"/>
      <c r="GG106" s="419"/>
      <c r="GH106" s="420">
        <f t="shared" si="147"/>
        <v>0</v>
      </c>
      <c r="GI106" s="423">
        <f t="shared" si="148"/>
        <v>0</v>
      </c>
      <c r="GJ106" s="419"/>
      <c r="GK106" s="419"/>
      <c r="GL106" s="419"/>
      <c r="GM106" s="420">
        <f t="shared" si="149"/>
        <v>0</v>
      </c>
      <c r="GN106" s="420">
        <f t="shared" si="150"/>
        <v>0</v>
      </c>
      <c r="GO106" s="419"/>
      <c r="GP106" s="419"/>
      <c r="GQ106" s="419"/>
      <c r="GR106" s="420">
        <f t="shared" si="155"/>
        <v>0</v>
      </c>
      <c r="GS106" s="423">
        <f t="shared" si="151"/>
        <v>0</v>
      </c>
      <c r="GT106" s="419"/>
      <c r="GU106" s="419"/>
      <c r="GV106" s="419"/>
      <c r="GW106" s="420">
        <f t="shared" si="152"/>
        <v>0</v>
      </c>
      <c r="GX106" s="420">
        <f t="shared" si="153"/>
        <v>0</v>
      </c>
    </row>
    <row r="107" spans="1:206" ht="15">
      <c r="A107" s="414"/>
      <c r="B107" s="415" t="s">
        <v>537</v>
      </c>
      <c r="C107" s="698"/>
      <c r="D107" s="704" t="s">
        <v>538</v>
      </c>
      <c r="E107" s="434" t="s">
        <v>123</v>
      </c>
      <c r="F107" s="417">
        <v>0.13</v>
      </c>
      <c r="G107" s="418">
        <f t="shared" si="85"/>
        <v>512680806.22000003</v>
      </c>
      <c r="H107" s="418">
        <f t="shared" si="86"/>
        <v>236574611.58000001</v>
      </c>
      <c r="I107" s="418">
        <f t="shared" si="86"/>
        <v>66648504.938000001</v>
      </c>
      <c r="J107" s="418">
        <f t="shared" si="87"/>
        <v>512680807.21538502</v>
      </c>
      <c r="K107" s="418">
        <f t="shared" si="83"/>
        <v>276106195.63538498</v>
      </c>
      <c r="L107" s="418">
        <f t="shared" si="84"/>
        <v>0.99538457393646196</v>
      </c>
      <c r="M107" s="424"/>
      <c r="N107" s="424"/>
      <c r="O107" s="424"/>
      <c r="P107" s="424"/>
      <c r="Q107" s="419"/>
      <c r="R107" s="419"/>
      <c r="S107" s="419"/>
      <c r="T107" s="420"/>
      <c r="U107" s="423"/>
      <c r="V107" s="420"/>
      <c r="W107" s="420"/>
      <c r="X107" s="419"/>
      <c r="Y107" s="419"/>
      <c r="Z107" s="423"/>
      <c r="AA107" s="423"/>
      <c r="AB107" s="419"/>
      <c r="AC107" s="423"/>
      <c r="AD107" s="420"/>
      <c r="AE107" s="423"/>
      <c r="AF107" s="444"/>
      <c r="AG107" s="419"/>
      <c r="AH107" s="420"/>
      <c r="AI107" s="420"/>
      <c r="AJ107" s="423"/>
      <c r="AK107" s="444"/>
      <c r="AL107" s="420"/>
      <c r="AM107" s="420"/>
      <c r="AN107" s="420"/>
      <c r="AO107" s="423"/>
      <c r="AP107" s="420"/>
      <c r="AQ107" s="419"/>
      <c r="AR107" s="420"/>
      <c r="AS107" s="420"/>
      <c r="AT107" s="420"/>
      <c r="AU107" s="420"/>
      <c r="AV107" s="420"/>
      <c r="AW107" s="420"/>
      <c r="AX107" s="426"/>
      <c r="AY107" s="420"/>
      <c r="AZ107" s="420"/>
      <c r="BA107" s="420"/>
      <c r="BB107" s="419"/>
      <c r="BC107" s="420"/>
      <c r="BD107" s="427"/>
      <c r="BE107" s="420"/>
      <c r="BF107" s="420"/>
      <c r="BG107" s="420"/>
      <c r="BH107" s="423"/>
      <c r="BI107" s="420"/>
      <c r="BJ107" s="420"/>
      <c r="BK107" s="420"/>
      <c r="BL107" s="420"/>
      <c r="BM107" s="420"/>
      <c r="BN107" s="420"/>
      <c r="BO107" s="419"/>
      <c r="BP107" s="428"/>
      <c r="BQ107" s="420"/>
      <c r="BR107" s="423"/>
      <c r="BS107" s="423"/>
      <c r="BT107" s="420"/>
      <c r="BU107" s="420"/>
      <c r="BV107" s="420"/>
      <c r="BW107" s="420"/>
      <c r="BX107" s="429"/>
      <c r="BY107" s="419"/>
      <c r="BZ107" s="419"/>
      <c r="CA107" s="419"/>
      <c r="CB107" s="420"/>
      <c r="CC107" s="430"/>
      <c r="CD107" s="419"/>
      <c r="CE107" s="419"/>
      <c r="CF107" s="419"/>
      <c r="CG107" s="420"/>
      <c r="CH107" s="423"/>
      <c r="CI107" s="432"/>
      <c r="CJ107" s="432"/>
      <c r="CK107" s="432"/>
      <c r="CL107" s="420">
        <f t="shared" si="167"/>
        <v>0</v>
      </c>
      <c r="CM107" s="423"/>
      <c r="CN107" s="420"/>
      <c r="CO107" s="420"/>
      <c r="CP107" s="420"/>
      <c r="CQ107" s="432"/>
      <c r="CR107" s="432">
        <f t="shared" si="169"/>
        <v>0</v>
      </c>
      <c r="CS107" s="420">
        <v>3321953.22</v>
      </c>
      <c r="CT107" s="420"/>
      <c r="CU107" s="420">
        <v>431853.92</v>
      </c>
      <c r="CV107" s="420">
        <v>3321953.22</v>
      </c>
      <c r="CW107" s="420">
        <f t="shared" si="170"/>
        <v>0</v>
      </c>
      <c r="CX107" s="419">
        <v>5009135.54</v>
      </c>
      <c r="CY107" s="419"/>
      <c r="CZ107" s="419">
        <v>651187.62</v>
      </c>
      <c r="DA107" s="419">
        <f t="shared" si="115"/>
        <v>5009135.54</v>
      </c>
      <c r="DB107" s="419">
        <f t="shared" si="116"/>
        <v>0</v>
      </c>
      <c r="DC107" s="419">
        <v>3374364.61</v>
      </c>
      <c r="DD107" s="419"/>
      <c r="DE107" s="419">
        <v>438667.39</v>
      </c>
      <c r="DF107" s="420">
        <f t="shared" si="117"/>
        <v>3374364.5384615399</v>
      </c>
      <c r="DG107" s="421">
        <f t="shared" si="118"/>
        <v>7.1538461372256307E-2</v>
      </c>
      <c r="DH107" s="419">
        <v>12355155.199999999</v>
      </c>
      <c r="DI107" s="419">
        <v>24060608.510000002</v>
      </c>
      <c r="DJ107" s="419">
        <v>1606170.17</v>
      </c>
      <c r="DK107" s="420">
        <f t="shared" si="119"/>
        <v>12355155.153846201</v>
      </c>
      <c r="DL107" s="422">
        <f t="shared" si="120"/>
        <v>-4.6153847128152799E-2</v>
      </c>
      <c r="DM107" s="420">
        <v>91679488.609999999</v>
      </c>
      <c r="DN107" s="420">
        <v>72720414.280000001</v>
      </c>
      <c r="DO107" s="420">
        <v>11918333.529999999</v>
      </c>
      <c r="DP107" s="420">
        <f t="shared" si="121"/>
        <v>91679488.692307696</v>
      </c>
      <c r="DQ107" s="420">
        <f t="shared" si="122"/>
        <v>8.2307681441307096E-2</v>
      </c>
      <c r="DR107" s="419">
        <v>20927247.66</v>
      </c>
      <c r="DS107" s="419">
        <v>22775636.309999999</v>
      </c>
      <c r="DT107" s="419">
        <v>2720542.2</v>
      </c>
      <c r="DU107" s="420">
        <f t="shared" si="123"/>
        <v>20927247.692307699</v>
      </c>
      <c r="DV107" s="423">
        <f t="shared" si="124"/>
        <v>3.2307691872119897E-2</v>
      </c>
      <c r="DW107" s="419">
        <v>77367522.530000001</v>
      </c>
      <c r="DX107" s="419"/>
      <c r="DY107" s="419">
        <v>10057777.93</v>
      </c>
      <c r="DZ107" s="420">
        <f t="shared" si="125"/>
        <v>77367522.540000007</v>
      </c>
      <c r="EA107" s="423">
        <f t="shared" si="126"/>
        <v>0.01</v>
      </c>
      <c r="EB107" s="419">
        <v>22413070.600000001</v>
      </c>
      <c r="EC107" s="420">
        <v>6416507.1399999997</v>
      </c>
      <c r="ED107" s="420">
        <v>2913699.1779999998</v>
      </c>
      <c r="EE107" s="419">
        <v>22413070.600000001</v>
      </c>
      <c r="EF107" s="420">
        <f t="shared" si="127"/>
        <v>0</v>
      </c>
      <c r="EG107" s="419"/>
      <c r="EH107" s="419">
        <v>99908399.989999995</v>
      </c>
      <c r="EI107" s="419"/>
      <c r="EJ107" s="420">
        <f t="shared" si="128"/>
        <v>0</v>
      </c>
      <c r="EK107" s="420">
        <f t="shared" si="129"/>
        <v>0</v>
      </c>
      <c r="EL107" s="420">
        <v>126673.67</v>
      </c>
      <c r="EM107" s="420">
        <v>10693045.35</v>
      </c>
      <c r="EN107" s="420">
        <v>16467.580000000002</v>
      </c>
      <c r="EO107" s="419">
        <f t="shared" si="130"/>
        <v>126673.69</v>
      </c>
      <c r="EP107" s="419">
        <f t="shared" si="131"/>
        <v>0.02</v>
      </c>
      <c r="EQ107" s="419"/>
      <c r="ER107" s="419"/>
      <c r="ES107" s="419"/>
      <c r="ET107" s="419">
        <f t="shared" si="132"/>
        <v>0</v>
      </c>
      <c r="EU107" s="419">
        <f t="shared" si="133"/>
        <v>0</v>
      </c>
      <c r="EV107" s="419"/>
      <c r="EW107" s="419"/>
      <c r="EX107" s="419"/>
      <c r="EY107" s="419">
        <f t="shared" si="134"/>
        <v>0</v>
      </c>
      <c r="EZ107" s="419">
        <f t="shared" si="154"/>
        <v>0</v>
      </c>
      <c r="FA107" s="420">
        <v>276106194.57999998</v>
      </c>
      <c r="FB107" s="420"/>
      <c r="FC107" s="420">
        <v>35893805.420000002</v>
      </c>
      <c r="FD107" s="420">
        <f t="shared" si="135"/>
        <v>276106195.54000002</v>
      </c>
      <c r="FE107" s="420">
        <f t="shared" si="136"/>
        <v>0.96</v>
      </c>
      <c r="FF107" s="419"/>
      <c r="FG107" s="419"/>
      <c r="FH107" s="419"/>
      <c r="FI107" s="419">
        <f t="shared" si="137"/>
        <v>0</v>
      </c>
      <c r="FJ107" s="419">
        <f t="shared" si="138"/>
        <v>0</v>
      </c>
      <c r="FK107" s="419"/>
      <c r="FL107" s="419"/>
      <c r="FM107" s="419"/>
      <c r="FN107" s="420">
        <f t="shared" si="139"/>
        <v>0</v>
      </c>
      <c r="FO107" s="423">
        <f t="shared" si="140"/>
        <v>0</v>
      </c>
      <c r="FP107" s="419"/>
      <c r="FQ107" s="419"/>
      <c r="FR107" s="419"/>
      <c r="FS107" s="420">
        <f t="shared" si="141"/>
        <v>0</v>
      </c>
      <c r="FT107" s="420">
        <f t="shared" si="142"/>
        <v>0</v>
      </c>
      <c r="FU107" s="419"/>
      <c r="FV107" s="419"/>
      <c r="FW107" s="419"/>
      <c r="FX107" s="420">
        <f t="shared" si="143"/>
        <v>0</v>
      </c>
      <c r="FY107" s="420">
        <f t="shared" si="144"/>
        <v>0</v>
      </c>
      <c r="FZ107" s="419"/>
      <c r="GA107" s="419"/>
      <c r="GB107" s="419"/>
      <c r="GC107" s="420">
        <f t="shared" si="145"/>
        <v>0</v>
      </c>
      <c r="GD107" s="420">
        <f t="shared" si="146"/>
        <v>0</v>
      </c>
      <c r="GE107" s="419"/>
      <c r="GF107" s="419"/>
      <c r="GG107" s="419"/>
      <c r="GH107" s="420">
        <f t="shared" si="147"/>
        <v>0</v>
      </c>
      <c r="GI107" s="423">
        <f t="shared" si="148"/>
        <v>0</v>
      </c>
      <c r="GJ107" s="419"/>
      <c r="GK107" s="419"/>
      <c r="GL107" s="419"/>
      <c r="GM107" s="420">
        <f t="shared" si="149"/>
        <v>0</v>
      </c>
      <c r="GN107" s="420">
        <f t="shared" si="150"/>
        <v>0</v>
      </c>
      <c r="GO107" s="419"/>
      <c r="GP107" s="419"/>
      <c r="GQ107" s="419"/>
      <c r="GR107" s="420">
        <f t="shared" si="155"/>
        <v>0</v>
      </c>
      <c r="GS107" s="423">
        <f t="shared" si="151"/>
        <v>0</v>
      </c>
      <c r="GT107" s="419"/>
      <c r="GU107" s="419"/>
      <c r="GV107" s="419"/>
      <c r="GW107" s="420">
        <f t="shared" si="152"/>
        <v>0</v>
      </c>
      <c r="GX107" s="420">
        <f t="shared" si="153"/>
        <v>0</v>
      </c>
    </row>
    <row r="108" spans="1:206" ht="15">
      <c r="A108" s="414"/>
      <c r="B108" s="415" t="s">
        <v>537</v>
      </c>
      <c r="C108" s="698"/>
      <c r="D108" s="706"/>
      <c r="E108" s="434" t="s">
        <v>124</v>
      </c>
      <c r="F108" s="417">
        <v>0.09</v>
      </c>
      <c r="G108" s="418">
        <f t="shared" si="85"/>
        <v>464025988.11000001</v>
      </c>
      <c r="H108" s="418">
        <f t="shared" si="86"/>
        <v>464025988.16000003</v>
      </c>
      <c r="I108" s="418">
        <f t="shared" si="86"/>
        <v>41762338.949699998</v>
      </c>
      <c r="J108" s="418">
        <f t="shared" si="87"/>
        <v>464025988.32999998</v>
      </c>
      <c r="K108" s="418">
        <f t="shared" si="83"/>
        <v>0.17000001668930101</v>
      </c>
      <c r="L108" s="418">
        <f t="shared" si="84"/>
        <v>0.21999996900558499</v>
      </c>
      <c r="M108" s="424"/>
      <c r="N108" s="424"/>
      <c r="O108" s="424"/>
      <c r="P108" s="424"/>
      <c r="Q108" s="419"/>
      <c r="R108" s="419"/>
      <c r="S108" s="419"/>
      <c r="T108" s="420"/>
      <c r="U108" s="423"/>
      <c r="V108" s="420"/>
      <c r="W108" s="420"/>
      <c r="X108" s="419"/>
      <c r="Y108" s="419"/>
      <c r="Z108" s="423"/>
      <c r="AA108" s="423"/>
      <c r="AB108" s="419"/>
      <c r="AC108" s="423"/>
      <c r="AD108" s="420"/>
      <c r="AE108" s="423"/>
      <c r="AF108" s="444"/>
      <c r="AG108" s="419"/>
      <c r="AH108" s="420"/>
      <c r="AI108" s="420"/>
      <c r="AJ108" s="423"/>
      <c r="AK108" s="444"/>
      <c r="AL108" s="420"/>
      <c r="AM108" s="420"/>
      <c r="AN108" s="420"/>
      <c r="AO108" s="423"/>
      <c r="AP108" s="420"/>
      <c r="AQ108" s="419"/>
      <c r="AR108" s="420"/>
      <c r="AS108" s="420"/>
      <c r="AT108" s="420"/>
      <c r="AU108" s="420"/>
      <c r="AV108" s="420"/>
      <c r="AW108" s="420"/>
      <c r="AX108" s="426"/>
      <c r="AY108" s="420"/>
      <c r="AZ108" s="420"/>
      <c r="BA108" s="420"/>
      <c r="BB108" s="419"/>
      <c r="BC108" s="420"/>
      <c r="BD108" s="427"/>
      <c r="BE108" s="420"/>
      <c r="BF108" s="420"/>
      <c r="BG108" s="420"/>
      <c r="BH108" s="423"/>
      <c r="BI108" s="420"/>
      <c r="BJ108" s="420"/>
      <c r="BK108" s="420"/>
      <c r="BL108" s="420"/>
      <c r="BM108" s="420"/>
      <c r="BN108" s="420"/>
      <c r="BO108" s="419"/>
      <c r="BP108" s="428"/>
      <c r="BQ108" s="420"/>
      <c r="BR108" s="423"/>
      <c r="BS108" s="423"/>
      <c r="BT108" s="420"/>
      <c r="BU108" s="420"/>
      <c r="BV108" s="420"/>
      <c r="BW108" s="420"/>
      <c r="BX108" s="429"/>
      <c r="BY108" s="419"/>
      <c r="BZ108" s="419"/>
      <c r="CA108" s="419"/>
      <c r="CB108" s="420"/>
      <c r="CC108" s="430"/>
      <c r="CD108" s="419"/>
      <c r="CE108" s="419"/>
      <c r="CF108" s="419"/>
      <c r="CG108" s="420"/>
      <c r="CH108" s="423"/>
      <c r="CI108" s="432"/>
      <c r="CJ108" s="432"/>
      <c r="CK108" s="432"/>
      <c r="CL108" s="420">
        <f t="shared" si="167"/>
        <v>0</v>
      </c>
      <c r="CM108" s="423"/>
      <c r="CN108" s="420"/>
      <c r="CO108" s="420"/>
      <c r="CP108" s="420"/>
      <c r="CQ108" s="432"/>
      <c r="CR108" s="432">
        <f t="shared" si="169"/>
        <v>0</v>
      </c>
      <c r="CS108" s="420"/>
      <c r="CT108" s="420"/>
      <c r="CU108" s="420"/>
      <c r="CV108" s="420"/>
      <c r="CW108" s="420">
        <f t="shared" si="170"/>
        <v>0</v>
      </c>
      <c r="CX108" s="419">
        <v>15404478.76</v>
      </c>
      <c r="CY108" s="419"/>
      <c r="CZ108" s="419">
        <v>1386403.09</v>
      </c>
      <c r="DA108" s="419">
        <f t="shared" si="115"/>
        <v>15404478.779999999</v>
      </c>
      <c r="DB108" s="419">
        <f t="shared" si="116"/>
        <v>0.02</v>
      </c>
      <c r="DC108" s="419">
        <v>38153516.619999997</v>
      </c>
      <c r="DD108" s="419"/>
      <c r="DE108" s="419">
        <v>3433816.5</v>
      </c>
      <c r="DF108" s="420">
        <f t="shared" si="117"/>
        <v>38153516.666666701</v>
      </c>
      <c r="DG108" s="421">
        <f t="shared" si="118"/>
        <v>-4.6666674315929399E-2</v>
      </c>
      <c r="DH108" s="419">
        <v>13405529.84</v>
      </c>
      <c r="DI108" s="419">
        <v>60882146.579999998</v>
      </c>
      <c r="DJ108" s="419">
        <v>1206497.69</v>
      </c>
      <c r="DK108" s="420">
        <f t="shared" si="119"/>
        <v>13405529.888888899</v>
      </c>
      <c r="DL108" s="422">
        <f t="shared" si="120"/>
        <v>4.8888888210058198E-2</v>
      </c>
      <c r="DM108" s="420">
        <v>36639349.460000001</v>
      </c>
      <c r="DN108" s="420">
        <v>42720728.100000001</v>
      </c>
      <c r="DO108" s="420">
        <v>3297541.45</v>
      </c>
      <c r="DP108" s="420">
        <f t="shared" si="121"/>
        <v>36639349.444444403</v>
      </c>
      <c r="DQ108" s="420">
        <f t="shared" si="122"/>
        <v>-1.5555553138256101E-2</v>
      </c>
      <c r="DR108" s="419">
        <v>32289101.050000001</v>
      </c>
      <c r="DS108" s="419">
        <v>32289101.100000001</v>
      </c>
      <c r="DT108" s="419">
        <v>2906019.09</v>
      </c>
      <c r="DU108" s="420">
        <f t="shared" si="123"/>
        <v>32289101</v>
      </c>
      <c r="DV108" s="423">
        <f t="shared" si="124"/>
        <v>-5.0000000745058101E-2</v>
      </c>
      <c r="DW108" s="419">
        <v>17646622.129999999</v>
      </c>
      <c r="DX108" s="419"/>
      <c r="DY108" s="419">
        <v>1588195.99</v>
      </c>
      <c r="DZ108" s="420">
        <f t="shared" si="125"/>
        <v>17646622.109999999</v>
      </c>
      <c r="EA108" s="423">
        <f t="shared" si="126"/>
        <v>-0.02</v>
      </c>
      <c r="EB108" s="420">
        <v>25911404.329999998</v>
      </c>
      <c r="EC108" s="420">
        <v>17646622.129999999</v>
      </c>
      <c r="ED108" s="420">
        <v>2332026.3897000002</v>
      </c>
      <c r="EE108" s="419">
        <v>25911404.329999998</v>
      </c>
      <c r="EF108" s="420">
        <f t="shared" si="127"/>
        <v>0</v>
      </c>
      <c r="EG108" s="419">
        <v>1162330.1100000001</v>
      </c>
      <c r="EI108" s="419">
        <v>104609.71</v>
      </c>
      <c r="EJ108" s="420">
        <f t="shared" si="128"/>
        <v>1162330.1100000001</v>
      </c>
      <c r="EK108" s="420">
        <f t="shared" si="129"/>
        <v>0</v>
      </c>
      <c r="EL108" s="420">
        <v>21028334.710000001</v>
      </c>
      <c r="EM108" s="420">
        <v>48102069.140000001</v>
      </c>
      <c r="EN108" s="420">
        <v>1892550.14</v>
      </c>
      <c r="EO108" s="419">
        <f t="shared" si="130"/>
        <v>21028334.890000001</v>
      </c>
      <c r="EP108" s="419">
        <f t="shared" si="131"/>
        <v>0.18</v>
      </c>
      <c r="EQ108" s="420"/>
      <c r="ER108" s="419"/>
      <c r="ES108" s="419"/>
      <c r="ET108" s="419">
        <f t="shared" si="132"/>
        <v>0</v>
      </c>
      <c r="EU108" s="419">
        <f t="shared" si="133"/>
        <v>0</v>
      </c>
      <c r="EV108" s="455">
        <v>262385321.09999999</v>
      </c>
      <c r="EW108" s="455">
        <v>130230210.89</v>
      </c>
      <c r="EX108" s="419">
        <v>23614678.899999999</v>
      </c>
      <c r="EY108" s="419">
        <f t="shared" si="134"/>
        <v>262385321.11000001</v>
      </c>
      <c r="EZ108" s="419">
        <f t="shared" si="154"/>
        <v>0.01</v>
      </c>
      <c r="FA108" s="420"/>
      <c r="FB108" s="420">
        <v>132155110.22</v>
      </c>
      <c r="FC108" s="420"/>
      <c r="FD108" s="420">
        <f t="shared" si="135"/>
        <v>0</v>
      </c>
      <c r="FE108" s="420">
        <f t="shared" si="136"/>
        <v>0</v>
      </c>
      <c r="FF108" s="419"/>
      <c r="FG108" s="419"/>
      <c r="FH108" s="419"/>
      <c r="FI108" s="419">
        <f t="shared" si="137"/>
        <v>0</v>
      </c>
      <c r="FJ108" s="419">
        <f t="shared" si="138"/>
        <v>0</v>
      </c>
      <c r="FK108" s="419"/>
      <c r="FL108" s="419"/>
      <c r="FM108" s="419"/>
      <c r="FN108" s="420">
        <f t="shared" si="139"/>
        <v>0</v>
      </c>
      <c r="FO108" s="423">
        <f t="shared" si="140"/>
        <v>0</v>
      </c>
      <c r="FP108" s="419"/>
      <c r="FQ108" s="419"/>
      <c r="FR108" s="419"/>
      <c r="FS108" s="420">
        <f t="shared" si="141"/>
        <v>0</v>
      </c>
      <c r="FT108" s="420">
        <f t="shared" si="142"/>
        <v>0</v>
      </c>
      <c r="FU108" s="419"/>
      <c r="FV108" s="419"/>
      <c r="FW108" s="419"/>
      <c r="FX108" s="420">
        <f t="shared" si="143"/>
        <v>0</v>
      </c>
      <c r="FY108" s="420">
        <f t="shared" si="144"/>
        <v>0</v>
      </c>
      <c r="FZ108" s="419"/>
      <c r="GA108" s="419"/>
      <c r="GB108" s="419"/>
      <c r="GC108" s="420">
        <f t="shared" si="145"/>
        <v>0</v>
      </c>
      <c r="GD108" s="420">
        <f t="shared" si="146"/>
        <v>0</v>
      </c>
      <c r="GE108" s="419"/>
      <c r="GF108" s="419"/>
      <c r="GG108" s="419"/>
      <c r="GH108" s="420">
        <f t="shared" si="147"/>
        <v>0</v>
      </c>
      <c r="GI108" s="423">
        <f t="shared" si="148"/>
        <v>0</v>
      </c>
      <c r="GJ108" s="419"/>
      <c r="GK108" s="419"/>
      <c r="GL108" s="419"/>
      <c r="GM108" s="420">
        <f t="shared" si="149"/>
        <v>0</v>
      </c>
      <c r="GN108" s="420">
        <f t="shared" si="150"/>
        <v>0</v>
      </c>
      <c r="GO108" s="419"/>
      <c r="GP108" s="419"/>
      <c r="GQ108" s="419"/>
      <c r="GR108" s="420">
        <f t="shared" si="155"/>
        <v>0</v>
      </c>
      <c r="GS108" s="423">
        <f t="shared" si="151"/>
        <v>0</v>
      </c>
      <c r="GT108" s="419"/>
      <c r="GU108" s="419"/>
      <c r="GV108" s="419"/>
      <c r="GW108" s="420">
        <f t="shared" si="152"/>
        <v>0</v>
      </c>
      <c r="GX108" s="420">
        <f t="shared" si="153"/>
        <v>0</v>
      </c>
    </row>
    <row r="109" spans="1:206" ht="15">
      <c r="A109" s="414"/>
      <c r="B109" s="415" t="s">
        <v>537</v>
      </c>
      <c r="C109" s="698"/>
      <c r="D109" s="707"/>
      <c r="E109" s="434" t="s">
        <v>125</v>
      </c>
      <c r="F109" s="417">
        <v>0.06</v>
      </c>
      <c r="G109" s="418">
        <f t="shared" si="85"/>
        <v>22358983.510000002</v>
      </c>
      <c r="H109" s="418">
        <f t="shared" si="86"/>
        <v>23357761.370000001</v>
      </c>
      <c r="I109" s="418">
        <f t="shared" si="86"/>
        <v>1341538.8907999999</v>
      </c>
      <c r="J109" s="418">
        <f t="shared" si="87"/>
        <v>22358981.513333298</v>
      </c>
      <c r="K109" s="418">
        <f t="shared" si="83"/>
        <v>-998779.85666666902</v>
      </c>
      <c r="L109" s="418">
        <f t="shared" si="84"/>
        <v>-1.9966666661202901</v>
      </c>
      <c r="M109" s="424"/>
      <c r="N109" s="424"/>
      <c r="O109" s="424"/>
      <c r="P109" s="424"/>
      <c r="Q109" s="419"/>
      <c r="R109" s="419"/>
      <c r="S109" s="419"/>
      <c r="T109" s="420"/>
      <c r="U109" s="423"/>
      <c r="V109" s="420"/>
      <c r="W109" s="420"/>
      <c r="X109" s="419"/>
      <c r="Y109" s="419"/>
      <c r="Z109" s="423"/>
      <c r="AA109" s="423"/>
      <c r="AB109" s="419"/>
      <c r="AC109" s="423"/>
      <c r="AD109" s="420"/>
      <c r="AE109" s="423"/>
      <c r="AF109" s="444"/>
      <c r="AG109" s="419"/>
      <c r="AH109" s="420"/>
      <c r="AI109" s="420"/>
      <c r="AJ109" s="423"/>
      <c r="AK109" s="444"/>
      <c r="AL109" s="420"/>
      <c r="AM109" s="420"/>
      <c r="AN109" s="420"/>
      <c r="AO109" s="423"/>
      <c r="AP109" s="420"/>
      <c r="AQ109" s="419"/>
      <c r="AR109" s="420"/>
      <c r="AS109" s="420"/>
      <c r="AT109" s="420"/>
      <c r="AU109" s="420"/>
      <c r="AV109" s="420"/>
      <c r="AW109" s="420"/>
      <c r="AX109" s="426"/>
      <c r="AY109" s="420"/>
      <c r="AZ109" s="420"/>
      <c r="BA109" s="420"/>
      <c r="BB109" s="419"/>
      <c r="BC109" s="420"/>
      <c r="BD109" s="427"/>
      <c r="BE109" s="420"/>
      <c r="BF109" s="420"/>
      <c r="BG109" s="420"/>
      <c r="BH109" s="423"/>
      <c r="BI109" s="420"/>
      <c r="BJ109" s="420"/>
      <c r="BK109" s="420"/>
      <c r="BL109" s="420"/>
      <c r="BM109" s="420"/>
      <c r="BN109" s="420"/>
      <c r="BO109" s="419"/>
      <c r="BP109" s="428"/>
      <c r="BQ109" s="420"/>
      <c r="BR109" s="423"/>
      <c r="BS109" s="423"/>
      <c r="BT109" s="420"/>
      <c r="BU109" s="420"/>
      <c r="BV109" s="420"/>
      <c r="BW109" s="420"/>
      <c r="BX109" s="429"/>
      <c r="BY109" s="419"/>
      <c r="BZ109" s="419"/>
      <c r="CA109" s="419"/>
      <c r="CB109" s="420"/>
      <c r="CC109" s="430"/>
      <c r="CD109" s="419"/>
      <c r="CE109" s="419"/>
      <c r="CF109" s="419"/>
      <c r="CG109" s="420"/>
      <c r="CH109" s="423"/>
      <c r="CI109" s="432">
        <v>1201105.7</v>
      </c>
      <c r="CJ109" s="432"/>
      <c r="CK109" s="432">
        <v>72066.34</v>
      </c>
      <c r="CL109" s="420">
        <f t="shared" si="167"/>
        <v>1201105.66666667</v>
      </c>
      <c r="CM109" s="423"/>
      <c r="CN109" s="420">
        <v>119218.34</v>
      </c>
      <c r="CO109" s="420"/>
      <c r="CP109" s="420">
        <v>7153.11</v>
      </c>
      <c r="CQ109" s="432">
        <v>119218.34</v>
      </c>
      <c r="CR109" s="432">
        <f t="shared" si="169"/>
        <v>0</v>
      </c>
      <c r="CS109" s="420">
        <v>792217.59999999998</v>
      </c>
      <c r="CT109" s="420"/>
      <c r="CU109" s="420">
        <v>47533.06</v>
      </c>
      <c r="CV109" s="420">
        <v>792217.59999999998</v>
      </c>
      <c r="CW109" s="420">
        <f t="shared" si="170"/>
        <v>0</v>
      </c>
      <c r="CX109" s="419">
        <v>564273.98</v>
      </c>
      <c r="CY109" s="419"/>
      <c r="CZ109" s="419">
        <v>33856.44</v>
      </c>
      <c r="DA109" s="419">
        <f t="shared" si="115"/>
        <v>564274</v>
      </c>
      <c r="DB109" s="419">
        <f t="shared" si="116"/>
        <v>0.02</v>
      </c>
      <c r="DC109" s="419">
        <v>1323778.3899999999</v>
      </c>
      <c r="DD109" s="419"/>
      <c r="DE109" s="419">
        <v>79426.7</v>
      </c>
      <c r="DF109" s="420">
        <f t="shared" si="117"/>
        <v>1323778.33333333</v>
      </c>
      <c r="DG109" s="421">
        <f t="shared" si="118"/>
        <v>5.6666666641831398E-2</v>
      </c>
      <c r="DH109" s="419">
        <v>121988.68</v>
      </c>
      <c r="DI109" s="419">
        <v>4014691.65</v>
      </c>
      <c r="DJ109" s="419">
        <v>7319.32</v>
      </c>
      <c r="DK109" s="420">
        <f t="shared" si="119"/>
        <v>121988.66666666701</v>
      </c>
      <c r="DL109" s="422">
        <f t="shared" si="120"/>
        <v>-1.33333333214978E-2</v>
      </c>
      <c r="DM109" s="420">
        <v>111141.92</v>
      </c>
      <c r="DN109" s="420">
        <v>107891.03</v>
      </c>
      <c r="DO109" s="420">
        <v>6668.51</v>
      </c>
      <c r="DP109" s="420">
        <f t="shared" si="121"/>
        <v>111141.83333333299</v>
      </c>
      <c r="DQ109" s="420">
        <f t="shared" si="122"/>
        <v>-8.6666666655219202E-2</v>
      </c>
      <c r="DR109" s="419">
        <v>102885.77</v>
      </c>
      <c r="DS109" s="419">
        <v>111141.92</v>
      </c>
      <c r="DT109" s="419">
        <v>6173.15</v>
      </c>
      <c r="DU109" s="420">
        <f t="shared" si="123"/>
        <v>102885.83333333299</v>
      </c>
      <c r="DV109" s="423">
        <f t="shared" si="124"/>
        <v>6.33333333244082E-2</v>
      </c>
      <c r="DW109" s="419">
        <v>30040.26</v>
      </c>
      <c r="DX109" s="419"/>
      <c r="DY109" s="419">
        <v>1802.42</v>
      </c>
      <c r="DZ109" s="420">
        <f t="shared" si="125"/>
        <v>30040.33</v>
      </c>
      <c r="EA109" s="423">
        <f t="shared" si="126"/>
        <v>7.0000000000000007E-2</v>
      </c>
      <c r="EB109" s="419">
        <v>419744.54</v>
      </c>
      <c r="EC109" s="419"/>
      <c r="ED109" s="420">
        <v>25184.672399999999</v>
      </c>
      <c r="EE109" s="419">
        <v>419744.54</v>
      </c>
      <c r="EF109" s="420">
        <f t="shared" si="127"/>
        <v>0</v>
      </c>
      <c r="EG109" s="419">
        <v>569446.13</v>
      </c>
      <c r="EH109" s="419">
        <v>1551448.53</v>
      </c>
      <c r="EI109" s="419">
        <v>34166.769999999997</v>
      </c>
      <c r="EJ109" s="420">
        <f t="shared" si="128"/>
        <v>569446.17000000004</v>
      </c>
      <c r="EK109" s="420">
        <f t="shared" si="129"/>
        <v>0.04</v>
      </c>
      <c r="EL109" s="419">
        <v>17003142.199999999</v>
      </c>
      <c r="EM109" s="419">
        <v>15701760.970000001</v>
      </c>
      <c r="EN109" s="419">
        <v>1020188.3983999999</v>
      </c>
      <c r="EO109" s="419">
        <f t="shared" si="130"/>
        <v>17003139.969999999</v>
      </c>
      <c r="EP109" s="419">
        <f t="shared" si="131"/>
        <v>-2.23</v>
      </c>
      <c r="EQ109" s="419"/>
      <c r="ER109" s="419"/>
      <c r="ES109" s="419"/>
      <c r="ET109" s="419">
        <f t="shared" si="132"/>
        <v>0</v>
      </c>
      <c r="EU109" s="419">
        <f t="shared" si="133"/>
        <v>0</v>
      </c>
      <c r="EV109" s="419"/>
      <c r="EW109" s="419">
        <v>1870827.27</v>
      </c>
      <c r="EX109" s="419"/>
      <c r="EY109" s="419">
        <f t="shared" si="134"/>
        <v>0</v>
      </c>
      <c r="EZ109" s="419">
        <f t="shared" si="154"/>
        <v>0</v>
      </c>
      <c r="FA109" s="420"/>
      <c r="FB109" s="420"/>
      <c r="FC109" s="420"/>
      <c r="FD109" s="420">
        <f t="shared" si="135"/>
        <v>0</v>
      </c>
      <c r="FE109" s="420">
        <f t="shared" si="136"/>
        <v>0</v>
      </c>
      <c r="FF109" s="419"/>
      <c r="FG109" s="419"/>
      <c r="FH109" s="419"/>
      <c r="FI109" s="419">
        <f t="shared" si="137"/>
        <v>0</v>
      </c>
      <c r="FJ109" s="419">
        <f t="shared" si="138"/>
        <v>0</v>
      </c>
      <c r="FK109" s="419"/>
      <c r="FL109" s="419"/>
      <c r="FM109" s="419"/>
      <c r="FN109" s="420">
        <f t="shared" si="139"/>
        <v>0</v>
      </c>
      <c r="FO109" s="423">
        <f t="shared" si="140"/>
        <v>0</v>
      </c>
      <c r="FP109" s="419"/>
      <c r="FQ109" s="419"/>
      <c r="FR109" s="419"/>
      <c r="FS109" s="420">
        <f t="shared" si="141"/>
        <v>0</v>
      </c>
      <c r="FT109" s="420">
        <f t="shared" si="142"/>
        <v>0</v>
      </c>
      <c r="FU109" s="419"/>
      <c r="FV109" s="419"/>
      <c r="FW109" s="419"/>
      <c r="FX109" s="420">
        <f t="shared" si="143"/>
        <v>0</v>
      </c>
      <c r="FY109" s="420">
        <f t="shared" si="144"/>
        <v>0</v>
      </c>
      <c r="FZ109" s="419"/>
      <c r="GA109" s="419"/>
      <c r="GB109" s="419"/>
      <c r="GC109" s="420">
        <f t="shared" si="145"/>
        <v>0</v>
      </c>
      <c r="GD109" s="420">
        <f t="shared" si="146"/>
        <v>0</v>
      </c>
      <c r="GE109" s="419"/>
      <c r="GF109" s="419"/>
      <c r="GG109" s="419"/>
      <c r="GH109" s="420">
        <f t="shared" si="147"/>
        <v>0</v>
      </c>
      <c r="GI109" s="423">
        <f t="shared" si="148"/>
        <v>0</v>
      </c>
      <c r="GJ109" s="419"/>
      <c r="GK109" s="419"/>
      <c r="GL109" s="419"/>
      <c r="GM109" s="420">
        <f t="shared" si="149"/>
        <v>0</v>
      </c>
      <c r="GN109" s="420">
        <f t="shared" si="150"/>
        <v>0</v>
      </c>
      <c r="GO109" s="419"/>
      <c r="GP109" s="419"/>
      <c r="GQ109" s="419"/>
      <c r="GR109" s="420">
        <f t="shared" si="155"/>
        <v>0</v>
      </c>
      <c r="GS109" s="423">
        <f t="shared" si="151"/>
        <v>0</v>
      </c>
      <c r="GT109" s="419"/>
      <c r="GU109" s="419"/>
      <c r="GV109" s="419"/>
      <c r="GW109" s="420">
        <f t="shared" si="152"/>
        <v>0</v>
      </c>
      <c r="GX109" s="420">
        <f t="shared" si="153"/>
        <v>0</v>
      </c>
    </row>
    <row r="110" spans="1:206" ht="15">
      <c r="A110" s="414"/>
      <c r="B110" s="415" t="s">
        <v>537</v>
      </c>
      <c r="C110" s="698"/>
      <c r="D110" s="704" t="s">
        <v>539</v>
      </c>
      <c r="E110" s="434" t="s">
        <v>123</v>
      </c>
      <c r="F110" s="417">
        <v>0.13</v>
      </c>
      <c r="G110" s="418">
        <f t="shared" si="85"/>
        <v>431061946.89999998</v>
      </c>
      <c r="H110" s="418">
        <f t="shared" si="86"/>
        <v>707168141.59000003</v>
      </c>
      <c r="I110" s="418">
        <f t="shared" si="86"/>
        <v>56038053.0911</v>
      </c>
      <c r="J110" s="418">
        <f t="shared" si="87"/>
        <v>431061946.85461497</v>
      </c>
      <c r="K110" s="418">
        <f t="shared" si="83"/>
        <v>-276106194.735385</v>
      </c>
      <c r="L110" s="418">
        <f t="shared" si="84"/>
        <v>-4.5384585857391399E-2</v>
      </c>
      <c r="M110" s="424"/>
      <c r="N110" s="424"/>
      <c r="O110" s="424"/>
      <c r="P110" s="424"/>
      <c r="Q110" s="419"/>
      <c r="R110" s="419"/>
      <c r="S110" s="419"/>
      <c r="T110" s="420"/>
      <c r="U110" s="423"/>
      <c r="V110" s="420"/>
      <c r="W110" s="420"/>
      <c r="X110" s="419"/>
      <c r="Y110" s="419"/>
      <c r="Z110" s="423"/>
      <c r="AA110" s="423"/>
      <c r="AB110" s="419"/>
      <c r="AC110" s="423"/>
      <c r="AD110" s="420"/>
      <c r="AE110" s="423"/>
      <c r="AF110" s="444"/>
      <c r="AG110" s="419"/>
      <c r="AH110" s="420"/>
      <c r="AI110" s="420"/>
      <c r="AJ110" s="423"/>
      <c r="AK110" s="444"/>
      <c r="AL110" s="420"/>
      <c r="AM110" s="420"/>
      <c r="AN110" s="420"/>
      <c r="AO110" s="423"/>
      <c r="AP110" s="420"/>
      <c r="AQ110" s="419"/>
      <c r="AR110" s="420"/>
      <c r="AS110" s="420"/>
      <c r="AT110" s="420"/>
      <c r="AU110" s="420"/>
      <c r="AV110" s="420"/>
      <c r="AW110" s="420"/>
      <c r="AX110" s="426"/>
      <c r="AY110" s="420"/>
      <c r="AZ110" s="420"/>
      <c r="BA110" s="420"/>
      <c r="BB110" s="419"/>
      <c r="BC110" s="420"/>
      <c r="BD110" s="427"/>
      <c r="BE110" s="420"/>
      <c r="BF110" s="420"/>
      <c r="BG110" s="420"/>
      <c r="BH110" s="423"/>
      <c r="BI110" s="420"/>
      <c r="BJ110" s="420"/>
      <c r="BK110" s="420"/>
      <c r="BL110" s="420"/>
      <c r="BM110" s="420"/>
      <c r="BN110" s="420"/>
      <c r="BO110" s="419"/>
      <c r="BP110" s="428"/>
      <c r="BQ110" s="420"/>
      <c r="BR110" s="423"/>
      <c r="BS110" s="423"/>
      <c r="BT110" s="420"/>
      <c r="BU110" s="420"/>
      <c r="BV110" s="420"/>
      <c r="BW110" s="420"/>
      <c r="BX110" s="429"/>
      <c r="BY110" s="419"/>
      <c r="BZ110" s="419"/>
      <c r="CA110" s="419"/>
      <c r="CB110" s="420"/>
      <c r="CC110" s="430"/>
      <c r="CD110" s="419"/>
      <c r="CE110" s="419"/>
      <c r="CF110" s="419"/>
      <c r="CG110" s="420"/>
      <c r="CH110" s="423"/>
      <c r="CI110" s="432"/>
      <c r="CJ110" s="432"/>
      <c r="CK110" s="432"/>
      <c r="CL110" s="420">
        <f t="shared" si="167"/>
        <v>0</v>
      </c>
      <c r="CM110" s="423"/>
      <c r="CN110" s="420"/>
      <c r="CO110" s="420"/>
      <c r="CP110" s="420"/>
      <c r="CQ110" s="432"/>
      <c r="CR110" s="432">
        <f t="shared" si="169"/>
        <v>0</v>
      </c>
      <c r="CS110" s="420"/>
      <c r="CT110" s="420"/>
      <c r="CU110" s="420"/>
      <c r="CV110" s="420"/>
      <c r="CW110" s="420">
        <f t="shared" si="170"/>
        <v>0</v>
      </c>
      <c r="CX110" s="419"/>
      <c r="CY110" s="419"/>
      <c r="CZ110" s="419"/>
      <c r="DA110" s="419">
        <f t="shared" si="115"/>
        <v>0</v>
      </c>
      <c r="DB110" s="419">
        <f t="shared" si="116"/>
        <v>0</v>
      </c>
      <c r="DC110" s="419"/>
      <c r="DD110" s="419"/>
      <c r="DE110" s="419"/>
      <c r="DF110" s="420">
        <f t="shared" si="117"/>
        <v>0</v>
      </c>
      <c r="DG110" s="421">
        <f t="shared" si="118"/>
        <v>0</v>
      </c>
      <c r="DH110" s="419"/>
      <c r="DI110" s="419"/>
      <c r="DJ110" s="419"/>
      <c r="DK110" s="420">
        <f t="shared" si="119"/>
        <v>0</v>
      </c>
      <c r="DL110" s="422">
        <f t="shared" si="120"/>
        <v>0</v>
      </c>
      <c r="DM110" s="420"/>
      <c r="DN110" s="420"/>
      <c r="DO110" s="420"/>
      <c r="DP110" s="420">
        <f t="shared" si="121"/>
        <v>0</v>
      </c>
      <c r="DQ110" s="420">
        <f t="shared" si="122"/>
        <v>0</v>
      </c>
      <c r="DR110" s="419"/>
      <c r="DS110" s="419"/>
      <c r="DT110" s="419"/>
      <c r="DU110" s="420">
        <f t="shared" si="123"/>
        <v>0</v>
      </c>
      <c r="DV110" s="423">
        <f t="shared" si="124"/>
        <v>0</v>
      </c>
      <c r="DW110" s="419">
        <v>54911504.43</v>
      </c>
      <c r="DX110" s="419"/>
      <c r="DY110" s="419">
        <v>7138495.5700000003</v>
      </c>
      <c r="DZ110" s="420">
        <f t="shared" si="125"/>
        <v>54911504.380000003</v>
      </c>
      <c r="EA110" s="423">
        <f t="shared" si="126"/>
        <v>-0.05</v>
      </c>
      <c r="EB110" s="419">
        <v>356052079.58999997</v>
      </c>
      <c r="EC110" s="420">
        <v>62267209.710000001</v>
      </c>
      <c r="ED110" s="420">
        <v>46286770.346699998</v>
      </c>
      <c r="EE110" s="419">
        <v>356052079.58999997</v>
      </c>
      <c r="EF110" s="420">
        <f t="shared" si="127"/>
        <v>0</v>
      </c>
      <c r="EG110" s="419"/>
      <c r="EH110" s="419">
        <v>348696374.31</v>
      </c>
      <c r="EI110" s="419"/>
      <c r="EJ110" s="420">
        <f t="shared" si="128"/>
        <v>0</v>
      </c>
      <c r="EK110" s="420">
        <f t="shared" si="129"/>
        <v>0</v>
      </c>
      <c r="EL110" s="419">
        <v>20098362.879999999</v>
      </c>
      <c r="EN110" s="419">
        <v>2612787.1743999999</v>
      </c>
      <c r="EO110" s="419">
        <f t="shared" si="130"/>
        <v>20098362.879999999</v>
      </c>
      <c r="EP110" s="419">
        <f t="shared" si="131"/>
        <v>0</v>
      </c>
      <c r="EQ110" s="419"/>
      <c r="ER110" s="419"/>
      <c r="ES110" s="419"/>
      <c r="ET110" s="419">
        <f t="shared" si="132"/>
        <v>0</v>
      </c>
      <c r="EU110" s="419">
        <f t="shared" si="133"/>
        <v>0</v>
      </c>
      <c r="EV110" s="419"/>
      <c r="EW110" s="419"/>
      <c r="EX110" s="419"/>
      <c r="EY110" s="419">
        <f t="shared" si="134"/>
        <v>0</v>
      </c>
      <c r="EZ110" s="419">
        <f t="shared" si="154"/>
        <v>0</v>
      </c>
      <c r="FA110" s="420"/>
      <c r="FB110" s="420">
        <v>296204557.56999999</v>
      </c>
      <c r="FC110" s="420"/>
      <c r="FD110" s="420">
        <f t="shared" si="135"/>
        <v>0</v>
      </c>
      <c r="FE110" s="420">
        <f t="shared" si="136"/>
        <v>0</v>
      </c>
      <c r="FF110" s="419"/>
      <c r="FG110" s="419"/>
      <c r="FH110" s="419"/>
      <c r="FI110" s="419">
        <f t="shared" si="137"/>
        <v>0</v>
      </c>
      <c r="FJ110" s="419">
        <f t="shared" si="138"/>
        <v>0</v>
      </c>
      <c r="FK110" s="419"/>
      <c r="FL110" s="419"/>
      <c r="FM110" s="419"/>
      <c r="FN110" s="420">
        <f t="shared" si="139"/>
        <v>0</v>
      </c>
      <c r="FO110" s="423">
        <f t="shared" si="140"/>
        <v>0</v>
      </c>
      <c r="FP110" s="419"/>
      <c r="FQ110" s="419"/>
      <c r="FR110" s="419"/>
      <c r="FS110" s="420">
        <f t="shared" si="141"/>
        <v>0</v>
      </c>
      <c r="FT110" s="420">
        <f t="shared" si="142"/>
        <v>0</v>
      </c>
      <c r="FU110" s="419"/>
      <c r="FV110" s="419"/>
      <c r="FW110" s="419"/>
      <c r="FX110" s="420">
        <f t="shared" si="143"/>
        <v>0</v>
      </c>
      <c r="FY110" s="420">
        <f t="shared" si="144"/>
        <v>0</v>
      </c>
      <c r="FZ110" s="419"/>
      <c r="GA110" s="419"/>
      <c r="GB110" s="419"/>
      <c r="GC110" s="420">
        <f t="shared" si="145"/>
        <v>0</v>
      </c>
      <c r="GD110" s="420">
        <f t="shared" si="146"/>
        <v>0</v>
      </c>
      <c r="GE110" s="419"/>
      <c r="GF110" s="419"/>
      <c r="GG110" s="419"/>
      <c r="GH110" s="420">
        <f t="shared" si="147"/>
        <v>0</v>
      </c>
      <c r="GI110" s="423">
        <f t="shared" si="148"/>
        <v>0</v>
      </c>
      <c r="GJ110" s="419"/>
      <c r="GK110" s="419"/>
      <c r="GL110" s="419"/>
      <c r="GM110" s="420">
        <f t="shared" si="149"/>
        <v>0</v>
      </c>
      <c r="GN110" s="420">
        <f t="shared" si="150"/>
        <v>0</v>
      </c>
      <c r="GO110" s="419"/>
      <c r="GP110" s="419"/>
      <c r="GQ110" s="419"/>
      <c r="GR110" s="420">
        <f t="shared" si="155"/>
        <v>0</v>
      </c>
      <c r="GS110" s="423">
        <f t="shared" si="151"/>
        <v>0</v>
      </c>
      <c r="GT110" s="419"/>
      <c r="GU110" s="419"/>
      <c r="GV110" s="419"/>
      <c r="GW110" s="420">
        <f t="shared" si="152"/>
        <v>0</v>
      </c>
      <c r="GX110" s="420">
        <f t="shared" si="153"/>
        <v>0</v>
      </c>
    </row>
    <row r="111" spans="1:206" ht="15">
      <c r="A111" s="414"/>
      <c r="B111" s="415" t="s">
        <v>537</v>
      </c>
      <c r="C111" s="698"/>
      <c r="D111" s="706"/>
      <c r="E111" s="434" t="s">
        <v>124</v>
      </c>
      <c r="F111" s="417">
        <v>0.09</v>
      </c>
      <c r="G111" s="418">
        <f t="shared" si="85"/>
        <v>0</v>
      </c>
      <c r="H111" s="418">
        <f t="shared" si="86"/>
        <v>0</v>
      </c>
      <c r="I111" s="418">
        <f t="shared" si="86"/>
        <v>0</v>
      </c>
      <c r="J111" s="418">
        <f t="shared" si="87"/>
        <v>0</v>
      </c>
      <c r="K111" s="418">
        <f t="shared" si="83"/>
        <v>0</v>
      </c>
      <c r="L111" s="418">
        <f t="shared" si="84"/>
        <v>0</v>
      </c>
      <c r="M111" s="424"/>
      <c r="N111" s="424"/>
      <c r="O111" s="424"/>
      <c r="P111" s="424"/>
      <c r="Q111" s="419"/>
      <c r="R111" s="419"/>
      <c r="S111" s="419"/>
      <c r="T111" s="420"/>
      <c r="U111" s="423"/>
      <c r="V111" s="420"/>
      <c r="W111" s="420"/>
      <c r="X111" s="419"/>
      <c r="Y111" s="419"/>
      <c r="Z111" s="423"/>
      <c r="AA111" s="423"/>
      <c r="AB111" s="419"/>
      <c r="AC111" s="423"/>
      <c r="AD111" s="420"/>
      <c r="AE111" s="423"/>
      <c r="AF111" s="444"/>
      <c r="AG111" s="419"/>
      <c r="AH111" s="420"/>
      <c r="AI111" s="420"/>
      <c r="AJ111" s="423"/>
      <c r="AK111" s="444"/>
      <c r="AL111" s="420"/>
      <c r="AM111" s="420"/>
      <c r="AN111" s="420"/>
      <c r="AO111" s="423"/>
      <c r="AP111" s="420"/>
      <c r="AQ111" s="419"/>
      <c r="AR111" s="420"/>
      <c r="AS111" s="420"/>
      <c r="AT111" s="420"/>
      <c r="AU111" s="420"/>
      <c r="AV111" s="420"/>
      <c r="AW111" s="420"/>
      <c r="AX111" s="426"/>
      <c r="AY111" s="420"/>
      <c r="AZ111" s="420"/>
      <c r="BA111" s="420"/>
      <c r="BB111" s="419"/>
      <c r="BC111" s="420"/>
      <c r="BD111" s="427"/>
      <c r="BE111" s="420"/>
      <c r="BF111" s="420"/>
      <c r="BG111" s="420"/>
      <c r="BH111" s="423"/>
      <c r="BI111" s="420"/>
      <c r="BJ111" s="420"/>
      <c r="BK111" s="420"/>
      <c r="BL111" s="420"/>
      <c r="BM111" s="420"/>
      <c r="BN111" s="420"/>
      <c r="BO111" s="419"/>
      <c r="BP111" s="428"/>
      <c r="BQ111" s="420"/>
      <c r="BR111" s="423"/>
      <c r="BS111" s="423"/>
      <c r="BT111" s="420"/>
      <c r="BU111" s="420"/>
      <c r="BV111" s="420"/>
      <c r="BW111" s="420"/>
      <c r="BX111" s="429"/>
      <c r="BY111" s="419"/>
      <c r="BZ111" s="419"/>
      <c r="CA111" s="419"/>
      <c r="CB111" s="420"/>
      <c r="CC111" s="430"/>
      <c r="CD111" s="419"/>
      <c r="CE111" s="419"/>
      <c r="CF111" s="419"/>
      <c r="CG111" s="420"/>
      <c r="CH111" s="423"/>
      <c r="CI111" s="432"/>
      <c r="CJ111" s="432"/>
      <c r="CK111" s="432"/>
      <c r="CL111" s="420">
        <f t="shared" si="167"/>
        <v>0</v>
      </c>
      <c r="CM111" s="423"/>
      <c r="CN111" s="420"/>
      <c r="CO111" s="420"/>
      <c r="CP111" s="420"/>
      <c r="CQ111" s="432"/>
      <c r="CR111" s="432">
        <f t="shared" si="169"/>
        <v>0</v>
      </c>
      <c r="CS111" s="420"/>
      <c r="CT111" s="420"/>
      <c r="CU111" s="420"/>
      <c r="CV111" s="420"/>
      <c r="CW111" s="420">
        <f t="shared" si="170"/>
        <v>0</v>
      </c>
      <c r="CX111" s="419"/>
      <c r="CY111" s="419"/>
      <c r="CZ111" s="419"/>
      <c r="DA111" s="419">
        <f t="shared" si="115"/>
        <v>0</v>
      </c>
      <c r="DB111" s="419">
        <f t="shared" si="116"/>
        <v>0</v>
      </c>
      <c r="DC111" s="419"/>
      <c r="DD111" s="419"/>
      <c r="DE111" s="419"/>
      <c r="DF111" s="420">
        <f t="shared" si="117"/>
        <v>0</v>
      </c>
      <c r="DG111" s="421">
        <f t="shared" si="118"/>
        <v>0</v>
      </c>
      <c r="DH111" s="419"/>
      <c r="DI111" s="419"/>
      <c r="DJ111" s="419"/>
      <c r="DK111" s="420">
        <f t="shared" si="119"/>
        <v>0</v>
      </c>
      <c r="DL111" s="422">
        <f t="shared" si="120"/>
        <v>0</v>
      </c>
      <c r="DM111" s="420"/>
      <c r="DN111" s="420"/>
      <c r="DO111" s="420"/>
      <c r="DP111" s="420">
        <f t="shared" si="121"/>
        <v>0</v>
      </c>
      <c r="DQ111" s="420">
        <f t="shared" si="122"/>
        <v>0</v>
      </c>
      <c r="DR111" s="419"/>
      <c r="DS111" s="419"/>
      <c r="DT111" s="419"/>
      <c r="DU111" s="420">
        <f t="shared" si="123"/>
        <v>0</v>
      </c>
      <c r="DV111" s="423">
        <f t="shared" si="124"/>
        <v>0</v>
      </c>
      <c r="DW111" s="419"/>
      <c r="DX111" s="419"/>
      <c r="DY111" s="419"/>
      <c r="DZ111" s="420">
        <f t="shared" si="125"/>
        <v>0</v>
      </c>
      <c r="EA111" s="423">
        <f t="shared" si="126"/>
        <v>0</v>
      </c>
      <c r="EB111" s="420"/>
      <c r="EC111" s="419"/>
      <c r="ED111" s="420"/>
      <c r="EE111" s="419"/>
      <c r="EF111" s="420">
        <f t="shared" si="127"/>
        <v>0</v>
      </c>
      <c r="EG111" s="419"/>
      <c r="EH111" s="419"/>
      <c r="EI111" s="419"/>
      <c r="EJ111" s="420">
        <f t="shared" si="128"/>
        <v>0</v>
      </c>
      <c r="EK111" s="420">
        <f t="shared" si="129"/>
        <v>0</v>
      </c>
      <c r="EL111" s="420"/>
      <c r="EM111" s="419"/>
      <c r="EN111" s="419"/>
      <c r="EO111" s="419">
        <f t="shared" si="130"/>
        <v>0</v>
      </c>
      <c r="EP111" s="419">
        <f t="shared" si="131"/>
        <v>0</v>
      </c>
      <c r="EQ111" s="419"/>
      <c r="ER111" s="419"/>
      <c r="ES111" s="419"/>
      <c r="ET111" s="419">
        <f t="shared" si="132"/>
        <v>0</v>
      </c>
      <c r="EU111" s="419">
        <f t="shared" si="133"/>
        <v>0</v>
      </c>
      <c r="EV111" s="419"/>
      <c r="EW111" s="419"/>
      <c r="EX111" s="419"/>
      <c r="EY111" s="419">
        <f t="shared" si="134"/>
        <v>0</v>
      </c>
      <c r="EZ111" s="419">
        <f t="shared" si="154"/>
        <v>0</v>
      </c>
      <c r="FA111" s="420"/>
      <c r="FB111" s="420"/>
      <c r="FC111" s="420"/>
      <c r="FD111" s="420">
        <f t="shared" si="135"/>
        <v>0</v>
      </c>
      <c r="FE111" s="420">
        <f t="shared" si="136"/>
        <v>0</v>
      </c>
      <c r="FF111" s="419"/>
      <c r="FG111" s="419"/>
      <c r="FH111" s="419"/>
      <c r="FI111" s="419">
        <f t="shared" si="137"/>
        <v>0</v>
      </c>
      <c r="FJ111" s="419">
        <f t="shared" si="138"/>
        <v>0</v>
      </c>
      <c r="FK111" s="419"/>
      <c r="FL111" s="419"/>
      <c r="FM111" s="419"/>
      <c r="FN111" s="420">
        <f t="shared" si="139"/>
        <v>0</v>
      </c>
      <c r="FO111" s="423">
        <f t="shared" si="140"/>
        <v>0</v>
      </c>
      <c r="FP111" s="419"/>
      <c r="FQ111" s="419"/>
      <c r="FR111" s="419"/>
      <c r="FS111" s="420">
        <f t="shared" si="141"/>
        <v>0</v>
      </c>
      <c r="FT111" s="420">
        <f t="shared" si="142"/>
        <v>0</v>
      </c>
      <c r="FU111" s="419"/>
      <c r="FV111" s="419"/>
      <c r="FW111" s="419"/>
      <c r="FX111" s="420">
        <f t="shared" si="143"/>
        <v>0</v>
      </c>
      <c r="FY111" s="420">
        <f t="shared" si="144"/>
        <v>0</v>
      </c>
      <c r="FZ111" s="419"/>
      <c r="GA111" s="419"/>
      <c r="GB111" s="419"/>
      <c r="GC111" s="420">
        <f t="shared" si="145"/>
        <v>0</v>
      </c>
      <c r="GD111" s="420">
        <f t="shared" si="146"/>
        <v>0</v>
      </c>
      <c r="GE111" s="419"/>
      <c r="GF111" s="419"/>
      <c r="GG111" s="419"/>
      <c r="GH111" s="420">
        <f t="shared" si="147"/>
        <v>0</v>
      </c>
      <c r="GI111" s="423">
        <f t="shared" si="148"/>
        <v>0</v>
      </c>
      <c r="GJ111" s="419"/>
      <c r="GK111" s="419"/>
      <c r="GL111" s="419"/>
      <c r="GM111" s="420">
        <f t="shared" si="149"/>
        <v>0</v>
      </c>
      <c r="GN111" s="420">
        <f t="shared" si="150"/>
        <v>0</v>
      </c>
      <c r="GO111" s="419"/>
      <c r="GP111" s="419"/>
      <c r="GQ111" s="419"/>
      <c r="GR111" s="420">
        <f t="shared" si="155"/>
        <v>0</v>
      </c>
      <c r="GS111" s="423">
        <f t="shared" si="151"/>
        <v>0</v>
      </c>
      <c r="GT111" s="419"/>
      <c r="GU111" s="419"/>
      <c r="GV111" s="419"/>
      <c r="GW111" s="420">
        <f t="shared" si="152"/>
        <v>0</v>
      </c>
      <c r="GX111" s="420">
        <f t="shared" si="153"/>
        <v>0</v>
      </c>
    </row>
    <row r="112" spans="1:206" ht="15.75" customHeight="1">
      <c r="A112" s="414"/>
      <c r="B112" s="415" t="s">
        <v>537</v>
      </c>
      <c r="C112" s="698"/>
      <c r="D112" s="707"/>
      <c r="E112" s="434" t="s">
        <v>125</v>
      </c>
      <c r="F112" s="417">
        <v>0.06</v>
      </c>
      <c r="G112" s="418">
        <f t="shared" si="85"/>
        <v>1444440.91</v>
      </c>
      <c r="H112" s="418">
        <f t="shared" si="86"/>
        <v>445662.95</v>
      </c>
      <c r="I112" s="418">
        <f t="shared" si="86"/>
        <v>86666.449200000003</v>
      </c>
      <c r="J112" s="418">
        <f t="shared" si="87"/>
        <v>1444440.82</v>
      </c>
      <c r="K112" s="418">
        <f t="shared" si="83"/>
        <v>998777.87</v>
      </c>
      <c r="L112" s="418">
        <f t="shared" si="84"/>
        <v>-8.9999999850988402E-2</v>
      </c>
      <c r="M112" s="424"/>
      <c r="N112" s="424"/>
      <c r="O112" s="424"/>
      <c r="P112" s="424"/>
      <c r="Q112" s="419"/>
      <c r="R112" s="419"/>
      <c r="S112" s="419"/>
      <c r="T112" s="420"/>
      <c r="U112" s="423"/>
      <c r="V112" s="420"/>
      <c r="W112" s="420"/>
      <c r="X112" s="419"/>
      <c r="Y112" s="419"/>
      <c r="Z112" s="423"/>
      <c r="AA112" s="423"/>
      <c r="AB112" s="419"/>
      <c r="AC112" s="423"/>
      <c r="AD112" s="420"/>
      <c r="AE112" s="423"/>
      <c r="AF112" s="444"/>
      <c r="AG112" s="419"/>
      <c r="AH112" s="420"/>
      <c r="AI112" s="420"/>
      <c r="AJ112" s="423"/>
      <c r="AK112" s="444"/>
      <c r="AL112" s="420"/>
      <c r="AM112" s="420"/>
      <c r="AN112" s="420"/>
      <c r="AO112" s="423"/>
      <c r="AP112" s="420"/>
      <c r="AQ112" s="419"/>
      <c r="AR112" s="420"/>
      <c r="AS112" s="420"/>
      <c r="AT112" s="420"/>
      <c r="AU112" s="420"/>
      <c r="AV112" s="420"/>
      <c r="AW112" s="420"/>
      <c r="AX112" s="426"/>
      <c r="AY112" s="420"/>
      <c r="AZ112" s="420"/>
      <c r="BA112" s="420"/>
      <c r="BB112" s="419"/>
      <c r="BC112" s="420"/>
      <c r="BD112" s="427"/>
      <c r="BE112" s="420"/>
      <c r="BF112" s="420"/>
      <c r="BG112" s="420"/>
      <c r="BH112" s="423"/>
      <c r="BI112" s="420"/>
      <c r="BJ112" s="420"/>
      <c r="BK112" s="420"/>
      <c r="BL112" s="420"/>
      <c r="BM112" s="420"/>
      <c r="BN112" s="420"/>
      <c r="BO112" s="419"/>
      <c r="BP112" s="428"/>
      <c r="BQ112" s="420"/>
      <c r="BR112" s="423"/>
      <c r="BS112" s="423"/>
      <c r="BT112" s="420"/>
      <c r="BU112" s="420"/>
      <c r="BV112" s="420"/>
      <c r="BW112" s="420"/>
      <c r="BX112" s="429"/>
      <c r="BY112" s="419"/>
      <c r="BZ112" s="419"/>
      <c r="CA112" s="419"/>
      <c r="CB112" s="420"/>
      <c r="CC112" s="430"/>
      <c r="CD112" s="419"/>
      <c r="CE112" s="419"/>
      <c r="CF112" s="419"/>
      <c r="CG112" s="420"/>
      <c r="CH112" s="423"/>
      <c r="CI112" s="432"/>
      <c r="CJ112" s="432"/>
      <c r="CK112" s="432"/>
      <c r="CL112" s="420">
        <f t="shared" si="167"/>
        <v>0</v>
      </c>
      <c r="CM112" s="423"/>
      <c r="CN112" s="420">
        <v>39972.67</v>
      </c>
      <c r="CO112" s="420"/>
      <c r="CP112" s="420">
        <v>2398.36</v>
      </c>
      <c r="CQ112" s="432">
        <v>39972.67</v>
      </c>
      <c r="CR112" s="432">
        <f t="shared" si="169"/>
        <v>0</v>
      </c>
      <c r="CS112" s="420">
        <v>25787.82</v>
      </c>
      <c r="CT112" s="420"/>
      <c r="CU112" s="420">
        <v>1547.27</v>
      </c>
      <c r="CV112" s="420">
        <v>25787.82</v>
      </c>
      <c r="CW112" s="420">
        <f t="shared" si="170"/>
        <v>0</v>
      </c>
      <c r="CX112" s="419">
        <v>28035.94</v>
      </c>
      <c r="CY112" s="419"/>
      <c r="CZ112" s="419">
        <v>1682.16</v>
      </c>
      <c r="DA112" s="419">
        <f t="shared" si="115"/>
        <v>28036</v>
      </c>
      <c r="DB112" s="419">
        <f t="shared" si="116"/>
        <v>0.06</v>
      </c>
      <c r="DC112" s="419">
        <v>28552.959999999999</v>
      </c>
      <c r="DD112" s="419"/>
      <c r="DE112" s="419">
        <v>1713.18</v>
      </c>
      <c r="DF112" s="420">
        <f t="shared" si="117"/>
        <v>28553</v>
      </c>
      <c r="DG112" s="421">
        <f t="shared" si="118"/>
        <v>-4.0000000004511101E-2</v>
      </c>
      <c r="DH112" s="419">
        <v>30153.18</v>
      </c>
      <c r="DI112" s="419">
        <v>122349.38</v>
      </c>
      <c r="DJ112" s="419">
        <v>1809.19</v>
      </c>
      <c r="DK112" s="420">
        <f t="shared" si="119"/>
        <v>30153.166666666701</v>
      </c>
      <c r="DL112" s="422">
        <f t="shared" si="120"/>
        <v>-1.33333333324117E-2</v>
      </c>
      <c r="DM112" s="420">
        <v>31695.75</v>
      </c>
      <c r="DN112" s="420">
        <v>30153.18</v>
      </c>
      <c r="DO112" s="420">
        <v>1901.75</v>
      </c>
      <c r="DP112" s="420">
        <f t="shared" si="121"/>
        <v>31695.833333333299</v>
      </c>
      <c r="DQ112" s="420">
        <f t="shared" si="122"/>
        <v>8.3333333335758694E-2</v>
      </c>
      <c r="DR112" s="419">
        <v>28048.63</v>
      </c>
      <c r="DS112" s="419">
        <v>31695.75</v>
      </c>
      <c r="DT112" s="419">
        <v>1682.92</v>
      </c>
      <c r="DU112" s="420">
        <f t="shared" si="123"/>
        <v>28048.666666666701</v>
      </c>
      <c r="DV112" s="423">
        <f t="shared" si="124"/>
        <v>3.6666666666860699E-2</v>
      </c>
      <c r="DW112" s="419">
        <v>1028818.23</v>
      </c>
      <c r="DX112" s="419"/>
      <c r="DY112" s="419">
        <v>61729.08</v>
      </c>
      <c r="DZ112" s="420">
        <f t="shared" si="125"/>
        <v>1028818</v>
      </c>
      <c r="EA112" s="423">
        <f t="shared" si="126"/>
        <v>-0.23</v>
      </c>
      <c r="EB112" s="419">
        <v>34607.32</v>
      </c>
      <c r="EC112" s="419"/>
      <c r="ED112" s="420">
        <v>2076.4391999999998</v>
      </c>
      <c r="EE112" s="419">
        <v>34607.32</v>
      </c>
      <c r="EF112" s="420">
        <f t="shared" si="127"/>
        <v>0</v>
      </c>
      <c r="EG112" s="419">
        <v>168768.41</v>
      </c>
      <c r="EH112" s="419">
        <v>92696.22</v>
      </c>
      <c r="EI112" s="419">
        <v>10126.1</v>
      </c>
      <c r="EJ112" s="420">
        <f t="shared" si="128"/>
        <v>168768.33</v>
      </c>
      <c r="EK112" s="420">
        <f t="shared" si="129"/>
        <v>-0.08</v>
      </c>
      <c r="EL112" s="419"/>
      <c r="EM112" s="419">
        <v>168768.42</v>
      </c>
      <c r="EN112" s="419"/>
      <c r="EO112" s="419">
        <f t="shared" si="130"/>
        <v>0</v>
      </c>
      <c r="EP112" s="419">
        <f t="shared" si="131"/>
        <v>0</v>
      </c>
      <c r="EQ112" s="419"/>
      <c r="ER112" s="419"/>
      <c r="ES112" s="419"/>
      <c r="ET112" s="419">
        <f t="shared" si="132"/>
        <v>0</v>
      </c>
      <c r="EU112" s="419">
        <f t="shared" si="133"/>
        <v>0</v>
      </c>
      <c r="EV112" s="419"/>
      <c r="EW112" s="419"/>
      <c r="EX112" s="419"/>
      <c r="EY112" s="419">
        <f t="shared" si="134"/>
        <v>0</v>
      </c>
      <c r="EZ112" s="419">
        <f t="shared" si="154"/>
        <v>0</v>
      </c>
      <c r="FA112" s="420"/>
      <c r="FB112" s="420"/>
      <c r="FC112" s="420"/>
      <c r="FD112" s="420">
        <f t="shared" si="135"/>
        <v>0</v>
      </c>
      <c r="FE112" s="420">
        <f t="shared" si="136"/>
        <v>0</v>
      </c>
      <c r="FF112" s="419"/>
      <c r="FG112" s="419"/>
      <c r="FH112" s="419"/>
      <c r="FI112" s="419">
        <f t="shared" si="137"/>
        <v>0</v>
      </c>
      <c r="FJ112" s="419">
        <f t="shared" si="138"/>
        <v>0</v>
      </c>
      <c r="FK112" s="419"/>
      <c r="FL112" s="419"/>
      <c r="FM112" s="419"/>
      <c r="FN112" s="420">
        <f t="shared" si="139"/>
        <v>0</v>
      </c>
      <c r="FO112" s="423">
        <f t="shared" si="140"/>
        <v>0</v>
      </c>
      <c r="FP112" s="419"/>
      <c r="FQ112" s="419"/>
      <c r="FR112" s="419"/>
      <c r="FS112" s="420">
        <f t="shared" si="141"/>
        <v>0</v>
      </c>
      <c r="FT112" s="420">
        <f t="shared" si="142"/>
        <v>0</v>
      </c>
      <c r="FU112" s="419"/>
      <c r="FV112" s="419"/>
      <c r="FW112" s="419"/>
      <c r="FX112" s="420">
        <f t="shared" si="143"/>
        <v>0</v>
      </c>
      <c r="FY112" s="420">
        <f t="shared" si="144"/>
        <v>0</v>
      </c>
      <c r="FZ112" s="419"/>
      <c r="GA112" s="419"/>
      <c r="GB112" s="419"/>
      <c r="GC112" s="420">
        <f t="shared" si="145"/>
        <v>0</v>
      </c>
      <c r="GD112" s="420">
        <f t="shared" si="146"/>
        <v>0</v>
      </c>
      <c r="GE112" s="419"/>
      <c r="GF112" s="419"/>
      <c r="GG112" s="419"/>
      <c r="GH112" s="420">
        <f t="shared" si="147"/>
        <v>0</v>
      </c>
      <c r="GI112" s="423">
        <f t="shared" si="148"/>
        <v>0</v>
      </c>
      <c r="GJ112" s="419"/>
      <c r="GK112" s="419"/>
      <c r="GL112" s="419"/>
      <c r="GM112" s="420">
        <f t="shared" si="149"/>
        <v>0</v>
      </c>
      <c r="GN112" s="420">
        <f t="shared" si="150"/>
        <v>0</v>
      </c>
      <c r="GO112" s="419"/>
      <c r="GP112" s="419"/>
      <c r="GQ112" s="419"/>
      <c r="GR112" s="420">
        <f t="shared" si="155"/>
        <v>0</v>
      </c>
      <c r="GS112" s="423">
        <f t="shared" si="151"/>
        <v>0</v>
      </c>
      <c r="GT112" s="419"/>
      <c r="GU112" s="419"/>
      <c r="GV112" s="419"/>
      <c r="GW112" s="420">
        <f t="shared" si="152"/>
        <v>0</v>
      </c>
      <c r="GX112" s="420">
        <f t="shared" si="153"/>
        <v>0</v>
      </c>
    </row>
    <row r="113" spans="1:206" ht="15">
      <c r="A113" s="414"/>
      <c r="B113" s="415" t="s">
        <v>540</v>
      </c>
      <c r="C113" s="698"/>
      <c r="D113" s="704" t="s">
        <v>541</v>
      </c>
      <c r="E113" s="434" t="s">
        <v>123</v>
      </c>
      <c r="F113" s="417">
        <v>0.13</v>
      </c>
      <c r="G113" s="418">
        <f t="shared" si="85"/>
        <v>151736239.94999999</v>
      </c>
      <c r="H113" s="418">
        <f t="shared" si="86"/>
        <v>151736239.96000001</v>
      </c>
      <c r="I113" s="418">
        <f t="shared" si="86"/>
        <v>19725711.207800001</v>
      </c>
      <c r="J113" s="418">
        <f t="shared" si="87"/>
        <v>151736240.06</v>
      </c>
      <c r="K113" s="418">
        <f t="shared" si="83"/>
        <v>0.10000005364418001</v>
      </c>
      <c r="L113" s="418">
        <f t="shared" si="84"/>
        <v>0.109999984502792</v>
      </c>
      <c r="M113" s="424"/>
      <c r="N113" s="424"/>
      <c r="O113" s="424"/>
      <c r="P113" s="424"/>
      <c r="Q113" s="419"/>
      <c r="R113" s="419"/>
      <c r="S113" s="419"/>
      <c r="T113" s="420"/>
      <c r="U113" s="423"/>
      <c r="V113" s="420"/>
      <c r="W113" s="420"/>
      <c r="X113" s="419"/>
      <c r="Y113" s="419"/>
      <c r="Z113" s="423"/>
      <c r="AA113" s="423"/>
      <c r="AB113" s="419"/>
      <c r="AC113" s="423"/>
      <c r="AD113" s="420"/>
      <c r="AE113" s="423"/>
      <c r="AF113" s="444"/>
      <c r="AG113" s="419"/>
      <c r="AH113" s="420"/>
      <c r="AI113" s="420"/>
      <c r="AJ113" s="423"/>
      <c r="AK113" s="444"/>
      <c r="AL113" s="420"/>
      <c r="AM113" s="420"/>
      <c r="AN113" s="420"/>
      <c r="AO113" s="423"/>
      <c r="AP113" s="420"/>
      <c r="AQ113" s="419"/>
      <c r="AR113" s="420"/>
      <c r="AS113" s="420"/>
      <c r="AT113" s="420"/>
      <c r="AU113" s="420"/>
      <c r="AV113" s="420"/>
      <c r="AW113" s="420"/>
      <c r="AX113" s="426"/>
      <c r="AY113" s="420"/>
      <c r="AZ113" s="420"/>
      <c r="BA113" s="420"/>
      <c r="BB113" s="419"/>
      <c r="BC113" s="420"/>
      <c r="BD113" s="427"/>
      <c r="BE113" s="420"/>
      <c r="BF113" s="420"/>
      <c r="BG113" s="420"/>
      <c r="BH113" s="423"/>
      <c r="BI113" s="420"/>
      <c r="BJ113" s="420"/>
      <c r="BK113" s="420"/>
      <c r="BL113" s="420"/>
      <c r="BM113" s="420"/>
      <c r="BN113" s="420"/>
      <c r="BO113" s="419"/>
      <c r="BP113" s="428"/>
      <c r="BQ113" s="420"/>
      <c r="BR113" s="423"/>
      <c r="BS113" s="423"/>
      <c r="BT113" s="420"/>
      <c r="BU113" s="420"/>
      <c r="BV113" s="420"/>
      <c r="BW113" s="420"/>
      <c r="BX113" s="429"/>
      <c r="BY113" s="419"/>
      <c r="BZ113" s="419"/>
      <c r="CA113" s="419"/>
      <c r="CB113" s="420"/>
      <c r="CC113" s="430"/>
      <c r="CD113" s="419"/>
      <c r="CE113" s="419"/>
      <c r="CF113" s="419"/>
      <c r="CG113" s="420"/>
      <c r="CH113" s="423"/>
      <c r="CI113" s="432"/>
      <c r="CJ113" s="432"/>
      <c r="CK113" s="432"/>
      <c r="CL113" s="420">
        <f t="shared" si="167"/>
        <v>0</v>
      </c>
      <c r="CM113" s="423"/>
      <c r="CN113" s="420"/>
      <c r="CO113" s="420"/>
      <c r="CP113" s="420"/>
      <c r="CQ113" s="432"/>
      <c r="CR113" s="432">
        <f t="shared" si="169"/>
        <v>0</v>
      </c>
      <c r="CS113" s="420"/>
      <c r="CT113" s="420"/>
      <c r="CU113" s="420"/>
      <c r="CV113" s="420"/>
      <c r="CW113" s="420">
        <f t="shared" si="170"/>
        <v>0</v>
      </c>
      <c r="CX113" s="419"/>
      <c r="CY113" s="419"/>
      <c r="CZ113" s="419"/>
      <c r="DA113" s="419">
        <f t="shared" si="115"/>
        <v>0</v>
      </c>
      <c r="DB113" s="419">
        <f t="shared" si="116"/>
        <v>0</v>
      </c>
      <c r="DC113" s="419"/>
      <c r="DD113" s="419"/>
      <c r="DE113" s="419"/>
      <c r="DF113" s="420">
        <f t="shared" si="117"/>
        <v>0</v>
      </c>
      <c r="DG113" s="421">
        <f t="shared" si="118"/>
        <v>0</v>
      </c>
      <c r="DH113" s="419">
        <v>25522592.149999999</v>
      </c>
      <c r="DI113" s="419">
        <v>8061321</v>
      </c>
      <c r="DJ113" s="419">
        <v>3317936.99</v>
      </c>
      <c r="DK113" s="420">
        <f t="shared" si="119"/>
        <v>25522592.230769198</v>
      </c>
      <c r="DL113" s="422">
        <f t="shared" si="120"/>
        <v>8.0769233405590099E-2</v>
      </c>
      <c r="DM113" s="420">
        <v>0.02</v>
      </c>
      <c r="DN113" s="420"/>
      <c r="DO113" s="420"/>
      <c r="DP113" s="420">
        <f t="shared" si="121"/>
        <v>0</v>
      </c>
      <c r="DQ113" s="420">
        <f t="shared" si="122"/>
        <v>-0.02</v>
      </c>
      <c r="DR113" s="419"/>
      <c r="DS113" s="419">
        <v>5819416.3099999996</v>
      </c>
      <c r="DT113" s="419"/>
      <c r="DU113" s="420">
        <f t="shared" si="123"/>
        <v>0</v>
      </c>
      <c r="DV113" s="423">
        <f t="shared" si="124"/>
        <v>0</v>
      </c>
      <c r="DW113" s="419">
        <v>37710640.590000004</v>
      </c>
      <c r="DX113" s="419">
        <v>47999999.899999999</v>
      </c>
      <c r="DY113" s="419">
        <v>4902383.28</v>
      </c>
      <c r="DZ113" s="420">
        <f t="shared" si="125"/>
        <v>37710640.619999997</v>
      </c>
      <c r="EA113" s="423">
        <f t="shared" si="126"/>
        <v>0.03</v>
      </c>
      <c r="EB113" s="419">
        <v>38977531.060000002</v>
      </c>
      <c r="EC113" s="419"/>
      <c r="ED113" s="420">
        <v>5067079.0378</v>
      </c>
      <c r="EE113" s="419">
        <v>38977531.060000002</v>
      </c>
      <c r="EF113" s="420">
        <f t="shared" si="127"/>
        <v>0</v>
      </c>
      <c r="EG113" s="419">
        <v>192169.95</v>
      </c>
      <c r="EH113" s="419">
        <v>40330026.619999997</v>
      </c>
      <c r="EI113" s="419">
        <v>24982.09</v>
      </c>
      <c r="EJ113" s="420">
        <f t="shared" si="128"/>
        <v>192169.92</v>
      </c>
      <c r="EK113" s="420">
        <f t="shared" si="129"/>
        <v>-0.03</v>
      </c>
      <c r="EL113" s="419">
        <v>39956279.630000003</v>
      </c>
      <c r="EM113" s="419">
        <v>40148449.579999998</v>
      </c>
      <c r="EN113" s="419">
        <v>5194316.3499999996</v>
      </c>
      <c r="EO113" s="419">
        <f t="shared" si="130"/>
        <v>39956279.619999997</v>
      </c>
      <c r="EP113" s="419">
        <f t="shared" si="131"/>
        <v>-0.01</v>
      </c>
      <c r="EQ113" s="419">
        <v>9377026.5500000007</v>
      </c>
      <c r="ER113" s="419">
        <v>8934734.5099999998</v>
      </c>
      <c r="ES113" s="419">
        <v>1219013.46</v>
      </c>
      <c r="ET113" s="419">
        <f t="shared" si="132"/>
        <v>9377026.6199999992</v>
      </c>
      <c r="EU113" s="419">
        <f t="shared" si="133"/>
        <v>7.0000000000000007E-2</v>
      </c>
      <c r="EV113" s="419"/>
      <c r="EW113" s="419">
        <v>442292.04</v>
      </c>
      <c r="EX113" s="419"/>
      <c r="EY113" s="419">
        <f t="shared" si="134"/>
        <v>0</v>
      </c>
      <c r="EZ113" s="419">
        <f t="shared" si="154"/>
        <v>0</v>
      </c>
      <c r="FA113" s="420"/>
      <c r="FB113" s="420"/>
      <c r="FC113" s="420"/>
      <c r="FD113" s="420">
        <f t="shared" si="135"/>
        <v>0</v>
      </c>
      <c r="FE113" s="420">
        <f t="shared" si="136"/>
        <v>0</v>
      </c>
      <c r="FF113" s="419"/>
      <c r="FG113" s="419"/>
      <c r="FH113" s="419"/>
      <c r="FI113" s="419">
        <f t="shared" si="137"/>
        <v>0</v>
      </c>
      <c r="FJ113" s="419">
        <f t="shared" si="138"/>
        <v>0</v>
      </c>
      <c r="FK113" s="419"/>
      <c r="FL113" s="419"/>
      <c r="FM113" s="419"/>
      <c r="FN113" s="420">
        <f t="shared" si="139"/>
        <v>0</v>
      </c>
      <c r="FO113" s="423">
        <f t="shared" si="140"/>
        <v>0</v>
      </c>
      <c r="FP113" s="419"/>
      <c r="FQ113" s="419"/>
      <c r="FR113" s="419"/>
      <c r="FS113" s="420">
        <f t="shared" si="141"/>
        <v>0</v>
      </c>
      <c r="FT113" s="420">
        <f t="shared" si="142"/>
        <v>0</v>
      </c>
      <c r="FU113" s="419"/>
      <c r="FV113" s="419"/>
      <c r="FW113" s="419"/>
      <c r="FX113" s="420">
        <f t="shared" si="143"/>
        <v>0</v>
      </c>
      <c r="FY113" s="420">
        <f t="shared" si="144"/>
        <v>0</v>
      </c>
      <c r="FZ113" s="419"/>
      <c r="GA113" s="419"/>
      <c r="GB113" s="419"/>
      <c r="GC113" s="420">
        <f t="shared" si="145"/>
        <v>0</v>
      </c>
      <c r="GD113" s="420">
        <f t="shared" si="146"/>
        <v>0</v>
      </c>
      <c r="GE113" s="419"/>
      <c r="GF113" s="419"/>
      <c r="GG113" s="419"/>
      <c r="GH113" s="420">
        <f t="shared" si="147"/>
        <v>0</v>
      </c>
      <c r="GI113" s="423">
        <f t="shared" si="148"/>
        <v>0</v>
      </c>
      <c r="GJ113" s="419"/>
      <c r="GK113" s="419"/>
      <c r="GL113" s="419"/>
      <c r="GM113" s="420">
        <f t="shared" si="149"/>
        <v>0</v>
      </c>
      <c r="GN113" s="420">
        <f t="shared" si="150"/>
        <v>0</v>
      </c>
      <c r="GO113" s="419"/>
      <c r="GP113" s="419"/>
      <c r="GQ113" s="419"/>
      <c r="GR113" s="420">
        <f t="shared" si="155"/>
        <v>0</v>
      </c>
      <c r="GS113" s="423">
        <f t="shared" si="151"/>
        <v>0</v>
      </c>
      <c r="GT113" s="419"/>
      <c r="GU113" s="419"/>
      <c r="GV113" s="419"/>
      <c r="GW113" s="420">
        <f t="shared" si="152"/>
        <v>0</v>
      </c>
      <c r="GX113" s="420">
        <f t="shared" si="153"/>
        <v>0</v>
      </c>
    </row>
    <row r="114" spans="1:206" ht="15">
      <c r="A114" s="414"/>
      <c r="B114" s="415" t="s">
        <v>540</v>
      </c>
      <c r="C114" s="698"/>
      <c r="D114" s="706"/>
      <c r="E114" s="434" t="s">
        <v>124</v>
      </c>
      <c r="F114" s="417">
        <v>0.09</v>
      </c>
      <c r="G114" s="418">
        <f t="shared" si="85"/>
        <v>173414410.83000001</v>
      </c>
      <c r="H114" s="418">
        <f t="shared" si="86"/>
        <v>173414410.80000001</v>
      </c>
      <c r="I114" s="418">
        <f t="shared" si="86"/>
        <v>15607296.989499999</v>
      </c>
      <c r="J114" s="418">
        <f t="shared" si="87"/>
        <v>173414410.99444401</v>
      </c>
      <c r="K114" s="418">
        <f t="shared" si="83"/>
        <v>0.19444441795349099</v>
      </c>
      <c r="L114" s="418">
        <f t="shared" si="84"/>
        <v>0.16444444656372101</v>
      </c>
      <c r="M114" s="424"/>
      <c r="N114" s="424"/>
      <c r="O114" s="424"/>
      <c r="P114" s="424"/>
      <c r="Q114" s="419"/>
      <c r="R114" s="419"/>
      <c r="S114" s="419"/>
      <c r="T114" s="420"/>
      <c r="U114" s="423"/>
      <c r="V114" s="420"/>
      <c r="W114" s="420"/>
      <c r="X114" s="419"/>
      <c r="Y114" s="419"/>
      <c r="Z114" s="423"/>
      <c r="AA114" s="423"/>
      <c r="AB114" s="419"/>
      <c r="AC114" s="423"/>
      <c r="AD114" s="420"/>
      <c r="AE114" s="423"/>
      <c r="AF114" s="444"/>
      <c r="AG114" s="419"/>
      <c r="AH114" s="420"/>
      <c r="AI114" s="420"/>
      <c r="AJ114" s="423"/>
      <c r="AK114" s="444"/>
      <c r="AL114" s="420"/>
      <c r="AM114" s="420"/>
      <c r="AN114" s="420"/>
      <c r="AO114" s="423"/>
      <c r="AP114" s="420"/>
      <c r="AQ114" s="419"/>
      <c r="AR114" s="420"/>
      <c r="AS114" s="420"/>
      <c r="AT114" s="420"/>
      <c r="AU114" s="420"/>
      <c r="AV114" s="420"/>
      <c r="AW114" s="420"/>
      <c r="AX114" s="426"/>
      <c r="AY114" s="420"/>
      <c r="AZ114" s="420"/>
      <c r="BA114" s="420"/>
      <c r="BB114" s="419"/>
      <c r="BC114" s="420"/>
      <c r="BD114" s="427"/>
      <c r="BE114" s="420"/>
      <c r="BF114" s="420"/>
      <c r="BG114" s="420"/>
      <c r="BH114" s="423"/>
      <c r="BI114" s="420"/>
      <c r="BJ114" s="420"/>
      <c r="BK114" s="420"/>
      <c r="BL114" s="420"/>
      <c r="BM114" s="420"/>
      <c r="BN114" s="420"/>
      <c r="BO114" s="419"/>
      <c r="BP114" s="428"/>
      <c r="BQ114" s="420"/>
      <c r="BR114" s="423"/>
      <c r="BS114" s="423"/>
      <c r="BT114" s="420"/>
      <c r="BU114" s="420"/>
      <c r="BV114" s="420"/>
      <c r="BW114" s="420"/>
      <c r="BX114" s="429"/>
      <c r="BY114" s="419"/>
      <c r="BZ114" s="419"/>
      <c r="CA114" s="419"/>
      <c r="CB114" s="420"/>
      <c r="CC114" s="430"/>
      <c r="CD114" s="419"/>
      <c r="CE114" s="419"/>
      <c r="CF114" s="419"/>
      <c r="CG114" s="420"/>
      <c r="CH114" s="423"/>
      <c r="CI114" s="432"/>
      <c r="CJ114" s="432"/>
      <c r="CK114" s="432"/>
      <c r="CL114" s="420">
        <f t="shared" si="167"/>
        <v>0</v>
      </c>
      <c r="CM114" s="423"/>
      <c r="CN114" s="420"/>
      <c r="CO114" s="420"/>
      <c r="CP114" s="420"/>
      <c r="CQ114" s="432"/>
      <c r="CR114" s="432">
        <f t="shared" si="169"/>
        <v>0</v>
      </c>
      <c r="CS114" s="420"/>
      <c r="CT114" s="420"/>
      <c r="CU114" s="420"/>
      <c r="CV114" s="420"/>
      <c r="CW114" s="420">
        <f t="shared" si="170"/>
        <v>0</v>
      </c>
      <c r="CX114" s="419"/>
      <c r="CY114" s="419"/>
      <c r="CZ114" s="419"/>
      <c r="DA114" s="419">
        <f t="shared" si="115"/>
        <v>0</v>
      </c>
      <c r="DB114" s="419">
        <f t="shared" si="116"/>
        <v>0</v>
      </c>
      <c r="DC114" s="419">
        <v>20928282.120000001</v>
      </c>
      <c r="DD114" s="419"/>
      <c r="DE114" s="419">
        <v>1883545.39</v>
      </c>
      <c r="DF114" s="420">
        <f t="shared" si="117"/>
        <v>20928282.111111101</v>
      </c>
      <c r="DG114" s="421">
        <f t="shared" si="118"/>
        <v>8.8888891041278804E-3</v>
      </c>
      <c r="DH114" s="419">
        <v>22760387.629999999</v>
      </c>
      <c r="DI114" s="419">
        <v>43688669.75</v>
      </c>
      <c r="DJ114" s="419">
        <v>2048434.89</v>
      </c>
      <c r="DK114" s="420">
        <f t="shared" si="119"/>
        <v>22760387.666666701</v>
      </c>
      <c r="DL114" s="422">
        <f t="shared" si="120"/>
        <v>3.6666668951511397E-2</v>
      </c>
      <c r="DM114" s="420">
        <v>7547795.0300000003</v>
      </c>
      <c r="DN114" s="420"/>
      <c r="DO114" s="420">
        <v>679301.55</v>
      </c>
      <c r="DP114" s="420">
        <f t="shared" si="121"/>
        <v>7547795</v>
      </c>
      <c r="DQ114" s="420">
        <f t="shared" si="122"/>
        <v>-2.9999999329447701E-2</v>
      </c>
      <c r="DR114" s="419">
        <v>7176134.8799999999</v>
      </c>
      <c r="DS114" s="419">
        <v>3519900.09</v>
      </c>
      <c r="DT114" s="419">
        <v>645852.14</v>
      </c>
      <c r="DU114" s="420">
        <f t="shared" si="123"/>
        <v>7176134.8888888899</v>
      </c>
      <c r="DV114" s="423">
        <f t="shared" si="124"/>
        <v>8.8888891041278804E-3</v>
      </c>
      <c r="DW114" s="419">
        <v>11887717.109999999</v>
      </c>
      <c r="DX114" s="419">
        <v>23091746.93</v>
      </c>
      <c r="DY114" s="419">
        <v>1069894.54</v>
      </c>
      <c r="DZ114" s="420">
        <f t="shared" si="125"/>
        <v>11887717.109999999</v>
      </c>
      <c r="EA114" s="423">
        <f t="shared" si="126"/>
        <v>0</v>
      </c>
      <c r="EB114" s="420">
        <v>4919857.55</v>
      </c>
      <c r="EC114" s="419"/>
      <c r="ED114" s="420">
        <v>442787.17950000003</v>
      </c>
      <c r="EE114" s="419">
        <v>4919857.55</v>
      </c>
      <c r="EF114" s="420">
        <f t="shared" si="127"/>
        <v>0</v>
      </c>
      <c r="EG114" s="419">
        <v>8486484.6999999993</v>
      </c>
      <c r="EH114" s="419">
        <v>4919857.54</v>
      </c>
      <c r="EI114" s="419">
        <v>763783.63</v>
      </c>
      <c r="EJ114" s="420">
        <f t="shared" si="128"/>
        <v>8486484.7799999993</v>
      </c>
      <c r="EK114" s="420">
        <f t="shared" si="129"/>
        <v>0.08</v>
      </c>
      <c r="EL114" s="420">
        <v>4219793.8499999996</v>
      </c>
      <c r="EM114" s="420">
        <v>12706278.550000001</v>
      </c>
      <c r="EN114" s="420">
        <v>379781.45</v>
      </c>
      <c r="EO114" s="419">
        <f t="shared" si="130"/>
        <v>4219793.8899999997</v>
      </c>
      <c r="EP114" s="419">
        <f t="shared" si="131"/>
        <v>0.04</v>
      </c>
      <c r="EQ114" s="420">
        <v>11060865.300000001</v>
      </c>
      <c r="ER114" s="419">
        <v>3755734.64</v>
      </c>
      <c r="ES114" s="419">
        <v>995477.88</v>
      </c>
      <c r="ET114" s="419">
        <f t="shared" si="132"/>
        <v>11060865.33</v>
      </c>
      <c r="EU114" s="419">
        <f t="shared" si="133"/>
        <v>0.03</v>
      </c>
      <c r="EV114" s="419">
        <v>74427092.659999996</v>
      </c>
      <c r="EW114" s="419">
        <v>81732223.299999997</v>
      </c>
      <c r="EX114" s="419">
        <v>6698438.3399999999</v>
      </c>
      <c r="EY114" s="419">
        <f t="shared" si="134"/>
        <v>74427092.670000002</v>
      </c>
      <c r="EZ114" s="419">
        <f t="shared" si="154"/>
        <v>0.01</v>
      </c>
      <c r="FA114" s="420"/>
      <c r="FB114" s="420"/>
      <c r="FC114" s="420"/>
      <c r="FD114" s="420">
        <f t="shared" si="135"/>
        <v>0</v>
      </c>
      <c r="FE114" s="420">
        <f t="shared" si="136"/>
        <v>0</v>
      </c>
      <c r="FF114" s="419"/>
      <c r="FG114" s="419"/>
      <c r="FH114" s="419"/>
      <c r="FI114" s="419">
        <f t="shared" si="137"/>
        <v>0</v>
      </c>
      <c r="FJ114" s="419">
        <f t="shared" si="138"/>
        <v>0</v>
      </c>
      <c r="FK114" s="419"/>
      <c r="FL114" s="419"/>
      <c r="FM114" s="419"/>
      <c r="FN114" s="420">
        <f t="shared" si="139"/>
        <v>0</v>
      </c>
      <c r="FO114" s="423">
        <f t="shared" si="140"/>
        <v>0</v>
      </c>
      <c r="FP114" s="419"/>
      <c r="FQ114" s="419"/>
      <c r="FR114" s="419"/>
      <c r="FS114" s="420">
        <f t="shared" si="141"/>
        <v>0</v>
      </c>
      <c r="FT114" s="420">
        <f t="shared" si="142"/>
        <v>0</v>
      </c>
      <c r="FU114" s="419"/>
      <c r="FV114" s="419"/>
      <c r="FW114" s="419"/>
      <c r="FX114" s="420">
        <f t="shared" si="143"/>
        <v>0</v>
      </c>
      <c r="FY114" s="420">
        <f t="shared" si="144"/>
        <v>0</v>
      </c>
      <c r="FZ114" s="419"/>
      <c r="GA114" s="419"/>
      <c r="GB114" s="419"/>
      <c r="GC114" s="420">
        <f t="shared" si="145"/>
        <v>0</v>
      </c>
      <c r="GD114" s="420">
        <f t="shared" si="146"/>
        <v>0</v>
      </c>
      <c r="GE114" s="419"/>
      <c r="GF114" s="419"/>
      <c r="GG114" s="419"/>
      <c r="GH114" s="420">
        <f t="shared" si="147"/>
        <v>0</v>
      </c>
      <c r="GI114" s="423">
        <f t="shared" si="148"/>
        <v>0</v>
      </c>
      <c r="GJ114" s="419"/>
      <c r="GK114" s="419"/>
      <c r="GL114" s="419"/>
      <c r="GM114" s="420">
        <f t="shared" si="149"/>
        <v>0</v>
      </c>
      <c r="GN114" s="420">
        <f t="shared" si="150"/>
        <v>0</v>
      </c>
      <c r="GO114" s="419"/>
      <c r="GP114" s="419"/>
      <c r="GQ114" s="419"/>
      <c r="GR114" s="420">
        <f t="shared" si="155"/>
        <v>0</v>
      </c>
      <c r="GS114" s="423">
        <f t="shared" si="151"/>
        <v>0</v>
      </c>
      <c r="GT114" s="419"/>
      <c r="GU114" s="419"/>
      <c r="GV114" s="419"/>
      <c r="GW114" s="420">
        <f t="shared" si="152"/>
        <v>0</v>
      </c>
      <c r="GX114" s="420">
        <f t="shared" si="153"/>
        <v>0</v>
      </c>
    </row>
    <row r="115" spans="1:206" ht="15">
      <c r="A115" s="414"/>
      <c r="B115" s="415" t="s">
        <v>540</v>
      </c>
      <c r="C115" s="698"/>
      <c r="D115" s="707"/>
      <c r="E115" s="434" t="s">
        <v>125</v>
      </c>
      <c r="F115" s="417">
        <v>0.06</v>
      </c>
      <c r="G115" s="418">
        <f t="shared" si="85"/>
        <v>13278442.82</v>
      </c>
      <c r="H115" s="418">
        <f t="shared" si="86"/>
        <v>13278442.83</v>
      </c>
      <c r="I115" s="418">
        <f t="shared" si="86"/>
        <v>796706.56660000002</v>
      </c>
      <c r="J115" s="418">
        <f t="shared" si="87"/>
        <v>13278442.776666701</v>
      </c>
      <c r="K115" s="418">
        <f t="shared" si="83"/>
        <v>-5.3333332762122203E-2</v>
      </c>
      <c r="L115" s="418">
        <f t="shared" si="84"/>
        <v>-4.33333329856396E-2</v>
      </c>
      <c r="M115" s="424"/>
      <c r="N115" s="424"/>
      <c r="O115" s="424"/>
      <c r="P115" s="424"/>
      <c r="Q115" s="419"/>
      <c r="R115" s="419"/>
      <c r="S115" s="419"/>
      <c r="T115" s="420"/>
      <c r="U115" s="423"/>
      <c r="V115" s="420"/>
      <c r="W115" s="420"/>
      <c r="X115" s="419"/>
      <c r="Y115" s="419"/>
      <c r="Z115" s="423"/>
      <c r="AA115" s="423"/>
      <c r="AB115" s="419"/>
      <c r="AC115" s="423"/>
      <c r="AD115" s="420"/>
      <c r="AE115" s="423"/>
      <c r="AF115" s="444"/>
      <c r="AG115" s="419"/>
      <c r="AH115" s="420"/>
      <c r="AI115" s="420"/>
      <c r="AJ115" s="423"/>
      <c r="AK115" s="444"/>
      <c r="AL115" s="420"/>
      <c r="AM115" s="420"/>
      <c r="AN115" s="420"/>
      <c r="AO115" s="423"/>
      <c r="AP115" s="420"/>
      <c r="AQ115" s="419"/>
      <c r="AR115" s="420"/>
      <c r="AS115" s="420"/>
      <c r="AT115" s="420"/>
      <c r="AU115" s="420"/>
      <c r="AV115" s="420"/>
      <c r="AW115" s="420"/>
      <c r="AX115" s="426"/>
      <c r="AY115" s="420"/>
      <c r="AZ115" s="420"/>
      <c r="BA115" s="420"/>
      <c r="BB115" s="419"/>
      <c r="BC115" s="420"/>
      <c r="BD115" s="427"/>
      <c r="BE115" s="420"/>
      <c r="BF115" s="420"/>
      <c r="BG115" s="420"/>
      <c r="BH115" s="423"/>
      <c r="BI115" s="420"/>
      <c r="BJ115" s="420"/>
      <c r="BK115" s="420"/>
      <c r="BL115" s="420"/>
      <c r="BM115" s="420"/>
      <c r="BN115" s="420"/>
      <c r="BO115" s="419"/>
      <c r="BP115" s="428"/>
      <c r="BQ115" s="420"/>
      <c r="BR115" s="423"/>
      <c r="BS115" s="423"/>
      <c r="BT115" s="420"/>
      <c r="BU115" s="420"/>
      <c r="BV115" s="420"/>
      <c r="BW115" s="420"/>
      <c r="BX115" s="429"/>
      <c r="BY115" s="419"/>
      <c r="BZ115" s="419"/>
      <c r="CA115" s="419"/>
      <c r="CB115" s="420"/>
      <c r="CC115" s="430"/>
      <c r="CD115" s="419"/>
      <c r="CE115" s="419"/>
      <c r="CF115" s="419"/>
      <c r="CG115" s="420"/>
      <c r="CH115" s="423"/>
      <c r="CI115" s="432">
        <v>1334908.6000000001</v>
      </c>
      <c r="CJ115" s="432"/>
      <c r="CK115" s="432">
        <v>80094.52</v>
      </c>
      <c r="CL115" s="420">
        <f t="shared" si="167"/>
        <v>1334908.66666667</v>
      </c>
      <c r="CM115" s="423"/>
      <c r="CN115" s="420">
        <v>75382.759999999995</v>
      </c>
      <c r="CO115" s="420"/>
      <c r="CP115" s="420">
        <v>4522.97</v>
      </c>
      <c r="CQ115" s="432">
        <v>75382.759999999995</v>
      </c>
      <c r="CR115" s="432">
        <f t="shared" si="169"/>
        <v>0</v>
      </c>
      <c r="CS115" s="420">
        <v>70893.89</v>
      </c>
      <c r="CT115" s="420"/>
      <c r="CU115" s="420">
        <v>4253.63</v>
      </c>
      <c r="CV115" s="420">
        <v>70893.89</v>
      </c>
      <c r="CW115" s="420">
        <f t="shared" si="170"/>
        <v>0</v>
      </c>
      <c r="CX115" s="419">
        <v>60313.93</v>
      </c>
      <c r="CY115" s="419"/>
      <c r="CZ115" s="419">
        <v>3618.84</v>
      </c>
      <c r="DA115" s="419">
        <f t="shared" si="115"/>
        <v>60314</v>
      </c>
      <c r="DB115" s="419">
        <f t="shared" si="116"/>
        <v>7.0000000000000007E-2</v>
      </c>
      <c r="DC115" s="419">
        <v>654627.73</v>
      </c>
      <c r="DD115" s="419"/>
      <c r="DE115" s="419">
        <v>39277.660000000003</v>
      </c>
      <c r="DF115" s="420">
        <f t="shared" si="117"/>
        <v>654627.66666666698</v>
      </c>
      <c r="DG115" s="421">
        <f t="shared" si="118"/>
        <v>6.3333333237096695E-2</v>
      </c>
      <c r="DH115" s="419">
        <v>327520.11</v>
      </c>
      <c r="DI115" s="419">
        <v>2437659.92</v>
      </c>
      <c r="DJ115" s="419">
        <v>19651.2</v>
      </c>
      <c r="DK115" s="420">
        <f t="shared" si="119"/>
        <v>327520</v>
      </c>
      <c r="DL115" s="422">
        <f t="shared" si="120"/>
        <v>-0.10999999998602999</v>
      </c>
      <c r="DM115" s="420">
        <v>67593.649999999994</v>
      </c>
      <c r="DN115" s="420"/>
      <c r="DO115" s="420">
        <v>4055.62</v>
      </c>
      <c r="DP115" s="420">
        <f t="shared" si="121"/>
        <v>67593.666666666701</v>
      </c>
      <c r="DQ115" s="420">
        <f t="shared" si="122"/>
        <v>1.6666666677338099E-2</v>
      </c>
      <c r="DR115" s="419">
        <v>79445.72</v>
      </c>
      <c r="DS115" s="419">
        <v>701168.86</v>
      </c>
      <c r="DT115" s="419">
        <v>4766.74</v>
      </c>
      <c r="DU115" s="420">
        <f t="shared" si="123"/>
        <v>79445.666666666701</v>
      </c>
      <c r="DV115" s="423">
        <f t="shared" si="124"/>
        <v>-5.33333333296468E-2</v>
      </c>
      <c r="DW115" s="419">
        <v>350173.39</v>
      </c>
      <c r="DX115" s="419"/>
      <c r="DY115" s="419">
        <v>21010.41</v>
      </c>
      <c r="DZ115" s="420">
        <f t="shared" si="125"/>
        <v>350173.5</v>
      </c>
      <c r="EA115" s="423">
        <f t="shared" si="126"/>
        <v>0.11</v>
      </c>
      <c r="EB115" s="419">
        <v>517339.11</v>
      </c>
      <c r="EC115" s="419"/>
      <c r="ED115" s="420">
        <v>31040.346600000001</v>
      </c>
      <c r="EE115" s="419">
        <v>517339.11</v>
      </c>
      <c r="EF115" s="420">
        <f t="shared" si="127"/>
        <v>0</v>
      </c>
      <c r="EG115" s="419">
        <v>616547.93999999994</v>
      </c>
      <c r="EI115" s="419">
        <v>36992.879999999997</v>
      </c>
      <c r="EJ115" s="420">
        <f t="shared" si="128"/>
        <v>616548</v>
      </c>
      <c r="EK115" s="420">
        <f t="shared" si="129"/>
        <v>0.06</v>
      </c>
      <c r="EL115" s="419">
        <v>84574.48</v>
      </c>
      <c r="EM115" s="419">
        <v>1100492.54</v>
      </c>
      <c r="EN115" s="419">
        <v>5074.47</v>
      </c>
      <c r="EO115" s="419">
        <f t="shared" si="130"/>
        <v>84574.5</v>
      </c>
      <c r="EP115" s="419">
        <f t="shared" si="131"/>
        <v>0.02</v>
      </c>
      <c r="EQ115" s="420">
        <v>11335742.51</v>
      </c>
      <c r="ER115" s="420">
        <v>1289280.8799999999</v>
      </c>
      <c r="ES115" s="420">
        <v>680144.54</v>
      </c>
      <c r="ET115" s="419">
        <f t="shared" si="132"/>
        <v>11335742.33</v>
      </c>
      <c r="EU115" s="419">
        <f t="shared" si="133"/>
        <v>-0.18</v>
      </c>
      <c r="EV115" s="419">
        <v>-2296621</v>
      </c>
      <c r="EW115" s="419">
        <v>7749840.6299999999</v>
      </c>
      <c r="EX115" s="419">
        <v>-137797.26</v>
      </c>
      <c r="EY115" s="419">
        <f t="shared" si="134"/>
        <v>-2296621</v>
      </c>
      <c r="EZ115" s="419">
        <f t="shared" si="154"/>
        <v>0</v>
      </c>
      <c r="FA115" s="420"/>
      <c r="FB115" s="420"/>
      <c r="FC115" s="420"/>
      <c r="FD115" s="420">
        <f t="shared" si="135"/>
        <v>0</v>
      </c>
      <c r="FE115" s="420">
        <f t="shared" si="136"/>
        <v>0</v>
      </c>
      <c r="FF115" s="419"/>
      <c r="FG115" s="419"/>
      <c r="FH115" s="419"/>
      <c r="FI115" s="419">
        <f t="shared" si="137"/>
        <v>0</v>
      </c>
      <c r="FJ115" s="419">
        <f t="shared" si="138"/>
        <v>0</v>
      </c>
      <c r="FK115" s="419"/>
      <c r="FL115" s="419"/>
      <c r="FM115" s="419"/>
      <c r="FN115" s="420">
        <f t="shared" si="139"/>
        <v>0</v>
      </c>
      <c r="FO115" s="423">
        <f t="shared" si="140"/>
        <v>0</v>
      </c>
      <c r="FP115" s="419"/>
      <c r="FQ115" s="419"/>
      <c r="FR115" s="419"/>
      <c r="FS115" s="420">
        <f t="shared" si="141"/>
        <v>0</v>
      </c>
      <c r="FT115" s="420">
        <f t="shared" si="142"/>
        <v>0</v>
      </c>
      <c r="FU115" s="419"/>
      <c r="FV115" s="419"/>
      <c r="FW115" s="419"/>
      <c r="FX115" s="420">
        <f t="shared" si="143"/>
        <v>0</v>
      </c>
      <c r="FY115" s="420">
        <f t="shared" si="144"/>
        <v>0</v>
      </c>
      <c r="FZ115" s="419"/>
      <c r="GA115" s="419"/>
      <c r="GB115" s="419"/>
      <c r="GC115" s="420">
        <f t="shared" si="145"/>
        <v>0</v>
      </c>
      <c r="GD115" s="420">
        <f t="shared" si="146"/>
        <v>0</v>
      </c>
      <c r="GE115" s="419"/>
      <c r="GF115" s="419"/>
      <c r="GG115" s="419"/>
      <c r="GH115" s="420">
        <f t="shared" si="147"/>
        <v>0</v>
      </c>
      <c r="GI115" s="423">
        <f t="shared" si="148"/>
        <v>0</v>
      </c>
      <c r="GJ115" s="419"/>
      <c r="GK115" s="419"/>
      <c r="GL115" s="419"/>
      <c r="GM115" s="420">
        <f t="shared" si="149"/>
        <v>0</v>
      </c>
      <c r="GN115" s="420">
        <f t="shared" si="150"/>
        <v>0</v>
      </c>
      <c r="GO115" s="419"/>
      <c r="GP115" s="419"/>
      <c r="GQ115" s="419"/>
      <c r="GR115" s="420">
        <f t="shared" si="155"/>
        <v>0</v>
      </c>
      <c r="GS115" s="423">
        <f t="shared" si="151"/>
        <v>0</v>
      </c>
      <c r="GT115" s="419"/>
      <c r="GU115" s="419"/>
      <c r="GV115" s="419"/>
      <c r="GW115" s="420">
        <f t="shared" si="152"/>
        <v>0</v>
      </c>
      <c r="GX115" s="420">
        <f t="shared" si="153"/>
        <v>0</v>
      </c>
    </row>
    <row r="116" spans="1:206" ht="15">
      <c r="A116" s="414"/>
      <c r="B116" s="415" t="s">
        <v>540</v>
      </c>
      <c r="C116" s="698"/>
      <c r="D116" s="704" t="s">
        <v>542</v>
      </c>
      <c r="E116" s="434" t="s">
        <v>123</v>
      </c>
      <c r="F116" s="417">
        <v>0.13</v>
      </c>
      <c r="G116" s="418">
        <f t="shared" si="85"/>
        <v>353982300.88</v>
      </c>
      <c r="H116" s="418">
        <f t="shared" si="86"/>
        <v>353982300.87</v>
      </c>
      <c r="I116" s="418">
        <f t="shared" si="86"/>
        <v>46017699.119999997</v>
      </c>
      <c r="J116" s="418">
        <f t="shared" si="87"/>
        <v>353982300.92307699</v>
      </c>
      <c r="K116" s="418">
        <f t="shared" si="83"/>
        <v>5.3076863288879401E-2</v>
      </c>
      <c r="L116" s="418">
        <f t="shared" si="84"/>
        <v>4.30768728256226E-2</v>
      </c>
      <c r="M116" s="424"/>
      <c r="N116" s="424"/>
      <c r="O116" s="424"/>
      <c r="P116" s="424"/>
      <c r="Q116" s="419"/>
      <c r="R116" s="419"/>
      <c r="S116" s="419"/>
      <c r="T116" s="420"/>
      <c r="U116" s="423"/>
      <c r="V116" s="420"/>
      <c r="W116" s="420"/>
      <c r="X116" s="419"/>
      <c r="Y116" s="419"/>
      <c r="Z116" s="423"/>
      <c r="AA116" s="423"/>
      <c r="AB116" s="419"/>
      <c r="AC116" s="423"/>
      <c r="AD116" s="420"/>
      <c r="AE116" s="423"/>
      <c r="AF116" s="444"/>
      <c r="AG116" s="419"/>
      <c r="AH116" s="420"/>
      <c r="AI116" s="420"/>
      <c r="AJ116" s="423"/>
      <c r="AK116" s="444"/>
      <c r="AL116" s="420"/>
      <c r="AM116" s="420"/>
      <c r="AN116" s="420"/>
      <c r="AO116" s="423"/>
      <c r="AP116" s="420"/>
      <c r="AQ116" s="419"/>
      <c r="AR116" s="420"/>
      <c r="AS116" s="420"/>
      <c r="AT116" s="420"/>
      <c r="AU116" s="420"/>
      <c r="AV116" s="420"/>
      <c r="AW116" s="420"/>
      <c r="AX116" s="426"/>
      <c r="AY116" s="420"/>
      <c r="AZ116" s="420"/>
      <c r="BA116" s="420"/>
      <c r="BB116" s="419"/>
      <c r="BC116" s="420"/>
      <c r="BD116" s="427"/>
      <c r="BE116" s="420"/>
      <c r="BF116" s="420"/>
      <c r="BG116" s="420"/>
      <c r="BH116" s="423"/>
      <c r="BI116" s="420"/>
      <c r="BJ116" s="420"/>
      <c r="BK116" s="420"/>
      <c r="BL116" s="420"/>
      <c r="BM116" s="420"/>
      <c r="BN116" s="420"/>
      <c r="BO116" s="419"/>
      <c r="BP116" s="428"/>
      <c r="BQ116" s="420"/>
      <c r="BR116" s="423"/>
      <c r="BS116" s="423"/>
      <c r="BT116" s="420"/>
      <c r="BU116" s="420"/>
      <c r="BV116" s="420"/>
      <c r="BW116" s="420"/>
      <c r="BX116" s="429"/>
      <c r="BY116" s="419"/>
      <c r="BZ116" s="419"/>
      <c r="CA116" s="419"/>
      <c r="CB116" s="420"/>
      <c r="CC116" s="430"/>
      <c r="CD116" s="419"/>
      <c r="CE116" s="419"/>
      <c r="CF116" s="419"/>
      <c r="CG116" s="420"/>
      <c r="CH116" s="423"/>
      <c r="CI116" s="432"/>
      <c r="CJ116" s="432"/>
      <c r="CK116" s="432"/>
      <c r="CL116" s="420">
        <f t="shared" si="167"/>
        <v>0</v>
      </c>
      <c r="CM116" s="423"/>
      <c r="CN116" s="420"/>
      <c r="CO116" s="420"/>
      <c r="CP116" s="420"/>
      <c r="CQ116" s="432"/>
      <c r="CR116" s="432">
        <f t="shared" si="169"/>
        <v>0</v>
      </c>
      <c r="CS116" s="420"/>
      <c r="CT116" s="420"/>
      <c r="CU116" s="420"/>
      <c r="CV116" s="420"/>
      <c r="CW116" s="420">
        <f t="shared" si="170"/>
        <v>0</v>
      </c>
      <c r="CX116" s="419"/>
      <c r="CY116" s="419"/>
      <c r="CZ116" s="419"/>
      <c r="DA116" s="419">
        <f t="shared" si="115"/>
        <v>0</v>
      </c>
      <c r="DB116" s="419">
        <f t="shared" si="116"/>
        <v>0</v>
      </c>
      <c r="DC116" s="419"/>
      <c r="DD116" s="419"/>
      <c r="DE116" s="419"/>
      <c r="DF116" s="420">
        <f t="shared" si="117"/>
        <v>0</v>
      </c>
      <c r="DG116" s="421">
        <f t="shared" si="118"/>
        <v>0</v>
      </c>
      <c r="DH116" s="419"/>
      <c r="DI116" s="419"/>
      <c r="DJ116" s="419"/>
      <c r="DK116" s="420">
        <f t="shared" si="119"/>
        <v>0</v>
      </c>
      <c r="DL116" s="422">
        <f t="shared" si="120"/>
        <v>0</v>
      </c>
      <c r="DM116" s="420"/>
      <c r="DN116" s="420"/>
      <c r="DO116" s="420"/>
      <c r="DP116" s="420">
        <f t="shared" si="121"/>
        <v>0</v>
      </c>
      <c r="DQ116" s="420">
        <f t="shared" si="122"/>
        <v>0</v>
      </c>
      <c r="DR116" s="419"/>
      <c r="DS116" s="419"/>
      <c r="DT116" s="419"/>
      <c r="DU116" s="420">
        <f t="shared" si="123"/>
        <v>0</v>
      </c>
      <c r="DV116" s="423">
        <f t="shared" si="124"/>
        <v>0</v>
      </c>
      <c r="DW116" s="419"/>
      <c r="DX116" s="419"/>
      <c r="DY116" s="419"/>
      <c r="DZ116" s="420">
        <f t="shared" si="125"/>
        <v>0</v>
      </c>
      <c r="EA116" s="423">
        <f t="shared" si="126"/>
        <v>0</v>
      </c>
      <c r="EB116" s="419"/>
      <c r="EC116" s="419"/>
      <c r="ED116" s="420"/>
      <c r="EE116" s="419"/>
      <c r="EF116" s="420">
        <f t="shared" si="127"/>
        <v>0</v>
      </c>
      <c r="EG116" s="419"/>
      <c r="EH116" s="419"/>
      <c r="EI116" s="419"/>
      <c r="EJ116" s="420">
        <f t="shared" si="128"/>
        <v>0</v>
      </c>
      <c r="EK116" s="420">
        <f t="shared" si="129"/>
        <v>0</v>
      </c>
      <c r="EL116" s="419">
        <v>225266504.41999999</v>
      </c>
      <c r="EM116" s="419">
        <v>225266504.41999999</v>
      </c>
      <c r="EN116" s="419">
        <v>29284645.579999998</v>
      </c>
      <c r="EO116" s="419">
        <f t="shared" si="130"/>
        <v>225266504.46000001</v>
      </c>
      <c r="EP116" s="419">
        <f t="shared" si="131"/>
        <v>0.04</v>
      </c>
      <c r="EQ116" s="419"/>
      <c r="ER116" s="419"/>
      <c r="ES116" s="419"/>
      <c r="ET116" s="419">
        <f t="shared" si="132"/>
        <v>0</v>
      </c>
      <c r="EU116" s="419">
        <f t="shared" si="133"/>
        <v>0</v>
      </c>
      <c r="EV116" s="419">
        <v>128715796.45999999</v>
      </c>
      <c r="EW116" s="419">
        <v>128715796.45</v>
      </c>
      <c r="EX116" s="419">
        <v>16733053.539999999</v>
      </c>
      <c r="EY116" s="419">
        <f t="shared" si="134"/>
        <v>128715796.45999999</v>
      </c>
      <c r="EZ116" s="419">
        <f t="shared" si="154"/>
        <v>0</v>
      </c>
      <c r="FA116" s="420"/>
      <c r="FB116" s="420"/>
      <c r="FC116" s="420"/>
      <c r="FD116" s="420">
        <f t="shared" si="135"/>
        <v>0</v>
      </c>
      <c r="FE116" s="420">
        <f t="shared" si="136"/>
        <v>0</v>
      </c>
      <c r="FF116" s="419"/>
      <c r="FG116" s="419"/>
      <c r="FH116" s="419"/>
      <c r="FI116" s="419">
        <f t="shared" si="137"/>
        <v>0</v>
      </c>
      <c r="FJ116" s="419">
        <f t="shared" si="138"/>
        <v>0</v>
      </c>
      <c r="FK116" s="419"/>
      <c r="FL116" s="419"/>
      <c r="FM116" s="419"/>
      <c r="FN116" s="420">
        <f t="shared" si="139"/>
        <v>0</v>
      </c>
      <c r="FO116" s="423">
        <f t="shared" si="140"/>
        <v>0</v>
      </c>
      <c r="FP116" s="419"/>
      <c r="FQ116" s="419"/>
      <c r="FR116" s="419"/>
      <c r="FS116" s="420">
        <f t="shared" si="141"/>
        <v>0</v>
      </c>
      <c r="FT116" s="420">
        <f t="shared" si="142"/>
        <v>0</v>
      </c>
      <c r="FU116" s="419"/>
      <c r="FV116" s="419"/>
      <c r="FW116" s="419"/>
      <c r="FX116" s="420">
        <f t="shared" si="143"/>
        <v>0</v>
      </c>
      <c r="FY116" s="420">
        <f t="shared" si="144"/>
        <v>0</v>
      </c>
      <c r="FZ116" s="419"/>
      <c r="GA116" s="419"/>
      <c r="GB116" s="419"/>
      <c r="GC116" s="420">
        <f t="shared" si="145"/>
        <v>0</v>
      </c>
      <c r="GD116" s="420">
        <f t="shared" si="146"/>
        <v>0</v>
      </c>
      <c r="GE116" s="419"/>
      <c r="GF116" s="419"/>
      <c r="GG116" s="419"/>
      <c r="GH116" s="420">
        <f t="shared" si="147"/>
        <v>0</v>
      </c>
      <c r="GI116" s="423">
        <f t="shared" si="148"/>
        <v>0</v>
      </c>
      <c r="GJ116" s="419"/>
      <c r="GK116" s="419"/>
      <c r="GL116" s="419"/>
      <c r="GM116" s="420">
        <f t="shared" si="149"/>
        <v>0</v>
      </c>
      <c r="GN116" s="420">
        <f t="shared" si="150"/>
        <v>0</v>
      </c>
      <c r="GO116" s="419"/>
      <c r="GP116" s="419"/>
      <c r="GQ116" s="419"/>
      <c r="GR116" s="420">
        <f t="shared" si="155"/>
        <v>0</v>
      </c>
      <c r="GS116" s="423">
        <f t="shared" si="151"/>
        <v>0</v>
      </c>
      <c r="GT116" s="419"/>
      <c r="GU116" s="419"/>
      <c r="GV116" s="419"/>
      <c r="GW116" s="420">
        <f t="shared" si="152"/>
        <v>0</v>
      </c>
      <c r="GX116" s="420">
        <f t="shared" si="153"/>
        <v>0</v>
      </c>
    </row>
    <row r="117" spans="1:206" ht="15">
      <c r="A117" s="414"/>
      <c r="B117" s="415" t="s">
        <v>540</v>
      </c>
      <c r="C117" s="698"/>
      <c r="D117" s="706"/>
      <c r="E117" s="434" t="s">
        <v>124</v>
      </c>
      <c r="F117" s="417">
        <v>0.09</v>
      </c>
      <c r="G117" s="418">
        <f t="shared" si="85"/>
        <v>0</v>
      </c>
      <c r="H117" s="418">
        <f t="shared" si="86"/>
        <v>0</v>
      </c>
      <c r="I117" s="418">
        <f t="shared" si="86"/>
        <v>0</v>
      </c>
      <c r="J117" s="418">
        <f t="shared" si="87"/>
        <v>0</v>
      </c>
      <c r="K117" s="418">
        <f t="shared" si="83"/>
        <v>0</v>
      </c>
      <c r="L117" s="418">
        <f t="shared" si="84"/>
        <v>0</v>
      </c>
      <c r="M117" s="424"/>
      <c r="N117" s="424"/>
      <c r="O117" s="424"/>
      <c r="P117" s="424"/>
      <c r="Q117" s="419"/>
      <c r="R117" s="419"/>
      <c r="S117" s="419"/>
      <c r="T117" s="420"/>
      <c r="U117" s="423"/>
      <c r="V117" s="420"/>
      <c r="W117" s="420"/>
      <c r="X117" s="419"/>
      <c r="Y117" s="419"/>
      <c r="Z117" s="423"/>
      <c r="AA117" s="423"/>
      <c r="AB117" s="419"/>
      <c r="AC117" s="423"/>
      <c r="AD117" s="420"/>
      <c r="AE117" s="423"/>
      <c r="AF117" s="444"/>
      <c r="AG117" s="419"/>
      <c r="AH117" s="420"/>
      <c r="AI117" s="420"/>
      <c r="AJ117" s="423"/>
      <c r="AK117" s="444"/>
      <c r="AL117" s="420"/>
      <c r="AM117" s="420"/>
      <c r="AN117" s="420"/>
      <c r="AO117" s="423"/>
      <c r="AP117" s="420"/>
      <c r="AQ117" s="419"/>
      <c r="AR117" s="420"/>
      <c r="AS117" s="420"/>
      <c r="AT117" s="420"/>
      <c r="AU117" s="420"/>
      <c r="AV117" s="420"/>
      <c r="AW117" s="420"/>
      <c r="AX117" s="426"/>
      <c r="AY117" s="420"/>
      <c r="AZ117" s="420"/>
      <c r="BA117" s="420"/>
      <c r="BB117" s="419"/>
      <c r="BC117" s="420"/>
      <c r="BD117" s="427"/>
      <c r="BE117" s="420"/>
      <c r="BF117" s="420"/>
      <c r="BG117" s="420"/>
      <c r="BH117" s="423"/>
      <c r="BI117" s="420"/>
      <c r="BJ117" s="420"/>
      <c r="BK117" s="420"/>
      <c r="BL117" s="420"/>
      <c r="BM117" s="420"/>
      <c r="BN117" s="420"/>
      <c r="BO117" s="419"/>
      <c r="BP117" s="428"/>
      <c r="BQ117" s="420"/>
      <c r="BR117" s="423"/>
      <c r="BS117" s="423"/>
      <c r="BT117" s="420"/>
      <c r="BU117" s="420"/>
      <c r="BV117" s="420"/>
      <c r="BW117" s="420"/>
      <c r="BX117" s="429"/>
      <c r="BY117" s="419"/>
      <c r="BZ117" s="419"/>
      <c r="CA117" s="419"/>
      <c r="CB117" s="420"/>
      <c r="CC117" s="430"/>
      <c r="CD117" s="419"/>
      <c r="CE117" s="419"/>
      <c r="CF117" s="419"/>
      <c r="CG117" s="420"/>
      <c r="CH117" s="423"/>
      <c r="CI117" s="432"/>
      <c r="CJ117" s="432"/>
      <c r="CK117" s="432"/>
      <c r="CL117" s="420">
        <f t="shared" si="167"/>
        <v>0</v>
      </c>
      <c r="CM117" s="423"/>
      <c r="CN117" s="420"/>
      <c r="CO117" s="420"/>
      <c r="CP117" s="420"/>
      <c r="CQ117" s="432"/>
      <c r="CR117" s="432">
        <f t="shared" si="169"/>
        <v>0</v>
      </c>
      <c r="CS117" s="420"/>
      <c r="CT117" s="420"/>
      <c r="CU117" s="420"/>
      <c r="CV117" s="420"/>
      <c r="CW117" s="420">
        <f t="shared" si="170"/>
        <v>0</v>
      </c>
      <c r="CX117" s="419"/>
      <c r="CY117" s="419"/>
      <c r="CZ117" s="419"/>
      <c r="DA117" s="419">
        <f t="shared" si="115"/>
        <v>0</v>
      </c>
      <c r="DB117" s="419">
        <f t="shared" si="116"/>
        <v>0</v>
      </c>
      <c r="DC117" s="419"/>
      <c r="DD117" s="419"/>
      <c r="DE117" s="419"/>
      <c r="DF117" s="420">
        <f t="shared" si="117"/>
        <v>0</v>
      </c>
      <c r="DG117" s="421">
        <f t="shared" si="118"/>
        <v>0</v>
      </c>
      <c r="DH117" s="419"/>
      <c r="DI117" s="419"/>
      <c r="DJ117" s="419"/>
      <c r="DK117" s="420">
        <f t="shared" si="119"/>
        <v>0</v>
      </c>
      <c r="DL117" s="422">
        <f t="shared" si="120"/>
        <v>0</v>
      </c>
      <c r="DM117" s="420"/>
      <c r="DN117" s="420"/>
      <c r="DO117" s="420"/>
      <c r="DP117" s="420">
        <f t="shared" si="121"/>
        <v>0</v>
      </c>
      <c r="DQ117" s="420">
        <f t="shared" si="122"/>
        <v>0</v>
      </c>
      <c r="DR117" s="419"/>
      <c r="DS117" s="419"/>
      <c r="DT117" s="419"/>
      <c r="DU117" s="420">
        <f t="shared" si="123"/>
        <v>0</v>
      </c>
      <c r="DV117" s="423">
        <f t="shared" si="124"/>
        <v>0</v>
      </c>
      <c r="DW117" s="419"/>
      <c r="DX117" s="419"/>
      <c r="DY117" s="419"/>
      <c r="DZ117" s="420">
        <f t="shared" si="125"/>
        <v>0</v>
      </c>
      <c r="EA117" s="423">
        <f t="shared" si="126"/>
        <v>0</v>
      </c>
      <c r="EB117" s="420"/>
      <c r="EC117" s="419"/>
      <c r="ED117" s="420"/>
      <c r="EE117" s="419"/>
      <c r="EF117" s="420">
        <f t="shared" si="127"/>
        <v>0</v>
      </c>
      <c r="EG117" s="419"/>
      <c r="EH117" s="419"/>
      <c r="EI117" s="419"/>
      <c r="EJ117" s="420">
        <f t="shared" si="128"/>
        <v>0</v>
      </c>
      <c r="EK117" s="420">
        <f t="shared" si="129"/>
        <v>0</v>
      </c>
      <c r="EL117" s="420"/>
      <c r="EM117" s="419"/>
      <c r="EN117" s="419"/>
      <c r="EO117" s="419">
        <f t="shared" si="130"/>
        <v>0</v>
      </c>
      <c r="EP117" s="419">
        <f t="shared" si="131"/>
        <v>0</v>
      </c>
      <c r="EQ117" s="419"/>
      <c r="ER117" s="419"/>
      <c r="ES117" s="419"/>
      <c r="ET117" s="419">
        <f t="shared" si="132"/>
        <v>0</v>
      </c>
      <c r="EU117" s="419">
        <f t="shared" si="133"/>
        <v>0</v>
      </c>
      <c r="EV117" s="419"/>
      <c r="EW117" s="419"/>
      <c r="EX117" s="419"/>
      <c r="EY117" s="419">
        <f t="shared" si="134"/>
        <v>0</v>
      </c>
      <c r="EZ117" s="419">
        <f t="shared" si="154"/>
        <v>0</v>
      </c>
      <c r="FA117" s="420"/>
      <c r="FB117" s="420"/>
      <c r="FC117" s="420"/>
      <c r="FD117" s="420">
        <f t="shared" si="135"/>
        <v>0</v>
      </c>
      <c r="FE117" s="420">
        <f t="shared" si="136"/>
        <v>0</v>
      </c>
      <c r="FF117" s="419"/>
      <c r="FG117" s="419"/>
      <c r="FH117" s="419"/>
      <c r="FI117" s="419">
        <f t="shared" si="137"/>
        <v>0</v>
      </c>
      <c r="FJ117" s="419">
        <f t="shared" si="138"/>
        <v>0</v>
      </c>
      <c r="FK117" s="419"/>
      <c r="FL117" s="419"/>
      <c r="FM117" s="419"/>
      <c r="FN117" s="420">
        <f t="shared" si="139"/>
        <v>0</v>
      </c>
      <c r="FO117" s="423">
        <f t="shared" si="140"/>
        <v>0</v>
      </c>
      <c r="FP117" s="419"/>
      <c r="FQ117" s="419"/>
      <c r="FR117" s="419"/>
      <c r="FS117" s="420">
        <f t="shared" si="141"/>
        <v>0</v>
      </c>
      <c r="FT117" s="420">
        <f t="shared" si="142"/>
        <v>0</v>
      </c>
      <c r="FU117" s="419"/>
      <c r="FV117" s="419"/>
      <c r="FW117" s="419"/>
      <c r="FX117" s="420">
        <f t="shared" si="143"/>
        <v>0</v>
      </c>
      <c r="FY117" s="420">
        <f t="shared" si="144"/>
        <v>0</v>
      </c>
      <c r="FZ117" s="419"/>
      <c r="GA117" s="419"/>
      <c r="GB117" s="419"/>
      <c r="GC117" s="420">
        <f t="shared" si="145"/>
        <v>0</v>
      </c>
      <c r="GD117" s="420">
        <f t="shared" si="146"/>
        <v>0</v>
      </c>
      <c r="GE117" s="419"/>
      <c r="GF117" s="419"/>
      <c r="GG117" s="419"/>
      <c r="GH117" s="420">
        <f t="shared" si="147"/>
        <v>0</v>
      </c>
      <c r="GI117" s="423">
        <f t="shared" si="148"/>
        <v>0</v>
      </c>
      <c r="GJ117" s="419"/>
      <c r="GK117" s="419"/>
      <c r="GL117" s="419"/>
      <c r="GM117" s="420">
        <f t="shared" si="149"/>
        <v>0</v>
      </c>
      <c r="GN117" s="420">
        <f t="shared" si="150"/>
        <v>0</v>
      </c>
      <c r="GO117" s="419"/>
      <c r="GP117" s="419"/>
      <c r="GQ117" s="419"/>
      <c r="GR117" s="420">
        <f t="shared" si="155"/>
        <v>0</v>
      </c>
      <c r="GS117" s="423">
        <f t="shared" si="151"/>
        <v>0</v>
      </c>
      <c r="GT117" s="419"/>
      <c r="GU117" s="419"/>
      <c r="GV117" s="419"/>
      <c r="GW117" s="420">
        <f t="shared" si="152"/>
        <v>0</v>
      </c>
      <c r="GX117" s="420">
        <f t="shared" si="153"/>
        <v>0</v>
      </c>
    </row>
    <row r="118" spans="1:206" ht="15">
      <c r="A118" s="414"/>
      <c r="B118" s="415" t="s">
        <v>540</v>
      </c>
      <c r="C118" s="698"/>
      <c r="D118" s="707"/>
      <c r="E118" s="434" t="s">
        <v>125</v>
      </c>
      <c r="F118" s="417">
        <v>0.06</v>
      </c>
      <c r="G118" s="418">
        <f t="shared" si="85"/>
        <v>-2.00000000186265E-2</v>
      </c>
      <c r="H118" s="418">
        <f t="shared" si="86"/>
        <v>0</v>
      </c>
      <c r="I118" s="418">
        <f t="shared" si="86"/>
        <v>1.12000000008265E-2</v>
      </c>
      <c r="J118" s="418">
        <f t="shared" si="87"/>
        <v>0.18666666668044199</v>
      </c>
      <c r="K118" s="418">
        <f t="shared" ref="K118:K181" si="171">I118/F118-H118</f>
        <v>0.18666666668044199</v>
      </c>
      <c r="L118" s="418">
        <f t="shared" ref="L118:L181" si="172">J118-G118</f>
        <v>0.206666666699069</v>
      </c>
      <c r="M118" s="424"/>
      <c r="N118" s="424"/>
      <c r="O118" s="424"/>
      <c r="P118" s="424"/>
      <c r="Q118" s="419"/>
      <c r="R118" s="419"/>
      <c r="S118" s="419"/>
      <c r="T118" s="420"/>
      <c r="U118" s="423"/>
      <c r="V118" s="420"/>
      <c r="W118" s="420"/>
      <c r="X118" s="419"/>
      <c r="Y118" s="419"/>
      <c r="Z118" s="423"/>
      <c r="AA118" s="423"/>
      <c r="AB118" s="419"/>
      <c r="AC118" s="423"/>
      <c r="AD118" s="420"/>
      <c r="AE118" s="423"/>
      <c r="AF118" s="444"/>
      <c r="AG118" s="419"/>
      <c r="AH118" s="420"/>
      <c r="AI118" s="420"/>
      <c r="AJ118" s="423"/>
      <c r="AK118" s="444"/>
      <c r="AL118" s="420"/>
      <c r="AM118" s="420"/>
      <c r="AN118" s="420"/>
      <c r="AO118" s="423"/>
      <c r="AP118" s="420"/>
      <c r="AQ118" s="419"/>
      <c r="AR118" s="420"/>
      <c r="AS118" s="420"/>
      <c r="AT118" s="420"/>
      <c r="AU118" s="420"/>
      <c r="AV118" s="420"/>
      <c r="AW118" s="420"/>
      <c r="AX118" s="426"/>
      <c r="AY118" s="420"/>
      <c r="AZ118" s="420"/>
      <c r="BA118" s="420"/>
      <c r="BB118" s="419"/>
      <c r="BC118" s="420"/>
      <c r="BD118" s="427"/>
      <c r="BE118" s="420"/>
      <c r="BF118" s="420"/>
      <c r="BG118" s="420"/>
      <c r="BH118" s="423"/>
      <c r="BI118" s="420"/>
      <c r="BJ118" s="420"/>
      <c r="BK118" s="420"/>
      <c r="BL118" s="420"/>
      <c r="BM118" s="420"/>
      <c r="BN118" s="420"/>
      <c r="BO118" s="419"/>
      <c r="BP118" s="428"/>
      <c r="BQ118" s="420"/>
      <c r="BR118" s="423"/>
      <c r="BS118" s="423"/>
      <c r="BT118" s="420"/>
      <c r="BU118" s="420"/>
      <c r="BV118" s="420"/>
      <c r="BW118" s="420"/>
      <c r="BX118" s="429"/>
      <c r="BY118" s="419"/>
      <c r="BZ118" s="419"/>
      <c r="CA118" s="419"/>
      <c r="CB118" s="420"/>
      <c r="CC118" s="430"/>
      <c r="CD118" s="419"/>
      <c r="CE118" s="419"/>
      <c r="CF118" s="419"/>
      <c r="CG118" s="420"/>
      <c r="CH118" s="423"/>
      <c r="CI118" s="432"/>
      <c r="CJ118" s="432"/>
      <c r="CK118" s="432"/>
      <c r="CL118" s="420">
        <f t="shared" si="167"/>
        <v>0</v>
      </c>
      <c r="CM118" s="423"/>
      <c r="CN118" s="420">
        <v>19986.34</v>
      </c>
      <c r="CO118" s="420"/>
      <c r="CP118" s="420">
        <v>1199.18</v>
      </c>
      <c r="CQ118" s="432">
        <v>19986.34</v>
      </c>
      <c r="CR118" s="432">
        <f t="shared" si="169"/>
        <v>0</v>
      </c>
      <c r="CS118" s="420">
        <v>22349.45</v>
      </c>
      <c r="CT118" s="420"/>
      <c r="CU118" s="420">
        <v>1340.97</v>
      </c>
      <c r="CV118" s="420">
        <v>22349.45</v>
      </c>
      <c r="CW118" s="420">
        <f t="shared" si="170"/>
        <v>0</v>
      </c>
      <c r="CX118" s="419">
        <v>24297.81</v>
      </c>
      <c r="CY118" s="419"/>
      <c r="CZ118" s="419">
        <v>1457.87</v>
      </c>
      <c r="DA118" s="419">
        <f t="shared" si="115"/>
        <v>24297.83</v>
      </c>
      <c r="DB118" s="419">
        <f t="shared" si="116"/>
        <v>0.02</v>
      </c>
      <c r="DC118" s="419">
        <v>24745.9</v>
      </c>
      <c r="DD118" s="419"/>
      <c r="DE118" s="419">
        <v>1484.75</v>
      </c>
      <c r="DF118" s="420">
        <f t="shared" si="117"/>
        <v>24745.833333333299</v>
      </c>
      <c r="DG118" s="421">
        <f t="shared" si="118"/>
        <v>6.6666666665696497E-2</v>
      </c>
      <c r="DH118" s="419">
        <v>26132.76</v>
      </c>
      <c r="DI118" s="419">
        <v>91379.5</v>
      </c>
      <c r="DJ118" s="419">
        <v>1567.97</v>
      </c>
      <c r="DK118" s="420">
        <f t="shared" si="119"/>
        <v>26132.833333333299</v>
      </c>
      <c r="DL118" s="422">
        <f t="shared" si="120"/>
        <v>7.3333333337359405E-2</v>
      </c>
      <c r="DM118" s="420">
        <v>27469.65</v>
      </c>
      <c r="DN118" s="420"/>
      <c r="DO118" s="420">
        <v>1648.18</v>
      </c>
      <c r="DP118" s="420">
        <f t="shared" si="121"/>
        <v>27469.666666666701</v>
      </c>
      <c r="DQ118" s="420">
        <f t="shared" si="122"/>
        <v>1.66666666664241E-2</v>
      </c>
      <c r="DR118" s="419">
        <v>24308.81</v>
      </c>
      <c r="DS118" s="419">
        <v>53602.41</v>
      </c>
      <c r="DT118" s="419">
        <v>1458.53</v>
      </c>
      <c r="DU118" s="420">
        <f t="shared" si="123"/>
        <v>24308.833333333299</v>
      </c>
      <c r="DV118" s="423">
        <f t="shared" si="124"/>
        <v>2.3333333330811001E-2</v>
      </c>
      <c r="DW118" s="419">
        <v>26034.9</v>
      </c>
      <c r="DX118" s="419"/>
      <c r="DY118" s="419">
        <v>1562.09</v>
      </c>
      <c r="DZ118" s="420">
        <f t="shared" si="125"/>
        <v>26034.83</v>
      </c>
      <c r="EA118" s="423">
        <f t="shared" si="126"/>
        <v>-7.0000000000000007E-2</v>
      </c>
      <c r="EB118" s="419">
        <v>29993.02</v>
      </c>
      <c r="EC118" s="419"/>
      <c r="ED118" s="420">
        <v>1799.5812000000001</v>
      </c>
      <c r="EE118" s="419">
        <v>29993.02</v>
      </c>
      <c r="EF118" s="420">
        <f t="shared" si="127"/>
        <v>0</v>
      </c>
      <c r="EG118" s="419">
        <v>146265.95000000001</v>
      </c>
      <c r="EI118" s="419">
        <v>8775.9599999999991</v>
      </c>
      <c r="EJ118" s="420">
        <f t="shared" si="128"/>
        <v>146266</v>
      </c>
      <c r="EK118" s="420">
        <f t="shared" si="129"/>
        <v>0.05</v>
      </c>
      <c r="EL118" s="419"/>
      <c r="EM118" s="419">
        <v>226602.7</v>
      </c>
      <c r="EN118" s="419"/>
      <c r="EO118" s="419">
        <f t="shared" si="130"/>
        <v>0</v>
      </c>
      <c r="EP118" s="419">
        <f t="shared" si="131"/>
        <v>0</v>
      </c>
      <c r="EQ118" s="419"/>
      <c r="ER118" s="419"/>
      <c r="ES118" s="419"/>
      <c r="ET118" s="419">
        <f t="shared" si="132"/>
        <v>0</v>
      </c>
      <c r="EU118" s="419">
        <f t="shared" si="133"/>
        <v>0</v>
      </c>
      <c r="EV118" s="419">
        <v>-371584.61</v>
      </c>
      <c r="EW118" s="419">
        <v>-371584.61</v>
      </c>
      <c r="EX118" s="419">
        <v>-22295.07</v>
      </c>
      <c r="EY118" s="419">
        <f t="shared" si="134"/>
        <v>-371584.5</v>
      </c>
      <c r="EZ118" s="419">
        <f t="shared" si="154"/>
        <v>0.11</v>
      </c>
      <c r="FA118" s="420"/>
      <c r="FB118" s="420"/>
      <c r="FC118" s="420"/>
      <c r="FD118" s="420">
        <f t="shared" si="135"/>
        <v>0</v>
      </c>
      <c r="FE118" s="420">
        <f t="shared" si="136"/>
        <v>0</v>
      </c>
      <c r="FF118" s="419"/>
      <c r="FG118" s="419"/>
      <c r="FH118" s="419"/>
      <c r="FI118" s="419">
        <f t="shared" si="137"/>
        <v>0</v>
      </c>
      <c r="FJ118" s="419">
        <f t="shared" si="138"/>
        <v>0</v>
      </c>
      <c r="FK118" s="419"/>
      <c r="FL118" s="419"/>
      <c r="FM118" s="419"/>
      <c r="FN118" s="420">
        <f t="shared" si="139"/>
        <v>0</v>
      </c>
      <c r="FO118" s="423">
        <f t="shared" si="140"/>
        <v>0</v>
      </c>
      <c r="FP118" s="419"/>
      <c r="FQ118" s="419"/>
      <c r="FR118" s="419"/>
      <c r="FS118" s="420">
        <f t="shared" si="141"/>
        <v>0</v>
      </c>
      <c r="FT118" s="420">
        <f t="shared" si="142"/>
        <v>0</v>
      </c>
      <c r="FU118" s="419"/>
      <c r="FV118" s="419"/>
      <c r="FW118" s="419"/>
      <c r="FX118" s="420">
        <f t="shared" si="143"/>
        <v>0</v>
      </c>
      <c r="FY118" s="420">
        <f t="shared" si="144"/>
        <v>0</v>
      </c>
      <c r="FZ118" s="419"/>
      <c r="GA118" s="419"/>
      <c r="GB118" s="419"/>
      <c r="GC118" s="420">
        <f t="shared" si="145"/>
        <v>0</v>
      </c>
      <c r="GD118" s="420">
        <f t="shared" si="146"/>
        <v>0</v>
      </c>
      <c r="GE118" s="419"/>
      <c r="GF118" s="419"/>
      <c r="GG118" s="419"/>
      <c r="GH118" s="420">
        <f t="shared" si="147"/>
        <v>0</v>
      </c>
      <c r="GI118" s="423">
        <f t="shared" si="148"/>
        <v>0</v>
      </c>
      <c r="GJ118" s="419"/>
      <c r="GK118" s="419"/>
      <c r="GL118" s="419"/>
      <c r="GM118" s="420">
        <f t="shared" si="149"/>
        <v>0</v>
      </c>
      <c r="GN118" s="420">
        <f t="shared" si="150"/>
        <v>0</v>
      </c>
      <c r="GO118" s="419"/>
      <c r="GP118" s="419"/>
      <c r="GQ118" s="419"/>
      <c r="GR118" s="420">
        <f t="shared" si="155"/>
        <v>0</v>
      </c>
      <c r="GS118" s="423">
        <f t="shared" si="151"/>
        <v>0</v>
      </c>
      <c r="GT118" s="419"/>
      <c r="GU118" s="419"/>
      <c r="GV118" s="419"/>
      <c r="GW118" s="420">
        <f t="shared" si="152"/>
        <v>0</v>
      </c>
      <c r="GX118" s="420">
        <f t="shared" si="153"/>
        <v>0</v>
      </c>
    </row>
    <row r="119" spans="1:206" ht="15">
      <c r="A119" s="414"/>
      <c r="B119" s="415" t="s">
        <v>543</v>
      </c>
      <c r="C119" s="698"/>
      <c r="D119" s="704" t="s">
        <v>544</v>
      </c>
      <c r="E119" s="434" t="s">
        <v>123</v>
      </c>
      <c r="F119" s="417">
        <v>0.13</v>
      </c>
      <c r="G119" s="418">
        <f t="shared" si="85"/>
        <v>58493872.071504399</v>
      </c>
      <c r="H119" s="418">
        <f t="shared" si="86"/>
        <v>58493872.079999998</v>
      </c>
      <c r="I119" s="418">
        <f t="shared" si="86"/>
        <v>7604203.3684955696</v>
      </c>
      <c r="J119" s="418">
        <f t="shared" si="87"/>
        <v>58493872.0653506</v>
      </c>
      <c r="K119" s="418">
        <f t="shared" si="171"/>
        <v>-1.46494284272194E-2</v>
      </c>
      <c r="L119" s="418">
        <f t="shared" si="172"/>
        <v>-6.15385174751282E-3</v>
      </c>
      <c r="M119" s="424"/>
      <c r="N119" s="424"/>
      <c r="O119" s="424"/>
      <c r="P119" s="424"/>
      <c r="Q119" s="419"/>
      <c r="R119" s="419"/>
      <c r="S119" s="419"/>
      <c r="T119" s="420"/>
      <c r="U119" s="423"/>
      <c r="V119" s="420"/>
      <c r="W119" s="420"/>
      <c r="X119" s="419"/>
      <c r="Y119" s="419"/>
      <c r="Z119" s="423"/>
      <c r="AA119" s="423"/>
      <c r="AB119" s="419"/>
      <c r="AC119" s="423"/>
      <c r="AD119" s="420"/>
      <c r="AE119" s="423"/>
      <c r="AF119" s="444"/>
      <c r="AG119" s="419"/>
      <c r="AH119" s="420"/>
      <c r="AI119" s="420"/>
      <c r="AJ119" s="423"/>
      <c r="AK119" s="444"/>
      <c r="AL119" s="420"/>
      <c r="AM119" s="420"/>
      <c r="AN119" s="420"/>
      <c r="AO119" s="423"/>
      <c r="AP119" s="420"/>
      <c r="AQ119" s="419"/>
      <c r="AR119" s="420"/>
      <c r="AS119" s="420"/>
      <c r="AT119" s="420"/>
      <c r="AU119" s="420"/>
      <c r="AV119" s="420"/>
      <c r="AW119" s="420"/>
      <c r="AX119" s="426"/>
      <c r="AY119" s="420"/>
      <c r="AZ119" s="420"/>
      <c r="BA119" s="420"/>
      <c r="BB119" s="419"/>
      <c r="BC119" s="420"/>
      <c r="BD119" s="427"/>
      <c r="BE119" s="420"/>
      <c r="BF119" s="420"/>
      <c r="BG119" s="420"/>
      <c r="BH119" s="423"/>
      <c r="BI119" s="420"/>
      <c r="BJ119" s="420"/>
      <c r="BK119" s="420"/>
      <c r="BL119" s="420"/>
      <c r="BM119" s="420"/>
      <c r="BN119" s="420"/>
      <c r="BO119" s="419"/>
      <c r="BP119" s="428"/>
      <c r="BQ119" s="420"/>
      <c r="BR119" s="423"/>
      <c r="BS119" s="423"/>
      <c r="BT119" s="420"/>
      <c r="BU119" s="420"/>
      <c r="BV119" s="420"/>
      <c r="BW119" s="420"/>
      <c r="BX119" s="429"/>
      <c r="BY119" s="419"/>
      <c r="BZ119" s="419"/>
      <c r="CA119" s="419"/>
      <c r="CB119" s="420"/>
      <c r="CC119" s="430"/>
      <c r="CD119" s="419"/>
      <c r="CE119" s="419"/>
      <c r="CF119" s="419"/>
      <c r="CG119" s="420"/>
      <c r="CH119" s="423"/>
      <c r="CI119" s="432"/>
      <c r="CJ119" s="432"/>
      <c r="CK119" s="432"/>
      <c r="CL119" s="420">
        <f t="shared" si="167"/>
        <v>0</v>
      </c>
      <c r="CM119" s="423"/>
      <c r="CN119" s="420"/>
      <c r="CO119" s="420"/>
      <c r="CP119" s="420"/>
      <c r="CQ119" s="432"/>
      <c r="CR119" s="432">
        <f t="shared" si="169"/>
        <v>0</v>
      </c>
      <c r="CS119" s="420"/>
      <c r="CT119" s="420"/>
      <c r="CU119" s="420"/>
      <c r="CV119" s="420"/>
      <c r="CW119" s="420">
        <f t="shared" si="170"/>
        <v>0</v>
      </c>
      <c r="CX119" s="419"/>
      <c r="CY119" s="419"/>
      <c r="CZ119" s="419"/>
      <c r="DA119" s="419">
        <f t="shared" si="115"/>
        <v>0</v>
      </c>
      <c r="DB119" s="419">
        <f t="shared" si="116"/>
        <v>0</v>
      </c>
      <c r="DC119" s="419"/>
      <c r="DD119" s="419"/>
      <c r="DE119" s="419"/>
      <c r="DF119" s="420">
        <f t="shared" si="117"/>
        <v>0</v>
      </c>
      <c r="DG119" s="421">
        <f t="shared" si="118"/>
        <v>0</v>
      </c>
      <c r="DH119" s="419">
        <v>18768294.25</v>
      </c>
      <c r="DI119" s="419">
        <v>13278583.73</v>
      </c>
      <c r="DJ119" s="419">
        <v>2439878.25</v>
      </c>
      <c r="DK119" s="420">
        <f t="shared" si="119"/>
        <v>18768294.230769198</v>
      </c>
      <c r="DL119" s="422">
        <f t="shared" si="120"/>
        <v>-1.92307680845261E-2</v>
      </c>
      <c r="DM119" s="420">
        <v>23416773.329999998</v>
      </c>
      <c r="DN119" s="420"/>
      <c r="DO119" s="420">
        <v>3044180.53</v>
      </c>
      <c r="DP119" s="420">
        <f t="shared" si="121"/>
        <v>23416773.307692301</v>
      </c>
      <c r="DQ119" s="420">
        <f t="shared" si="122"/>
        <v>-2.2307693958282498E-2</v>
      </c>
      <c r="DR119" s="419">
        <v>8571166.75</v>
      </c>
      <c r="DS119" s="419"/>
      <c r="DT119" s="419">
        <v>1114251.68</v>
      </c>
      <c r="DU119" s="420">
        <f t="shared" si="123"/>
        <v>8571166.7692307699</v>
      </c>
      <c r="DV119" s="423">
        <f t="shared" si="124"/>
        <v>1.92307680845261E-2</v>
      </c>
      <c r="DW119" s="419">
        <v>2271769.91</v>
      </c>
      <c r="DX119" s="419">
        <v>37477650.609999999</v>
      </c>
      <c r="DY119" s="419">
        <v>295330.09000000003</v>
      </c>
      <c r="DZ119" s="420">
        <f t="shared" si="125"/>
        <v>2271769.92</v>
      </c>
      <c r="EA119" s="423">
        <f t="shared" si="126"/>
        <v>0.01</v>
      </c>
      <c r="EB119" s="419"/>
      <c r="EC119" s="419"/>
      <c r="ED119" s="420"/>
      <c r="EE119" s="419"/>
      <c r="EF119" s="420">
        <f t="shared" si="127"/>
        <v>0</v>
      </c>
      <c r="EG119" s="419">
        <v>5157097.92</v>
      </c>
      <c r="EI119" s="419">
        <v>670422.73</v>
      </c>
      <c r="EJ119" s="420">
        <f t="shared" si="128"/>
        <v>5157097.92</v>
      </c>
      <c r="EK119" s="420">
        <f t="shared" si="129"/>
        <v>0</v>
      </c>
      <c r="EL119" s="420">
        <v>308769.91150442499</v>
      </c>
      <c r="EM119" s="420">
        <v>7428867.8300000001</v>
      </c>
      <c r="EN119" s="420">
        <v>40140.088495575197</v>
      </c>
      <c r="EO119" s="419">
        <f t="shared" si="130"/>
        <v>308769.90999999997</v>
      </c>
      <c r="EP119" s="419">
        <f t="shared" si="131"/>
        <v>0</v>
      </c>
      <c r="EQ119" s="419"/>
      <c r="ER119" s="419">
        <v>308769.90999999997</v>
      </c>
      <c r="ES119" s="419"/>
      <c r="ET119" s="419">
        <f t="shared" si="132"/>
        <v>0</v>
      </c>
      <c r="EU119" s="419">
        <f t="shared" si="133"/>
        <v>0</v>
      </c>
      <c r="EV119" s="419"/>
      <c r="EW119" s="419"/>
      <c r="EX119" s="419"/>
      <c r="EY119" s="419">
        <f t="shared" si="134"/>
        <v>0</v>
      </c>
      <c r="EZ119" s="419">
        <f t="shared" si="154"/>
        <v>0</v>
      </c>
      <c r="FA119" s="420"/>
      <c r="FB119" s="420"/>
      <c r="FC119" s="420"/>
      <c r="FD119" s="420">
        <f t="shared" si="135"/>
        <v>0</v>
      </c>
      <c r="FE119" s="420">
        <f t="shared" si="136"/>
        <v>0</v>
      </c>
      <c r="FF119" s="419"/>
      <c r="FG119" s="419"/>
      <c r="FH119" s="419"/>
      <c r="FI119" s="419">
        <f t="shared" si="137"/>
        <v>0</v>
      </c>
      <c r="FJ119" s="419">
        <f t="shared" si="138"/>
        <v>0</v>
      </c>
      <c r="FK119" s="419"/>
      <c r="FL119" s="419"/>
      <c r="FM119" s="419"/>
      <c r="FN119" s="420">
        <f t="shared" si="139"/>
        <v>0</v>
      </c>
      <c r="FO119" s="423">
        <f t="shared" si="140"/>
        <v>0</v>
      </c>
      <c r="FP119" s="419"/>
      <c r="FQ119" s="419"/>
      <c r="FR119" s="419"/>
      <c r="FS119" s="420">
        <f t="shared" si="141"/>
        <v>0</v>
      </c>
      <c r="FT119" s="420">
        <f t="shared" si="142"/>
        <v>0</v>
      </c>
      <c r="FU119" s="419"/>
      <c r="FV119" s="419"/>
      <c r="FW119" s="419"/>
      <c r="FX119" s="420">
        <f t="shared" si="143"/>
        <v>0</v>
      </c>
      <c r="FY119" s="420">
        <f t="shared" si="144"/>
        <v>0</v>
      </c>
      <c r="FZ119" s="419"/>
      <c r="GA119" s="419"/>
      <c r="GB119" s="419"/>
      <c r="GC119" s="420">
        <f t="shared" si="145"/>
        <v>0</v>
      </c>
      <c r="GD119" s="420">
        <f t="shared" si="146"/>
        <v>0</v>
      </c>
      <c r="GE119" s="419"/>
      <c r="GF119" s="419"/>
      <c r="GG119" s="419"/>
      <c r="GH119" s="420">
        <f t="shared" si="147"/>
        <v>0</v>
      </c>
      <c r="GI119" s="423">
        <f t="shared" si="148"/>
        <v>0</v>
      </c>
      <c r="GJ119" s="419"/>
      <c r="GK119" s="419"/>
      <c r="GL119" s="419"/>
      <c r="GM119" s="420">
        <f t="shared" si="149"/>
        <v>0</v>
      </c>
      <c r="GN119" s="420">
        <f t="shared" si="150"/>
        <v>0</v>
      </c>
      <c r="GO119" s="419"/>
      <c r="GP119" s="419"/>
      <c r="GQ119" s="419"/>
      <c r="GR119" s="420">
        <f t="shared" si="155"/>
        <v>0</v>
      </c>
      <c r="GS119" s="423">
        <f t="shared" si="151"/>
        <v>0</v>
      </c>
      <c r="GT119" s="419"/>
      <c r="GU119" s="419"/>
      <c r="GV119" s="419"/>
      <c r="GW119" s="420">
        <f t="shared" si="152"/>
        <v>0</v>
      </c>
      <c r="GX119" s="420">
        <f t="shared" si="153"/>
        <v>0</v>
      </c>
    </row>
    <row r="120" spans="1:206" ht="15">
      <c r="A120" s="414"/>
      <c r="B120" s="415" t="s">
        <v>543</v>
      </c>
      <c r="C120" s="698"/>
      <c r="D120" s="706"/>
      <c r="E120" s="434" t="s">
        <v>124</v>
      </c>
      <c r="F120" s="417">
        <v>0.09</v>
      </c>
      <c r="G120" s="418">
        <f t="shared" si="85"/>
        <v>52237464.012681097</v>
      </c>
      <c r="H120" s="418">
        <f t="shared" si="86"/>
        <v>52237463.969999999</v>
      </c>
      <c r="I120" s="418">
        <f t="shared" si="86"/>
        <v>4701371.7600413002</v>
      </c>
      <c r="J120" s="418">
        <f t="shared" si="87"/>
        <v>52237464.000458904</v>
      </c>
      <c r="K120" s="418">
        <f t="shared" si="171"/>
        <v>3.0458852648735001E-2</v>
      </c>
      <c r="L120" s="418">
        <f t="shared" si="172"/>
        <v>-1.22222229838371E-2</v>
      </c>
      <c r="M120" s="424"/>
      <c r="N120" s="424"/>
      <c r="O120" s="424"/>
      <c r="P120" s="424"/>
      <c r="Q120" s="419"/>
      <c r="R120" s="419"/>
      <c r="S120" s="419"/>
      <c r="T120" s="420"/>
      <c r="U120" s="423"/>
      <c r="V120" s="420"/>
      <c r="W120" s="420"/>
      <c r="X120" s="419"/>
      <c r="Y120" s="419"/>
      <c r="Z120" s="423"/>
      <c r="AA120" s="423"/>
      <c r="AB120" s="419"/>
      <c r="AC120" s="423"/>
      <c r="AD120" s="420"/>
      <c r="AE120" s="423"/>
      <c r="AF120" s="444"/>
      <c r="AG120" s="419"/>
      <c r="AH120" s="420"/>
      <c r="AI120" s="420"/>
      <c r="AJ120" s="423"/>
      <c r="AK120" s="444"/>
      <c r="AL120" s="420"/>
      <c r="AM120" s="420"/>
      <c r="AN120" s="420"/>
      <c r="AO120" s="423"/>
      <c r="AP120" s="420"/>
      <c r="AQ120" s="419"/>
      <c r="AR120" s="420"/>
      <c r="AS120" s="420"/>
      <c r="AT120" s="420"/>
      <c r="AU120" s="420"/>
      <c r="AV120" s="420"/>
      <c r="AW120" s="420"/>
      <c r="AX120" s="426"/>
      <c r="AY120" s="420"/>
      <c r="AZ120" s="420"/>
      <c r="BA120" s="420"/>
      <c r="BB120" s="419"/>
      <c r="BC120" s="420"/>
      <c r="BD120" s="427"/>
      <c r="BE120" s="420"/>
      <c r="BF120" s="420"/>
      <c r="BG120" s="420"/>
      <c r="BH120" s="423"/>
      <c r="BI120" s="420"/>
      <c r="BJ120" s="420"/>
      <c r="BK120" s="420"/>
      <c r="BL120" s="420"/>
      <c r="BM120" s="420"/>
      <c r="BN120" s="420"/>
      <c r="BO120" s="419"/>
      <c r="BP120" s="428"/>
      <c r="BQ120" s="420"/>
      <c r="BR120" s="423"/>
      <c r="BS120" s="423"/>
      <c r="BT120" s="420"/>
      <c r="BU120" s="420"/>
      <c r="BV120" s="420"/>
      <c r="BW120" s="420"/>
      <c r="BX120" s="429"/>
      <c r="BY120" s="419"/>
      <c r="BZ120" s="419"/>
      <c r="CA120" s="419"/>
      <c r="CB120" s="420"/>
      <c r="CC120" s="430"/>
      <c r="CD120" s="419"/>
      <c r="CE120" s="419"/>
      <c r="CF120" s="419"/>
      <c r="CG120" s="420"/>
      <c r="CH120" s="423"/>
      <c r="CI120" s="432">
        <v>633479</v>
      </c>
      <c r="CJ120" s="431"/>
      <c r="CK120" s="432">
        <v>57013.11</v>
      </c>
      <c r="CL120" s="420">
        <f t="shared" si="167"/>
        <v>633479</v>
      </c>
      <c r="CM120" s="423"/>
      <c r="CN120" s="420"/>
      <c r="CO120" s="420"/>
      <c r="CP120" s="420"/>
      <c r="CQ120" s="432"/>
      <c r="CR120" s="432">
        <f t="shared" si="169"/>
        <v>0</v>
      </c>
      <c r="CS120" s="420"/>
      <c r="CT120" s="420"/>
      <c r="CU120" s="420"/>
      <c r="CV120" s="420"/>
      <c r="CW120" s="420">
        <f t="shared" si="170"/>
        <v>0</v>
      </c>
      <c r="CX120" s="419"/>
      <c r="CY120" s="419"/>
      <c r="CZ120" s="419"/>
      <c r="DA120" s="419">
        <f t="shared" si="115"/>
        <v>0</v>
      </c>
      <c r="DB120" s="419">
        <f t="shared" si="116"/>
        <v>0</v>
      </c>
      <c r="DC120" s="419">
        <v>3959273.51</v>
      </c>
      <c r="DD120" s="419"/>
      <c r="DE120" s="419">
        <v>356334.62</v>
      </c>
      <c r="DF120" s="420">
        <f t="shared" si="117"/>
        <v>3959273.5555555602</v>
      </c>
      <c r="DG120" s="421">
        <f t="shared" si="118"/>
        <v>-4.5555555727332803E-2</v>
      </c>
      <c r="DH120" s="419">
        <v>9193520.9399999995</v>
      </c>
      <c r="DI120" s="419">
        <v>13786273.449999999</v>
      </c>
      <c r="DJ120" s="419">
        <v>827416.88</v>
      </c>
      <c r="DK120" s="420">
        <f t="shared" si="119"/>
        <v>9193520.8888888899</v>
      </c>
      <c r="DL120" s="422">
        <f t="shared" si="120"/>
        <v>-5.1111109554767602E-2</v>
      </c>
      <c r="DM120" s="420">
        <v>11907232.189999999</v>
      </c>
      <c r="DN120" s="420"/>
      <c r="DO120" s="420">
        <v>1071650.8999999999</v>
      </c>
      <c r="DP120" s="420">
        <f t="shared" si="121"/>
        <v>11907232.2222222</v>
      </c>
      <c r="DQ120" s="420">
        <f t="shared" si="122"/>
        <v>3.2222222536802299E-2</v>
      </c>
      <c r="DR120" s="419">
        <v>10887120.59</v>
      </c>
      <c r="DS120" s="419">
        <v>520586.21</v>
      </c>
      <c r="DT120" s="419">
        <v>979840.85</v>
      </c>
      <c r="DU120" s="420">
        <f t="shared" si="123"/>
        <v>10887120.555555601</v>
      </c>
      <c r="DV120" s="423">
        <f t="shared" si="124"/>
        <v>-3.4444443881511702E-2</v>
      </c>
      <c r="DW120" s="419">
        <v>8997507.7200000007</v>
      </c>
      <c r="DX120" s="420">
        <v>29101444.289999999</v>
      </c>
      <c r="DY120" s="419">
        <v>809775.69</v>
      </c>
      <c r="DZ120" s="420">
        <f t="shared" si="125"/>
        <v>8997507.6699999999</v>
      </c>
      <c r="EA120" s="423">
        <f t="shared" si="126"/>
        <v>-0.05</v>
      </c>
      <c r="EB120" s="420">
        <v>1330807.33</v>
      </c>
      <c r="EC120" s="419"/>
      <c r="ED120" s="420">
        <v>119772.6597</v>
      </c>
      <c r="EE120" s="419">
        <v>1330807.33</v>
      </c>
      <c r="EF120" s="420">
        <f t="shared" si="127"/>
        <v>0</v>
      </c>
      <c r="EG120" s="419"/>
      <c r="EH120" s="419"/>
      <c r="EI120" s="419"/>
      <c r="EJ120" s="420">
        <f t="shared" si="128"/>
        <v>0</v>
      </c>
      <c r="EK120" s="420">
        <f t="shared" si="129"/>
        <v>0</v>
      </c>
      <c r="EL120" s="420">
        <v>6743066.8926810799</v>
      </c>
      <c r="EM120" s="420">
        <v>3500637.32</v>
      </c>
      <c r="EN120" s="420">
        <v>606876.02034129796</v>
      </c>
      <c r="EO120" s="419">
        <f t="shared" si="130"/>
        <v>6743066.8899999997</v>
      </c>
      <c r="EP120" s="419">
        <f t="shared" si="131"/>
        <v>0</v>
      </c>
      <c r="EQ120" s="420">
        <v>-1414544.16</v>
      </c>
      <c r="ER120" s="419">
        <v>6743066.8899999997</v>
      </c>
      <c r="ES120" s="419">
        <v>-127308.97</v>
      </c>
      <c r="ET120" s="419">
        <f t="shared" si="132"/>
        <v>-1414544.11</v>
      </c>
      <c r="EU120" s="419">
        <f t="shared" si="133"/>
        <v>0.05</v>
      </c>
      <c r="EV120" s="419"/>
      <c r="EW120" s="419">
        <v>-3504993.83</v>
      </c>
      <c r="EX120" s="419"/>
      <c r="EY120" s="419">
        <f t="shared" si="134"/>
        <v>0</v>
      </c>
      <c r="EZ120" s="419">
        <f t="shared" si="154"/>
        <v>0</v>
      </c>
      <c r="FA120" s="420"/>
      <c r="FB120" s="420">
        <v>2090449.64</v>
      </c>
      <c r="FC120" s="420"/>
      <c r="FD120" s="420">
        <f t="shared" si="135"/>
        <v>0</v>
      </c>
      <c r="FE120" s="420">
        <f t="shared" si="136"/>
        <v>0</v>
      </c>
      <c r="FF120" s="419"/>
      <c r="FG120" s="419"/>
      <c r="FH120" s="419"/>
      <c r="FI120" s="419">
        <f t="shared" si="137"/>
        <v>0</v>
      </c>
      <c r="FJ120" s="419">
        <f t="shared" si="138"/>
        <v>0</v>
      </c>
      <c r="FK120" s="419"/>
      <c r="FL120" s="419"/>
      <c r="FM120" s="419"/>
      <c r="FN120" s="420">
        <f t="shared" si="139"/>
        <v>0</v>
      </c>
      <c r="FO120" s="423">
        <f t="shared" si="140"/>
        <v>0</v>
      </c>
      <c r="FP120" s="419"/>
      <c r="FQ120" s="419"/>
      <c r="FR120" s="419"/>
      <c r="FS120" s="420">
        <f t="shared" si="141"/>
        <v>0</v>
      </c>
      <c r="FT120" s="420">
        <f t="shared" si="142"/>
        <v>0</v>
      </c>
      <c r="FU120" s="419"/>
      <c r="FV120" s="419"/>
      <c r="FW120" s="419"/>
      <c r="FX120" s="420">
        <f t="shared" si="143"/>
        <v>0</v>
      </c>
      <c r="FY120" s="420">
        <f t="shared" si="144"/>
        <v>0</v>
      </c>
      <c r="FZ120" s="419"/>
      <c r="GA120" s="419"/>
      <c r="GB120" s="419"/>
      <c r="GC120" s="420">
        <f t="shared" si="145"/>
        <v>0</v>
      </c>
      <c r="GD120" s="420">
        <f t="shared" si="146"/>
        <v>0</v>
      </c>
      <c r="GE120" s="419"/>
      <c r="GF120" s="419"/>
      <c r="GG120" s="419"/>
      <c r="GH120" s="420">
        <f t="shared" si="147"/>
        <v>0</v>
      </c>
      <c r="GI120" s="423">
        <f t="shared" si="148"/>
        <v>0</v>
      </c>
      <c r="GJ120" s="419"/>
      <c r="GK120" s="419"/>
      <c r="GL120" s="419"/>
      <c r="GM120" s="420">
        <f t="shared" si="149"/>
        <v>0</v>
      </c>
      <c r="GN120" s="420">
        <f t="shared" si="150"/>
        <v>0</v>
      </c>
      <c r="GO120" s="419"/>
      <c r="GP120" s="419"/>
      <c r="GQ120" s="419"/>
      <c r="GR120" s="420">
        <f t="shared" si="155"/>
        <v>0</v>
      </c>
      <c r="GS120" s="423">
        <f t="shared" si="151"/>
        <v>0</v>
      </c>
      <c r="GT120" s="419"/>
      <c r="GU120" s="419"/>
      <c r="GV120" s="419"/>
      <c r="GW120" s="420">
        <f t="shared" si="152"/>
        <v>0</v>
      </c>
      <c r="GX120" s="420">
        <f t="shared" si="153"/>
        <v>0</v>
      </c>
    </row>
    <row r="121" spans="1:206" ht="15">
      <c r="A121" s="414"/>
      <c r="B121" s="415" t="s">
        <v>543</v>
      </c>
      <c r="C121" s="698"/>
      <c r="D121" s="707"/>
      <c r="E121" s="434" t="s">
        <v>125</v>
      </c>
      <c r="F121" s="417">
        <v>0.06</v>
      </c>
      <c r="G121" s="418">
        <f t="shared" si="85"/>
        <v>5328973.6642773598</v>
      </c>
      <c r="H121" s="418">
        <f t="shared" si="86"/>
        <v>5328973.68</v>
      </c>
      <c r="I121" s="418">
        <f t="shared" si="86"/>
        <v>319738.40645664098</v>
      </c>
      <c r="J121" s="418">
        <f t="shared" si="87"/>
        <v>5328973.4409440197</v>
      </c>
      <c r="K121" s="418">
        <f t="shared" si="171"/>
        <v>-0.23905598279088699</v>
      </c>
      <c r="L121" s="418">
        <f t="shared" si="172"/>
        <v>-0.223333342932165</v>
      </c>
      <c r="M121" s="424"/>
      <c r="N121" s="424"/>
      <c r="O121" s="424"/>
      <c r="P121" s="424"/>
      <c r="Q121" s="419"/>
      <c r="R121" s="419"/>
      <c r="S121" s="419"/>
      <c r="T121" s="420"/>
      <c r="U121" s="423"/>
      <c r="V121" s="420"/>
      <c r="W121" s="420"/>
      <c r="X121" s="419"/>
      <c r="Y121" s="419"/>
      <c r="Z121" s="423"/>
      <c r="AA121" s="423"/>
      <c r="AB121" s="419"/>
      <c r="AC121" s="423"/>
      <c r="AD121" s="420"/>
      <c r="AE121" s="423"/>
      <c r="AF121" s="444"/>
      <c r="AG121" s="419"/>
      <c r="AH121" s="420"/>
      <c r="AI121" s="420"/>
      <c r="AJ121" s="423"/>
      <c r="AK121" s="444"/>
      <c r="AL121" s="420"/>
      <c r="AM121" s="420"/>
      <c r="AN121" s="420"/>
      <c r="AO121" s="423"/>
      <c r="AP121" s="420"/>
      <c r="AQ121" s="419"/>
      <c r="AR121" s="420"/>
      <c r="AS121" s="420"/>
      <c r="AT121" s="420"/>
      <c r="AU121" s="420"/>
      <c r="AV121" s="420"/>
      <c r="AW121" s="420"/>
      <c r="AX121" s="426"/>
      <c r="AY121" s="420"/>
      <c r="AZ121" s="420"/>
      <c r="BA121" s="420"/>
      <c r="BB121" s="419"/>
      <c r="BC121" s="420"/>
      <c r="BD121" s="427"/>
      <c r="BE121" s="420"/>
      <c r="BF121" s="420"/>
      <c r="BG121" s="420"/>
      <c r="BH121" s="423"/>
      <c r="BI121" s="420"/>
      <c r="BJ121" s="420"/>
      <c r="BK121" s="420"/>
      <c r="BL121" s="420"/>
      <c r="BM121" s="420"/>
      <c r="BN121" s="420"/>
      <c r="BO121" s="419"/>
      <c r="BP121" s="428"/>
      <c r="BQ121" s="420"/>
      <c r="BR121" s="423"/>
      <c r="BS121" s="423"/>
      <c r="BT121" s="420"/>
      <c r="BU121" s="420"/>
      <c r="BV121" s="420"/>
      <c r="BW121" s="420"/>
      <c r="BX121" s="429"/>
      <c r="BY121" s="419"/>
      <c r="BZ121" s="419"/>
      <c r="CA121" s="419"/>
      <c r="CB121" s="420"/>
      <c r="CC121" s="430"/>
      <c r="CD121" s="419"/>
      <c r="CE121" s="419"/>
      <c r="CF121" s="419"/>
      <c r="CG121" s="420"/>
      <c r="CH121" s="423"/>
      <c r="CI121" s="432">
        <v>1369017.31</v>
      </c>
      <c r="CJ121" s="432"/>
      <c r="CK121" s="432">
        <v>82141.03</v>
      </c>
      <c r="CL121" s="420">
        <f t="shared" si="167"/>
        <v>1369017.16666667</v>
      </c>
      <c r="CM121" s="423"/>
      <c r="CN121" s="420">
        <v>249404.24</v>
      </c>
      <c r="CO121" s="420"/>
      <c r="CP121" s="420">
        <v>14964.26</v>
      </c>
      <c r="CQ121" s="432">
        <v>249404.24</v>
      </c>
      <c r="CR121" s="432">
        <f t="shared" si="169"/>
        <v>0</v>
      </c>
      <c r="CS121" s="420">
        <v>31014.55</v>
      </c>
      <c r="CT121" s="420"/>
      <c r="CU121" s="420">
        <v>1860.87</v>
      </c>
      <c r="CV121" s="420">
        <v>31014.55</v>
      </c>
      <c r="CW121" s="420">
        <f t="shared" si="170"/>
        <v>0</v>
      </c>
      <c r="CX121" s="419">
        <v>29566.68</v>
      </c>
      <c r="CY121" s="419"/>
      <c r="CZ121" s="419">
        <v>1774</v>
      </c>
      <c r="DA121" s="419">
        <f t="shared" si="115"/>
        <v>29566.67</v>
      </c>
      <c r="DB121" s="419">
        <f t="shared" si="116"/>
        <v>-0.01</v>
      </c>
      <c r="DC121" s="419">
        <v>39502.6</v>
      </c>
      <c r="DD121" s="419"/>
      <c r="DE121" s="419">
        <v>2370.16</v>
      </c>
      <c r="DF121" s="420">
        <f t="shared" si="117"/>
        <v>39502.666666666701</v>
      </c>
      <c r="DG121" s="421">
        <f t="shared" si="118"/>
        <v>-6.6666666665696497E-2</v>
      </c>
      <c r="DH121" s="419">
        <v>40051.980000000003</v>
      </c>
      <c r="DI121" s="419">
        <v>1718505.38</v>
      </c>
      <c r="DJ121" s="419">
        <v>2403.12</v>
      </c>
      <c r="DK121" s="420">
        <f t="shared" si="119"/>
        <v>40052</v>
      </c>
      <c r="DL121" s="422">
        <f t="shared" si="120"/>
        <v>1.9999999996798599E-2</v>
      </c>
      <c r="DM121" s="420">
        <v>37552.019999999997</v>
      </c>
      <c r="DN121" s="420"/>
      <c r="DO121" s="420">
        <v>2253.12</v>
      </c>
      <c r="DP121" s="420">
        <f t="shared" si="121"/>
        <v>37552</v>
      </c>
      <c r="DQ121" s="420">
        <f t="shared" si="122"/>
        <v>-1.9999999996798599E-2</v>
      </c>
      <c r="DR121" s="419">
        <v>190201.55</v>
      </c>
      <c r="DS121" s="419"/>
      <c r="DT121" s="419">
        <v>11412.09</v>
      </c>
      <c r="DU121" s="420">
        <f t="shared" si="123"/>
        <v>190201.5</v>
      </c>
      <c r="DV121" s="423">
        <f t="shared" si="124"/>
        <v>-4.9999999988358503E-2</v>
      </c>
      <c r="DW121" s="419">
        <v>297941.73</v>
      </c>
      <c r="DX121" s="419">
        <v>530635.74</v>
      </c>
      <c r="DY121" s="419">
        <v>17876.5</v>
      </c>
      <c r="DZ121" s="420">
        <f t="shared" si="125"/>
        <v>297941.67</v>
      </c>
      <c r="EA121" s="423">
        <f t="shared" si="126"/>
        <v>-0.06</v>
      </c>
      <c r="EB121" s="419">
        <v>40542.28</v>
      </c>
      <c r="EC121" s="419"/>
      <c r="ED121" s="420">
        <v>2432.5367999999999</v>
      </c>
      <c r="EE121" s="419">
        <v>40542.28</v>
      </c>
      <c r="EF121" s="420">
        <f t="shared" si="127"/>
        <v>0</v>
      </c>
      <c r="EG121" s="419">
        <v>197210.36</v>
      </c>
      <c r="EI121" s="419">
        <v>11832.62</v>
      </c>
      <c r="EJ121" s="420">
        <f t="shared" si="128"/>
        <v>197210.33</v>
      </c>
      <c r="EK121" s="420">
        <f t="shared" si="129"/>
        <v>-0.03</v>
      </c>
      <c r="EL121" s="419">
        <v>1674083.6542773601</v>
      </c>
      <c r="EM121" s="419">
        <v>272864.17</v>
      </c>
      <c r="EN121" s="419">
        <v>100445.019656641</v>
      </c>
      <c r="EO121" s="419">
        <f t="shared" si="130"/>
        <v>1674083.66</v>
      </c>
      <c r="EP121" s="419">
        <f t="shared" si="131"/>
        <v>0.01</v>
      </c>
      <c r="EQ121" s="420">
        <v>1132884.71</v>
      </c>
      <c r="ER121" s="420">
        <v>1674083.66</v>
      </c>
      <c r="ES121" s="420">
        <v>67973.08</v>
      </c>
      <c r="ET121" s="419">
        <f t="shared" si="132"/>
        <v>1132884.67</v>
      </c>
      <c r="EU121" s="419">
        <f t="shared" si="133"/>
        <v>-0.04</v>
      </c>
      <c r="EV121" s="419"/>
      <c r="EW121" s="419"/>
      <c r="EX121" s="419"/>
      <c r="EY121" s="419">
        <f t="shared" si="134"/>
        <v>0</v>
      </c>
      <c r="EZ121" s="419">
        <f t="shared" si="154"/>
        <v>0</v>
      </c>
      <c r="FA121" s="420"/>
      <c r="FB121" s="420">
        <v>1132884.73</v>
      </c>
      <c r="FC121" s="420"/>
      <c r="FD121" s="420">
        <f t="shared" si="135"/>
        <v>0</v>
      </c>
      <c r="FE121" s="420">
        <f t="shared" si="136"/>
        <v>0</v>
      </c>
      <c r="FF121" s="419"/>
      <c r="FG121" s="419"/>
      <c r="FH121" s="419"/>
      <c r="FI121" s="419">
        <f t="shared" si="137"/>
        <v>0</v>
      </c>
      <c r="FJ121" s="419">
        <f t="shared" si="138"/>
        <v>0</v>
      </c>
      <c r="FK121" s="419"/>
      <c r="FL121" s="419"/>
      <c r="FM121" s="419"/>
      <c r="FN121" s="420">
        <f t="shared" si="139"/>
        <v>0</v>
      </c>
      <c r="FO121" s="423">
        <f t="shared" si="140"/>
        <v>0</v>
      </c>
      <c r="FP121" s="419"/>
      <c r="FQ121" s="419"/>
      <c r="FR121" s="419"/>
      <c r="FS121" s="420">
        <f t="shared" si="141"/>
        <v>0</v>
      </c>
      <c r="FT121" s="420">
        <f t="shared" si="142"/>
        <v>0</v>
      </c>
      <c r="FU121" s="419"/>
      <c r="FV121" s="419"/>
      <c r="FW121" s="419"/>
      <c r="FX121" s="420">
        <f t="shared" si="143"/>
        <v>0</v>
      </c>
      <c r="FY121" s="420">
        <f t="shared" si="144"/>
        <v>0</v>
      </c>
      <c r="FZ121" s="419"/>
      <c r="GA121" s="419"/>
      <c r="GB121" s="419"/>
      <c r="GC121" s="420">
        <f t="shared" si="145"/>
        <v>0</v>
      </c>
      <c r="GD121" s="420">
        <f t="shared" si="146"/>
        <v>0</v>
      </c>
      <c r="GE121" s="419"/>
      <c r="GF121" s="419"/>
      <c r="GG121" s="419"/>
      <c r="GH121" s="420">
        <f t="shared" si="147"/>
        <v>0</v>
      </c>
      <c r="GI121" s="423">
        <f t="shared" si="148"/>
        <v>0</v>
      </c>
      <c r="GJ121" s="419"/>
      <c r="GK121" s="419"/>
      <c r="GL121" s="419"/>
      <c r="GM121" s="420">
        <f t="shared" si="149"/>
        <v>0</v>
      </c>
      <c r="GN121" s="420">
        <f t="shared" si="150"/>
        <v>0</v>
      </c>
      <c r="GO121" s="419"/>
      <c r="GP121" s="419"/>
      <c r="GQ121" s="419"/>
      <c r="GR121" s="420">
        <f t="shared" si="155"/>
        <v>0</v>
      </c>
      <c r="GS121" s="423">
        <f t="shared" si="151"/>
        <v>0</v>
      </c>
      <c r="GT121" s="419"/>
      <c r="GU121" s="419"/>
      <c r="GV121" s="419"/>
      <c r="GW121" s="420">
        <f t="shared" si="152"/>
        <v>0</v>
      </c>
      <c r="GX121" s="420">
        <f t="shared" si="153"/>
        <v>0</v>
      </c>
    </row>
    <row r="122" spans="1:206" ht="15">
      <c r="A122" s="414"/>
      <c r="B122" s="415" t="s">
        <v>545</v>
      </c>
      <c r="C122" s="698"/>
      <c r="D122" s="704" t="s">
        <v>546</v>
      </c>
      <c r="E122" s="434" t="s">
        <v>123</v>
      </c>
      <c r="F122" s="417">
        <v>0.13</v>
      </c>
      <c r="G122" s="418">
        <f t="shared" si="85"/>
        <v>0</v>
      </c>
      <c r="H122" s="418">
        <f t="shared" si="86"/>
        <v>0</v>
      </c>
      <c r="I122" s="418">
        <f t="shared" si="86"/>
        <v>0</v>
      </c>
      <c r="J122" s="418">
        <f t="shared" si="87"/>
        <v>0</v>
      </c>
      <c r="K122" s="418">
        <f t="shared" si="171"/>
        <v>0</v>
      </c>
      <c r="L122" s="418">
        <f t="shared" si="172"/>
        <v>0</v>
      </c>
      <c r="M122" s="424"/>
      <c r="N122" s="424"/>
      <c r="O122" s="424"/>
      <c r="P122" s="424"/>
      <c r="Q122" s="419"/>
      <c r="R122" s="419"/>
      <c r="S122" s="419"/>
      <c r="T122" s="420"/>
      <c r="U122" s="423"/>
      <c r="V122" s="420"/>
      <c r="W122" s="420"/>
      <c r="X122" s="419"/>
      <c r="Y122" s="419"/>
      <c r="Z122" s="423"/>
      <c r="AA122" s="423"/>
      <c r="AB122" s="419"/>
      <c r="AC122" s="423"/>
      <c r="AD122" s="420"/>
      <c r="AE122" s="423"/>
      <c r="AF122" s="444"/>
      <c r="AG122" s="419"/>
      <c r="AH122" s="420"/>
      <c r="AI122" s="420"/>
      <c r="AJ122" s="423"/>
      <c r="AK122" s="444"/>
      <c r="AL122" s="420"/>
      <c r="AM122" s="420"/>
      <c r="AN122" s="420"/>
      <c r="AO122" s="423"/>
      <c r="AP122" s="420"/>
      <c r="AQ122" s="419"/>
      <c r="AR122" s="420"/>
      <c r="AS122" s="420"/>
      <c r="AT122" s="420"/>
      <c r="AU122" s="420"/>
      <c r="AV122" s="420"/>
      <c r="AW122" s="420"/>
      <c r="AX122" s="426"/>
      <c r="AY122" s="420"/>
      <c r="AZ122" s="420"/>
      <c r="BA122" s="420"/>
      <c r="BB122" s="419"/>
      <c r="BC122" s="420"/>
      <c r="BD122" s="427"/>
      <c r="BE122" s="420"/>
      <c r="BF122" s="420"/>
      <c r="BG122" s="420"/>
      <c r="BH122" s="423"/>
      <c r="BI122" s="420"/>
      <c r="BJ122" s="420"/>
      <c r="BK122" s="420"/>
      <c r="BL122" s="420"/>
      <c r="BM122" s="420"/>
      <c r="BN122" s="420"/>
      <c r="BO122" s="419"/>
      <c r="BP122" s="428"/>
      <c r="BQ122" s="420"/>
      <c r="BR122" s="423"/>
      <c r="BS122" s="423"/>
      <c r="BT122" s="420"/>
      <c r="BU122" s="420"/>
      <c r="BV122" s="420"/>
      <c r="BW122" s="420"/>
      <c r="BX122" s="429"/>
      <c r="BY122" s="419"/>
      <c r="BZ122" s="419"/>
      <c r="CA122" s="419"/>
      <c r="CB122" s="420"/>
      <c r="CC122" s="430"/>
      <c r="CD122" s="419"/>
      <c r="CE122" s="419"/>
      <c r="CF122" s="419"/>
      <c r="CG122" s="420"/>
      <c r="CH122" s="423"/>
      <c r="CI122" s="432"/>
      <c r="CJ122" s="432"/>
      <c r="CK122" s="432"/>
      <c r="CL122" s="420"/>
      <c r="CM122" s="423"/>
      <c r="CN122" s="420"/>
      <c r="CO122" s="420"/>
      <c r="CP122" s="420"/>
      <c r="CQ122" s="432"/>
      <c r="CR122" s="432"/>
      <c r="CS122" s="420"/>
      <c r="CT122" s="420"/>
      <c r="CU122" s="420"/>
      <c r="CV122" s="420"/>
      <c r="CW122" s="420"/>
      <c r="CX122" s="419"/>
      <c r="CY122" s="419"/>
      <c r="CZ122" s="419"/>
      <c r="DA122" s="419">
        <f t="shared" si="115"/>
        <v>0</v>
      </c>
      <c r="DB122" s="419">
        <f t="shared" si="116"/>
        <v>0</v>
      </c>
      <c r="DC122" s="419"/>
      <c r="DD122" s="419"/>
      <c r="DE122" s="419"/>
      <c r="DF122" s="420">
        <f t="shared" si="117"/>
        <v>0</v>
      </c>
      <c r="DG122" s="421">
        <f t="shared" si="118"/>
        <v>0</v>
      </c>
      <c r="DH122" s="419"/>
      <c r="DI122" s="419"/>
      <c r="DJ122" s="419"/>
      <c r="DK122" s="420">
        <f t="shared" si="119"/>
        <v>0</v>
      </c>
      <c r="DL122" s="422">
        <f t="shared" si="120"/>
        <v>0</v>
      </c>
      <c r="DM122" s="420"/>
      <c r="DN122" s="420"/>
      <c r="DO122" s="420"/>
      <c r="DP122" s="420">
        <f t="shared" si="121"/>
        <v>0</v>
      </c>
      <c r="DQ122" s="420">
        <f t="shared" si="122"/>
        <v>0</v>
      </c>
      <c r="DR122" s="419"/>
      <c r="DS122" s="419"/>
      <c r="DT122" s="419"/>
      <c r="DU122" s="420">
        <f t="shared" si="123"/>
        <v>0</v>
      </c>
      <c r="DV122" s="423">
        <f t="shared" si="124"/>
        <v>0</v>
      </c>
      <c r="DW122" s="419"/>
      <c r="DX122" s="419"/>
      <c r="DY122" s="419"/>
      <c r="DZ122" s="420">
        <f t="shared" si="125"/>
        <v>0</v>
      </c>
      <c r="EA122" s="423">
        <f t="shared" si="126"/>
        <v>0</v>
      </c>
      <c r="EB122" s="419"/>
      <c r="EC122" s="419"/>
      <c r="ED122" s="420"/>
      <c r="EE122" s="419"/>
      <c r="EF122" s="420">
        <f t="shared" si="127"/>
        <v>0</v>
      </c>
      <c r="EG122" s="419"/>
      <c r="EH122" s="419"/>
      <c r="EI122" s="419"/>
      <c r="EJ122" s="420">
        <f t="shared" si="128"/>
        <v>0</v>
      </c>
      <c r="EK122" s="420">
        <f t="shared" si="129"/>
        <v>0</v>
      </c>
      <c r="EL122" s="419"/>
      <c r="EM122" s="419"/>
      <c r="EN122" s="419"/>
      <c r="EO122" s="419">
        <f t="shared" si="130"/>
        <v>0</v>
      </c>
      <c r="EP122" s="419">
        <f t="shared" si="131"/>
        <v>0</v>
      </c>
      <c r="EQ122" s="419"/>
      <c r="ER122" s="419"/>
      <c r="ES122" s="419"/>
      <c r="ET122" s="419">
        <f t="shared" si="132"/>
        <v>0</v>
      </c>
      <c r="EU122" s="419">
        <f t="shared" si="133"/>
        <v>0</v>
      </c>
      <c r="EV122" s="419"/>
      <c r="EW122" s="419"/>
      <c r="EX122" s="419"/>
      <c r="EY122" s="419">
        <f t="shared" si="134"/>
        <v>0</v>
      </c>
      <c r="EZ122" s="419">
        <f t="shared" si="154"/>
        <v>0</v>
      </c>
      <c r="FA122" s="420"/>
      <c r="FB122" s="420"/>
      <c r="FC122" s="420"/>
      <c r="FD122" s="420">
        <f t="shared" si="135"/>
        <v>0</v>
      </c>
      <c r="FE122" s="420">
        <f t="shared" si="136"/>
        <v>0</v>
      </c>
      <c r="FF122" s="419"/>
      <c r="FG122" s="419"/>
      <c r="FH122" s="419"/>
      <c r="FI122" s="419">
        <f t="shared" si="137"/>
        <v>0</v>
      </c>
      <c r="FJ122" s="419">
        <f t="shared" si="138"/>
        <v>0</v>
      </c>
      <c r="FK122" s="419"/>
      <c r="FL122" s="419"/>
      <c r="FM122" s="419"/>
      <c r="FN122" s="420">
        <f t="shared" si="139"/>
        <v>0</v>
      </c>
      <c r="FO122" s="423">
        <f t="shared" si="140"/>
        <v>0</v>
      </c>
      <c r="FP122" s="419"/>
      <c r="FQ122" s="419"/>
      <c r="FR122" s="419"/>
      <c r="FS122" s="420">
        <f t="shared" si="141"/>
        <v>0</v>
      </c>
      <c r="FT122" s="420">
        <f t="shared" si="142"/>
        <v>0</v>
      </c>
      <c r="FU122" s="419"/>
      <c r="FV122" s="419"/>
      <c r="FW122" s="419"/>
      <c r="FX122" s="420">
        <f t="shared" si="143"/>
        <v>0</v>
      </c>
      <c r="FY122" s="420">
        <f t="shared" si="144"/>
        <v>0</v>
      </c>
      <c r="FZ122" s="419"/>
      <c r="GA122" s="419"/>
      <c r="GB122" s="419"/>
      <c r="GC122" s="420">
        <f t="shared" si="145"/>
        <v>0</v>
      </c>
      <c r="GD122" s="420">
        <f t="shared" si="146"/>
        <v>0</v>
      </c>
      <c r="GE122" s="419"/>
      <c r="GF122" s="419"/>
      <c r="GG122" s="419"/>
      <c r="GH122" s="420">
        <f t="shared" si="147"/>
        <v>0</v>
      </c>
      <c r="GI122" s="423">
        <f t="shared" si="148"/>
        <v>0</v>
      </c>
      <c r="GJ122" s="419"/>
      <c r="GK122" s="419"/>
      <c r="GL122" s="419"/>
      <c r="GM122" s="420">
        <f t="shared" si="149"/>
        <v>0</v>
      </c>
      <c r="GN122" s="420">
        <f t="shared" si="150"/>
        <v>0</v>
      </c>
      <c r="GO122" s="419"/>
      <c r="GP122" s="419"/>
      <c r="GQ122" s="419"/>
      <c r="GR122" s="420">
        <f t="shared" si="155"/>
        <v>0</v>
      </c>
      <c r="GS122" s="423">
        <f t="shared" si="151"/>
        <v>0</v>
      </c>
      <c r="GT122" s="419"/>
      <c r="GU122" s="419"/>
      <c r="GV122" s="419"/>
      <c r="GW122" s="420">
        <f t="shared" si="152"/>
        <v>0</v>
      </c>
      <c r="GX122" s="420">
        <f t="shared" si="153"/>
        <v>0</v>
      </c>
    </row>
    <row r="123" spans="1:206" ht="15">
      <c r="A123" s="414"/>
      <c r="B123" s="415" t="s">
        <v>545</v>
      </c>
      <c r="C123" s="698"/>
      <c r="D123" s="706"/>
      <c r="E123" s="434" t="s">
        <v>124</v>
      </c>
      <c r="F123" s="417">
        <v>0.09</v>
      </c>
      <c r="G123" s="418">
        <f t="shared" si="85"/>
        <v>0</v>
      </c>
      <c r="H123" s="418">
        <f t="shared" si="86"/>
        <v>0</v>
      </c>
      <c r="I123" s="418">
        <f t="shared" si="86"/>
        <v>0</v>
      </c>
      <c r="J123" s="418">
        <f t="shared" si="87"/>
        <v>0</v>
      </c>
      <c r="K123" s="418">
        <f t="shared" si="171"/>
        <v>0</v>
      </c>
      <c r="L123" s="418">
        <f t="shared" si="172"/>
        <v>0</v>
      </c>
      <c r="M123" s="424"/>
      <c r="N123" s="424"/>
      <c r="O123" s="424"/>
      <c r="P123" s="424"/>
      <c r="Q123" s="419"/>
      <c r="R123" s="419"/>
      <c r="S123" s="419"/>
      <c r="T123" s="420"/>
      <c r="U123" s="423"/>
      <c r="V123" s="420"/>
      <c r="W123" s="420"/>
      <c r="X123" s="419"/>
      <c r="Y123" s="419"/>
      <c r="Z123" s="423"/>
      <c r="AA123" s="423"/>
      <c r="AB123" s="419"/>
      <c r="AC123" s="423"/>
      <c r="AD123" s="420"/>
      <c r="AE123" s="423"/>
      <c r="AF123" s="444"/>
      <c r="AG123" s="419"/>
      <c r="AH123" s="420"/>
      <c r="AI123" s="420"/>
      <c r="AJ123" s="423"/>
      <c r="AK123" s="444"/>
      <c r="AL123" s="420"/>
      <c r="AM123" s="420"/>
      <c r="AN123" s="420"/>
      <c r="AO123" s="423"/>
      <c r="AP123" s="420"/>
      <c r="AQ123" s="419"/>
      <c r="AR123" s="420"/>
      <c r="AS123" s="420"/>
      <c r="AT123" s="420"/>
      <c r="AU123" s="420"/>
      <c r="AV123" s="420"/>
      <c r="AW123" s="420"/>
      <c r="AX123" s="426"/>
      <c r="AY123" s="420"/>
      <c r="AZ123" s="420"/>
      <c r="BA123" s="420"/>
      <c r="BB123" s="419"/>
      <c r="BC123" s="420"/>
      <c r="BD123" s="427"/>
      <c r="BE123" s="420"/>
      <c r="BF123" s="420"/>
      <c r="BG123" s="420"/>
      <c r="BH123" s="423"/>
      <c r="BI123" s="420"/>
      <c r="BJ123" s="420"/>
      <c r="BK123" s="420"/>
      <c r="BL123" s="420"/>
      <c r="BM123" s="420"/>
      <c r="BN123" s="420"/>
      <c r="BO123" s="419"/>
      <c r="BP123" s="428"/>
      <c r="BQ123" s="420"/>
      <c r="BR123" s="423"/>
      <c r="BS123" s="423"/>
      <c r="BT123" s="420"/>
      <c r="BU123" s="420"/>
      <c r="BV123" s="420"/>
      <c r="BW123" s="420"/>
      <c r="BX123" s="429"/>
      <c r="BY123" s="419"/>
      <c r="BZ123" s="419"/>
      <c r="CA123" s="419"/>
      <c r="CB123" s="420"/>
      <c r="CC123" s="430"/>
      <c r="CD123" s="419"/>
      <c r="CE123" s="419"/>
      <c r="CF123" s="419"/>
      <c r="CG123" s="420"/>
      <c r="CH123" s="423"/>
      <c r="CI123" s="432"/>
      <c r="CJ123" s="432"/>
      <c r="CK123" s="432"/>
      <c r="CL123" s="420"/>
      <c r="CM123" s="423"/>
      <c r="CN123" s="420"/>
      <c r="CO123" s="420"/>
      <c r="CP123" s="420"/>
      <c r="CQ123" s="432"/>
      <c r="CR123" s="432"/>
      <c r="CS123" s="420"/>
      <c r="CT123" s="420"/>
      <c r="CU123" s="420"/>
      <c r="CV123" s="420"/>
      <c r="CW123" s="420"/>
      <c r="CX123" s="419"/>
      <c r="CY123" s="419"/>
      <c r="CZ123" s="419"/>
      <c r="DA123" s="419">
        <f t="shared" si="115"/>
        <v>0</v>
      </c>
      <c r="DB123" s="419">
        <f t="shared" si="116"/>
        <v>0</v>
      </c>
      <c r="DC123" s="419"/>
      <c r="DD123" s="419"/>
      <c r="DE123" s="419"/>
      <c r="DF123" s="420">
        <f t="shared" si="117"/>
        <v>0</v>
      </c>
      <c r="DG123" s="421">
        <f t="shared" si="118"/>
        <v>0</v>
      </c>
      <c r="DH123" s="419"/>
      <c r="DI123" s="419"/>
      <c r="DJ123" s="419"/>
      <c r="DK123" s="420">
        <f t="shared" si="119"/>
        <v>0</v>
      </c>
      <c r="DL123" s="422">
        <f t="shared" si="120"/>
        <v>0</v>
      </c>
      <c r="DM123" s="420"/>
      <c r="DN123" s="420"/>
      <c r="DO123" s="420"/>
      <c r="DP123" s="420">
        <f t="shared" si="121"/>
        <v>0</v>
      </c>
      <c r="DQ123" s="420">
        <f t="shared" si="122"/>
        <v>0</v>
      </c>
      <c r="DR123" s="419"/>
      <c r="DS123" s="419"/>
      <c r="DT123" s="419"/>
      <c r="DU123" s="420">
        <f t="shared" si="123"/>
        <v>0</v>
      </c>
      <c r="DV123" s="423">
        <f t="shared" si="124"/>
        <v>0</v>
      </c>
      <c r="DW123" s="419"/>
      <c r="DX123" s="419"/>
      <c r="DY123" s="419"/>
      <c r="DZ123" s="420">
        <f t="shared" si="125"/>
        <v>0</v>
      </c>
      <c r="EA123" s="423">
        <f t="shared" si="126"/>
        <v>0</v>
      </c>
      <c r="EB123" s="420"/>
      <c r="EC123" s="419"/>
      <c r="ED123" s="420"/>
      <c r="EE123" s="419"/>
      <c r="EF123" s="420">
        <f t="shared" si="127"/>
        <v>0</v>
      </c>
      <c r="EG123" s="419"/>
      <c r="EH123" s="419"/>
      <c r="EI123" s="419"/>
      <c r="EJ123" s="420">
        <f t="shared" si="128"/>
        <v>0</v>
      </c>
      <c r="EK123" s="420">
        <f t="shared" si="129"/>
        <v>0</v>
      </c>
      <c r="EL123" s="419"/>
      <c r="EM123" s="419"/>
      <c r="EN123" s="419"/>
      <c r="EO123" s="419">
        <f t="shared" si="130"/>
        <v>0</v>
      </c>
      <c r="EP123" s="419">
        <f t="shared" si="131"/>
        <v>0</v>
      </c>
      <c r="EQ123" s="419"/>
      <c r="ER123" s="419"/>
      <c r="ES123" s="419"/>
      <c r="ET123" s="419">
        <f t="shared" si="132"/>
        <v>0</v>
      </c>
      <c r="EU123" s="419">
        <f t="shared" si="133"/>
        <v>0</v>
      </c>
      <c r="EV123" s="419"/>
      <c r="EW123" s="419"/>
      <c r="EX123" s="419"/>
      <c r="EY123" s="419">
        <f t="shared" si="134"/>
        <v>0</v>
      </c>
      <c r="EZ123" s="419">
        <f t="shared" si="154"/>
        <v>0</v>
      </c>
      <c r="FA123" s="420"/>
      <c r="FB123" s="420"/>
      <c r="FC123" s="420"/>
      <c r="FD123" s="420">
        <f t="shared" si="135"/>
        <v>0</v>
      </c>
      <c r="FE123" s="420">
        <f t="shared" si="136"/>
        <v>0</v>
      </c>
      <c r="FF123" s="419"/>
      <c r="FG123" s="419"/>
      <c r="FH123" s="419"/>
      <c r="FI123" s="419">
        <f t="shared" si="137"/>
        <v>0</v>
      </c>
      <c r="FJ123" s="419">
        <f t="shared" si="138"/>
        <v>0</v>
      </c>
      <c r="FK123" s="419"/>
      <c r="FL123" s="419"/>
      <c r="FM123" s="419"/>
      <c r="FN123" s="420">
        <f t="shared" si="139"/>
        <v>0</v>
      </c>
      <c r="FO123" s="423">
        <f t="shared" si="140"/>
        <v>0</v>
      </c>
      <c r="FP123" s="419"/>
      <c r="FQ123" s="419"/>
      <c r="FR123" s="419"/>
      <c r="FS123" s="420">
        <f t="shared" si="141"/>
        <v>0</v>
      </c>
      <c r="FT123" s="420">
        <f t="shared" si="142"/>
        <v>0</v>
      </c>
      <c r="FU123" s="419"/>
      <c r="FV123" s="419"/>
      <c r="FW123" s="419"/>
      <c r="FX123" s="420">
        <f t="shared" si="143"/>
        <v>0</v>
      </c>
      <c r="FY123" s="420">
        <f t="shared" si="144"/>
        <v>0</v>
      </c>
      <c r="FZ123" s="419"/>
      <c r="GA123" s="419"/>
      <c r="GB123" s="419"/>
      <c r="GC123" s="420">
        <f t="shared" si="145"/>
        <v>0</v>
      </c>
      <c r="GD123" s="420">
        <f t="shared" si="146"/>
        <v>0</v>
      </c>
      <c r="GE123" s="419"/>
      <c r="GF123" s="419"/>
      <c r="GG123" s="419"/>
      <c r="GH123" s="420">
        <f t="shared" si="147"/>
        <v>0</v>
      </c>
      <c r="GI123" s="423">
        <f t="shared" si="148"/>
        <v>0</v>
      </c>
      <c r="GJ123" s="419"/>
      <c r="GK123" s="419"/>
      <c r="GL123" s="419"/>
      <c r="GM123" s="420">
        <f t="shared" si="149"/>
        <v>0</v>
      </c>
      <c r="GN123" s="420">
        <f t="shared" si="150"/>
        <v>0</v>
      </c>
      <c r="GO123" s="419"/>
      <c r="GP123" s="419"/>
      <c r="GQ123" s="419"/>
      <c r="GR123" s="420">
        <f t="shared" si="155"/>
        <v>0</v>
      </c>
      <c r="GS123" s="423">
        <f t="shared" si="151"/>
        <v>0</v>
      </c>
      <c r="GT123" s="419"/>
      <c r="GU123" s="419"/>
      <c r="GV123" s="419"/>
      <c r="GW123" s="420">
        <f t="shared" si="152"/>
        <v>0</v>
      </c>
      <c r="GX123" s="420">
        <f t="shared" si="153"/>
        <v>0</v>
      </c>
    </row>
    <row r="124" spans="1:206" ht="15">
      <c r="A124" s="414"/>
      <c r="B124" s="415" t="s">
        <v>545</v>
      </c>
      <c r="C124" s="698"/>
      <c r="D124" s="707"/>
      <c r="E124" s="434" t="s">
        <v>125</v>
      </c>
      <c r="F124" s="417">
        <v>0.06</v>
      </c>
      <c r="G124" s="418">
        <f t="shared" si="85"/>
        <v>382881.82</v>
      </c>
      <c r="H124" s="418">
        <f t="shared" si="86"/>
        <v>309379.44</v>
      </c>
      <c r="I124" s="418">
        <f t="shared" si="86"/>
        <v>22972.902999999998</v>
      </c>
      <c r="J124" s="418">
        <f t="shared" si="87"/>
        <v>382881.71666666702</v>
      </c>
      <c r="K124" s="418">
        <f t="shared" si="171"/>
        <v>73502.276666666803</v>
      </c>
      <c r="L124" s="418">
        <f t="shared" si="172"/>
        <v>-0.103333333157934</v>
      </c>
      <c r="M124" s="424"/>
      <c r="N124" s="424"/>
      <c r="O124" s="424"/>
      <c r="P124" s="424"/>
      <c r="Q124" s="419"/>
      <c r="R124" s="419"/>
      <c r="S124" s="419"/>
      <c r="T124" s="420"/>
      <c r="U124" s="423"/>
      <c r="V124" s="420"/>
      <c r="W124" s="420"/>
      <c r="X124" s="419"/>
      <c r="Y124" s="419"/>
      <c r="Z124" s="423"/>
      <c r="AA124" s="423"/>
      <c r="AB124" s="419"/>
      <c r="AC124" s="423"/>
      <c r="AD124" s="420"/>
      <c r="AE124" s="423"/>
      <c r="AF124" s="444"/>
      <c r="AG124" s="419"/>
      <c r="AH124" s="420"/>
      <c r="AI124" s="420"/>
      <c r="AJ124" s="423"/>
      <c r="AK124" s="444"/>
      <c r="AL124" s="420"/>
      <c r="AM124" s="420"/>
      <c r="AN124" s="420"/>
      <c r="AO124" s="423"/>
      <c r="AP124" s="420"/>
      <c r="AQ124" s="419"/>
      <c r="AR124" s="420"/>
      <c r="AS124" s="420"/>
      <c r="AT124" s="420"/>
      <c r="AU124" s="420"/>
      <c r="AV124" s="420"/>
      <c r="AW124" s="420"/>
      <c r="AX124" s="426"/>
      <c r="AY124" s="420"/>
      <c r="AZ124" s="420"/>
      <c r="BA124" s="420"/>
      <c r="BB124" s="419"/>
      <c r="BC124" s="420"/>
      <c r="BD124" s="427"/>
      <c r="BE124" s="420"/>
      <c r="BF124" s="420"/>
      <c r="BG124" s="420"/>
      <c r="BH124" s="423"/>
      <c r="BI124" s="420"/>
      <c r="BJ124" s="420"/>
      <c r="BK124" s="420"/>
      <c r="BL124" s="420"/>
      <c r="BM124" s="420"/>
      <c r="BN124" s="420"/>
      <c r="BO124" s="419"/>
      <c r="BP124" s="428"/>
      <c r="BQ124" s="420"/>
      <c r="BR124" s="423"/>
      <c r="BS124" s="423"/>
      <c r="BT124" s="420"/>
      <c r="BU124" s="420"/>
      <c r="BV124" s="420"/>
      <c r="BW124" s="420"/>
      <c r="BX124" s="429"/>
      <c r="BY124" s="419"/>
      <c r="BZ124" s="419"/>
      <c r="CA124" s="419"/>
      <c r="CB124" s="420"/>
      <c r="CC124" s="430"/>
      <c r="CD124" s="419"/>
      <c r="CE124" s="419"/>
      <c r="CF124" s="419"/>
      <c r="CG124" s="420"/>
      <c r="CH124" s="423"/>
      <c r="CI124" s="432"/>
      <c r="CJ124" s="432"/>
      <c r="CK124" s="432"/>
      <c r="CL124" s="420"/>
      <c r="CM124" s="423"/>
      <c r="CN124" s="420"/>
      <c r="CO124" s="420"/>
      <c r="CP124" s="420"/>
      <c r="CQ124" s="432"/>
      <c r="CR124" s="432"/>
      <c r="CS124" s="420"/>
      <c r="CT124" s="420"/>
      <c r="CU124" s="420"/>
      <c r="CV124" s="420"/>
      <c r="CW124" s="420"/>
      <c r="CX124" s="419">
        <v>45875.67</v>
      </c>
      <c r="CY124" s="419"/>
      <c r="CZ124" s="419">
        <v>2752.54</v>
      </c>
      <c r="DA124" s="419">
        <f t="shared" si="115"/>
        <v>45875.67</v>
      </c>
      <c r="DB124" s="419">
        <f t="shared" si="116"/>
        <v>0</v>
      </c>
      <c r="DC124" s="419">
        <v>19035.310000000001</v>
      </c>
      <c r="DD124" s="419"/>
      <c r="DE124" s="419">
        <v>1142.1199999999999</v>
      </c>
      <c r="DF124" s="420">
        <f t="shared" si="117"/>
        <v>19035.333333333299</v>
      </c>
      <c r="DG124" s="421">
        <f t="shared" si="118"/>
        <v>-2.3333333330811001E-2</v>
      </c>
      <c r="DH124" s="419">
        <v>20102.12</v>
      </c>
      <c r="DI124" s="419"/>
      <c r="DJ124" s="419">
        <v>1206.1300000000001</v>
      </c>
      <c r="DK124" s="420">
        <f t="shared" si="119"/>
        <v>20102.166666666701</v>
      </c>
      <c r="DL124" s="422">
        <f t="shared" si="120"/>
        <v>4.6666666668898002E-2</v>
      </c>
      <c r="DM124" s="420">
        <v>21130.51</v>
      </c>
      <c r="DN124" s="420"/>
      <c r="DO124" s="420">
        <v>1267.83</v>
      </c>
      <c r="DP124" s="420">
        <f t="shared" si="121"/>
        <v>21130.5</v>
      </c>
      <c r="DQ124" s="420">
        <f t="shared" si="122"/>
        <v>-9.9999999983992893E-3</v>
      </c>
      <c r="DR124" s="419">
        <v>18699.080000000002</v>
      </c>
      <c r="DS124" s="419"/>
      <c r="DT124" s="419">
        <v>1121.94</v>
      </c>
      <c r="DU124" s="420">
        <f t="shared" si="123"/>
        <v>18699</v>
      </c>
      <c r="DV124" s="423">
        <f t="shared" si="124"/>
        <v>-8.0000000001746202E-2</v>
      </c>
      <c r="DW124" s="419">
        <v>20026.84</v>
      </c>
      <c r="DX124" s="419"/>
      <c r="DY124" s="419">
        <v>1201.6099999999999</v>
      </c>
      <c r="DZ124" s="420">
        <f t="shared" si="125"/>
        <v>20026.830000000002</v>
      </c>
      <c r="EA124" s="423">
        <f t="shared" si="126"/>
        <v>-0.01</v>
      </c>
      <c r="EB124" s="419">
        <v>23071.55</v>
      </c>
      <c r="EC124" s="419"/>
      <c r="ED124" s="420">
        <v>1384.2929999999999</v>
      </c>
      <c r="EE124" s="419">
        <v>23071.55</v>
      </c>
      <c r="EF124" s="420">
        <f t="shared" si="127"/>
        <v>0</v>
      </c>
      <c r="EG124" s="419">
        <v>112512.27</v>
      </c>
      <c r="EI124" s="419">
        <v>6750.74</v>
      </c>
      <c r="EJ124" s="420">
        <f t="shared" si="128"/>
        <v>112512.33</v>
      </c>
      <c r="EK124" s="420">
        <f t="shared" si="129"/>
        <v>0.06</v>
      </c>
      <c r="EL124" s="419">
        <v>28926.080000000002</v>
      </c>
      <c r="EN124" s="419">
        <v>1735.56</v>
      </c>
      <c r="EO124" s="419">
        <f t="shared" si="130"/>
        <v>28926</v>
      </c>
      <c r="EP124" s="419">
        <f t="shared" si="131"/>
        <v>-0.08</v>
      </c>
      <c r="EQ124" s="419">
        <v>22461.74</v>
      </c>
      <c r="ER124" s="419">
        <v>309379.44</v>
      </c>
      <c r="ES124" s="419">
        <v>1347.7</v>
      </c>
      <c r="ET124" s="419">
        <f t="shared" si="132"/>
        <v>22461.67</v>
      </c>
      <c r="EU124" s="419">
        <f t="shared" si="133"/>
        <v>-7.0000000000000007E-2</v>
      </c>
      <c r="EV124" s="419">
        <v>23721.78</v>
      </c>
      <c r="EW124" s="419"/>
      <c r="EX124" s="419">
        <v>1423.31</v>
      </c>
      <c r="EY124" s="419">
        <f t="shared" si="134"/>
        <v>23721.83</v>
      </c>
      <c r="EZ124" s="419">
        <f t="shared" si="154"/>
        <v>0.05</v>
      </c>
      <c r="FA124" s="420">
        <v>27318.87</v>
      </c>
      <c r="FB124" s="420"/>
      <c r="FC124" s="420">
        <v>1639.13</v>
      </c>
      <c r="FD124" s="420">
        <f t="shared" si="135"/>
        <v>27318.83</v>
      </c>
      <c r="FE124" s="420">
        <f t="shared" si="136"/>
        <v>-0.04</v>
      </c>
      <c r="FF124" s="419"/>
      <c r="FG124" s="419"/>
      <c r="FH124" s="419"/>
      <c r="FI124" s="419">
        <f t="shared" si="137"/>
        <v>0</v>
      </c>
      <c r="FJ124" s="419">
        <f t="shared" si="138"/>
        <v>0</v>
      </c>
      <c r="FK124" s="419"/>
      <c r="FL124" s="419"/>
      <c r="FM124" s="419"/>
      <c r="FN124" s="420">
        <f t="shared" si="139"/>
        <v>0</v>
      </c>
      <c r="FO124" s="423">
        <f t="shared" si="140"/>
        <v>0</v>
      </c>
      <c r="FP124" s="419"/>
      <c r="FQ124" s="419"/>
      <c r="FR124" s="419"/>
      <c r="FS124" s="420">
        <f t="shared" si="141"/>
        <v>0</v>
      </c>
      <c r="FT124" s="420">
        <f t="shared" si="142"/>
        <v>0</v>
      </c>
      <c r="FU124" s="419"/>
      <c r="FV124" s="419"/>
      <c r="FW124" s="419"/>
      <c r="FX124" s="420">
        <f t="shared" si="143"/>
        <v>0</v>
      </c>
      <c r="FY124" s="420">
        <f t="shared" si="144"/>
        <v>0</v>
      </c>
      <c r="FZ124" s="419"/>
      <c r="GA124" s="419"/>
      <c r="GB124" s="419"/>
      <c r="GC124" s="420">
        <f t="shared" si="145"/>
        <v>0</v>
      </c>
      <c r="GD124" s="420">
        <f t="shared" si="146"/>
        <v>0</v>
      </c>
      <c r="GE124" s="419"/>
      <c r="GF124" s="419"/>
      <c r="GG124" s="419"/>
      <c r="GH124" s="420">
        <f t="shared" si="147"/>
        <v>0</v>
      </c>
      <c r="GI124" s="423">
        <f t="shared" si="148"/>
        <v>0</v>
      </c>
      <c r="GJ124" s="419"/>
      <c r="GK124" s="419"/>
      <c r="GL124" s="419"/>
      <c r="GM124" s="420">
        <f t="shared" si="149"/>
        <v>0</v>
      </c>
      <c r="GN124" s="420">
        <f t="shared" si="150"/>
        <v>0</v>
      </c>
      <c r="GO124" s="419"/>
      <c r="GP124" s="419"/>
      <c r="GQ124" s="419"/>
      <c r="GR124" s="420">
        <f t="shared" si="155"/>
        <v>0</v>
      </c>
      <c r="GS124" s="423">
        <f t="shared" si="151"/>
        <v>0</v>
      </c>
      <c r="GT124" s="419"/>
      <c r="GU124" s="419"/>
      <c r="GV124" s="419"/>
      <c r="GW124" s="420">
        <f t="shared" si="152"/>
        <v>0</v>
      </c>
      <c r="GX124" s="420">
        <f t="shared" si="153"/>
        <v>0</v>
      </c>
    </row>
    <row r="125" spans="1:206" ht="15">
      <c r="A125" s="414"/>
      <c r="B125" s="415" t="s">
        <v>545</v>
      </c>
      <c r="C125" s="698"/>
      <c r="D125" s="704" t="s">
        <v>547</v>
      </c>
      <c r="E125" s="434" t="s">
        <v>123</v>
      </c>
      <c r="F125" s="417">
        <v>0.13</v>
      </c>
      <c r="G125" s="418">
        <f t="shared" si="85"/>
        <v>172437718.84999999</v>
      </c>
      <c r="H125" s="418">
        <f t="shared" si="86"/>
        <v>172437718.84999999</v>
      </c>
      <c r="I125" s="418">
        <f t="shared" si="86"/>
        <v>22416903.440000001</v>
      </c>
      <c r="J125" s="418">
        <f t="shared" si="87"/>
        <v>172437718.76923099</v>
      </c>
      <c r="K125" s="418">
        <f t="shared" si="171"/>
        <v>-8.0769211053848294E-2</v>
      </c>
      <c r="L125" s="418">
        <f t="shared" si="172"/>
        <v>-8.0769211053848294E-2</v>
      </c>
      <c r="M125" s="424"/>
      <c r="N125" s="424"/>
      <c r="O125" s="424"/>
      <c r="P125" s="424"/>
      <c r="Q125" s="419"/>
      <c r="R125" s="419"/>
      <c r="S125" s="419"/>
      <c r="T125" s="420"/>
      <c r="U125" s="423"/>
      <c r="V125" s="420"/>
      <c r="W125" s="420"/>
      <c r="X125" s="419"/>
      <c r="Y125" s="419"/>
      <c r="Z125" s="423"/>
      <c r="AA125" s="423"/>
      <c r="AB125" s="419"/>
      <c r="AC125" s="423"/>
      <c r="AD125" s="420"/>
      <c r="AE125" s="423"/>
      <c r="AF125" s="444"/>
      <c r="AG125" s="419"/>
      <c r="AH125" s="420"/>
      <c r="AI125" s="420"/>
      <c r="AJ125" s="423"/>
      <c r="AK125" s="444"/>
      <c r="AL125" s="420"/>
      <c r="AM125" s="420"/>
      <c r="AN125" s="420"/>
      <c r="AO125" s="423"/>
      <c r="AP125" s="420"/>
      <c r="AQ125" s="419"/>
      <c r="AR125" s="420"/>
      <c r="AS125" s="420"/>
      <c r="AT125" s="420"/>
      <c r="AU125" s="420"/>
      <c r="AV125" s="420"/>
      <c r="AW125" s="420"/>
      <c r="AX125" s="426"/>
      <c r="AY125" s="420"/>
      <c r="AZ125" s="420"/>
      <c r="BA125" s="420"/>
      <c r="BB125" s="419"/>
      <c r="BC125" s="420"/>
      <c r="BD125" s="427"/>
      <c r="BE125" s="420"/>
      <c r="BF125" s="420"/>
      <c r="BG125" s="420"/>
      <c r="BH125" s="423"/>
      <c r="BI125" s="420"/>
      <c r="BJ125" s="420"/>
      <c r="BK125" s="420"/>
      <c r="BL125" s="420"/>
      <c r="BM125" s="420"/>
      <c r="BN125" s="420"/>
      <c r="BO125" s="419"/>
      <c r="BP125" s="428"/>
      <c r="BQ125" s="420"/>
      <c r="BR125" s="423"/>
      <c r="BS125" s="423"/>
      <c r="BT125" s="420"/>
      <c r="BU125" s="420"/>
      <c r="BV125" s="420"/>
      <c r="BW125" s="420"/>
      <c r="BX125" s="429"/>
      <c r="BY125" s="419"/>
      <c r="BZ125" s="419"/>
      <c r="CA125" s="419"/>
      <c r="CB125" s="420"/>
      <c r="CC125" s="430"/>
      <c r="CD125" s="419"/>
      <c r="CE125" s="419"/>
      <c r="CF125" s="419"/>
      <c r="CG125" s="420"/>
      <c r="CH125" s="423"/>
      <c r="CI125" s="432"/>
      <c r="CJ125" s="432"/>
      <c r="CK125" s="432"/>
      <c r="CL125" s="420"/>
      <c r="CM125" s="423"/>
      <c r="CN125" s="420"/>
      <c r="CO125" s="420"/>
      <c r="CP125" s="420"/>
      <c r="CQ125" s="432"/>
      <c r="CR125" s="432"/>
      <c r="CS125" s="420"/>
      <c r="CT125" s="420"/>
      <c r="CU125" s="420"/>
      <c r="CV125" s="420"/>
      <c r="CW125" s="420"/>
      <c r="CX125" s="419"/>
      <c r="CY125" s="419"/>
      <c r="CZ125" s="419"/>
      <c r="DA125" s="419">
        <f t="shared" si="115"/>
        <v>0</v>
      </c>
      <c r="DB125" s="419">
        <f t="shared" si="116"/>
        <v>0</v>
      </c>
      <c r="DC125" s="419"/>
      <c r="DD125" s="419"/>
      <c r="DE125" s="419"/>
      <c r="DF125" s="420">
        <f t="shared" si="117"/>
        <v>0</v>
      </c>
      <c r="DG125" s="421">
        <f t="shared" si="118"/>
        <v>0</v>
      </c>
      <c r="DH125" s="419"/>
      <c r="DI125" s="419"/>
      <c r="DJ125" s="419"/>
      <c r="DK125" s="420">
        <f t="shared" si="119"/>
        <v>0</v>
      </c>
      <c r="DL125" s="422">
        <f t="shared" si="120"/>
        <v>0</v>
      </c>
      <c r="DM125" s="420"/>
      <c r="DN125" s="420"/>
      <c r="DO125" s="420"/>
      <c r="DP125" s="420">
        <f t="shared" si="121"/>
        <v>0</v>
      </c>
      <c r="DQ125" s="420">
        <f t="shared" si="122"/>
        <v>0</v>
      </c>
      <c r="DR125" s="419"/>
      <c r="DS125" s="419"/>
      <c r="DT125" s="419"/>
      <c r="DU125" s="420">
        <f t="shared" si="123"/>
        <v>0</v>
      </c>
      <c r="DV125" s="423">
        <f t="shared" si="124"/>
        <v>0</v>
      </c>
      <c r="DW125" s="419"/>
      <c r="DX125" s="419"/>
      <c r="DY125" s="419"/>
      <c r="DZ125" s="420">
        <f t="shared" si="125"/>
        <v>0</v>
      </c>
      <c r="EA125" s="423">
        <f t="shared" si="126"/>
        <v>0</v>
      </c>
      <c r="EB125" s="419"/>
      <c r="EC125" s="419"/>
      <c r="ED125" s="420"/>
      <c r="EE125" s="419"/>
      <c r="EF125" s="420">
        <f t="shared" si="127"/>
        <v>0</v>
      </c>
      <c r="EG125" s="419"/>
      <c r="EH125" s="419"/>
      <c r="EI125" s="419"/>
      <c r="EJ125" s="420">
        <f t="shared" si="128"/>
        <v>0</v>
      </c>
      <c r="EK125" s="420">
        <f t="shared" si="129"/>
        <v>0</v>
      </c>
      <c r="EL125" s="419"/>
      <c r="EM125" s="419"/>
      <c r="EN125" s="419"/>
      <c r="EO125" s="419">
        <f t="shared" si="130"/>
        <v>0</v>
      </c>
      <c r="EP125" s="419">
        <f t="shared" si="131"/>
        <v>0</v>
      </c>
      <c r="EQ125" s="420">
        <v>2388068.5699999998</v>
      </c>
      <c r="ER125" s="420">
        <v>2388068.5699999998</v>
      </c>
      <c r="ES125" s="420">
        <v>310448.90999999997</v>
      </c>
      <c r="ET125" s="419">
        <f t="shared" si="132"/>
        <v>2388068.54</v>
      </c>
      <c r="EU125" s="419">
        <f t="shared" si="133"/>
        <v>-0.03</v>
      </c>
      <c r="EV125" s="455">
        <v>13021095.07</v>
      </c>
      <c r="EW125" s="419"/>
      <c r="EX125" s="455">
        <v>1692742.37</v>
      </c>
      <c r="EY125" s="419">
        <f t="shared" si="134"/>
        <v>13021095.15</v>
      </c>
      <c r="EZ125" s="419">
        <f t="shared" si="154"/>
        <v>0.08</v>
      </c>
      <c r="FA125" s="420">
        <v>6874783.1900000004</v>
      </c>
      <c r="FB125" s="420"/>
      <c r="FC125" s="420">
        <v>893721.81</v>
      </c>
      <c r="FD125" s="420">
        <f t="shared" si="135"/>
        <v>6874783.1500000004</v>
      </c>
      <c r="FE125" s="420">
        <f t="shared" si="136"/>
        <v>-0.04</v>
      </c>
      <c r="FF125" s="419">
        <v>22849484.5</v>
      </c>
      <c r="FG125" s="419"/>
      <c r="FH125" s="419">
        <v>2970432.98</v>
      </c>
      <c r="FI125" s="419">
        <f t="shared" si="137"/>
        <v>22849484.461538501</v>
      </c>
      <c r="FJ125" s="419">
        <f t="shared" si="138"/>
        <v>-0.04</v>
      </c>
      <c r="FK125" s="419">
        <v>18399214.629999999</v>
      </c>
      <c r="FL125" s="419">
        <v>42745362.759999998</v>
      </c>
      <c r="FM125" s="419">
        <v>2391897.9</v>
      </c>
      <c r="FN125" s="420">
        <f t="shared" si="139"/>
        <v>18399214.620000001</v>
      </c>
      <c r="FO125" s="423">
        <f t="shared" si="140"/>
        <v>-0.01</v>
      </c>
      <c r="FP125" s="431">
        <v>6780420.3700000001</v>
      </c>
      <c r="FQ125" s="431">
        <v>18399214.629999999</v>
      </c>
      <c r="FR125" s="431">
        <v>881454.65</v>
      </c>
      <c r="FS125" s="420">
        <f t="shared" si="141"/>
        <v>6780420.3799999999</v>
      </c>
      <c r="FT125" s="420">
        <f t="shared" si="142"/>
        <v>9.9999997764825804E-3</v>
      </c>
      <c r="FU125" s="419">
        <v>23412754.420000002</v>
      </c>
      <c r="FV125" s="419"/>
      <c r="FW125" s="419">
        <v>3043658.08</v>
      </c>
      <c r="FX125" s="420">
        <f t="shared" si="143"/>
        <v>23412754.460000001</v>
      </c>
      <c r="FY125" s="420">
        <f t="shared" si="144"/>
        <v>3.9999999105930301E-2</v>
      </c>
      <c r="FZ125" s="419">
        <v>17057030.84</v>
      </c>
      <c r="GA125" s="419">
        <v>30193174.77</v>
      </c>
      <c r="GB125" s="419">
        <v>2217414</v>
      </c>
      <c r="GC125" s="420">
        <f t="shared" si="145"/>
        <v>17057030.77</v>
      </c>
      <c r="GD125" s="420">
        <f t="shared" si="146"/>
        <v>-7.0000000298023196E-2</v>
      </c>
      <c r="GE125" s="419"/>
      <c r="GF125" s="419">
        <v>17057030.859999999</v>
      </c>
      <c r="GG125" s="419"/>
      <c r="GH125" s="420">
        <f t="shared" si="147"/>
        <v>0</v>
      </c>
      <c r="GI125" s="423">
        <f t="shared" si="148"/>
        <v>0</v>
      </c>
      <c r="GJ125" s="419">
        <v>61654867.259999998</v>
      </c>
      <c r="GK125" s="419">
        <v>61654867.259999998</v>
      </c>
      <c r="GL125" s="419">
        <v>8015132.7400000002</v>
      </c>
      <c r="GM125" s="420">
        <f t="shared" si="149"/>
        <v>61654867.230769202</v>
      </c>
      <c r="GN125" s="420">
        <f t="shared" si="150"/>
        <v>-2.9230765998363498E-2</v>
      </c>
      <c r="GO125" s="419"/>
      <c r="GP125" s="419"/>
      <c r="GQ125" s="419"/>
      <c r="GR125" s="420">
        <f t="shared" si="155"/>
        <v>0</v>
      </c>
      <c r="GS125" s="423">
        <f t="shared" si="151"/>
        <v>0</v>
      </c>
      <c r="GT125" s="419"/>
      <c r="GU125" s="419"/>
      <c r="GV125" s="419"/>
      <c r="GW125" s="420">
        <f t="shared" si="152"/>
        <v>0</v>
      </c>
      <c r="GX125" s="420">
        <f t="shared" si="153"/>
        <v>0</v>
      </c>
    </row>
    <row r="126" spans="1:206" ht="15">
      <c r="A126" s="414"/>
      <c r="B126" s="415" t="s">
        <v>545</v>
      </c>
      <c r="C126" s="698"/>
      <c r="D126" s="706"/>
      <c r="E126" s="434" t="s">
        <v>124</v>
      </c>
      <c r="F126" s="417">
        <v>0.09</v>
      </c>
      <c r="G126" s="418">
        <f t="shared" si="85"/>
        <v>154481792.56</v>
      </c>
      <c r="H126" s="418">
        <f t="shared" si="86"/>
        <v>154481792.56999999</v>
      </c>
      <c r="I126" s="418">
        <f t="shared" si="86"/>
        <v>13903361.315400001</v>
      </c>
      <c r="J126" s="418">
        <f t="shared" si="87"/>
        <v>154481792.39333299</v>
      </c>
      <c r="K126" s="418">
        <f t="shared" si="171"/>
        <v>-0.17666664719581601</v>
      </c>
      <c r="L126" s="418">
        <f t="shared" si="172"/>
        <v>-0.16666665673255901</v>
      </c>
      <c r="M126" s="424"/>
      <c r="N126" s="424"/>
      <c r="O126" s="424"/>
      <c r="P126" s="424"/>
      <c r="Q126" s="419"/>
      <c r="R126" s="419"/>
      <c r="S126" s="419"/>
      <c r="T126" s="420"/>
      <c r="U126" s="423"/>
      <c r="V126" s="420"/>
      <c r="W126" s="420"/>
      <c r="X126" s="419"/>
      <c r="Y126" s="419"/>
      <c r="Z126" s="423"/>
      <c r="AA126" s="423"/>
      <c r="AB126" s="419"/>
      <c r="AC126" s="423"/>
      <c r="AD126" s="420"/>
      <c r="AE126" s="423"/>
      <c r="AF126" s="444"/>
      <c r="AG126" s="419"/>
      <c r="AH126" s="420"/>
      <c r="AI126" s="420"/>
      <c r="AJ126" s="423"/>
      <c r="AK126" s="444"/>
      <c r="AL126" s="420"/>
      <c r="AM126" s="420"/>
      <c r="AN126" s="420"/>
      <c r="AO126" s="423"/>
      <c r="AP126" s="420"/>
      <c r="AQ126" s="419"/>
      <c r="AR126" s="420"/>
      <c r="AS126" s="420"/>
      <c r="AT126" s="420"/>
      <c r="AU126" s="420"/>
      <c r="AV126" s="420"/>
      <c r="AW126" s="420"/>
      <c r="AX126" s="426"/>
      <c r="AY126" s="420"/>
      <c r="AZ126" s="420"/>
      <c r="BA126" s="420"/>
      <c r="BB126" s="419"/>
      <c r="BC126" s="420"/>
      <c r="BD126" s="427"/>
      <c r="BE126" s="420"/>
      <c r="BF126" s="420"/>
      <c r="BG126" s="420"/>
      <c r="BH126" s="423"/>
      <c r="BI126" s="420"/>
      <c r="BJ126" s="420"/>
      <c r="BK126" s="420"/>
      <c r="BL126" s="420"/>
      <c r="BM126" s="420"/>
      <c r="BN126" s="420"/>
      <c r="BO126" s="419"/>
      <c r="BP126" s="428"/>
      <c r="BQ126" s="420"/>
      <c r="BR126" s="423"/>
      <c r="BS126" s="423"/>
      <c r="BT126" s="420"/>
      <c r="BU126" s="420"/>
      <c r="BV126" s="420"/>
      <c r="BW126" s="420"/>
      <c r="BX126" s="429"/>
      <c r="BY126" s="419"/>
      <c r="BZ126" s="419"/>
      <c r="CA126" s="419"/>
      <c r="CB126" s="420"/>
      <c r="CC126" s="430"/>
      <c r="CD126" s="419"/>
      <c r="CE126" s="419"/>
      <c r="CF126" s="419"/>
      <c r="CG126" s="420"/>
      <c r="CH126" s="423"/>
      <c r="CI126" s="432"/>
      <c r="CJ126" s="432"/>
      <c r="CK126" s="432"/>
      <c r="CL126" s="420"/>
      <c r="CM126" s="423"/>
      <c r="CN126" s="420"/>
      <c r="CO126" s="420"/>
      <c r="CP126" s="420"/>
      <c r="CQ126" s="432"/>
      <c r="CR126" s="432"/>
      <c r="CS126" s="420"/>
      <c r="CT126" s="420"/>
      <c r="CU126" s="420"/>
      <c r="CV126" s="420"/>
      <c r="CW126" s="420"/>
      <c r="CX126" s="419"/>
      <c r="CY126" s="419"/>
      <c r="CZ126" s="419"/>
      <c r="DA126" s="419">
        <f t="shared" si="115"/>
        <v>0</v>
      </c>
      <c r="DB126" s="419">
        <f t="shared" si="116"/>
        <v>0</v>
      </c>
      <c r="DC126" s="419"/>
      <c r="DD126" s="419"/>
      <c r="DE126" s="419"/>
      <c r="DF126" s="420">
        <f t="shared" si="117"/>
        <v>0</v>
      </c>
      <c r="DG126" s="421">
        <f t="shared" si="118"/>
        <v>0</v>
      </c>
      <c r="DH126" s="419"/>
      <c r="DI126" s="419"/>
      <c r="DJ126" s="419"/>
      <c r="DK126" s="420">
        <f t="shared" si="119"/>
        <v>0</v>
      </c>
      <c r="DL126" s="422">
        <f t="shared" si="120"/>
        <v>0</v>
      </c>
      <c r="DM126" s="420"/>
      <c r="DN126" s="420"/>
      <c r="DO126" s="420"/>
      <c r="DP126" s="420">
        <f t="shared" si="121"/>
        <v>0</v>
      </c>
      <c r="DQ126" s="420">
        <f t="shared" si="122"/>
        <v>0</v>
      </c>
      <c r="DR126" s="419"/>
      <c r="DS126" s="419"/>
      <c r="DT126" s="419"/>
      <c r="DU126" s="420">
        <f t="shared" si="123"/>
        <v>0</v>
      </c>
      <c r="DV126" s="423">
        <f t="shared" si="124"/>
        <v>0</v>
      </c>
      <c r="DW126" s="419">
        <v>2674771.79</v>
      </c>
      <c r="DX126" s="419"/>
      <c r="DY126" s="419">
        <v>240729.46</v>
      </c>
      <c r="DZ126" s="420">
        <f t="shared" si="125"/>
        <v>2674771.7799999998</v>
      </c>
      <c r="EA126" s="423">
        <f t="shared" si="126"/>
        <v>-0.01</v>
      </c>
      <c r="EB126" s="420">
        <v>15088666.060000001</v>
      </c>
      <c r="EC126" s="419"/>
      <c r="ED126" s="420">
        <v>1357979.9454000001</v>
      </c>
      <c r="EE126" s="419">
        <v>15088666.060000001</v>
      </c>
      <c r="EF126" s="420">
        <f t="shared" si="127"/>
        <v>0</v>
      </c>
      <c r="EG126" s="419">
        <v>1731847.81</v>
      </c>
      <c r="EI126" s="419">
        <v>155866.29999999999</v>
      </c>
      <c r="EJ126" s="420">
        <f t="shared" si="128"/>
        <v>1731847.78</v>
      </c>
      <c r="EK126" s="420">
        <f t="shared" si="129"/>
        <v>-0.03</v>
      </c>
      <c r="EL126" s="420">
        <v>9224029.0800000001</v>
      </c>
      <c r="EM126" s="419"/>
      <c r="EN126" s="419">
        <v>830162.62</v>
      </c>
      <c r="EO126" s="419">
        <f t="shared" si="130"/>
        <v>9224029.1099999994</v>
      </c>
      <c r="EP126" s="419">
        <f t="shared" si="131"/>
        <v>0.03</v>
      </c>
      <c r="EQ126" s="420">
        <v>20726451.420000002</v>
      </c>
      <c r="ER126" s="419">
        <v>49445766.159999996</v>
      </c>
      <c r="ES126" s="419">
        <v>1865380.64</v>
      </c>
      <c r="ET126" s="419">
        <f t="shared" si="132"/>
        <v>20726451.559999999</v>
      </c>
      <c r="EU126" s="419">
        <f t="shared" si="133"/>
        <v>0.14000000000000001</v>
      </c>
      <c r="EV126" s="455">
        <v>25023186.640000001</v>
      </c>
      <c r="EW126" s="419"/>
      <c r="EX126" s="455">
        <v>2252086.79</v>
      </c>
      <c r="EY126" s="419">
        <f t="shared" si="134"/>
        <v>25023186.559999999</v>
      </c>
      <c r="EZ126" s="419">
        <f t="shared" si="154"/>
        <v>-0.08</v>
      </c>
      <c r="FA126" s="456">
        <v>18262547.850000001</v>
      </c>
      <c r="FB126" s="420"/>
      <c r="FC126" s="456">
        <v>1643629.31</v>
      </c>
      <c r="FD126" s="420">
        <f t="shared" si="135"/>
        <v>18262547.890000001</v>
      </c>
      <c r="FE126" s="420">
        <f t="shared" si="136"/>
        <v>0.04</v>
      </c>
      <c r="FF126" s="419">
        <v>15922914.560000001</v>
      </c>
      <c r="FG126" s="419"/>
      <c r="FH126" s="419">
        <v>1433062.3</v>
      </c>
      <c r="FI126" s="419">
        <f t="shared" si="137"/>
        <v>15922914.444444399</v>
      </c>
      <c r="FJ126" s="419">
        <f t="shared" si="138"/>
        <v>-0.12</v>
      </c>
      <c r="FK126" s="419">
        <v>6340212.0899999999</v>
      </c>
      <c r="FL126" s="419">
        <v>59208649.079999998</v>
      </c>
      <c r="FM126" s="419">
        <v>570619.09</v>
      </c>
      <c r="FN126" s="420">
        <f t="shared" si="139"/>
        <v>6340212.1100000003</v>
      </c>
      <c r="FO126" s="423">
        <f t="shared" si="140"/>
        <v>0.02</v>
      </c>
      <c r="FP126" s="431">
        <v>8441327.1600000001</v>
      </c>
      <c r="FQ126" s="431">
        <v>6340212.0899999999</v>
      </c>
      <c r="FR126" s="431">
        <v>759719.44</v>
      </c>
      <c r="FS126" s="420">
        <f t="shared" si="141"/>
        <v>8441327.1099999994</v>
      </c>
      <c r="FT126" s="420">
        <f t="shared" si="142"/>
        <v>-5.0000000745058101E-2</v>
      </c>
      <c r="FU126" s="419">
        <v>5259520.5199999996</v>
      </c>
      <c r="FV126" s="419"/>
      <c r="FW126" s="419">
        <v>473356.84</v>
      </c>
      <c r="FX126" s="420">
        <f t="shared" si="143"/>
        <v>5259520.4400000004</v>
      </c>
      <c r="FY126" s="420">
        <f t="shared" si="144"/>
        <v>-7.9999999143183204E-2</v>
      </c>
      <c r="FZ126" s="419">
        <v>25860702.59</v>
      </c>
      <c r="GA126" s="419">
        <v>13461425.25</v>
      </c>
      <c r="GB126" s="419">
        <v>2327463.23</v>
      </c>
      <c r="GC126" s="420">
        <f t="shared" si="145"/>
        <v>25860702.559999999</v>
      </c>
      <c r="GD126" s="420">
        <f t="shared" si="146"/>
        <v>-3.0000001192092899E-2</v>
      </c>
      <c r="GE126" s="419"/>
      <c r="GF126" s="420">
        <v>26025739.989999998</v>
      </c>
      <c r="GG126" s="419"/>
      <c r="GH126" s="420">
        <f t="shared" si="147"/>
        <v>0</v>
      </c>
      <c r="GI126" s="423">
        <f t="shared" si="148"/>
        <v>0</v>
      </c>
      <c r="GJ126" s="419">
        <v>-74385.009999999995</v>
      </c>
      <c r="GK126" s="419"/>
      <c r="GL126" s="419">
        <v>-6694.65</v>
      </c>
      <c r="GM126" s="420">
        <f t="shared" si="149"/>
        <v>-74385</v>
      </c>
      <c r="GN126" s="420">
        <f t="shared" si="150"/>
        <v>9.9999999947613105E-3</v>
      </c>
      <c r="GO126" s="419"/>
      <c r="GP126" s="419"/>
      <c r="GQ126" s="419"/>
      <c r="GR126" s="420">
        <f t="shared" si="155"/>
        <v>0</v>
      </c>
      <c r="GS126" s="423">
        <f t="shared" si="151"/>
        <v>0</v>
      </c>
      <c r="GT126" s="419"/>
      <c r="GU126" s="419"/>
      <c r="GV126" s="419"/>
      <c r="GW126" s="420">
        <f t="shared" si="152"/>
        <v>0</v>
      </c>
      <c r="GX126" s="420">
        <f t="shared" si="153"/>
        <v>0</v>
      </c>
    </row>
    <row r="127" spans="1:206" ht="15">
      <c r="A127" s="414"/>
      <c r="B127" s="415" t="s">
        <v>545</v>
      </c>
      <c r="C127" s="698"/>
      <c r="D127" s="707"/>
      <c r="E127" s="434" t="s">
        <v>125</v>
      </c>
      <c r="F127" s="417">
        <v>0.06</v>
      </c>
      <c r="G127" s="418">
        <f t="shared" si="85"/>
        <v>11448153.99</v>
      </c>
      <c r="H127" s="418">
        <f t="shared" si="86"/>
        <v>8620712.9700000007</v>
      </c>
      <c r="I127" s="418">
        <f t="shared" si="86"/>
        <v>686889.28520000004</v>
      </c>
      <c r="J127" s="418">
        <f t="shared" si="87"/>
        <v>11448154.7533333</v>
      </c>
      <c r="K127" s="418">
        <f t="shared" si="171"/>
        <v>2827441.7833333299</v>
      </c>
      <c r="L127" s="418">
        <f t="shared" si="172"/>
        <v>0.76333333365619205</v>
      </c>
      <c r="M127" s="424"/>
      <c r="N127" s="424"/>
      <c r="O127" s="424"/>
      <c r="P127" s="424"/>
      <c r="Q127" s="419"/>
      <c r="R127" s="419"/>
      <c r="S127" s="419"/>
      <c r="T127" s="420"/>
      <c r="U127" s="423"/>
      <c r="V127" s="420"/>
      <c r="W127" s="420"/>
      <c r="X127" s="419"/>
      <c r="Y127" s="419"/>
      <c r="Z127" s="423"/>
      <c r="AA127" s="423"/>
      <c r="AB127" s="419"/>
      <c r="AC127" s="423"/>
      <c r="AD127" s="420"/>
      <c r="AE127" s="423"/>
      <c r="AF127" s="444"/>
      <c r="AG127" s="419"/>
      <c r="AH127" s="420"/>
      <c r="AI127" s="420"/>
      <c r="AJ127" s="423"/>
      <c r="AK127" s="444"/>
      <c r="AL127" s="420"/>
      <c r="AM127" s="420"/>
      <c r="AN127" s="420"/>
      <c r="AO127" s="423"/>
      <c r="AP127" s="420"/>
      <c r="AQ127" s="419"/>
      <c r="AR127" s="420"/>
      <c r="AS127" s="420"/>
      <c r="AT127" s="420"/>
      <c r="AU127" s="420"/>
      <c r="AV127" s="420"/>
      <c r="AW127" s="420"/>
      <c r="AX127" s="426"/>
      <c r="AY127" s="420"/>
      <c r="AZ127" s="420"/>
      <c r="BA127" s="420"/>
      <c r="BB127" s="419"/>
      <c r="BC127" s="420"/>
      <c r="BD127" s="427"/>
      <c r="BE127" s="420"/>
      <c r="BF127" s="420"/>
      <c r="BG127" s="420"/>
      <c r="BH127" s="423"/>
      <c r="BI127" s="420"/>
      <c r="BJ127" s="420"/>
      <c r="BK127" s="420"/>
      <c r="BL127" s="420"/>
      <c r="BM127" s="420"/>
      <c r="BN127" s="420"/>
      <c r="BO127" s="419"/>
      <c r="BP127" s="428"/>
      <c r="BQ127" s="420"/>
      <c r="BR127" s="423"/>
      <c r="BS127" s="423"/>
      <c r="BT127" s="420"/>
      <c r="BU127" s="420"/>
      <c r="BV127" s="420"/>
      <c r="BW127" s="420"/>
      <c r="BX127" s="429"/>
      <c r="BY127" s="419"/>
      <c r="BZ127" s="419"/>
      <c r="CA127" s="419"/>
      <c r="CB127" s="420"/>
      <c r="CC127" s="430"/>
      <c r="CD127" s="419"/>
      <c r="CE127" s="419"/>
      <c r="CF127" s="419"/>
      <c r="CG127" s="420"/>
      <c r="CH127" s="423"/>
      <c r="CI127" s="432"/>
      <c r="CJ127" s="432"/>
      <c r="CK127" s="432"/>
      <c r="CL127" s="420"/>
      <c r="CM127" s="423"/>
      <c r="CN127" s="420"/>
      <c r="CO127" s="420"/>
      <c r="CP127" s="420"/>
      <c r="CQ127" s="432"/>
      <c r="CR127" s="432"/>
      <c r="CS127" s="420"/>
      <c r="CT127" s="420"/>
      <c r="CU127" s="420"/>
      <c r="CV127" s="420"/>
      <c r="CW127" s="420"/>
      <c r="CX127" s="419">
        <v>1594736.98</v>
      </c>
      <c r="CY127" s="419"/>
      <c r="CZ127" s="419">
        <v>95684.23</v>
      </c>
      <c r="DA127" s="419">
        <f t="shared" si="115"/>
        <v>1594737.17</v>
      </c>
      <c r="DB127" s="419">
        <f t="shared" si="116"/>
        <v>0.19</v>
      </c>
      <c r="DC127" s="423">
        <v>20763.38</v>
      </c>
      <c r="DD127" s="419"/>
      <c r="DE127" s="419">
        <v>1245.8</v>
      </c>
      <c r="DF127" s="420">
        <f t="shared" si="117"/>
        <v>20763.333333333299</v>
      </c>
      <c r="DG127" s="421">
        <f t="shared" si="118"/>
        <v>4.6666666668898002E-2</v>
      </c>
      <c r="DH127" s="419">
        <v>37101.06</v>
      </c>
      <c r="DI127" s="419"/>
      <c r="DJ127" s="419">
        <v>2226.06</v>
      </c>
      <c r="DK127" s="420">
        <f t="shared" si="119"/>
        <v>37101</v>
      </c>
      <c r="DL127" s="422">
        <f t="shared" si="120"/>
        <v>-5.9999999997671701E-2</v>
      </c>
      <c r="DM127" s="420">
        <v>22812.01</v>
      </c>
      <c r="DN127" s="420"/>
      <c r="DO127" s="420">
        <v>1368.72</v>
      </c>
      <c r="DP127" s="420">
        <f t="shared" si="121"/>
        <v>22812</v>
      </c>
      <c r="DQ127" s="420">
        <f t="shared" si="122"/>
        <v>-9.9999999983992893E-3</v>
      </c>
      <c r="DR127" s="419">
        <v>311846.42</v>
      </c>
      <c r="DS127" s="419"/>
      <c r="DT127" s="419">
        <v>18710.79</v>
      </c>
      <c r="DU127" s="420">
        <f t="shared" si="123"/>
        <v>311846.5</v>
      </c>
      <c r="DV127" s="423">
        <f t="shared" si="124"/>
        <v>8.0000000016298103E-2</v>
      </c>
      <c r="DW127" s="419">
        <v>256690.61</v>
      </c>
      <c r="DX127" s="419"/>
      <c r="DY127" s="419">
        <v>15401.44</v>
      </c>
      <c r="DZ127" s="420">
        <f t="shared" si="125"/>
        <v>256690.67</v>
      </c>
      <c r="EA127" s="423">
        <f t="shared" si="126"/>
        <v>0.06</v>
      </c>
      <c r="EB127" s="419">
        <v>60813.42</v>
      </c>
      <c r="EC127" s="419"/>
      <c r="ED127" s="420">
        <v>3648.8051999999998</v>
      </c>
      <c r="EE127" s="419">
        <v>60813.42</v>
      </c>
      <c r="EF127" s="420">
        <f t="shared" si="127"/>
        <v>0</v>
      </c>
      <c r="EG127" s="419">
        <v>547230.64</v>
      </c>
      <c r="EI127" s="419">
        <v>32833.85</v>
      </c>
      <c r="EJ127" s="420">
        <f t="shared" si="128"/>
        <v>547230.82999999996</v>
      </c>
      <c r="EK127" s="420">
        <f t="shared" si="129"/>
        <v>0.19</v>
      </c>
      <c r="EL127" s="419">
        <v>49689.54</v>
      </c>
      <c r="EN127" s="419">
        <v>2981.37</v>
      </c>
      <c r="EO127" s="419">
        <f t="shared" si="130"/>
        <v>49689.5</v>
      </c>
      <c r="EP127" s="419">
        <f t="shared" si="131"/>
        <v>-0.04</v>
      </c>
      <c r="EQ127" s="419">
        <v>54719.08</v>
      </c>
      <c r="ER127" s="419">
        <v>2901684.03</v>
      </c>
      <c r="ES127" s="419">
        <v>3283.15</v>
      </c>
      <c r="ET127" s="419">
        <f t="shared" si="132"/>
        <v>54719.17</v>
      </c>
      <c r="EU127" s="419">
        <f t="shared" si="133"/>
        <v>0.09</v>
      </c>
      <c r="EV127" s="419">
        <v>342850.24</v>
      </c>
      <c r="EW127" s="419"/>
      <c r="EX127" s="419">
        <v>20571.02</v>
      </c>
      <c r="EY127" s="419">
        <f t="shared" si="134"/>
        <v>342850.33</v>
      </c>
      <c r="EZ127" s="419">
        <f t="shared" si="154"/>
        <v>0.09</v>
      </c>
      <c r="FA127" s="420">
        <v>56147.040000000001</v>
      </c>
      <c r="FB127" s="420"/>
      <c r="FC127" s="420">
        <v>3368.82</v>
      </c>
      <c r="FD127" s="420">
        <f t="shared" si="135"/>
        <v>56147</v>
      </c>
      <c r="FE127" s="420">
        <f t="shared" si="136"/>
        <v>-0.04</v>
      </c>
      <c r="FF127" s="419">
        <v>77802.05</v>
      </c>
      <c r="FG127" s="419"/>
      <c r="FH127" s="419">
        <v>4668.12</v>
      </c>
      <c r="FI127" s="419">
        <f t="shared" si="137"/>
        <v>77802</v>
      </c>
      <c r="FJ127" s="419">
        <f t="shared" si="138"/>
        <v>-0.05</v>
      </c>
      <c r="FK127" s="419">
        <v>1407501.23</v>
      </c>
      <c r="FL127" s="419">
        <v>605020.80000000005</v>
      </c>
      <c r="FM127" s="419">
        <v>84450.08</v>
      </c>
      <c r="FN127" s="420">
        <f t="shared" si="139"/>
        <v>1407501.33</v>
      </c>
      <c r="FO127" s="423">
        <f t="shared" si="140"/>
        <v>0.1</v>
      </c>
      <c r="FP127" s="431">
        <v>455069.93</v>
      </c>
      <c r="FQ127" s="431">
        <v>1407501.23</v>
      </c>
      <c r="FR127" s="431">
        <v>27304.19</v>
      </c>
      <c r="FS127" s="420">
        <f t="shared" si="141"/>
        <v>455069.83</v>
      </c>
      <c r="FT127" s="420">
        <f t="shared" si="142"/>
        <v>-9.9999999976716894E-2</v>
      </c>
      <c r="FU127" s="419">
        <v>-46575.14</v>
      </c>
      <c r="FV127" s="419"/>
      <c r="FW127" s="419">
        <v>-2794.5</v>
      </c>
      <c r="FX127" s="420">
        <f t="shared" si="143"/>
        <v>-46575</v>
      </c>
      <c r="FY127" s="420">
        <f t="shared" si="144"/>
        <v>0.13999999999941801</v>
      </c>
      <c r="FZ127" s="419">
        <v>5632917.7599999998</v>
      </c>
      <c r="GA127" s="419">
        <v>408494.78</v>
      </c>
      <c r="GB127" s="419">
        <v>337975.08</v>
      </c>
      <c r="GC127" s="420">
        <f t="shared" si="145"/>
        <v>5632918</v>
      </c>
      <c r="GD127" s="420">
        <f t="shared" si="146"/>
        <v>0.240000000223517</v>
      </c>
      <c r="GE127" s="419"/>
      <c r="GF127" s="419">
        <v>2731974.39</v>
      </c>
      <c r="GG127" s="419"/>
      <c r="GH127" s="420">
        <f t="shared" si="147"/>
        <v>0</v>
      </c>
      <c r="GI127" s="423">
        <f t="shared" si="148"/>
        <v>0</v>
      </c>
      <c r="GJ127" s="437">
        <v>566037.74</v>
      </c>
      <c r="GK127" s="419">
        <v>566037.74</v>
      </c>
      <c r="GL127" s="419">
        <v>33962.26</v>
      </c>
      <c r="GM127" s="420">
        <f t="shared" si="149"/>
        <v>566037.66666666698</v>
      </c>
      <c r="GN127" s="420">
        <f t="shared" si="150"/>
        <v>-7.3333333246409907E-2</v>
      </c>
      <c r="GO127" s="419"/>
      <c r="GP127" s="419"/>
      <c r="GQ127" s="419"/>
      <c r="GR127" s="420">
        <f t="shared" si="155"/>
        <v>0</v>
      </c>
      <c r="GS127" s="423">
        <f t="shared" si="151"/>
        <v>0</v>
      </c>
      <c r="GT127" s="419"/>
      <c r="GU127" s="419"/>
      <c r="GV127" s="419"/>
      <c r="GW127" s="420">
        <f t="shared" si="152"/>
        <v>0</v>
      </c>
      <c r="GX127" s="420">
        <f t="shared" si="153"/>
        <v>0</v>
      </c>
    </row>
    <row r="128" spans="1:206" ht="15">
      <c r="A128" s="414"/>
      <c r="B128" s="415" t="s">
        <v>222</v>
      </c>
      <c r="C128" s="698"/>
      <c r="D128" s="704" t="s">
        <v>548</v>
      </c>
      <c r="E128" s="434" t="s">
        <v>123</v>
      </c>
      <c r="F128" s="417">
        <v>0.13</v>
      </c>
      <c r="G128" s="418">
        <f t="shared" si="85"/>
        <v>0</v>
      </c>
      <c r="H128" s="418">
        <f t="shared" si="86"/>
        <v>0</v>
      </c>
      <c r="I128" s="418">
        <f t="shared" si="86"/>
        <v>0</v>
      </c>
      <c r="J128" s="418">
        <f t="shared" si="87"/>
        <v>0</v>
      </c>
      <c r="K128" s="418">
        <f t="shared" si="171"/>
        <v>0</v>
      </c>
      <c r="L128" s="418">
        <f t="shared" si="172"/>
        <v>0</v>
      </c>
      <c r="M128" s="424"/>
      <c r="N128" s="424"/>
      <c r="O128" s="424"/>
      <c r="P128" s="424"/>
      <c r="Q128" s="419"/>
      <c r="R128" s="419"/>
      <c r="S128" s="419"/>
      <c r="T128" s="420"/>
      <c r="U128" s="423"/>
      <c r="V128" s="420"/>
      <c r="W128" s="420"/>
      <c r="X128" s="419"/>
      <c r="Y128" s="419"/>
      <c r="Z128" s="423"/>
      <c r="AA128" s="423"/>
      <c r="AB128" s="419"/>
      <c r="AC128" s="423"/>
      <c r="AD128" s="420"/>
      <c r="AE128" s="423"/>
      <c r="AF128" s="444"/>
      <c r="AG128" s="419"/>
      <c r="AH128" s="420"/>
      <c r="AI128" s="420"/>
      <c r="AJ128" s="423"/>
      <c r="AK128" s="444"/>
      <c r="AL128" s="420"/>
      <c r="AM128" s="420"/>
      <c r="AN128" s="420"/>
      <c r="AO128" s="423"/>
      <c r="AP128" s="420"/>
      <c r="AQ128" s="419"/>
      <c r="AR128" s="420"/>
      <c r="AS128" s="420"/>
      <c r="AT128" s="420"/>
      <c r="AU128" s="420"/>
      <c r="AV128" s="420"/>
      <c r="AW128" s="420"/>
      <c r="AX128" s="426"/>
      <c r="AY128" s="420"/>
      <c r="AZ128" s="420"/>
      <c r="BA128" s="420"/>
      <c r="BB128" s="419"/>
      <c r="BC128" s="420"/>
      <c r="BD128" s="427"/>
      <c r="BE128" s="420"/>
      <c r="BF128" s="420"/>
      <c r="BG128" s="420"/>
      <c r="BH128" s="423"/>
      <c r="BI128" s="420"/>
      <c r="BJ128" s="420"/>
      <c r="BK128" s="420"/>
      <c r="BL128" s="420"/>
      <c r="BM128" s="420"/>
      <c r="BN128" s="420"/>
      <c r="BO128" s="419"/>
      <c r="BP128" s="428"/>
      <c r="BQ128" s="420"/>
      <c r="BR128" s="423"/>
      <c r="BS128" s="423"/>
      <c r="BT128" s="420"/>
      <c r="BU128" s="420"/>
      <c r="BV128" s="420"/>
      <c r="BW128" s="420"/>
      <c r="BX128" s="429"/>
      <c r="BY128" s="419"/>
      <c r="BZ128" s="419"/>
      <c r="CA128" s="419"/>
      <c r="CB128" s="420"/>
      <c r="CC128" s="430"/>
      <c r="CD128" s="419"/>
      <c r="CE128" s="419"/>
      <c r="CF128" s="419"/>
      <c r="CG128" s="420"/>
      <c r="CH128" s="423"/>
      <c r="CI128" s="432"/>
      <c r="CJ128" s="432"/>
      <c r="CK128" s="432"/>
      <c r="CL128" s="420"/>
      <c r="CM128" s="423"/>
      <c r="CN128" s="420"/>
      <c r="CO128" s="420"/>
      <c r="CP128" s="420"/>
      <c r="CQ128" s="432"/>
      <c r="CR128" s="432"/>
      <c r="CS128" s="420"/>
      <c r="CT128" s="420"/>
      <c r="CU128" s="420"/>
      <c r="CV128" s="420"/>
      <c r="CW128" s="420"/>
      <c r="CX128" s="419"/>
      <c r="CY128" s="419"/>
      <c r="CZ128" s="419"/>
      <c r="DA128" s="419">
        <f t="shared" si="115"/>
        <v>0</v>
      </c>
      <c r="DB128" s="419">
        <f t="shared" si="116"/>
        <v>0</v>
      </c>
      <c r="DC128" s="419"/>
      <c r="DD128" s="419"/>
      <c r="DE128" s="419"/>
      <c r="DF128" s="420">
        <f t="shared" si="117"/>
        <v>0</v>
      </c>
      <c r="DG128" s="421">
        <f t="shared" si="118"/>
        <v>0</v>
      </c>
      <c r="DH128" s="419"/>
      <c r="DI128" s="419"/>
      <c r="DJ128" s="419"/>
      <c r="DK128" s="420">
        <f t="shared" si="119"/>
        <v>0</v>
      </c>
      <c r="DL128" s="422">
        <f t="shared" si="120"/>
        <v>0</v>
      </c>
      <c r="DM128" s="420"/>
      <c r="DN128" s="420"/>
      <c r="DO128" s="420"/>
      <c r="DP128" s="420">
        <f t="shared" si="121"/>
        <v>0</v>
      </c>
      <c r="DQ128" s="420">
        <f t="shared" si="122"/>
        <v>0</v>
      </c>
      <c r="DR128" s="419"/>
      <c r="DS128" s="419"/>
      <c r="DT128" s="419"/>
      <c r="DU128" s="420">
        <f t="shared" si="123"/>
        <v>0</v>
      </c>
      <c r="DV128" s="423">
        <f t="shared" si="124"/>
        <v>0</v>
      </c>
      <c r="DW128" s="419"/>
      <c r="DX128" s="419"/>
      <c r="DY128" s="419"/>
      <c r="DZ128" s="420">
        <f t="shared" si="125"/>
        <v>0</v>
      </c>
      <c r="EA128" s="423">
        <f t="shared" si="126"/>
        <v>0</v>
      </c>
      <c r="EB128" s="419"/>
      <c r="EC128" s="419"/>
      <c r="ED128" s="420"/>
      <c r="EE128" s="419"/>
      <c r="EF128" s="420">
        <f t="shared" si="127"/>
        <v>0</v>
      </c>
      <c r="EG128" s="419"/>
      <c r="EH128" s="419"/>
      <c r="EI128" s="419"/>
      <c r="EJ128" s="420">
        <f t="shared" si="128"/>
        <v>0</v>
      </c>
      <c r="EK128" s="420">
        <f t="shared" si="129"/>
        <v>0</v>
      </c>
      <c r="EL128" s="419"/>
      <c r="EM128" s="419"/>
      <c r="EN128" s="419"/>
      <c r="EO128" s="419">
        <f t="shared" si="130"/>
        <v>0</v>
      </c>
      <c r="EP128" s="419">
        <f t="shared" si="131"/>
        <v>0</v>
      </c>
      <c r="EQ128" s="419"/>
      <c r="ER128" s="419"/>
      <c r="ES128" s="419"/>
      <c r="ET128" s="419">
        <f t="shared" si="132"/>
        <v>0</v>
      </c>
      <c r="EU128" s="419">
        <f t="shared" si="133"/>
        <v>0</v>
      </c>
      <c r="EV128" s="419"/>
      <c r="EW128" s="419"/>
      <c r="EX128" s="419"/>
      <c r="EY128" s="419">
        <f t="shared" si="134"/>
        <v>0</v>
      </c>
      <c r="EZ128" s="419">
        <f t="shared" si="154"/>
        <v>0</v>
      </c>
      <c r="FA128" s="420"/>
      <c r="FB128" s="420"/>
      <c r="FC128" s="420"/>
      <c r="FD128" s="420">
        <f t="shared" si="135"/>
        <v>0</v>
      </c>
      <c r="FE128" s="420">
        <f t="shared" si="136"/>
        <v>0</v>
      </c>
      <c r="FF128" s="419"/>
      <c r="FG128" s="419"/>
      <c r="FH128" s="419"/>
      <c r="FI128" s="419">
        <f t="shared" si="137"/>
        <v>0</v>
      </c>
      <c r="FJ128" s="419">
        <f t="shared" si="138"/>
        <v>0</v>
      </c>
      <c r="FK128" s="419"/>
      <c r="FL128" s="419"/>
      <c r="FM128" s="419"/>
      <c r="FN128" s="420">
        <f t="shared" si="139"/>
        <v>0</v>
      </c>
      <c r="FO128" s="423">
        <f t="shared" si="140"/>
        <v>0</v>
      </c>
      <c r="FP128" s="419"/>
      <c r="FQ128" s="419"/>
      <c r="FR128" s="419"/>
      <c r="FS128" s="420">
        <f t="shared" si="141"/>
        <v>0</v>
      </c>
      <c r="FT128" s="420">
        <f t="shared" si="142"/>
        <v>0</v>
      </c>
      <c r="FU128" s="419"/>
      <c r="FV128" s="419"/>
      <c r="FW128" s="419"/>
      <c r="FX128" s="420">
        <f t="shared" si="143"/>
        <v>0</v>
      </c>
      <c r="FY128" s="420">
        <f t="shared" si="144"/>
        <v>0</v>
      </c>
      <c r="FZ128" s="419"/>
      <c r="GA128" s="419"/>
      <c r="GB128" s="419"/>
      <c r="GC128" s="420">
        <f t="shared" si="145"/>
        <v>0</v>
      </c>
      <c r="GD128" s="420">
        <f t="shared" si="146"/>
        <v>0</v>
      </c>
      <c r="GE128" s="419"/>
      <c r="GF128" s="419"/>
      <c r="GG128" s="419"/>
      <c r="GH128" s="420">
        <f t="shared" si="147"/>
        <v>0</v>
      </c>
      <c r="GI128" s="423">
        <f t="shared" si="148"/>
        <v>0</v>
      </c>
      <c r="GJ128" s="419"/>
      <c r="GK128" s="419"/>
      <c r="GL128" s="419"/>
      <c r="GM128" s="420">
        <f t="shared" si="149"/>
        <v>0</v>
      </c>
      <c r="GN128" s="420">
        <f t="shared" si="150"/>
        <v>0</v>
      </c>
      <c r="GO128" s="419"/>
      <c r="GP128" s="419"/>
      <c r="GQ128" s="419"/>
      <c r="GR128" s="420">
        <f t="shared" si="155"/>
        <v>0</v>
      </c>
      <c r="GS128" s="423">
        <f t="shared" si="151"/>
        <v>0</v>
      </c>
      <c r="GT128" s="419"/>
      <c r="GU128" s="419"/>
      <c r="GV128" s="419"/>
      <c r="GW128" s="420">
        <f t="shared" si="152"/>
        <v>0</v>
      </c>
      <c r="GX128" s="420">
        <f t="shared" si="153"/>
        <v>0</v>
      </c>
    </row>
    <row r="129" spans="1:206" ht="15">
      <c r="A129" s="414"/>
      <c r="B129" s="415" t="s">
        <v>222</v>
      </c>
      <c r="C129" s="698"/>
      <c r="D129" s="706"/>
      <c r="E129" s="434" t="s">
        <v>124</v>
      </c>
      <c r="F129" s="417">
        <v>0.09</v>
      </c>
      <c r="G129" s="418">
        <f t="shared" si="85"/>
        <v>489846.14</v>
      </c>
      <c r="H129" s="418">
        <f t="shared" si="86"/>
        <v>489846.15</v>
      </c>
      <c r="I129" s="418">
        <f t="shared" si="86"/>
        <v>44086.15</v>
      </c>
      <c r="J129" s="418">
        <f t="shared" si="87"/>
        <v>489846.11111111101</v>
      </c>
      <c r="K129" s="418">
        <f t="shared" si="171"/>
        <v>-3.8888888899236897E-2</v>
      </c>
      <c r="L129" s="418">
        <f t="shared" si="172"/>
        <v>-2.8888888889923699E-2</v>
      </c>
      <c r="M129" s="424"/>
      <c r="N129" s="424"/>
      <c r="O129" s="424"/>
      <c r="P129" s="424"/>
      <c r="Q129" s="419"/>
      <c r="R129" s="419"/>
      <c r="S129" s="419"/>
      <c r="T129" s="420"/>
      <c r="U129" s="423"/>
      <c r="V129" s="420"/>
      <c r="W129" s="420"/>
      <c r="X129" s="419"/>
      <c r="Y129" s="419"/>
      <c r="Z129" s="423"/>
      <c r="AA129" s="423"/>
      <c r="AB129" s="419"/>
      <c r="AC129" s="423"/>
      <c r="AD129" s="420"/>
      <c r="AE129" s="423"/>
      <c r="AF129" s="444"/>
      <c r="AG129" s="419"/>
      <c r="AH129" s="420"/>
      <c r="AI129" s="420"/>
      <c r="AJ129" s="423"/>
      <c r="AK129" s="444"/>
      <c r="AL129" s="420"/>
      <c r="AM129" s="420"/>
      <c r="AN129" s="420"/>
      <c r="AO129" s="423"/>
      <c r="AP129" s="420"/>
      <c r="AQ129" s="419"/>
      <c r="AR129" s="420"/>
      <c r="AS129" s="420"/>
      <c r="AT129" s="420"/>
      <c r="AU129" s="420"/>
      <c r="AV129" s="420"/>
      <c r="AW129" s="420"/>
      <c r="AX129" s="426"/>
      <c r="AY129" s="420"/>
      <c r="AZ129" s="420"/>
      <c r="BA129" s="420"/>
      <c r="BB129" s="419"/>
      <c r="BC129" s="420"/>
      <c r="BD129" s="427"/>
      <c r="BE129" s="420"/>
      <c r="BF129" s="420"/>
      <c r="BG129" s="420"/>
      <c r="BH129" s="423"/>
      <c r="BI129" s="420"/>
      <c r="BJ129" s="420"/>
      <c r="BK129" s="420"/>
      <c r="BL129" s="420"/>
      <c r="BM129" s="420"/>
      <c r="BN129" s="420"/>
      <c r="BO129" s="419"/>
      <c r="BP129" s="428"/>
      <c r="BQ129" s="420"/>
      <c r="BR129" s="423"/>
      <c r="BS129" s="423"/>
      <c r="BT129" s="420"/>
      <c r="BU129" s="420"/>
      <c r="BV129" s="420"/>
      <c r="BW129" s="420"/>
      <c r="BX129" s="429"/>
      <c r="BY129" s="419"/>
      <c r="BZ129" s="419"/>
      <c r="CA129" s="419"/>
      <c r="CB129" s="420"/>
      <c r="CC129" s="430"/>
      <c r="CD129" s="419"/>
      <c r="CE129" s="419"/>
      <c r="CF129" s="419"/>
      <c r="CG129" s="420"/>
      <c r="CH129" s="423"/>
      <c r="CI129" s="432"/>
      <c r="CJ129" s="432"/>
      <c r="CK129" s="432"/>
      <c r="CL129" s="420"/>
      <c r="CM129" s="423"/>
      <c r="CN129" s="420"/>
      <c r="CO129" s="420"/>
      <c r="CP129" s="420"/>
      <c r="CQ129" s="432"/>
      <c r="CR129" s="432"/>
      <c r="CS129" s="420"/>
      <c r="CT129" s="420"/>
      <c r="CU129" s="420"/>
      <c r="CV129" s="420"/>
      <c r="CW129" s="420"/>
      <c r="CX129" s="419">
        <v>1885713.04</v>
      </c>
      <c r="CY129" s="419"/>
      <c r="CZ129" s="419">
        <v>169714.17</v>
      </c>
      <c r="DA129" s="420">
        <f t="shared" si="115"/>
        <v>1885713</v>
      </c>
      <c r="DB129" s="419">
        <f t="shared" si="116"/>
        <v>-0.04</v>
      </c>
      <c r="DC129" s="419"/>
      <c r="DD129" s="419"/>
      <c r="DE129" s="419"/>
      <c r="DF129" s="420">
        <f t="shared" si="117"/>
        <v>0</v>
      </c>
      <c r="DG129" s="421">
        <f t="shared" si="118"/>
        <v>0</v>
      </c>
      <c r="DH129" s="419"/>
      <c r="DI129" s="419">
        <v>1885713.04</v>
      </c>
      <c r="DJ129" s="419"/>
      <c r="DK129" s="420">
        <f t="shared" si="119"/>
        <v>0</v>
      </c>
      <c r="DL129" s="422">
        <f t="shared" si="120"/>
        <v>0</v>
      </c>
      <c r="DM129" s="420"/>
      <c r="DN129" s="420"/>
      <c r="DO129" s="420"/>
      <c r="DP129" s="420">
        <f t="shared" si="121"/>
        <v>0</v>
      </c>
      <c r="DQ129" s="420">
        <f t="shared" si="122"/>
        <v>0</v>
      </c>
      <c r="DR129" s="419"/>
      <c r="DS129" s="419"/>
      <c r="DT129" s="419"/>
      <c r="DU129" s="420">
        <f t="shared" si="123"/>
        <v>0</v>
      </c>
      <c r="DV129" s="423">
        <f t="shared" si="124"/>
        <v>0</v>
      </c>
      <c r="DW129" s="419"/>
      <c r="DX129" s="419"/>
      <c r="DY129" s="419"/>
      <c r="DZ129" s="420">
        <f t="shared" si="125"/>
        <v>0</v>
      </c>
      <c r="EA129" s="423">
        <f t="shared" si="126"/>
        <v>0</v>
      </c>
      <c r="EB129" s="420"/>
      <c r="EC129" s="419"/>
      <c r="ED129" s="420"/>
      <c r="EE129" s="419"/>
      <c r="EF129" s="420">
        <f t="shared" si="127"/>
        <v>0</v>
      </c>
      <c r="EG129" s="419"/>
      <c r="EH129" s="419"/>
      <c r="EI129" s="419"/>
      <c r="EJ129" s="420">
        <f t="shared" si="128"/>
        <v>0</v>
      </c>
      <c r="EK129" s="420">
        <f t="shared" si="129"/>
        <v>0</v>
      </c>
      <c r="EL129" s="419"/>
      <c r="EM129" s="419"/>
      <c r="EN129" s="419"/>
      <c r="EO129" s="419">
        <f t="shared" si="130"/>
        <v>0</v>
      </c>
      <c r="EP129" s="419">
        <f t="shared" si="131"/>
        <v>0</v>
      </c>
      <c r="EQ129" s="419">
        <v>-1395866.9</v>
      </c>
      <c r="ER129" s="419">
        <v>-1395866.89</v>
      </c>
      <c r="ES129" s="419">
        <v>-125628.02</v>
      </c>
      <c r="ET129" s="419">
        <f t="shared" si="132"/>
        <v>-1395866.89</v>
      </c>
      <c r="EU129" s="419">
        <f t="shared" si="133"/>
        <v>0.01</v>
      </c>
      <c r="EV129" s="419"/>
      <c r="EW129" s="419"/>
      <c r="EX129" s="419"/>
      <c r="EY129" s="419">
        <f t="shared" si="134"/>
        <v>0</v>
      </c>
      <c r="EZ129" s="419">
        <f t="shared" si="154"/>
        <v>0</v>
      </c>
      <c r="FA129" s="420"/>
      <c r="FB129" s="420"/>
      <c r="FC129" s="420"/>
      <c r="FD129" s="420">
        <f t="shared" si="135"/>
        <v>0</v>
      </c>
      <c r="FE129" s="420">
        <f t="shared" si="136"/>
        <v>0</v>
      </c>
      <c r="FF129" s="419"/>
      <c r="FG129" s="419"/>
      <c r="FH129" s="419"/>
      <c r="FI129" s="419">
        <f t="shared" si="137"/>
        <v>0</v>
      </c>
      <c r="FJ129" s="419">
        <f t="shared" si="138"/>
        <v>0</v>
      </c>
      <c r="FK129" s="419"/>
      <c r="FL129" s="419"/>
      <c r="FM129" s="419"/>
      <c r="FN129" s="420">
        <f t="shared" si="139"/>
        <v>0</v>
      </c>
      <c r="FO129" s="423">
        <f t="shared" si="140"/>
        <v>0</v>
      </c>
      <c r="FP129" s="419"/>
      <c r="FQ129" s="419"/>
      <c r="FR129" s="419"/>
      <c r="FS129" s="420">
        <f t="shared" si="141"/>
        <v>0</v>
      </c>
      <c r="FT129" s="420">
        <f t="shared" si="142"/>
        <v>0</v>
      </c>
      <c r="FU129" s="419"/>
      <c r="FV129" s="419"/>
      <c r="FW129" s="419"/>
      <c r="FX129" s="420">
        <f t="shared" si="143"/>
        <v>0</v>
      </c>
      <c r="FY129" s="420">
        <f t="shared" si="144"/>
        <v>0</v>
      </c>
      <c r="FZ129" s="419"/>
      <c r="GA129" s="419"/>
      <c r="GB129" s="419"/>
      <c r="GC129" s="420">
        <f t="shared" si="145"/>
        <v>0</v>
      </c>
      <c r="GD129" s="420">
        <f t="shared" si="146"/>
        <v>0</v>
      </c>
      <c r="GE129" s="419"/>
      <c r="GF129" s="419"/>
      <c r="GG129" s="419"/>
      <c r="GH129" s="420">
        <f t="shared" si="147"/>
        <v>0</v>
      </c>
      <c r="GI129" s="423">
        <f t="shared" si="148"/>
        <v>0</v>
      </c>
      <c r="GJ129" s="419"/>
      <c r="GK129" s="419"/>
      <c r="GL129" s="419"/>
      <c r="GM129" s="420">
        <f t="shared" si="149"/>
        <v>0</v>
      </c>
      <c r="GN129" s="420">
        <f t="shared" si="150"/>
        <v>0</v>
      </c>
      <c r="GO129" s="419"/>
      <c r="GP129" s="419"/>
      <c r="GQ129" s="419"/>
      <c r="GR129" s="420">
        <f t="shared" si="155"/>
        <v>0</v>
      </c>
      <c r="GS129" s="423">
        <f t="shared" si="151"/>
        <v>0</v>
      </c>
      <c r="GT129" s="419"/>
      <c r="GU129" s="419"/>
      <c r="GV129" s="419"/>
      <c r="GW129" s="420">
        <f t="shared" si="152"/>
        <v>0</v>
      </c>
      <c r="GX129" s="420">
        <f t="shared" si="153"/>
        <v>0</v>
      </c>
    </row>
    <row r="130" spans="1:206" ht="15">
      <c r="A130" s="414"/>
      <c r="B130" s="415" t="s">
        <v>222</v>
      </c>
      <c r="C130" s="698"/>
      <c r="D130" s="707"/>
      <c r="E130" s="434" t="s">
        <v>125</v>
      </c>
      <c r="F130" s="417">
        <v>0.06</v>
      </c>
      <c r="G130" s="418">
        <f t="shared" si="85"/>
        <v>1065007.5900000001</v>
      </c>
      <c r="H130" s="418">
        <f t="shared" si="86"/>
        <v>408846.36</v>
      </c>
      <c r="I130" s="418">
        <f t="shared" si="86"/>
        <v>63900.463000000003</v>
      </c>
      <c r="J130" s="418">
        <f t="shared" si="87"/>
        <v>1065007.7166666701</v>
      </c>
      <c r="K130" s="418">
        <f t="shared" si="171"/>
        <v>656161.35666666704</v>
      </c>
      <c r="L130" s="418">
        <f t="shared" si="172"/>
        <v>0.126666666474193</v>
      </c>
      <c r="M130" s="424"/>
      <c r="N130" s="424"/>
      <c r="O130" s="424"/>
      <c r="P130" s="424"/>
      <c r="Q130" s="419"/>
      <c r="R130" s="419"/>
      <c r="S130" s="419"/>
      <c r="T130" s="420"/>
      <c r="U130" s="423"/>
      <c r="V130" s="420"/>
      <c r="W130" s="420"/>
      <c r="X130" s="419"/>
      <c r="Y130" s="419"/>
      <c r="Z130" s="423"/>
      <c r="AA130" s="423"/>
      <c r="AB130" s="419"/>
      <c r="AC130" s="423"/>
      <c r="AD130" s="420"/>
      <c r="AE130" s="423"/>
      <c r="AF130" s="444"/>
      <c r="AG130" s="419"/>
      <c r="AH130" s="420"/>
      <c r="AI130" s="420"/>
      <c r="AJ130" s="423"/>
      <c r="AK130" s="444"/>
      <c r="AL130" s="420"/>
      <c r="AM130" s="420"/>
      <c r="AN130" s="420"/>
      <c r="AO130" s="423"/>
      <c r="AP130" s="420"/>
      <c r="AQ130" s="419"/>
      <c r="AR130" s="420"/>
      <c r="AS130" s="420"/>
      <c r="AT130" s="420"/>
      <c r="AU130" s="420"/>
      <c r="AV130" s="420"/>
      <c r="AW130" s="420"/>
      <c r="AX130" s="426"/>
      <c r="AY130" s="420"/>
      <c r="AZ130" s="420"/>
      <c r="BA130" s="420"/>
      <c r="BB130" s="419"/>
      <c r="BC130" s="420"/>
      <c r="BD130" s="427"/>
      <c r="BE130" s="420"/>
      <c r="BF130" s="420"/>
      <c r="BG130" s="420"/>
      <c r="BH130" s="423"/>
      <c r="BI130" s="420"/>
      <c r="BJ130" s="420"/>
      <c r="BK130" s="420"/>
      <c r="BL130" s="420"/>
      <c r="BM130" s="420"/>
      <c r="BN130" s="420"/>
      <c r="BO130" s="419"/>
      <c r="BP130" s="428"/>
      <c r="BQ130" s="420"/>
      <c r="BR130" s="423"/>
      <c r="BS130" s="423"/>
      <c r="BT130" s="420"/>
      <c r="BU130" s="420"/>
      <c r="BV130" s="420"/>
      <c r="BW130" s="420"/>
      <c r="BX130" s="429"/>
      <c r="BY130" s="419"/>
      <c r="BZ130" s="419"/>
      <c r="CA130" s="419"/>
      <c r="CB130" s="420"/>
      <c r="CC130" s="430"/>
      <c r="CD130" s="419"/>
      <c r="CE130" s="419"/>
      <c r="CF130" s="419"/>
      <c r="CG130" s="420"/>
      <c r="CH130" s="423"/>
      <c r="CI130" s="432"/>
      <c r="CJ130" s="432"/>
      <c r="CK130" s="432"/>
      <c r="CL130" s="420"/>
      <c r="CM130" s="423"/>
      <c r="CN130" s="420"/>
      <c r="CO130" s="420"/>
      <c r="CP130" s="420"/>
      <c r="CQ130" s="432"/>
      <c r="CR130" s="432"/>
      <c r="CS130" s="420"/>
      <c r="CT130" s="420"/>
      <c r="CU130" s="420"/>
      <c r="CV130" s="420"/>
      <c r="CW130" s="420"/>
      <c r="CX130" s="419">
        <v>389811.05</v>
      </c>
      <c r="CY130" s="419"/>
      <c r="CZ130" s="419">
        <v>23388.67</v>
      </c>
      <c r="DA130" s="419">
        <f t="shared" si="115"/>
        <v>389811.17</v>
      </c>
      <c r="DB130" s="419">
        <f t="shared" si="116"/>
        <v>0.12</v>
      </c>
      <c r="DC130" s="419">
        <v>19035.310000000001</v>
      </c>
      <c r="DD130" s="419"/>
      <c r="DE130" s="419">
        <v>1142.1199999999999</v>
      </c>
      <c r="DF130" s="420">
        <f t="shared" si="117"/>
        <v>19035.333333333299</v>
      </c>
      <c r="DG130" s="421">
        <f t="shared" si="118"/>
        <v>-2.3333333330811001E-2</v>
      </c>
      <c r="DH130" s="419">
        <v>20102.12</v>
      </c>
      <c r="DI130" s="419">
        <v>408846.36</v>
      </c>
      <c r="DJ130" s="419">
        <v>1206.1300000000001</v>
      </c>
      <c r="DK130" s="420">
        <f t="shared" si="119"/>
        <v>20102.166666666701</v>
      </c>
      <c r="DL130" s="422">
        <f t="shared" si="120"/>
        <v>4.6666666668898002E-2</v>
      </c>
      <c r="DM130" s="420">
        <v>21130.51</v>
      </c>
      <c r="DN130" s="420"/>
      <c r="DO130" s="420">
        <v>1267.83</v>
      </c>
      <c r="DP130" s="420">
        <f t="shared" si="121"/>
        <v>21130.5</v>
      </c>
      <c r="DQ130" s="420">
        <f t="shared" si="122"/>
        <v>-9.9999999983992893E-3</v>
      </c>
      <c r="DR130" s="419">
        <v>18699.080000000002</v>
      </c>
      <c r="DS130" s="419"/>
      <c r="DT130" s="419">
        <v>1121.94</v>
      </c>
      <c r="DU130" s="420">
        <f t="shared" si="123"/>
        <v>18699</v>
      </c>
      <c r="DV130" s="423">
        <f t="shared" si="124"/>
        <v>-8.0000000001746202E-2</v>
      </c>
      <c r="DW130" s="419">
        <v>236668.27</v>
      </c>
      <c r="DX130" s="419"/>
      <c r="DY130" s="419">
        <v>14200.1</v>
      </c>
      <c r="DZ130" s="420">
        <f t="shared" si="125"/>
        <v>236668.33</v>
      </c>
      <c r="EA130" s="423">
        <f t="shared" si="126"/>
        <v>0.06</v>
      </c>
      <c r="EB130" s="419">
        <v>23071.55</v>
      </c>
      <c r="EC130" s="419"/>
      <c r="ED130" s="420">
        <v>1384.2929999999999</v>
      </c>
      <c r="EE130" s="419">
        <v>23071.55</v>
      </c>
      <c r="EF130" s="420">
        <f t="shared" si="127"/>
        <v>0</v>
      </c>
      <c r="EG130" s="419">
        <v>112512.27</v>
      </c>
      <c r="EI130" s="419">
        <v>6750.74</v>
      </c>
      <c r="EJ130" s="420">
        <f t="shared" si="128"/>
        <v>112512.33</v>
      </c>
      <c r="EK130" s="420">
        <f t="shared" si="129"/>
        <v>0.06</v>
      </c>
      <c r="EL130" s="419">
        <v>28926.080000000002</v>
      </c>
      <c r="EN130" s="419">
        <v>1735.56</v>
      </c>
      <c r="EO130" s="419">
        <f t="shared" si="130"/>
        <v>28926</v>
      </c>
      <c r="EP130" s="419">
        <f t="shared" si="131"/>
        <v>-0.08</v>
      </c>
      <c r="EQ130" s="419"/>
      <c r="ER130" s="419"/>
      <c r="ES130" s="419"/>
      <c r="ET130" s="419">
        <f t="shared" si="132"/>
        <v>0</v>
      </c>
      <c r="EU130" s="419">
        <f t="shared" si="133"/>
        <v>0</v>
      </c>
      <c r="EV130" s="419"/>
      <c r="EW130" s="419"/>
      <c r="EX130" s="419"/>
      <c r="EY130" s="419">
        <f t="shared" si="134"/>
        <v>0</v>
      </c>
      <c r="EZ130" s="419">
        <f t="shared" si="154"/>
        <v>0</v>
      </c>
      <c r="FA130" s="420">
        <v>195051.35</v>
      </c>
      <c r="FB130" s="420"/>
      <c r="FC130" s="420">
        <v>11703.08</v>
      </c>
      <c r="FD130" s="420">
        <f t="shared" si="135"/>
        <v>195051.33</v>
      </c>
      <c r="FE130" s="420">
        <f t="shared" si="136"/>
        <v>-0.02</v>
      </c>
      <c r="FF130" s="419"/>
      <c r="FG130" s="419"/>
      <c r="FH130" s="419"/>
      <c r="FI130" s="419">
        <f t="shared" si="137"/>
        <v>0</v>
      </c>
      <c r="FJ130" s="419">
        <f t="shared" si="138"/>
        <v>0</v>
      </c>
      <c r="FK130" s="419"/>
      <c r="FL130" s="419"/>
      <c r="FM130" s="419"/>
      <c r="FN130" s="420">
        <f t="shared" si="139"/>
        <v>0</v>
      </c>
      <c r="FO130" s="423">
        <f t="shared" si="140"/>
        <v>0</v>
      </c>
      <c r="FP130" s="419"/>
      <c r="FQ130" s="419"/>
      <c r="FR130" s="419"/>
      <c r="FS130" s="420">
        <f t="shared" si="141"/>
        <v>0</v>
      </c>
      <c r="FT130" s="420">
        <f t="shared" si="142"/>
        <v>0</v>
      </c>
      <c r="FU130" s="419"/>
      <c r="FV130" s="419"/>
      <c r="FW130" s="419"/>
      <c r="FX130" s="420">
        <f t="shared" si="143"/>
        <v>0</v>
      </c>
      <c r="FY130" s="420">
        <f t="shared" si="144"/>
        <v>0</v>
      </c>
      <c r="FZ130" s="419"/>
      <c r="GA130" s="419"/>
      <c r="GB130" s="419"/>
      <c r="GC130" s="420">
        <f t="shared" si="145"/>
        <v>0</v>
      </c>
      <c r="GD130" s="420">
        <f t="shared" si="146"/>
        <v>0</v>
      </c>
      <c r="GE130" s="419"/>
      <c r="GF130" s="419"/>
      <c r="GG130" s="419"/>
      <c r="GH130" s="420">
        <f t="shared" si="147"/>
        <v>0</v>
      </c>
      <c r="GI130" s="423">
        <f t="shared" si="148"/>
        <v>0</v>
      </c>
      <c r="GJ130" s="419"/>
      <c r="GK130" s="419"/>
      <c r="GL130" s="419"/>
      <c r="GM130" s="420">
        <f t="shared" si="149"/>
        <v>0</v>
      </c>
      <c r="GN130" s="420">
        <f t="shared" si="150"/>
        <v>0</v>
      </c>
      <c r="GO130" s="419"/>
      <c r="GP130" s="419"/>
      <c r="GQ130" s="419"/>
      <c r="GR130" s="420">
        <f t="shared" si="155"/>
        <v>0</v>
      </c>
      <c r="GS130" s="423">
        <f t="shared" si="151"/>
        <v>0</v>
      </c>
      <c r="GT130" s="419"/>
      <c r="GU130" s="419"/>
      <c r="GV130" s="419"/>
      <c r="GW130" s="420">
        <f t="shared" si="152"/>
        <v>0</v>
      </c>
      <c r="GX130" s="420">
        <f t="shared" si="153"/>
        <v>0</v>
      </c>
    </row>
    <row r="131" spans="1:206" ht="15">
      <c r="A131" s="414"/>
      <c r="B131" s="415" t="s">
        <v>222</v>
      </c>
      <c r="C131" s="698"/>
      <c r="D131" s="704" t="s">
        <v>549</v>
      </c>
      <c r="E131" s="434" t="s">
        <v>123</v>
      </c>
      <c r="F131" s="417">
        <v>0.13</v>
      </c>
      <c r="G131" s="418">
        <f t="shared" si="85"/>
        <v>26366804.68</v>
      </c>
      <c r="H131" s="418">
        <f t="shared" si="86"/>
        <v>23846961.219999999</v>
      </c>
      <c r="I131" s="418">
        <f t="shared" si="86"/>
        <v>3427684.5992999999</v>
      </c>
      <c r="J131" s="418">
        <f t="shared" si="87"/>
        <v>26366804.609999999</v>
      </c>
      <c r="K131" s="418">
        <f t="shared" si="171"/>
        <v>2519843.39</v>
      </c>
      <c r="L131" s="418">
        <f t="shared" si="172"/>
        <v>-7.0000004023313495E-2</v>
      </c>
      <c r="M131" s="424"/>
      <c r="N131" s="424"/>
      <c r="O131" s="424"/>
      <c r="P131" s="424"/>
      <c r="Q131" s="419"/>
      <c r="R131" s="419"/>
      <c r="S131" s="419"/>
      <c r="T131" s="420"/>
      <c r="U131" s="423"/>
      <c r="V131" s="420"/>
      <c r="W131" s="420"/>
      <c r="X131" s="419"/>
      <c r="Y131" s="419"/>
      <c r="Z131" s="423"/>
      <c r="AA131" s="423"/>
      <c r="AB131" s="419"/>
      <c r="AC131" s="423"/>
      <c r="AD131" s="420"/>
      <c r="AE131" s="423"/>
      <c r="AF131" s="444"/>
      <c r="AG131" s="419"/>
      <c r="AH131" s="420"/>
      <c r="AI131" s="420"/>
      <c r="AJ131" s="423"/>
      <c r="AK131" s="444"/>
      <c r="AL131" s="420"/>
      <c r="AM131" s="420"/>
      <c r="AN131" s="420"/>
      <c r="AO131" s="423"/>
      <c r="AP131" s="420"/>
      <c r="AQ131" s="419"/>
      <c r="AR131" s="420"/>
      <c r="AS131" s="420"/>
      <c r="AT131" s="420"/>
      <c r="AU131" s="420"/>
      <c r="AV131" s="420"/>
      <c r="AW131" s="420"/>
      <c r="AX131" s="426"/>
      <c r="AY131" s="420"/>
      <c r="AZ131" s="420"/>
      <c r="BA131" s="420"/>
      <c r="BB131" s="419"/>
      <c r="BC131" s="420"/>
      <c r="BD131" s="427"/>
      <c r="BE131" s="420"/>
      <c r="BF131" s="420"/>
      <c r="BG131" s="420"/>
      <c r="BH131" s="423"/>
      <c r="BI131" s="420"/>
      <c r="BJ131" s="420"/>
      <c r="BK131" s="420"/>
      <c r="BL131" s="420"/>
      <c r="BM131" s="420"/>
      <c r="BN131" s="420"/>
      <c r="BO131" s="419"/>
      <c r="BP131" s="428"/>
      <c r="BQ131" s="420"/>
      <c r="BR131" s="423"/>
      <c r="BS131" s="423"/>
      <c r="BT131" s="420"/>
      <c r="BU131" s="420"/>
      <c r="BV131" s="420"/>
      <c r="BW131" s="420"/>
      <c r="BX131" s="429"/>
      <c r="BY131" s="419"/>
      <c r="BZ131" s="419"/>
      <c r="CA131" s="419"/>
      <c r="CB131" s="420"/>
      <c r="CC131" s="430"/>
      <c r="CD131" s="419"/>
      <c r="CE131" s="419"/>
      <c r="CF131" s="419"/>
      <c r="CG131" s="420"/>
      <c r="CH131" s="423"/>
      <c r="CI131" s="432"/>
      <c r="CJ131" s="432"/>
      <c r="CK131" s="432"/>
      <c r="CL131" s="420"/>
      <c r="CM131" s="423"/>
      <c r="CN131" s="420"/>
      <c r="CO131" s="420"/>
      <c r="CP131" s="420"/>
      <c r="CQ131" s="432"/>
      <c r="CR131" s="432"/>
      <c r="CS131" s="420"/>
      <c r="CT131" s="420"/>
      <c r="CU131" s="420"/>
      <c r="CV131" s="420"/>
      <c r="CW131" s="420"/>
      <c r="CX131" s="419">
        <v>24039131.170000002</v>
      </c>
      <c r="CY131" s="419"/>
      <c r="CZ131" s="419">
        <v>3125087.05</v>
      </c>
      <c r="DA131" s="419">
        <f t="shared" si="115"/>
        <v>24039131.149999999</v>
      </c>
      <c r="DB131" s="419">
        <f t="shared" si="116"/>
        <v>-0.02</v>
      </c>
      <c r="DC131" s="419"/>
      <c r="DD131" s="419"/>
      <c r="DE131" s="419"/>
      <c r="DF131" s="420">
        <f t="shared" si="117"/>
        <v>0</v>
      </c>
      <c r="DG131" s="421">
        <f t="shared" si="118"/>
        <v>0</v>
      </c>
      <c r="DH131" s="419"/>
      <c r="DI131" s="419">
        <v>24039131.170000002</v>
      </c>
      <c r="DJ131" s="419"/>
      <c r="DK131" s="420">
        <f t="shared" si="119"/>
        <v>0</v>
      </c>
      <c r="DL131" s="422">
        <f t="shared" si="120"/>
        <v>0</v>
      </c>
      <c r="DM131" s="420"/>
      <c r="DN131" s="420"/>
      <c r="DO131" s="420"/>
      <c r="DP131" s="420">
        <f t="shared" si="121"/>
        <v>0</v>
      </c>
      <c r="DQ131" s="420">
        <f t="shared" si="122"/>
        <v>0</v>
      </c>
      <c r="DR131" s="419"/>
      <c r="DS131" s="419"/>
      <c r="DT131" s="419"/>
      <c r="DU131" s="420">
        <f t="shared" si="123"/>
        <v>0</v>
      </c>
      <c r="DV131" s="423">
        <f t="shared" si="124"/>
        <v>0</v>
      </c>
      <c r="DW131" s="419"/>
      <c r="DX131" s="419"/>
      <c r="DY131" s="419"/>
      <c r="DZ131" s="420">
        <f t="shared" si="125"/>
        <v>0</v>
      </c>
      <c r="EA131" s="423">
        <f t="shared" si="126"/>
        <v>0</v>
      </c>
      <c r="EB131" s="419">
        <v>615491.15</v>
      </c>
      <c r="EC131" s="419"/>
      <c r="ED131" s="420">
        <v>80013.849499999997</v>
      </c>
      <c r="EE131" s="419">
        <v>615491.15</v>
      </c>
      <c r="EF131" s="420">
        <f t="shared" si="127"/>
        <v>0</v>
      </c>
      <c r="EG131" s="419">
        <v>707653.05</v>
      </c>
      <c r="EI131" s="419">
        <v>91994.9</v>
      </c>
      <c r="EJ131" s="420">
        <f t="shared" si="128"/>
        <v>707653.08</v>
      </c>
      <c r="EK131" s="420">
        <f t="shared" si="129"/>
        <v>0.03</v>
      </c>
      <c r="EL131" s="419">
        <v>541155.39</v>
      </c>
      <c r="EM131" s="419">
        <v>-192169.95</v>
      </c>
      <c r="EN131" s="419">
        <v>70350.199800000002</v>
      </c>
      <c r="EO131" s="419">
        <f t="shared" si="130"/>
        <v>541155.38</v>
      </c>
      <c r="EP131" s="419">
        <f t="shared" si="131"/>
        <v>-0.01</v>
      </c>
      <c r="EQ131" s="419"/>
      <c r="ER131" s="419"/>
      <c r="ES131" s="419"/>
      <c r="ET131" s="419">
        <f t="shared" si="132"/>
        <v>0</v>
      </c>
      <c r="EU131" s="419">
        <f t="shared" si="133"/>
        <v>0</v>
      </c>
      <c r="EV131" s="419"/>
      <c r="EW131" s="419"/>
      <c r="EX131" s="419"/>
      <c r="EY131" s="419">
        <f t="shared" si="134"/>
        <v>0</v>
      </c>
      <c r="EZ131" s="419">
        <f t="shared" si="154"/>
        <v>0</v>
      </c>
      <c r="FA131" s="420"/>
      <c r="FB131" s="420"/>
      <c r="FC131" s="420"/>
      <c r="FD131" s="420">
        <f t="shared" si="135"/>
        <v>0</v>
      </c>
      <c r="FE131" s="420">
        <f t="shared" si="136"/>
        <v>0</v>
      </c>
      <c r="FF131" s="419"/>
      <c r="FG131" s="419"/>
      <c r="FH131" s="419"/>
      <c r="FI131" s="419">
        <f t="shared" si="137"/>
        <v>0</v>
      </c>
      <c r="FJ131" s="419">
        <f t="shared" si="138"/>
        <v>0</v>
      </c>
      <c r="FK131" s="419"/>
      <c r="FL131" s="419"/>
      <c r="FM131" s="419"/>
      <c r="FN131" s="420">
        <f t="shared" si="139"/>
        <v>0</v>
      </c>
      <c r="FO131" s="423">
        <f t="shared" si="140"/>
        <v>0</v>
      </c>
      <c r="FP131" s="431">
        <v>267271.09999999998</v>
      </c>
      <c r="FQ131" s="431">
        <v>0</v>
      </c>
      <c r="FR131" s="431">
        <v>34745.24</v>
      </c>
      <c r="FS131" s="420">
        <f t="shared" si="141"/>
        <v>267271.08</v>
      </c>
      <c r="FT131" s="420">
        <f t="shared" si="142"/>
        <v>-1.9999999960418801E-2</v>
      </c>
      <c r="FU131" s="419">
        <v>196102.82</v>
      </c>
      <c r="FV131" s="419"/>
      <c r="FW131" s="419">
        <v>25493.360000000001</v>
      </c>
      <c r="FX131" s="420">
        <f t="shared" si="143"/>
        <v>196102.77</v>
      </c>
      <c r="FY131" s="420">
        <f t="shared" si="144"/>
        <v>-5.0000000017462298E-2</v>
      </c>
      <c r="FZ131" s="419"/>
      <c r="GA131" s="419"/>
      <c r="GB131" s="419"/>
      <c r="GC131" s="420">
        <f t="shared" si="145"/>
        <v>0</v>
      </c>
      <c r="GD131" s="420">
        <f t="shared" si="146"/>
        <v>0</v>
      </c>
      <c r="GE131" s="419"/>
      <c r="GF131" s="419"/>
      <c r="GG131" s="419"/>
      <c r="GH131" s="420">
        <f t="shared" si="147"/>
        <v>0</v>
      </c>
      <c r="GI131" s="423">
        <f t="shared" si="148"/>
        <v>0</v>
      </c>
      <c r="GJ131" s="419"/>
      <c r="GK131" s="419"/>
      <c r="GL131" s="419"/>
      <c r="GM131" s="420">
        <f t="shared" si="149"/>
        <v>0</v>
      </c>
      <c r="GN131" s="420">
        <f t="shared" si="150"/>
        <v>0</v>
      </c>
      <c r="GO131" s="419"/>
      <c r="GP131" s="419"/>
      <c r="GQ131" s="419"/>
      <c r="GR131" s="420">
        <f t="shared" si="155"/>
        <v>0</v>
      </c>
      <c r="GS131" s="423">
        <f t="shared" si="151"/>
        <v>0</v>
      </c>
      <c r="GT131" s="419"/>
      <c r="GU131" s="419"/>
      <c r="GV131" s="419"/>
      <c r="GW131" s="420">
        <f t="shared" si="152"/>
        <v>0</v>
      </c>
      <c r="GX131" s="420">
        <f t="shared" si="153"/>
        <v>0</v>
      </c>
    </row>
    <row r="132" spans="1:206" ht="15">
      <c r="A132" s="414"/>
      <c r="B132" s="415" t="s">
        <v>222</v>
      </c>
      <c r="C132" s="698"/>
      <c r="D132" s="706"/>
      <c r="E132" s="434" t="s">
        <v>124</v>
      </c>
      <c r="F132" s="417">
        <v>0.09</v>
      </c>
      <c r="G132" s="418">
        <f t="shared" ref="G132:G195" si="173">SUM(M132,P132:Q132,V132,AA132,AF132,AK132,AP132,AU132,AZ132,BE132,BJ132,BO132,BT132,BY132,CD132,CI132,CN132,CS132,CX132,DC132,DH132,DM132,DR132,DW132,EB132,EG132,EL132,EQ132,EV132,FA132,FF132,FK132,FP132,FU132,FZ132,GE132,GJ132,GO132,GT132)</f>
        <v>32851886.629999999</v>
      </c>
      <c r="H132" s="418">
        <f t="shared" ref="H132:I195" si="174">SUM(N132,R132,W132,AB132,AG132,AL132,AQ132,AV132,BA132,BF132,BK132,BP132,BU132,BZ132,CE132,CJ132,CO132,CT132,CY132,DD132,DI132,DN132,DS132,DX132,EC132,EH132,EM132,ER132,EW132,FB132,FG132,FL132,FQ132,FV132,GA132,GF132,GK132,GP132,GU132)</f>
        <v>27668031.870000001</v>
      </c>
      <c r="I132" s="418">
        <f t="shared" si="174"/>
        <v>2956669.7941000001</v>
      </c>
      <c r="J132" s="418">
        <f t="shared" ref="J132:J195" si="175">I132/F132</f>
        <v>32851886.601111099</v>
      </c>
      <c r="K132" s="418">
        <f t="shared" si="171"/>
        <v>5183854.7311111204</v>
      </c>
      <c r="L132" s="418">
        <f t="shared" si="172"/>
        <v>-2.8888877481222201E-2</v>
      </c>
      <c r="M132" s="424"/>
      <c r="N132" s="424"/>
      <c r="O132" s="424"/>
      <c r="P132" s="424"/>
      <c r="Q132" s="419"/>
      <c r="R132" s="419"/>
      <c r="S132" s="419"/>
      <c r="T132" s="420"/>
      <c r="U132" s="423"/>
      <c r="V132" s="420"/>
      <c r="W132" s="420"/>
      <c r="X132" s="419"/>
      <c r="Y132" s="419"/>
      <c r="Z132" s="423"/>
      <c r="AA132" s="423"/>
      <c r="AB132" s="419"/>
      <c r="AC132" s="423"/>
      <c r="AD132" s="420"/>
      <c r="AE132" s="423"/>
      <c r="AF132" s="444"/>
      <c r="AG132" s="419"/>
      <c r="AH132" s="420"/>
      <c r="AI132" s="420"/>
      <c r="AJ132" s="423"/>
      <c r="AK132" s="444"/>
      <c r="AL132" s="420"/>
      <c r="AM132" s="420"/>
      <c r="AN132" s="420"/>
      <c r="AO132" s="423"/>
      <c r="AP132" s="420"/>
      <c r="AQ132" s="419"/>
      <c r="AR132" s="420"/>
      <c r="AS132" s="420"/>
      <c r="AT132" s="420"/>
      <c r="AU132" s="420"/>
      <c r="AV132" s="420"/>
      <c r="AW132" s="420"/>
      <c r="AX132" s="426"/>
      <c r="AY132" s="420"/>
      <c r="AZ132" s="420"/>
      <c r="BA132" s="420"/>
      <c r="BB132" s="419"/>
      <c r="BC132" s="420"/>
      <c r="BD132" s="427"/>
      <c r="BE132" s="420"/>
      <c r="BF132" s="420"/>
      <c r="BG132" s="420"/>
      <c r="BH132" s="423"/>
      <c r="BI132" s="420"/>
      <c r="BJ132" s="420"/>
      <c r="BK132" s="420"/>
      <c r="BL132" s="420"/>
      <c r="BM132" s="420"/>
      <c r="BN132" s="420"/>
      <c r="BO132" s="419"/>
      <c r="BP132" s="428"/>
      <c r="BQ132" s="420"/>
      <c r="BR132" s="423"/>
      <c r="BS132" s="423"/>
      <c r="BT132" s="420"/>
      <c r="BU132" s="420"/>
      <c r="BV132" s="420"/>
      <c r="BW132" s="420"/>
      <c r="BX132" s="429"/>
      <c r="BY132" s="419"/>
      <c r="BZ132" s="419"/>
      <c r="CA132" s="419"/>
      <c r="CB132" s="420"/>
      <c r="CC132" s="430"/>
      <c r="CD132" s="419"/>
      <c r="CE132" s="419"/>
      <c r="CF132" s="419"/>
      <c r="CG132" s="420"/>
      <c r="CH132" s="423"/>
      <c r="CI132" s="432"/>
      <c r="CJ132" s="432"/>
      <c r="CK132" s="432"/>
      <c r="CL132" s="420"/>
      <c r="CM132" s="423"/>
      <c r="CN132" s="420"/>
      <c r="CO132" s="420"/>
      <c r="CP132" s="420"/>
      <c r="CQ132" s="432"/>
      <c r="CR132" s="432"/>
      <c r="CS132" s="420"/>
      <c r="CT132" s="420"/>
      <c r="CU132" s="420"/>
      <c r="CV132" s="420"/>
      <c r="CW132" s="420"/>
      <c r="CX132" s="419">
        <f>12606883.99-1885713.04</f>
        <v>10721170.949999999</v>
      </c>
      <c r="CY132" s="419"/>
      <c r="CZ132" s="419">
        <f>1134619.56-169714.17</f>
        <v>964905.39</v>
      </c>
      <c r="DA132" s="419">
        <f t="shared" ref="DA132:DA163" si="176">ROUND(CZ132/F132,2)</f>
        <v>10721171</v>
      </c>
      <c r="DB132" s="419">
        <f t="shared" ref="DB132:DB163" si="177">ROUND(DA132-CX132,2)</f>
        <v>0.05</v>
      </c>
      <c r="DC132" s="419">
        <v>3643119.26</v>
      </c>
      <c r="DD132" s="419"/>
      <c r="DE132" s="419">
        <v>327880.73</v>
      </c>
      <c r="DF132" s="420">
        <f t="shared" ref="DF132:DF163" si="178">DE132/F132</f>
        <v>3643119.2222222202</v>
      </c>
      <c r="DG132" s="421">
        <f t="shared" ref="DG132:DG163" si="179">DC132-DF132</f>
        <v>3.7777777761220897E-2</v>
      </c>
      <c r="DH132" s="419">
        <v>11756476.119999999</v>
      </c>
      <c r="DI132" s="419">
        <v>26120766.329999998</v>
      </c>
      <c r="DJ132" s="419">
        <v>1058082.8500000001</v>
      </c>
      <c r="DK132" s="420">
        <f t="shared" ref="DK132:DK163" si="180">DJ132/F132</f>
        <v>11756476.111111101</v>
      </c>
      <c r="DL132" s="422">
        <f t="shared" ref="DL132:DL163" si="181">DK132-DH132</f>
        <v>-8.8888872414827295E-3</v>
      </c>
      <c r="DM132" s="420"/>
      <c r="DN132" s="420"/>
      <c r="DO132" s="420"/>
      <c r="DP132" s="420">
        <f t="shared" ref="DP132:DP172" si="182">DO132/F132</f>
        <v>0</v>
      </c>
      <c r="DQ132" s="420">
        <f t="shared" ref="DQ132:DQ172" si="183">DP132-DM132</f>
        <v>0</v>
      </c>
      <c r="DR132" s="419"/>
      <c r="DS132" s="419"/>
      <c r="DT132" s="419"/>
      <c r="DU132" s="420">
        <f t="shared" ref="DU132:DU172" si="184">DT132/F132</f>
        <v>0</v>
      </c>
      <c r="DV132" s="423">
        <f t="shared" ref="DV132:DV172" si="185">DU132-DR132</f>
        <v>0</v>
      </c>
      <c r="DW132" s="419"/>
      <c r="DX132" s="419"/>
      <c r="DY132" s="419"/>
      <c r="DZ132" s="420">
        <f t="shared" ref="DZ132:DZ172" si="186">ROUND(DY132/F132,2)</f>
        <v>0</v>
      </c>
      <c r="EA132" s="423">
        <f t="shared" ref="EA132:EA172" si="187">ROUND(DZ132-DW132,2)</f>
        <v>0</v>
      </c>
      <c r="EB132" s="420"/>
      <c r="EC132" s="419"/>
      <c r="ED132" s="420"/>
      <c r="EE132" s="419"/>
      <c r="EF132" s="420">
        <f t="shared" ref="EF132:EF175" si="188">EE132-EB132</f>
        <v>0</v>
      </c>
      <c r="EG132" s="419">
        <v>1060953.05</v>
      </c>
      <c r="EI132" s="419">
        <v>95485.77</v>
      </c>
      <c r="EJ132" s="420">
        <f t="shared" ref="EJ132:EJ175" si="189">ROUND(EI132/F132,2)</f>
        <v>1060953</v>
      </c>
      <c r="EK132" s="420">
        <f t="shared" ref="EK132:EK175" si="190">ROUND(EJ132-EG132,2)</f>
        <v>-0.05</v>
      </c>
      <c r="EL132" s="420">
        <v>486312.49</v>
      </c>
      <c r="EM132" s="419"/>
      <c r="EN132" s="419">
        <v>43768.124100000001</v>
      </c>
      <c r="EO132" s="419">
        <f t="shared" ref="EO132:EO266" si="191">ROUND(EN132/F132,2)</f>
        <v>486312.49</v>
      </c>
      <c r="EP132" s="419">
        <f t="shared" ref="EP132:EP266" si="192">ROUND(EO132-EL132,2)</f>
        <v>0</v>
      </c>
      <c r="EQ132" s="420"/>
      <c r="ER132" s="419">
        <v>1547265.54</v>
      </c>
      <c r="ES132" s="419"/>
      <c r="ET132" s="419">
        <f t="shared" ref="ET132:ET266" si="193">ROUND(ES132/F132,2)</f>
        <v>0</v>
      </c>
      <c r="EU132" s="419">
        <f t="shared" ref="EU132:EU266" si="194">ROUND(ET132-EQ132,2)</f>
        <v>0</v>
      </c>
      <c r="EV132" s="419"/>
      <c r="EW132" s="419"/>
      <c r="EX132" s="419"/>
      <c r="EY132" s="419">
        <f t="shared" ref="EY132:EY195" si="195">ROUND(EX132/F132,2)</f>
        <v>0</v>
      </c>
      <c r="EZ132" s="419">
        <f t="shared" si="154"/>
        <v>0</v>
      </c>
      <c r="FA132" s="420"/>
      <c r="FB132" s="420"/>
      <c r="FC132" s="420"/>
      <c r="FD132" s="420">
        <f t="shared" ref="FD132:FD195" si="196">ROUND(FC132/F132,2)</f>
        <v>0</v>
      </c>
      <c r="FE132" s="420">
        <f t="shared" ref="FE132:FE195" si="197">ROUND(FD132-FA132,2)</f>
        <v>0</v>
      </c>
      <c r="FF132" s="419"/>
      <c r="FG132" s="419"/>
      <c r="FH132" s="419"/>
      <c r="FI132" s="419">
        <f t="shared" ref="FI132:FI195" si="198">FH132/F132</f>
        <v>0</v>
      </c>
      <c r="FJ132" s="419">
        <f t="shared" ref="FJ132:FJ195" si="199">ROUND(FI132-FF132,2)</f>
        <v>0</v>
      </c>
      <c r="FK132" s="419">
        <v>5183854.76</v>
      </c>
      <c r="FL132" s="419"/>
      <c r="FM132" s="419">
        <v>466546.93</v>
      </c>
      <c r="FN132" s="420">
        <f t="shared" ref="FN132:FN195" si="200">ROUND(FM132/F132,2)</f>
        <v>5183854.78</v>
      </c>
      <c r="FO132" s="423">
        <f t="shared" ref="FO132:FO195" si="201">ROUND(FN132-FK132,2)</f>
        <v>0.02</v>
      </c>
      <c r="FP132" s="419"/>
      <c r="FQ132" s="419"/>
      <c r="FR132" s="419"/>
      <c r="FS132" s="420">
        <f t="shared" ref="FS132:FS195" si="202">ROUND(FR132/F132,2)</f>
        <v>0</v>
      </c>
      <c r="FT132" s="420">
        <f t="shared" ref="FT132:FT195" si="203">FS132-FP132</f>
        <v>0</v>
      </c>
      <c r="FU132" s="419"/>
      <c r="FV132" s="419"/>
      <c r="FW132" s="419"/>
      <c r="FX132" s="420">
        <f t="shared" ref="FX132:FX195" si="204">ROUND(FW132/F132,2)</f>
        <v>0</v>
      </c>
      <c r="FY132" s="420">
        <f t="shared" ref="FY132:FY195" si="205">FX132-FU132</f>
        <v>0</v>
      </c>
      <c r="FZ132" s="419"/>
      <c r="GA132" s="419"/>
      <c r="GB132" s="419"/>
      <c r="GC132" s="420">
        <f t="shared" ref="GC132:GC195" si="206">ROUND(GB132/F132,2)</f>
        <v>0</v>
      </c>
      <c r="GD132" s="420">
        <f t="shared" ref="GD132:GD195" si="207">GC132-FZ132</f>
        <v>0</v>
      </c>
      <c r="GE132" s="419"/>
      <c r="GF132" s="419"/>
      <c r="GG132" s="419"/>
      <c r="GH132" s="420">
        <f t="shared" ref="GH132:GH195" si="208">GG132/F132</f>
        <v>0</v>
      </c>
      <c r="GI132" s="423">
        <f t="shared" ref="GI132:GI195" si="209">GH132-GE132</f>
        <v>0</v>
      </c>
      <c r="GJ132" s="419"/>
      <c r="GK132" s="419"/>
      <c r="GL132" s="419"/>
      <c r="GM132" s="420">
        <f t="shared" ref="GM132:GM195" si="210">GL132/F132</f>
        <v>0</v>
      </c>
      <c r="GN132" s="420">
        <f t="shared" ref="GN132:GN195" si="211">GM132-GJ132</f>
        <v>0</v>
      </c>
      <c r="GO132" s="419"/>
      <c r="GP132" s="419"/>
      <c r="GQ132" s="419"/>
      <c r="GR132" s="420">
        <f t="shared" si="155"/>
        <v>0</v>
      </c>
      <c r="GS132" s="423">
        <f t="shared" ref="GS132:GS195" si="212">GR132-GO132</f>
        <v>0</v>
      </c>
      <c r="GT132" s="419"/>
      <c r="GU132" s="419"/>
      <c r="GV132" s="419"/>
      <c r="GW132" s="420">
        <f t="shared" ref="GW132:GW195" si="213">ROUND(GV132/F132,2)</f>
        <v>0</v>
      </c>
      <c r="GX132" s="420">
        <f t="shared" ref="GX132:GX195" si="214">GW132-GT132</f>
        <v>0</v>
      </c>
    </row>
    <row r="133" spans="1:206" ht="15">
      <c r="A133" s="414"/>
      <c r="B133" s="415" t="s">
        <v>222</v>
      </c>
      <c r="C133" s="698"/>
      <c r="D133" s="707"/>
      <c r="E133" s="434" t="s">
        <v>125</v>
      </c>
      <c r="F133" s="417">
        <v>0.06</v>
      </c>
      <c r="G133" s="418">
        <f t="shared" si="173"/>
        <v>3098031.71</v>
      </c>
      <c r="H133" s="418">
        <f t="shared" si="174"/>
        <v>2693448.37</v>
      </c>
      <c r="I133" s="418">
        <f t="shared" si="174"/>
        <v>185881.93</v>
      </c>
      <c r="J133" s="418">
        <f t="shared" si="175"/>
        <v>3098032.1666666698</v>
      </c>
      <c r="K133" s="418">
        <f t="shared" si="171"/>
        <v>404583.79666666698</v>
      </c>
      <c r="L133" s="418">
        <f t="shared" si="172"/>
        <v>0.45666666748002199</v>
      </c>
      <c r="M133" s="424"/>
      <c r="N133" s="424"/>
      <c r="O133" s="424"/>
      <c r="P133" s="424"/>
      <c r="Q133" s="419"/>
      <c r="R133" s="419"/>
      <c r="S133" s="419"/>
      <c r="T133" s="420"/>
      <c r="U133" s="423"/>
      <c r="V133" s="420"/>
      <c r="W133" s="420"/>
      <c r="X133" s="419"/>
      <c r="Y133" s="419"/>
      <c r="Z133" s="423"/>
      <c r="AA133" s="423"/>
      <c r="AB133" s="419"/>
      <c r="AC133" s="423"/>
      <c r="AD133" s="420"/>
      <c r="AE133" s="423"/>
      <c r="AF133" s="444"/>
      <c r="AG133" s="419"/>
      <c r="AH133" s="420"/>
      <c r="AI133" s="420"/>
      <c r="AJ133" s="423"/>
      <c r="AK133" s="444"/>
      <c r="AL133" s="420"/>
      <c r="AM133" s="420"/>
      <c r="AN133" s="420"/>
      <c r="AO133" s="423"/>
      <c r="AP133" s="420"/>
      <c r="AQ133" s="419"/>
      <c r="AR133" s="420"/>
      <c r="AS133" s="420"/>
      <c r="AT133" s="420"/>
      <c r="AU133" s="420"/>
      <c r="AV133" s="420"/>
      <c r="AW133" s="420"/>
      <c r="AX133" s="426"/>
      <c r="AY133" s="420"/>
      <c r="AZ133" s="420"/>
      <c r="BA133" s="420"/>
      <c r="BB133" s="419"/>
      <c r="BC133" s="420"/>
      <c r="BD133" s="427"/>
      <c r="BE133" s="420"/>
      <c r="BF133" s="420"/>
      <c r="BG133" s="420"/>
      <c r="BH133" s="423"/>
      <c r="BI133" s="420"/>
      <c r="BJ133" s="420"/>
      <c r="BK133" s="420"/>
      <c r="BL133" s="420"/>
      <c r="BM133" s="420"/>
      <c r="BN133" s="420"/>
      <c r="BO133" s="419"/>
      <c r="BP133" s="428"/>
      <c r="BQ133" s="420"/>
      <c r="BR133" s="423"/>
      <c r="BS133" s="423"/>
      <c r="BT133" s="420"/>
      <c r="BU133" s="420"/>
      <c r="BV133" s="420"/>
      <c r="BW133" s="420"/>
      <c r="BX133" s="429"/>
      <c r="BY133" s="419"/>
      <c r="BZ133" s="419"/>
      <c r="CA133" s="419"/>
      <c r="CB133" s="420"/>
      <c r="CC133" s="430"/>
      <c r="CD133" s="419"/>
      <c r="CE133" s="419"/>
      <c r="CF133" s="419"/>
      <c r="CG133" s="420"/>
      <c r="CH133" s="423"/>
      <c r="CI133" s="432"/>
      <c r="CJ133" s="432"/>
      <c r="CK133" s="432"/>
      <c r="CL133" s="420"/>
      <c r="CM133" s="423"/>
      <c r="CN133" s="420"/>
      <c r="CO133" s="420"/>
      <c r="CP133" s="420"/>
      <c r="CQ133" s="432"/>
      <c r="CR133" s="432"/>
      <c r="CS133" s="420"/>
      <c r="CT133" s="420"/>
      <c r="CU133" s="420"/>
      <c r="CV133" s="420"/>
      <c r="CW133" s="420"/>
      <c r="CX133" s="419">
        <v>1266123.9099999999</v>
      </c>
      <c r="CY133" s="419"/>
      <c r="CZ133" s="419">
        <v>75967.44</v>
      </c>
      <c r="DA133" s="419">
        <f t="shared" si="176"/>
        <v>1266124</v>
      </c>
      <c r="DB133" s="419">
        <f t="shared" si="177"/>
        <v>0.09</v>
      </c>
      <c r="DC133" s="419">
        <v>238663.2</v>
      </c>
      <c r="DD133" s="419"/>
      <c r="DE133" s="419">
        <v>14319.79</v>
      </c>
      <c r="DF133" s="420">
        <f t="shared" si="178"/>
        <v>238663.16666666701</v>
      </c>
      <c r="DG133" s="421">
        <f t="shared" si="179"/>
        <v>3.3333333325572298E-2</v>
      </c>
      <c r="DH133" s="419">
        <v>655730.51</v>
      </c>
      <c r="DI133" s="419">
        <v>2160517.62</v>
      </c>
      <c r="DJ133" s="419">
        <v>39343.83</v>
      </c>
      <c r="DK133" s="420">
        <f t="shared" si="180"/>
        <v>655730.5</v>
      </c>
      <c r="DL133" s="422">
        <f t="shared" si="181"/>
        <v>-1.00000000093132E-2</v>
      </c>
      <c r="DM133" s="420">
        <v>246981.5</v>
      </c>
      <c r="DN133" s="420"/>
      <c r="DO133" s="420">
        <v>14818.89</v>
      </c>
      <c r="DP133" s="420">
        <f t="shared" si="182"/>
        <v>246981.5</v>
      </c>
      <c r="DQ133" s="420">
        <f t="shared" si="183"/>
        <v>0</v>
      </c>
      <c r="DR133" s="419"/>
      <c r="DS133" s="419"/>
      <c r="DT133" s="419"/>
      <c r="DU133" s="420">
        <f t="shared" si="184"/>
        <v>0</v>
      </c>
      <c r="DV133" s="423">
        <f t="shared" si="185"/>
        <v>0</v>
      </c>
      <c r="DW133" s="419">
        <v>243147.09</v>
      </c>
      <c r="DX133" s="419"/>
      <c r="DY133" s="419">
        <v>14588.83</v>
      </c>
      <c r="DZ133" s="420">
        <f t="shared" si="186"/>
        <v>243147.17</v>
      </c>
      <c r="EA133" s="423">
        <f t="shared" si="187"/>
        <v>0.08</v>
      </c>
      <c r="EB133" s="419"/>
      <c r="EC133" s="419"/>
      <c r="ED133" s="420"/>
      <c r="EE133" s="419"/>
      <c r="EF133" s="420">
        <f t="shared" si="188"/>
        <v>0</v>
      </c>
      <c r="EG133" s="419"/>
      <c r="EH133" s="419"/>
      <c r="EI133" s="419"/>
      <c r="EJ133" s="420">
        <f t="shared" si="189"/>
        <v>0</v>
      </c>
      <c r="EK133" s="420">
        <f t="shared" si="190"/>
        <v>0</v>
      </c>
      <c r="EL133" s="419">
        <v>42802.16</v>
      </c>
      <c r="EN133" s="419">
        <v>2568.13</v>
      </c>
      <c r="EO133" s="419">
        <f t="shared" si="191"/>
        <v>42802.17</v>
      </c>
      <c r="EP133" s="419">
        <f t="shared" si="192"/>
        <v>0.01</v>
      </c>
      <c r="EQ133" s="419">
        <v>1517.32</v>
      </c>
      <c r="ER133" s="419">
        <v>532930.75</v>
      </c>
      <c r="ES133" s="419">
        <v>91.04</v>
      </c>
      <c r="ET133" s="419">
        <f t="shared" si="193"/>
        <v>1517.33</v>
      </c>
      <c r="EU133" s="419">
        <f t="shared" si="194"/>
        <v>0.01</v>
      </c>
      <c r="EV133" s="419">
        <v>200825.60000000001</v>
      </c>
      <c r="EW133" s="419"/>
      <c r="EX133" s="419">
        <v>12049.54</v>
      </c>
      <c r="EY133" s="419">
        <f t="shared" si="195"/>
        <v>200825.67</v>
      </c>
      <c r="EZ133" s="419">
        <f t="shared" ref="EZ133:EZ196" si="215">ROUND(EY133-EV133,2)</f>
        <v>7.0000000000000007E-2</v>
      </c>
      <c r="FA133" s="420">
        <v>11874.11</v>
      </c>
      <c r="FB133" s="420"/>
      <c r="FC133" s="420">
        <v>712.45</v>
      </c>
      <c r="FD133" s="420">
        <f t="shared" si="196"/>
        <v>11874.17</v>
      </c>
      <c r="FE133" s="420">
        <f t="shared" si="197"/>
        <v>0.06</v>
      </c>
      <c r="FF133" s="419">
        <v>75904.7</v>
      </c>
      <c r="FG133" s="419"/>
      <c r="FH133" s="419">
        <v>4554.29</v>
      </c>
      <c r="FI133" s="419">
        <f t="shared" si="198"/>
        <v>75904.833333333299</v>
      </c>
      <c r="FJ133" s="419">
        <f t="shared" si="199"/>
        <v>0.13</v>
      </c>
      <c r="FK133" s="419">
        <v>47525.84</v>
      </c>
      <c r="FL133" s="419"/>
      <c r="FM133" s="419">
        <v>2851.55</v>
      </c>
      <c r="FN133" s="420">
        <f t="shared" si="200"/>
        <v>47525.83</v>
      </c>
      <c r="FO133" s="423">
        <f t="shared" si="201"/>
        <v>-0.01</v>
      </c>
      <c r="FP133" s="431">
        <v>12675.77</v>
      </c>
      <c r="FQ133" s="431">
        <v>0</v>
      </c>
      <c r="FR133" s="431">
        <v>760.55</v>
      </c>
      <c r="FS133" s="420">
        <f t="shared" si="202"/>
        <v>12675.83</v>
      </c>
      <c r="FT133" s="420">
        <f t="shared" si="203"/>
        <v>5.9999999999490697E-2</v>
      </c>
      <c r="FU133" s="419">
        <v>13568.95</v>
      </c>
      <c r="FV133" s="419"/>
      <c r="FW133" s="419">
        <v>814.14</v>
      </c>
      <c r="FX133" s="420">
        <f t="shared" si="204"/>
        <v>13569</v>
      </c>
      <c r="FY133" s="420">
        <f t="shared" si="205"/>
        <v>4.9999999999272397E-2</v>
      </c>
      <c r="FZ133" s="419">
        <v>10376.19</v>
      </c>
      <c r="GA133" s="419"/>
      <c r="GB133" s="419">
        <v>622.57000000000005</v>
      </c>
      <c r="GC133" s="420">
        <f t="shared" si="206"/>
        <v>10376.17</v>
      </c>
      <c r="GD133" s="420">
        <f t="shared" si="207"/>
        <v>-2.0000000000436599E-2</v>
      </c>
      <c r="GE133" s="419">
        <v>30314.86</v>
      </c>
      <c r="GF133" s="419"/>
      <c r="GG133" s="419">
        <v>1818.89</v>
      </c>
      <c r="GH133" s="420">
        <f t="shared" si="208"/>
        <v>30314.833333333299</v>
      </c>
      <c r="GI133" s="423">
        <f t="shared" si="209"/>
        <v>-2.66666666648234E-2</v>
      </c>
      <c r="GJ133" s="419"/>
      <c r="GK133" s="419"/>
      <c r="GL133" s="419"/>
      <c r="GM133" s="420">
        <f t="shared" si="210"/>
        <v>0</v>
      </c>
      <c r="GN133" s="420">
        <f t="shared" si="211"/>
        <v>0</v>
      </c>
      <c r="GO133" s="419"/>
      <c r="GP133" s="419"/>
      <c r="GQ133" s="419"/>
      <c r="GR133" s="420">
        <f t="shared" ref="GR133:GR196" si="216">GQ133/F133</f>
        <v>0</v>
      </c>
      <c r="GS133" s="423">
        <f t="shared" si="212"/>
        <v>0</v>
      </c>
      <c r="GT133" s="419"/>
      <c r="GU133" s="419"/>
      <c r="GV133" s="419"/>
      <c r="GW133" s="420">
        <f t="shared" si="213"/>
        <v>0</v>
      </c>
      <c r="GX133" s="420">
        <f t="shared" si="214"/>
        <v>0</v>
      </c>
    </row>
    <row r="134" spans="1:206" ht="15">
      <c r="A134" s="414"/>
      <c r="B134" s="415" t="s">
        <v>222</v>
      </c>
      <c r="C134" s="698"/>
      <c r="D134" s="704" t="s">
        <v>253</v>
      </c>
      <c r="E134" s="434" t="s">
        <v>123</v>
      </c>
      <c r="F134" s="417">
        <v>0.13</v>
      </c>
      <c r="G134" s="418">
        <f t="shared" si="173"/>
        <v>2198094.2999999998</v>
      </c>
      <c r="H134" s="418">
        <f t="shared" si="174"/>
        <v>2198094.2999999998</v>
      </c>
      <c r="I134" s="418">
        <f t="shared" si="174"/>
        <v>285752.26</v>
      </c>
      <c r="J134" s="418">
        <f t="shared" si="175"/>
        <v>2198094.3076923098</v>
      </c>
      <c r="K134" s="418">
        <f t="shared" si="171"/>
        <v>7.6923076994717104E-3</v>
      </c>
      <c r="L134" s="418">
        <f t="shared" si="172"/>
        <v>7.6923076994717104E-3</v>
      </c>
      <c r="M134" s="424"/>
      <c r="N134" s="424"/>
      <c r="O134" s="424"/>
      <c r="P134" s="424"/>
      <c r="Q134" s="419"/>
      <c r="R134" s="419"/>
      <c r="S134" s="419"/>
      <c r="T134" s="420"/>
      <c r="U134" s="423"/>
      <c r="V134" s="420"/>
      <c r="W134" s="420"/>
      <c r="X134" s="419"/>
      <c r="Y134" s="419"/>
      <c r="Z134" s="423"/>
      <c r="AA134" s="423"/>
      <c r="AB134" s="419"/>
      <c r="AC134" s="423"/>
      <c r="AD134" s="420"/>
      <c r="AE134" s="423"/>
      <c r="AF134" s="444"/>
      <c r="AG134" s="419"/>
      <c r="AH134" s="420"/>
      <c r="AI134" s="420"/>
      <c r="AJ134" s="423"/>
      <c r="AK134" s="444"/>
      <c r="AL134" s="420"/>
      <c r="AM134" s="420"/>
      <c r="AN134" s="420"/>
      <c r="AO134" s="423"/>
      <c r="AP134" s="420"/>
      <c r="AQ134" s="419"/>
      <c r="AR134" s="420"/>
      <c r="AS134" s="420"/>
      <c r="AT134" s="420"/>
      <c r="AU134" s="420"/>
      <c r="AV134" s="420"/>
      <c r="AW134" s="420"/>
      <c r="AX134" s="426"/>
      <c r="AY134" s="420"/>
      <c r="AZ134" s="420"/>
      <c r="BA134" s="420"/>
      <c r="BB134" s="419"/>
      <c r="BC134" s="420"/>
      <c r="BD134" s="427"/>
      <c r="BE134" s="420"/>
      <c r="BF134" s="420"/>
      <c r="BG134" s="420"/>
      <c r="BH134" s="423"/>
      <c r="BI134" s="420"/>
      <c r="BJ134" s="420"/>
      <c r="BK134" s="420"/>
      <c r="BL134" s="420"/>
      <c r="BM134" s="420"/>
      <c r="BN134" s="420"/>
      <c r="BO134" s="419"/>
      <c r="BP134" s="428"/>
      <c r="BQ134" s="420"/>
      <c r="BR134" s="423"/>
      <c r="BS134" s="423"/>
      <c r="BT134" s="420"/>
      <c r="BU134" s="420"/>
      <c r="BV134" s="420"/>
      <c r="BW134" s="420"/>
      <c r="BX134" s="429"/>
      <c r="BY134" s="419"/>
      <c r="BZ134" s="419"/>
      <c r="CA134" s="419"/>
      <c r="CB134" s="420"/>
      <c r="CC134" s="430"/>
      <c r="CD134" s="419"/>
      <c r="CE134" s="419"/>
      <c r="CF134" s="419"/>
      <c r="CG134" s="420"/>
      <c r="CH134" s="423"/>
      <c r="CI134" s="432"/>
      <c r="CJ134" s="432"/>
      <c r="CK134" s="432"/>
      <c r="CL134" s="420"/>
      <c r="CM134" s="423"/>
      <c r="CN134" s="420"/>
      <c r="CO134" s="420"/>
      <c r="CP134" s="420"/>
      <c r="CQ134" s="432"/>
      <c r="CR134" s="432"/>
      <c r="CS134" s="420"/>
      <c r="CT134" s="420"/>
      <c r="CU134" s="420"/>
      <c r="CV134" s="420"/>
      <c r="CW134" s="420"/>
      <c r="CX134" s="419">
        <v>829303.13</v>
      </c>
      <c r="CY134" s="419"/>
      <c r="CZ134" s="419">
        <v>107809.41</v>
      </c>
      <c r="DA134" s="419">
        <f t="shared" si="176"/>
        <v>829303.15</v>
      </c>
      <c r="DB134" s="419">
        <f t="shared" si="177"/>
        <v>0.02</v>
      </c>
      <c r="DC134" s="419">
        <v>92940.26</v>
      </c>
      <c r="DD134" s="419"/>
      <c r="DE134" s="419">
        <v>12082.23</v>
      </c>
      <c r="DF134" s="420">
        <f t="shared" si="178"/>
        <v>92940.230769230795</v>
      </c>
      <c r="DG134" s="421">
        <f t="shared" si="179"/>
        <v>2.92307692288887E-2</v>
      </c>
      <c r="DH134" s="419">
        <v>1275850.9099999999</v>
      </c>
      <c r="DI134" s="419">
        <v>2198094.2999999998</v>
      </c>
      <c r="DJ134" s="419">
        <v>165860.62</v>
      </c>
      <c r="DK134" s="420">
        <f t="shared" si="180"/>
        <v>1275850.92307692</v>
      </c>
      <c r="DL134" s="422">
        <f t="shared" si="181"/>
        <v>1.30769230891019E-2</v>
      </c>
      <c r="DM134" s="420"/>
      <c r="DN134" s="420"/>
      <c r="DO134" s="420"/>
      <c r="DP134" s="420">
        <f t="shared" si="182"/>
        <v>0</v>
      </c>
      <c r="DQ134" s="420">
        <f t="shared" si="183"/>
        <v>0</v>
      </c>
      <c r="DR134" s="419"/>
      <c r="DS134" s="419"/>
      <c r="DT134" s="419"/>
      <c r="DU134" s="420">
        <f t="shared" si="184"/>
        <v>0</v>
      </c>
      <c r="DV134" s="423">
        <f t="shared" si="185"/>
        <v>0</v>
      </c>
      <c r="DW134" s="419"/>
      <c r="DX134" s="419"/>
      <c r="DY134" s="419"/>
      <c r="DZ134" s="420">
        <f t="shared" si="186"/>
        <v>0</v>
      </c>
      <c r="EA134" s="423">
        <f t="shared" si="187"/>
        <v>0</v>
      </c>
      <c r="EB134" s="419"/>
      <c r="EC134" s="419"/>
      <c r="ED134" s="420"/>
      <c r="EE134" s="419"/>
      <c r="EF134" s="420">
        <f t="shared" si="188"/>
        <v>0</v>
      </c>
      <c r="EG134" s="419"/>
      <c r="EH134" s="419"/>
      <c r="EI134" s="419"/>
      <c r="EJ134" s="420">
        <f t="shared" si="189"/>
        <v>0</v>
      </c>
      <c r="EK134" s="420">
        <f t="shared" si="190"/>
        <v>0</v>
      </c>
      <c r="EL134" s="419"/>
      <c r="EM134" s="419"/>
      <c r="EN134" s="419"/>
      <c r="EO134" s="419">
        <f t="shared" si="191"/>
        <v>0</v>
      </c>
      <c r="EP134" s="419">
        <f t="shared" si="192"/>
        <v>0</v>
      </c>
      <c r="EQ134" s="419"/>
      <c r="ER134" s="419"/>
      <c r="ES134" s="419"/>
      <c r="ET134" s="419">
        <f t="shared" si="193"/>
        <v>0</v>
      </c>
      <c r="EU134" s="419">
        <f t="shared" si="194"/>
        <v>0</v>
      </c>
      <c r="EV134" s="419"/>
      <c r="EW134" s="419"/>
      <c r="EX134" s="419"/>
      <c r="EY134" s="419">
        <f t="shared" si="195"/>
        <v>0</v>
      </c>
      <c r="EZ134" s="419">
        <f t="shared" si="215"/>
        <v>0</v>
      </c>
      <c r="FA134" s="420"/>
      <c r="FB134" s="420"/>
      <c r="FC134" s="420"/>
      <c r="FD134" s="420">
        <f t="shared" si="196"/>
        <v>0</v>
      </c>
      <c r="FE134" s="420">
        <f t="shared" si="197"/>
        <v>0</v>
      </c>
      <c r="FF134" s="419"/>
      <c r="FG134" s="419"/>
      <c r="FH134" s="419"/>
      <c r="FI134" s="419">
        <f t="shared" si="198"/>
        <v>0</v>
      </c>
      <c r="FJ134" s="419">
        <f t="shared" si="199"/>
        <v>0</v>
      </c>
      <c r="FK134" s="419"/>
      <c r="FL134" s="419"/>
      <c r="FM134" s="419"/>
      <c r="FN134" s="420">
        <f t="shared" si="200"/>
        <v>0</v>
      </c>
      <c r="FO134" s="423">
        <f t="shared" si="201"/>
        <v>0</v>
      </c>
      <c r="FP134" s="419"/>
      <c r="FQ134" s="419"/>
      <c r="FR134" s="419"/>
      <c r="FS134" s="420">
        <f t="shared" si="202"/>
        <v>0</v>
      </c>
      <c r="FT134" s="420">
        <f t="shared" si="203"/>
        <v>0</v>
      </c>
      <c r="FU134" s="419"/>
      <c r="FV134" s="419"/>
      <c r="FW134" s="419"/>
      <c r="FX134" s="420">
        <f t="shared" si="204"/>
        <v>0</v>
      </c>
      <c r="FY134" s="420">
        <f t="shared" si="205"/>
        <v>0</v>
      </c>
      <c r="FZ134" s="419"/>
      <c r="GA134" s="419"/>
      <c r="GB134" s="419"/>
      <c r="GC134" s="420">
        <f t="shared" si="206"/>
        <v>0</v>
      </c>
      <c r="GD134" s="420">
        <f t="shared" si="207"/>
        <v>0</v>
      </c>
      <c r="GE134" s="419"/>
      <c r="GF134" s="419"/>
      <c r="GG134" s="419"/>
      <c r="GH134" s="420">
        <f t="shared" si="208"/>
        <v>0</v>
      </c>
      <c r="GI134" s="423">
        <f t="shared" si="209"/>
        <v>0</v>
      </c>
      <c r="GJ134" s="419"/>
      <c r="GK134" s="419"/>
      <c r="GL134" s="419"/>
      <c r="GM134" s="420">
        <f t="shared" si="210"/>
        <v>0</v>
      </c>
      <c r="GN134" s="420">
        <f t="shared" si="211"/>
        <v>0</v>
      </c>
      <c r="GO134" s="419"/>
      <c r="GP134" s="419"/>
      <c r="GQ134" s="419"/>
      <c r="GR134" s="420">
        <f t="shared" si="216"/>
        <v>0</v>
      </c>
      <c r="GS134" s="423">
        <f t="shared" si="212"/>
        <v>0</v>
      </c>
      <c r="GT134" s="419"/>
      <c r="GU134" s="419"/>
      <c r="GV134" s="419"/>
      <c r="GW134" s="420">
        <f t="shared" si="213"/>
        <v>0</v>
      </c>
      <c r="GX134" s="420">
        <f t="shared" si="214"/>
        <v>0</v>
      </c>
    </row>
    <row r="135" spans="1:206" ht="15">
      <c r="A135" s="414"/>
      <c r="B135" s="415" t="s">
        <v>222</v>
      </c>
      <c r="C135" s="698"/>
      <c r="D135" s="706"/>
      <c r="E135" s="434" t="s">
        <v>124</v>
      </c>
      <c r="F135" s="417">
        <v>0.09</v>
      </c>
      <c r="G135" s="418">
        <f t="shared" si="173"/>
        <v>417984.04</v>
      </c>
      <c r="H135" s="418">
        <f t="shared" si="174"/>
        <v>396801.34</v>
      </c>
      <c r="I135" s="418">
        <f t="shared" si="174"/>
        <v>37618.559999999998</v>
      </c>
      <c r="J135" s="418">
        <f t="shared" si="175"/>
        <v>417984</v>
      </c>
      <c r="K135" s="418">
        <f t="shared" si="171"/>
        <v>21182.66</v>
      </c>
      <c r="L135" s="418">
        <f t="shared" si="172"/>
        <v>-3.99999999790452E-2</v>
      </c>
      <c r="M135" s="424"/>
      <c r="N135" s="424"/>
      <c r="O135" s="424"/>
      <c r="P135" s="424"/>
      <c r="Q135" s="419"/>
      <c r="R135" s="419"/>
      <c r="S135" s="419"/>
      <c r="T135" s="420"/>
      <c r="U135" s="423"/>
      <c r="V135" s="420"/>
      <c r="W135" s="420"/>
      <c r="X135" s="419"/>
      <c r="Y135" s="419"/>
      <c r="Z135" s="423"/>
      <c r="AA135" s="423"/>
      <c r="AB135" s="419"/>
      <c r="AC135" s="423"/>
      <c r="AD135" s="420"/>
      <c r="AE135" s="423"/>
      <c r="AF135" s="444"/>
      <c r="AG135" s="419"/>
      <c r="AH135" s="420"/>
      <c r="AI135" s="420"/>
      <c r="AJ135" s="423"/>
      <c r="AK135" s="444"/>
      <c r="AL135" s="420"/>
      <c r="AM135" s="420"/>
      <c r="AN135" s="420"/>
      <c r="AO135" s="423"/>
      <c r="AP135" s="420"/>
      <c r="AQ135" s="419"/>
      <c r="AR135" s="420"/>
      <c r="AS135" s="420"/>
      <c r="AT135" s="420"/>
      <c r="AU135" s="420"/>
      <c r="AV135" s="420"/>
      <c r="AW135" s="420"/>
      <c r="AX135" s="426"/>
      <c r="AY135" s="420"/>
      <c r="AZ135" s="420"/>
      <c r="BA135" s="420"/>
      <c r="BB135" s="419"/>
      <c r="BC135" s="420"/>
      <c r="BD135" s="427"/>
      <c r="BE135" s="420"/>
      <c r="BF135" s="420"/>
      <c r="BG135" s="420"/>
      <c r="BH135" s="423"/>
      <c r="BI135" s="420"/>
      <c r="BJ135" s="420"/>
      <c r="BK135" s="420"/>
      <c r="BL135" s="420"/>
      <c r="BM135" s="420"/>
      <c r="BN135" s="420"/>
      <c r="BO135" s="419"/>
      <c r="BP135" s="428"/>
      <c r="BQ135" s="420"/>
      <c r="BR135" s="423"/>
      <c r="BS135" s="423"/>
      <c r="BT135" s="420"/>
      <c r="BU135" s="420"/>
      <c r="BV135" s="420"/>
      <c r="BW135" s="420"/>
      <c r="BX135" s="429"/>
      <c r="BY135" s="419"/>
      <c r="BZ135" s="419"/>
      <c r="CA135" s="419"/>
      <c r="CB135" s="420"/>
      <c r="CC135" s="430"/>
      <c r="CD135" s="419"/>
      <c r="CE135" s="419"/>
      <c r="CF135" s="419"/>
      <c r="CG135" s="420"/>
      <c r="CH135" s="423"/>
      <c r="CI135" s="432"/>
      <c r="CJ135" s="432"/>
      <c r="CK135" s="432"/>
      <c r="CL135" s="420"/>
      <c r="CM135" s="423"/>
      <c r="CN135" s="420"/>
      <c r="CO135" s="420"/>
      <c r="CP135" s="420"/>
      <c r="CQ135" s="432"/>
      <c r="CR135" s="432"/>
      <c r="CS135" s="420"/>
      <c r="CT135" s="420"/>
      <c r="CU135" s="420"/>
      <c r="CV135" s="420"/>
      <c r="CW135" s="420"/>
      <c r="CX135" s="419">
        <v>396801.34</v>
      </c>
      <c r="CY135" s="419"/>
      <c r="CZ135" s="419">
        <v>35712.120000000003</v>
      </c>
      <c r="DA135" s="419">
        <f t="shared" si="176"/>
        <v>396801.33</v>
      </c>
      <c r="DB135" s="419">
        <f t="shared" si="177"/>
        <v>-0.01</v>
      </c>
      <c r="DC135" s="419"/>
      <c r="DD135" s="419"/>
      <c r="DE135" s="419"/>
      <c r="DF135" s="420">
        <f t="shared" si="178"/>
        <v>0</v>
      </c>
      <c r="DG135" s="421">
        <f t="shared" si="179"/>
        <v>0</v>
      </c>
      <c r="DH135" s="419"/>
      <c r="DI135" s="419">
        <v>396801.34</v>
      </c>
      <c r="DJ135" s="419"/>
      <c r="DK135" s="420">
        <f t="shared" si="180"/>
        <v>0</v>
      </c>
      <c r="DL135" s="422">
        <f t="shared" si="181"/>
        <v>0</v>
      </c>
      <c r="DM135" s="420"/>
      <c r="DN135" s="420"/>
      <c r="DO135" s="420"/>
      <c r="DP135" s="420">
        <f t="shared" si="182"/>
        <v>0</v>
      </c>
      <c r="DQ135" s="420">
        <f t="shared" si="183"/>
        <v>0</v>
      </c>
      <c r="DR135" s="419"/>
      <c r="DS135" s="419"/>
      <c r="DT135" s="419"/>
      <c r="DU135" s="420">
        <f t="shared" si="184"/>
        <v>0</v>
      </c>
      <c r="DV135" s="423">
        <f t="shared" si="185"/>
        <v>0</v>
      </c>
      <c r="DW135" s="419"/>
      <c r="DX135" s="419"/>
      <c r="DY135" s="419"/>
      <c r="DZ135" s="420">
        <f t="shared" si="186"/>
        <v>0</v>
      </c>
      <c r="EA135" s="423">
        <f t="shared" si="187"/>
        <v>0</v>
      </c>
      <c r="EB135" s="420"/>
      <c r="EC135" s="419"/>
      <c r="ED135" s="420"/>
      <c r="EE135" s="419"/>
      <c r="EF135" s="420">
        <f t="shared" si="188"/>
        <v>0</v>
      </c>
      <c r="EG135" s="419"/>
      <c r="EH135" s="419"/>
      <c r="EI135" s="419"/>
      <c r="EJ135" s="420">
        <f t="shared" si="189"/>
        <v>0</v>
      </c>
      <c r="EK135" s="420">
        <f t="shared" si="190"/>
        <v>0</v>
      </c>
      <c r="EL135" s="419"/>
      <c r="EM135" s="419"/>
      <c r="EN135" s="419"/>
      <c r="EO135" s="419">
        <f t="shared" si="191"/>
        <v>0</v>
      </c>
      <c r="EP135" s="419">
        <f t="shared" si="192"/>
        <v>0</v>
      </c>
      <c r="EQ135" s="419"/>
      <c r="ER135" s="419"/>
      <c r="ES135" s="419"/>
      <c r="ET135" s="419">
        <f t="shared" si="193"/>
        <v>0</v>
      </c>
      <c r="EU135" s="419">
        <f t="shared" si="194"/>
        <v>0</v>
      </c>
      <c r="EV135" s="419"/>
      <c r="EW135" s="419"/>
      <c r="EX135" s="419"/>
      <c r="EY135" s="419">
        <f t="shared" si="195"/>
        <v>0</v>
      </c>
      <c r="EZ135" s="419">
        <f t="shared" si="215"/>
        <v>0</v>
      </c>
      <c r="FA135" s="420"/>
      <c r="FB135" s="420"/>
      <c r="FC135" s="420"/>
      <c r="FD135" s="420">
        <f t="shared" si="196"/>
        <v>0</v>
      </c>
      <c r="FE135" s="420">
        <f t="shared" si="197"/>
        <v>0</v>
      </c>
      <c r="FF135" s="419"/>
      <c r="FG135" s="419"/>
      <c r="FH135" s="419"/>
      <c r="FI135" s="419">
        <f t="shared" si="198"/>
        <v>0</v>
      </c>
      <c r="FJ135" s="419">
        <f t="shared" si="199"/>
        <v>0</v>
      </c>
      <c r="FK135" s="419"/>
      <c r="FL135" s="419"/>
      <c r="FM135" s="419"/>
      <c r="FN135" s="420">
        <f t="shared" si="200"/>
        <v>0</v>
      </c>
      <c r="FO135" s="423">
        <f t="shared" si="201"/>
        <v>0</v>
      </c>
      <c r="FP135" s="419"/>
      <c r="FQ135" s="419"/>
      <c r="FR135" s="419"/>
      <c r="FS135" s="420">
        <f t="shared" si="202"/>
        <v>0</v>
      </c>
      <c r="FT135" s="420">
        <f t="shared" si="203"/>
        <v>0</v>
      </c>
      <c r="FU135" s="419"/>
      <c r="FV135" s="419"/>
      <c r="FW135" s="419"/>
      <c r="FX135" s="420">
        <f t="shared" si="204"/>
        <v>0</v>
      </c>
      <c r="FY135" s="420">
        <f t="shared" si="205"/>
        <v>0</v>
      </c>
      <c r="FZ135" s="419">
        <v>21182.7</v>
      </c>
      <c r="GA135" s="419"/>
      <c r="GB135" s="419">
        <v>1906.44</v>
      </c>
      <c r="GC135" s="420">
        <f t="shared" si="206"/>
        <v>21182.67</v>
      </c>
      <c r="GD135" s="420">
        <f t="shared" si="207"/>
        <v>-3.0000000002473801E-2</v>
      </c>
      <c r="GE135" s="419"/>
      <c r="GF135" s="419"/>
      <c r="GG135" s="419"/>
      <c r="GH135" s="420">
        <f t="shared" si="208"/>
        <v>0</v>
      </c>
      <c r="GI135" s="423">
        <f t="shared" si="209"/>
        <v>0</v>
      </c>
      <c r="GJ135" s="419"/>
      <c r="GK135" s="419"/>
      <c r="GL135" s="419"/>
      <c r="GM135" s="420">
        <f t="shared" si="210"/>
        <v>0</v>
      </c>
      <c r="GN135" s="420">
        <f t="shared" si="211"/>
        <v>0</v>
      </c>
      <c r="GO135" s="419"/>
      <c r="GP135" s="419"/>
      <c r="GQ135" s="419"/>
      <c r="GR135" s="420">
        <f t="shared" si="216"/>
        <v>0</v>
      </c>
      <c r="GS135" s="423">
        <f t="shared" si="212"/>
        <v>0</v>
      </c>
      <c r="GT135" s="419"/>
      <c r="GU135" s="419"/>
      <c r="GV135" s="419"/>
      <c r="GW135" s="420">
        <f t="shared" si="213"/>
        <v>0</v>
      </c>
      <c r="GX135" s="420">
        <f t="shared" si="214"/>
        <v>0</v>
      </c>
    </row>
    <row r="136" spans="1:206" ht="15">
      <c r="A136" s="414"/>
      <c r="B136" s="415" t="s">
        <v>222</v>
      </c>
      <c r="C136" s="698"/>
      <c r="D136" s="707"/>
      <c r="E136" s="434" t="s">
        <v>125</v>
      </c>
      <c r="F136" s="417">
        <v>0.06</v>
      </c>
      <c r="G136" s="418">
        <f t="shared" si="173"/>
        <v>68005.25</v>
      </c>
      <c r="H136" s="418">
        <f t="shared" si="174"/>
        <v>68005.25</v>
      </c>
      <c r="I136" s="418">
        <f t="shared" si="174"/>
        <v>4080.32</v>
      </c>
      <c r="J136" s="418">
        <f t="shared" si="175"/>
        <v>68005.333333333299</v>
      </c>
      <c r="K136" s="418">
        <f t="shared" si="171"/>
        <v>8.3333333343034596E-2</v>
      </c>
      <c r="L136" s="418">
        <f t="shared" si="172"/>
        <v>8.3333333343034596E-2</v>
      </c>
      <c r="M136" s="424"/>
      <c r="N136" s="424"/>
      <c r="O136" s="424"/>
      <c r="P136" s="424"/>
      <c r="Q136" s="419"/>
      <c r="R136" s="419"/>
      <c r="S136" s="419"/>
      <c r="T136" s="420"/>
      <c r="U136" s="423"/>
      <c r="V136" s="420"/>
      <c r="W136" s="420"/>
      <c r="X136" s="419"/>
      <c r="Y136" s="419"/>
      <c r="Z136" s="423"/>
      <c r="AA136" s="423"/>
      <c r="AB136" s="419"/>
      <c r="AC136" s="423"/>
      <c r="AD136" s="420"/>
      <c r="AE136" s="423"/>
      <c r="AF136" s="444"/>
      <c r="AG136" s="419"/>
      <c r="AH136" s="420"/>
      <c r="AI136" s="420"/>
      <c r="AJ136" s="423"/>
      <c r="AK136" s="444"/>
      <c r="AL136" s="420"/>
      <c r="AM136" s="420"/>
      <c r="AN136" s="420"/>
      <c r="AO136" s="423"/>
      <c r="AP136" s="420"/>
      <c r="AQ136" s="419"/>
      <c r="AR136" s="420"/>
      <c r="AS136" s="420"/>
      <c r="AT136" s="420"/>
      <c r="AU136" s="420"/>
      <c r="AV136" s="420"/>
      <c r="AW136" s="420"/>
      <c r="AX136" s="426"/>
      <c r="AY136" s="420"/>
      <c r="AZ136" s="420"/>
      <c r="BA136" s="420"/>
      <c r="BB136" s="419"/>
      <c r="BC136" s="420"/>
      <c r="BD136" s="427"/>
      <c r="BE136" s="420"/>
      <c r="BF136" s="420"/>
      <c r="BG136" s="420"/>
      <c r="BH136" s="423"/>
      <c r="BI136" s="420"/>
      <c r="BJ136" s="420"/>
      <c r="BK136" s="420"/>
      <c r="BL136" s="420"/>
      <c r="BM136" s="420"/>
      <c r="BN136" s="420"/>
      <c r="BO136" s="419"/>
      <c r="BP136" s="428"/>
      <c r="BQ136" s="420"/>
      <c r="BR136" s="423"/>
      <c r="BS136" s="423"/>
      <c r="BT136" s="420"/>
      <c r="BU136" s="420"/>
      <c r="BV136" s="420"/>
      <c r="BW136" s="420"/>
      <c r="BX136" s="429"/>
      <c r="BY136" s="419"/>
      <c r="BZ136" s="419"/>
      <c r="CA136" s="419"/>
      <c r="CB136" s="420"/>
      <c r="CC136" s="430"/>
      <c r="CD136" s="419"/>
      <c r="CE136" s="419"/>
      <c r="CF136" s="419"/>
      <c r="CG136" s="420"/>
      <c r="CH136" s="423"/>
      <c r="CI136" s="432"/>
      <c r="CJ136" s="432"/>
      <c r="CK136" s="432"/>
      <c r="CL136" s="420"/>
      <c r="CM136" s="423"/>
      <c r="CN136" s="420"/>
      <c r="CO136" s="420"/>
      <c r="CP136" s="420"/>
      <c r="CQ136" s="432"/>
      <c r="CR136" s="432"/>
      <c r="CS136" s="420"/>
      <c r="CT136" s="420"/>
      <c r="CU136" s="420"/>
      <c r="CV136" s="420"/>
      <c r="CW136" s="420"/>
      <c r="CX136" s="419">
        <v>68005.25</v>
      </c>
      <c r="CY136" s="419"/>
      <c r="CZ136" s="419">
        <v>4080.32</v>
      </c>
      <c r="DA136" s="419">
        <f t="shared" si="176"/>
        <v>68005.33</v>
      </c>
      <c r="DB136" s="419">
        <f t="shared" si="177"/>
        <v>0.08</v>
      </c>
      <c r="DC136" s="419"/>
      <c r="DD136" s="419"/>
      <c r="DE136" s="419"/>
      <c r="DF136" s="420">
        <f t="shared" si="178"/>
        <v>0</v>
      </c>
      <c r="DG136" s="421">
        <f t="shared" si="179"/>
        <v>0</v>
      </c>
      <c r="DH136" s="419"/>
      <c r="DI136" s="419">
        <v>68005.25</v>
      </c>
      <c r="DJ136" s="419"/>
      <c r="DK136" s="420">
        <f t="shared" si="180"/>
        <v>0</v>
      </c>
      <c r="DL136" s="422">
        <f t="shared" si="181"/>
        <v>0</v>
      </c>
      <c r="DM136" s="420"/>
      <c r="DN136" s="420"/>
      <c r="DO136" s="420"/>
      <c r="DP136" s="420">
        <f t="shared" si="182"/>
        <v>0</v>
      </c>
      <c r="DQ136" s="420">
        <f t="shared" si="183"/>
        <v>0</v>
      </c>
      <c r="DR136" s="419"/>
      <c r="DS136" s="419"/>
      <c r="DT136" s="419"/>
      <c r="DU136" s="420">
        <f t="shared" si="184"/>
        <v>0</v>
      </c>
      <c r="DV136" s="423">
        <f t="shared" si="185"/>
        <v>0</v>
      </c>
      <c r="DW136" s="419"/>
      <c r="DX136" s="419"/>
      <c r="DY136" s="419"/>
      <c r="DZ136" s="420">
        <f t="shared" si="186"/>
        <v>0</v>
      </c>
      <c r="EA136" s="423">
        <f t="shared" si="187"/>
        <v>0</v>
      </c>
      <c r="EB136" s="419"/>
      <c r="EC136" s="419"/>
      <c r="ED136" s="420"/>
      <c r="EE136" s="419"/>
      <c r="EF136" s="420">
        <f t="shared" si="188"/>
        <v>0</v>
      </c>
      <c r="EG136" s="419"/>
      <c r="EH136" s="419"/>
      <c r="EI136" s="419"/>
      <c r="EJ136" s="420">
        <f t="shared" si="189"/>
        <v>0</v>
      </c>
      <c r="EK136" s="420">
        <f t="shared" si="190"/>
        <v>0</v>
      </c>
      <c r="EL136" s="419"/>
      <c r="EM136" s="419"/>
      <c r="EN136" s="419"/>
      <c r="EO136" s="419">
        <f t="shared" si="191"/>
        <v>0</v>
      </c>
      <c r="EP136" s="419">
        <f t="shared" si="192"/>
        <v>0</v>
      </c>
      <c r="EQ136" s="419"/>
      <c r="ER136" s="419"/>
      <c r="ES136" s="419"/>
      <c r="ET136" s="419">
        <f t="shared" si="193"/>
        <v>0</v>
      </c>
      <c r="EU136" s="419">
        <f t="shared" si="194"/>
        <v>0</v>
      </c>
      <c r="EV136" s="419"/>
      <c r="EW136" s="419"/>
      <c r="EX136" s="419"/>
      <c r="EY136" s="419">
        <f t="shared" si="195"/>
        <v>0</v>
      </c>
      <c r="EZ136" s="419">
        <f t="shared" si="215"/>
        <v>0</v>
      </c>
      <c r="FA136" s="420"/>
      <c r="FB136" s="420"/>
      <c r="FC136" s="420"/>
      <c r="FD136" s="420">
        <f t="shared" si="196"/>
        <v>0</v>
      </c>
      <c r="FE136" s="420">
        <f t="shared" si="197"/>
        <v>0</v>
      </c>
      <c r="FF136" s="419"/>
      <c r="FG136" s="419"/>
      <c r="FH136" s="419"/>
      <c r="FI136" s="419">
        <f t="shared" si="198"/>
        <v>0</v>
      </c>
      <c r="FJ136" s="419">
        <f t="shared" si="199"/>
        <v>0</v>
      </c>
      <c r="FK136" s="419"/>
      <c r="FL136" s="419"/>
      <c r="FM136" s="419"/>
      <c r="FN136" s="420">
        <f t="shared" si="200"/>
        <v>0</v>
      </c>
      <c r="FO136" s="423">
        <f t="shared" si="201"/>
        <v>0</v>
      </c>
      <c r="FP136" s="419"/>
      <c r="FQ136" s="419"/>
      <c r="FR136" s="419"/>
      <c r="FS136" s="420">
        <f t="shared" si="202"/>
        <v>0</v>
      </c>
      <c r="FT136" s="420">
        <f t="shared" si="203"/>
        <v>0</v>
      </c>
      <c r="FU136" s="419"/>
      <c r="FV136" s="419"/>
      <c r="FW136" s="419"/>
      <c r="FX136" s="420">
        <f t="shared" si="204"/>
        <v>0</v>
      </c>
      <c r="FY136" s="420">
        <f t="shared" si="205"/>
        <v>0</v>
      </c>
      <c r="FZ136" s="419"/>
      <c r="GA136" s="419"/>
      <c r="GB136" s="419"/>
      <c r="GC136" s="420">
        <f t="shared" si="206"/>
        <v>0</v>
      </c>
      <c r="GD136" s="420">
        <f t="shared" si="207"/>
        <v>0</v>
      </c>
      <c r="GE136" s="419"/>
      <c r="GF136" s="419"/>
      <c r="GG136" s="419"/>
      <c r="GH136" s="420">
        <f t="shared" si="208"/>
        <v>0</v>
      </c>
      <c r="GI136" s="423">
        <f t="shared" si="209"/>
        <v>0</v>
      </c>
      <c r="GJ136" s="419"/>
      <c r="GK136" s="419"/>
      <c r="GL136" s="419"/>
      <c r="GM136" s="420">
        <f t="shared" si="210"/>
        <v>0</v>
      </c>
      <c r="GN136" s="420">
        <f t="shared" si="211"/>
        <v>0</v>
      </c>
      <c r="GO136" s="419"/>
      <c r="GP136" s="419"/>
      <c r="GQ136" s="419"/>
      <c r="GR136" s="420">
        <f t="shared" si="216"/>
        <v>0</v>
      </c>
      <c r="GS136" s="423">
        <f t="shared" si="212"/>
        <v>0</v>
      </c>
      <c r="GT136" s="419"/>
      <c r="GU136" s="419"/>
      <c r="GV136" s="419"/>
      <c r="GW136" s="420">
        <f t="shared" si="213"/>
        <v>0</v>
      </c>
      <c r="GX136" s="420">
        <f t="shared" si="214"/>
        <v>0</v>
      </c>
    </row>
    <row r="137" spans="1:206" ht="15">
      <c r="A137" s="414"/>
      <c r="B137" s="415" t="s">
        <v>222</v>
      </c>
      <c r="C137" s="698"/>
      <c r="D137" s="704" t="s">
        <v>550</v>
      </c>
      <c r="E137" s="434" t="s">
        <v>123</v>
      </c>
      <c r="F137" s="417">
        <v>0.13</v>
      </c>
      <c r="G137" s="418">
        <f t="shared" si="173"/>
        <v>0</v>
      </c>
      <c r="H137" s="418">
        <f t="shared" si="174"/>
        <v>0</v>
      </c>
      <c r="I137" s="418">
        <f t="shared" si="174"/>
        <v>0</v>
      </c>
      <c r="J137" s="418">
        <f t="shared" si="175"/>
        <v>0</v>
      </c>
      <c r="K137" s="418">
        <f t="shared" si="171"/>
        <v>0</v>
      </c>
      <c r="L137" s="418">
        <f t="shared" si="172"/>
        <v>0</v>
      </c>
      <c r="M137" s="424"/>
      <c r="N137" s="424"/>
      <c r="O137" s="424"/>
      <c r="P137" s="424"/>
      <c r="Q137" s="419"/>
      <c r="R137" s="419"/>
      <c r="S137" s="419"/>
      <c r="T137" s="420"/>
      <c r="U137" s="423"/>
      <c r="V137" s="420"/>
      <c r="W137" s="420"/>
      <c r="X137" s="419"/>
      <c r="Y137" s="419"/>
      <c r="Z137" s="423"/>
      <c r="AA137" s="423"/>
      <c r="AB137" s="419"/>
      <c r="AC137" s="423"/>
      <c r="AD137" s="420"/>
      <c r="AE137" s="423"/>
      <c r="AF137" s="444"/>
      <c r="AG137" s="419"/>
      <c r="AH137" s="420"/>
      <c r="AI137" s="420"/>
      <c r="AJ137" s="423"/>
      <c r="AK137" s="444"/>
      <c r="AL137" s="420"/>
      <c r="AM137" s="420"/>
      <c r="AN137" s="420"/>
      <c r="AO137" s="423"/>
      <c r="AP137" s="420"/>
      <c r="AQ137" s="419"/>
      <c r="AR137" s="420"/>
      <c r="AS137" s="420"/>
      <c r="AT137" s="420"/>
      <c r="AU137" s="420"/>
      <c r="AV137" s="420"/>
      <c r="AW137" s="420"/>
      <c r="AX137" s="426"/>
      <c r="AY137" s="420"/>
      <c r="AZ137" s="420"/>
      <c r="BA137" s="420"/>
      <c r="BB137" s="419"/>
      <c r="BC137" s="420"/>
      <c r="BD137" s="427"/>
      <c r="BE137" s="420"/>
      <c r="BF137" s="420"/>
      <c r="BG137" s="420"/>
      <c r="BH137" s="423"/>
      <c r="BI137" s="420"/>
      <c r="BJ137" s="420"/>
      <c r="BK137" s="420"/>
      <c r="BL137" s="420"/>
      <c r="BM137" s="420"/>
      <c r="BN137" s="420"/>
      <c r="BO137" s="419"/>
      <c r="BP137" s="428"/>
      <c r="BQ137" s="420"/>
      <c r="BR137" s="423"/>
      <c r="BS137" s="423"/>
      <c r="BT137" s="420"/>
      <c r="BU137" s="420"/>
      <c r="BV137" s="420"/>
      <c r="BW137" s="420"/>
      <c r="BX137" s="429"/>
      <c r="BY137" s="419"/>
      <c r="BZ137" s="419"/>
      <c r="CA137" s="419"/>
      <c r="CB137" s="420"/>
      <c r="CC137" s="430"/>
      <c r="CD137" s="419"/>
      <c r="CE137" s="419"/>
      <c r="CF137" s="419"/>
      <c r="CG137" s="420"/>
      <c r="CH137" s="423"/>
      <c r="CI137" s="432"/>
      <c r="CJ137" s="432"/>
      <c r="CK137" s="432"/>
      <c r="CL137" s="420"/>
      <c r="CM137" s="423"/>
      <c r="CN137" s="420"/>
      <c r="CO137" s="420"/>
      <c r="CP137" s="420"/>
      <c r="CQ137" s="432"/>
      <c r="CR137" s="432"/>
      <c r="CS137" s="420"/>
      <c r="CT137" s="420"/>
      <c r="CU137" s="420"/>
      <c r="CV137" s="420"/>
      <c r="CW137" s="420"/>
      <c r="CX137" s="419"/>
      <c r="CY137" s="419"/>
      <c r="CZ137" s="419"/>
      <c r="DA137" s="419"/>
      <c r="DB137" s="419"/>
      <c r="DC137" s="419"/>
      <c r="DD137" s="419"/>
      <c r="DE137" s="419"/>
      <c r="DF137" s="420">
        <f t="shared" si="178"/>
        <v>0</v>
      </c>
      <c r="DG137" s="421">
        <f t="shared" si="179"/>
        <v>0</v>
      </c>
      <c r="DH137" s="419"/>
      <c r="DI137" s="419"/>
      <c r="DJ137" s="419"/>
      <c r="DK137" s="420">
        <f t="shared" si="180"/>
        <v>0</v>
      </c>
      <c r="DL137" s="422">
        <f t="shared" si="181"/>
        <v>0</v>
      </c>
      <c r="DM137" s="420"/>
      <c r="DN137" s="420"/>
      <c r="DO137" s="420"/>
      <c r="DP137" s="420">
        <f t="shared" si="182"/>
        <v>0</v>
      </c>
      <c r="DQ137" s="420">
        <f t="shared" si="183"/>
        <v>0</v>
      </c>
      <c r="DR137" s="419"/>
      <c r="DS137" s="419"/>
      <c r="DT137" s="419"/>
      <c r="DU137" s="420">
        <f t="shared" si="184"/>
        <v>0</v>
      </c>
      <c r="DV137" s="423">
        <f t="shared" si="185"/>
        <v>0</v>
      </c>
      <c r="DW137" s="419"/>
      <c r="DX137" s="419"/>
      <c r="DY137" s="419"/>
      <c r="DZ137" s="420">
        <f t="shared" si="186"/>
        <v>0</v>
      </c>
      <c r="EA137" s="423">
        <f t="shared" si="187"/>
        <v>0</v>
      </c>
      <c r="EB137" s="419"/>
      <c r="EC137" s="419"/>
      <c r="ED137" s="420"/>
      <c r="EE137" s="419"/>
      <c r="EF137" s="420">
        <f t="shared" si="188"/>
        <v>0</v>
      </c>
      <c r="EG137" s="419"/>
      <c r="EH137" s="419"/>
      <c r="EI137" s="419"/>
      <c r="EJ137" s="420">
        <f t="shared" si="189"/>
        <v>0</v>
      </c>
      <c r="EK137" s="420">
        <f t="shared" si="190"/>
        <v>0</v>
      </c>
      <c r="EL137" s="419"/>
      <c r="EM137" s="419"/>
      <c r="EN137" s="419"/>
      <c r="EO137" s="419">
        <f t="shared" si="191"/>
        <v>0</v>
      </c>
      <c r="EP137" s="419">
        <f t="shared" si="192"/>
        <v>0</v>
      </c>
      <c r="EQ137" s="419"/>
      <c r="ER137" s="419"/>
      <c r="ES137" s="419"/>
      <c r="ET137" s="419">
        <f t="shared" si="193"/>
        <v>0</v>
      </c>
      <c r="EU137" s="419">
        <f t="shared" si="194"/>
        <v>0</v>
      </c>
      <c r="EV137" s="419"/>
      <c r="EW137" s="419"/>
      <c r="EX137" s="419"/>
      <c r="EY137" s="419">
        <f t="shared" si="195"/>
        <v>0</v>
      </c>
      <c r="EZ137" s="419">
        <f t="shared" si="215"/>
        <v>0</v>
      </c>
      <c r="FA137" s="420"/>
      <c r="FB137" s="420"/>
      <c r="FC137" s="420"/>
      <c r="FD137" s="420">
        <f t="shared" si="196"/>
        <v>0</v>
      </c>
      <c r="FE137" s="420">
        <f t="shared" si="197"/>
        <v>0</v>
      </c>
      <c r="FF137" s="419"/>
      <c r="FG137" s="419"/>
      <c r="FH137" s="419"/>
      <c r="FI137" s="419">
        <f t="shared" si="198"/>
        <v>0</v>
      </c>
      <c r="FJ137" s="419">
        <f t="shared" si="199"/>
        <v>0</v>
      </c>
      <c r="FK137" s="419"/>
      <c r="FL137" s="419"/>
      <c r="FM137" s="419"/>
      <c r="FN137" s="420">
        <f t="shared" si="200"/>
        <v>0</v>
      </c>
      <c r="FO137" s="423">
        <f t="shared" si="201"/>
        <v>0</v>
      </c>
      <c r="FP137" s="419"/>
      <c r="FQ137" s="419"/>
      <c r="FR137" s="419"/>
      <c r="FS137" s="420">
        <f t="shared" si="202"/>
        <v>0</v>
      </c>
      <c r="FT137" s="420">
        <f t="shared" si="203"/>
        <v>0</v>
      </c>
      <c r="FU137" s="419"/>
      <c r="FV137" s="419"/>
      <c r="FW137" s="419"/>
      <c r="FX137" s="420">
        <f t="shared" si="204"/>
        <v>0</v>
      </c>
      <c r="FY137" s="420">
        <f t="shared" si="205"/>
        <v>0</v>
      </c>
      <c r="FZ137" s="419"/>
      <c r="GA137" s="419"/>
      <c r="GB137" s="419"/>
      <c r="GC137" s="420">
        <f t="shared" si="206"/>
        <v>0</v>
      </c>
      <c r="GD137" s="420">
        <f t="shared" si="207"/>
        <v>0</v>
      </c>
      <c r="GE137" s="419"/>
      <c r="GF137" s="419"/>
      <c r="GG137" s="419"/>
      <c r="GH137" s="420">
        <f t="shared" si="208"/>
        <v>0</v>
      </c>
      <c r="GI137" s="423">
        <f t="shared" si="209"/>
        <v>0</v>
      </c>
      <c r="GJ137" s="419"/>
      <c r="GK137" s="419"/>
      <c r="GL137" s="419"/>
      <c r="GM137" s="420">
        <f t="shared" si="210"/>
        <v>0</v>
      </c>
      <c r="GN137" s="420">
        <f t="shared" si="211"/>
        <v>0</v>
      </c>
      <c r="GO137" s="419"/>
      <c r="GP137" s="419"/>
      <c r="GQ137" s="419"/>
      <c r="GR137" s="420">
        <f t="shared" si="216"/>
        <v>0</v>
      </c>
      <c r="GS137" s="423">
        <f t="shared" si="212"/>
        <v>0</v>
      </c>
      <c r="GT137" s="419"/>
      <c r="GU137" s="419"/>
      <c r="GV137" s="419"/>
      <c r="GW137" s="420">
        <f t="shared" si="213"/>
        <v>0</v>
      </c>
      <c r="GX137" s="420">
        <f t="shared" si="214"/>
        <v>0</v>
      </c>
    </row>
    <row r="138" spans="1:206" ht="15">
      <c r="A138" s="414"/>
      <c r="B138" s="415" t="s">
        <v>222</v>
      </c>
      <c r="C138" s="698"/>
      <c r="D138" s="706"/>
      <c r="E138" s="434" t="s">
        <v>124</v>
      </c>
      <c r="F138" s="417">
        <v>0.09</v>
      </c>
      <c r="G138" s="418">
        <f t="shared" si="173"/>
        <v>0</v>
      </c>
      <c r="H138" s="418">
        <f t="shared" si="174"/>
        <v>0</v>
      </c>
      <c r="I138" s="418">
        <f t="shared" si="174"/>
        <v>0</v>
      </c>
      <c r="J138" s="418">
        <f t="shared" si="175"/>
        <v>0</v>
      </c>
      <c r="K138" s="418">
        <f t="shared" si="171"/>
        <v>0</v>
      </c>
      <c r="L138" s="418">
        <f t="shared" si="172"/>
        <v>0</v>
      </c>
      <c r="M138" s="424"/>
      <c r="N138" s="424"/>
      <c r="O138" s="424"/>
      <c r="P138" s="424"/>
      <c r="Q138" s="419"/>
      <c r="R138" s="419"/>
      <c r="S138" s="419"/>
      <c r="T138" s="420"/>
      <c r="U138" s="423"/>
      <c r="V138" s="420"/>
      <c r="W138" s="420"/>
      <c r="X138" s="419"/>
      <c r="Y138" s="419"/>
      <c r="Z138" s="423"/>
      <c r="AA138" s="423"/>
      <c r="AB138" s="419"/>
      <c r="AC138" s="423"/>
      <c r="AD138" s="420"/>
      <c r="AE138" s="423"/>
      <c r="AF138" s="444"/>
      <c r="AG138" s="419"/>
      <c r="AH138" s="420"/>
      <c r="AI138" s="420"/>
      <c r="AJ138" s="423"/>
      <c r="AK138" s="444"/>
      <c r="AL138" s="420"/>
      <c r="AM138" s="420"/>
      <c r="AN138" s="420"/>
      <c r="AO138" s="423"/>
      <c r="AP138" s="420"/>
      <c r="AQ138" s="419"/>
      <c r="AR138" s="420"/>
      <c r="AS138" s="420"/>
      <c r="AT138" s="420"/>
      <c r="AU138" s="420"/>
      <c r="AV138" s="420"/>
      <c r="AW138" s="420"/>
      <c r="AX138" s="426"/>
      <c r="AY138" s="420"/>
      <c r="AZ138" s="420"/>
      <c r="BA138" s="420"/>
      <c r="BB138" s="419"/>
      <c r="BC138" s="420"/>
      <c r="BD138" s="427"/>
      <c r="BE138" s="420"/>
      <c r="BF138" s="420"/>
      <c r="BG138" s="420"/>
      <c r="BH138" s="423"/>
      <c r="BI138" s="420"/>
      <c r="BJ138" s="420"/>
      <c r="BK138" s="420"/>
      <c r="BL138" s="420"/>
      <c r="BM138" s="420"/>
      <c r="BN138" s="420"/>
      <c r="BO138" s="419"/>
      <c r="BP138" s="428"/>
      <c r="BQ138" s="420"/>
      <c r="BR138" s="423"/>
      <c r="BS138" s="423"/>
      <c r="BT138" s="420"/>
      <c r="BU138" s="420"/>
      <c r="BV138" s="420"/>
      <c r="BW138" s="420"/>
      <c r="BX138" s="429"/>
      <c r="BY138" s="419"/>
      <c r="BZ138" s="419"/>
      <c r="CA138" s="419"/>
      <c r="CB138" s="420"/>
      <c r="CC138" s="430"/>
      <c r="CD138" s="419"/>
      <c r="CE138" s="419"/>
      <c r="CF138" s="419"/>
      <c r="CG138" s="420"/>
      <c r="CH138" s="423"/>
      <c r="CI138" s="432"/>
      <c r="CJ138" s="432"/>
      <c r="CK138" s="432"/>
      <c r="CL138" s="420"/>
      <c r="CM138" s="423"/>
      <c r="CN138" s="420"/>
      <c r="CO138" s="420"/>
      <c r="CP138" s="420"/>
      <c r="CQ138" s="432"/>
      <c r="CR138" s="432"/>
      <c r="CS138" s="420"/>
      <c r="CT138" s="420"/>
      <c r="CU138" s="420"/>
      <c r="CV138" s="420"/>
      <c r="CW138" s="420"/>
      <c r="CX138" s="419"/>
      <c r="CY138" s="419"/>
      <c r="CZ138" s="419"/>
      <c r="DA138" s="419"/>
      <c r="DB138" s="419"/>
      <c r="DC138" s="419"/>
      <c r="DD138" s="419"/>
      <c r="DE138" s="419"/>
      <c r="DF138" s="420">
        <f t="shared" si="178"/>
        <v>0</v>
      </c>
      <c r="DG138" s="421">
        <f t="shared" si="179"/>
        <v>0</v>
      </c>
      <c r="DH138" s="419"/>
      <c r="DI138" s="419"/>
      <c r="DJ138" s="419"/>
      <c r="DK138" s="420">
        <f t="shared" si="180"/>
        <v>0</v>
      </c>
      <c r="DL138" s="422">
        <f t="shared" si="181"/>
        <v>0</v>
      </c>
      <c r="DM138" s="420"/>
      <c r="DN138" s="420"/>
      <c r="DO138" s="420"/>
      <c r="DP138" s="420">
        <f t="shared" si="182"/>
        <v>0</v>
      </c>
      <c r="DQ138" s="420">
        <f t="shared" si="183"/>
        <v>0</v>
      </c>
      <c r="DR138" s="419"/>
      <c r="DS138" s="419"/>
      <c r="DT138" s="419"/>
      <c r="DU138" s="420">
        <f t="shared" si="184"/>
        <v>0</v>
      </c>
      <c r="DV138" s="423">
        <f t="shared" si="185"/>
        <v>0</v>
      </c>
      <c r="DW138" s="419"/>
      <c r="DX138" s="419"/>
      <c r="DY138" s="419"/>
      <c r="DZ138" s="420">
        <f t="shared" si="186"/>
        <v>0</v>
      </c>
      <c r="EA138" s="423">
        <f t="shared" si="187"/>
        <v>0</v>
      </c>
      <c r="EB138" s="420"/>
      <c r="EC138" s="419"/>
      <c r="ED138" s="420"/>
      <c r="EE138" s="419"/>
      <c r="EF138" s="420">
        <f t="shared" si="188"/>
        <v>0</v>
      </c>
      <c r="EG138" s="419"/>
      <c r="EH138" s="419"/>
      <c r="EI138" s="419"/>
      <c r="EJ138" s="420">
        <f t="shared" si="189"/>
        <v>0</v>
      </c>
      <c r="EK138" s="420">
        <f t="shared" si="190"/>
        <v>0</v>
      </c>
      <c r="EL138" s="419"/>
      <c r="EM138" s="419"/>
      <c r="EN138" s="419"/>
      <c r="EO138" s="419">
        <f t="shared" si="191"/>
        <v>0</v>
      </c>
      <c r="EP138" s="419">
        <f t="shared" si="192"/>
        <v>0</v>
      </c>
      <c r="EQ138" s="419"/>
      <c r="ER138" s="419"/>
      <c r="ES138" s="419"/>
      <c r="ET138" s="419">
        <f t="shared" si="193"/>
        <v>0</v>
      </c>
      <c r="EU138" s="419">
        <f t="shared" si="194"/>
        <v>0</v>
      </c>
      <c r="EV138" s="419"/>
      <c r="EW138" s="419"/>
      <c r="EX138" s="419"/>
      <c r="EY138" s="419">
        <f t="shared" si="195"/>
        <v>0</v>
      </c>
      <c r="EZ138" s="419">
        <f t="shared" si="215"/>
        <v>0</v>
      </c>
      <c r="FA138" s="420"/>
      <c r="FB138" s="420"/>
      <c r="FC138" s="420"/>
      <c r="FD138" s="420">
        <f t="shared" si="196"/>
        <v>0</v>
      </c>
      <c r="FE138" s="420">
        <f t="shared" si="197"/>
        <v>0</v>
      </c>
      <c r="FF138" s="419"/>
      <c r="FG138" s="419"/>
      <c r="FH138" s="419"/>
      <c r="FI138" s="419">
        <f t="shared" si="198"/>
        <v>0</v>
      </c>
      <c r="FJ138" s="419">
        <f t="shared" si="199"/>
        <v>0</v>
      </c>
      <c r="FK138" s="419"/>
      <c r="FL138" s="419"/>
      <c r="FM138" s="419"/>
      <c r="FN138" s="420">
        <f t="shared" si="200"/>
        <v>0</v>
      </c>
      <c r="FO138" s="423">
        <f t="shared" si="201"/>
        <v>0</v>
      </c>
      <c r="FP138" s="419"/>
      <c r="FQ138" s="419"/>
      <c r="FR138" s="419"/>
      <c r="FS138" s="420">
        <f t="shared" si="202"/>
        <v>0</v>
      </c>
      <c r="FT138" s="420">
        <f t="shared" si="203"/>
        <v>0</v>
      </c>
      <c r="FU138" s="419"/>
      <c r="FV138" s="419"/>
      <c r="FW138" s="419"/>
      <c r="FX138" s="420">
        <f t="shared" si="204"/>
        <v>0</v>
      </c>
      <c r="FY138" s="420">
        <f t="shared" si="205"/>
        <v>0</v>
      </c>
      <c r="FZ138" s="419"/>
      <c r="GA138" s="419"/>
      <c r="GB138" s="419"/>
      <c r="GC138" s="420">
        <f t="shared" si="206"/>
        <v>0</v>
      </c>
      <c r="GD138" s="420">
        <f t="shared" si="207"/>
        <v>0</v>
      </c>
      <c r="GE138" s="419"/>
      <c r="GF138" s="419"/>
      <c r="GG138" s="419"/>
      <c r="GH138" s="420">
        <f t="shared" si="208"/>
        <v>0</v>
      </c>
      <c r="GI138" s="423">
        <f t="shared" si="209"/>
        <v>0</v>
      </c>
      <c r="GJ138" s="419"/>
      <c r="GK138" s="419"/>
      <c r="GL138" s="419"/>
      <c r="GM138" s="420">
        <f t="shared" si="210"/>
        <v>0</v>
      </c>
      <c r="GN138" s="420">
        <f t="shared" si="211"/>
        <v>0</v>
      </c>
      <c r="GO138" s="419"/>
      <c r="GP138" s="419"/>
      <c r="GQ138" s="419"/>
      <c r="GR138" s="420">
        <f t="shared" si="216"/>
        <v>0</v>
      </c>
      <c r="GS138" s="423">
        <f t="shared" si="212"/>
        <v>0</v>
      </c>
      <c r="GT138" s="419"/>
      <c r="GU138" s="419"/>
      <c r="GV138" s="419"/>
      <c r="GW138" s="420">
        <f t="shared" si="213"/>
        <v>0</v>
      </c>
      <c r="GX138" s="420">
        <f t="shared" si="214"/>
        <v>0</v>
      </c>
    </row>
    <row r="139" spans="1:206" ht="15">
      <c r="A139" s="414"/>
      <c r="B139" s="415" t="s">
        <v>222</v>
      </c>
      <c r="C139" s="698"/>
      <c r="D139" s="707"/>
      <c r="E139" s="434" t="s">
        <v>125</v>
      </c>
      <c r="F139" s="417">
        <v>0.06</v>
      </c>
      <c r="G139" s="418">
        <f t="shared" si="173"/>
        <v>504600.75</v>
      </c>
      <c r="H139" s="418">
        <f t="shared" si="174"/>
        <v>444562.21</v>
      </c>
      <c r="I139" s="418">
        <f t="shared" si="174"/>
        <v>30276.051200000002</v>
      </c>
      <c r="J139" s="418">
        <f t="shared" si="175"/>
        <v>504600.85333333298</v>
      </c>
      <c r="K139" s="418">
        <f t="shared" si="171"/>
        <v>60038.643333333297</v>
      </c>
      <c r="L139" s="418">
        <f t="shared" si="172"/>
        <v>0.10333333327435</v>
      </c>
      <c r="M139" s="424"/>
      <c r="N139" s="424"/>
      <c r="O139" s="424"/>
      <c r="P139" s="424"/>
      <c r="Q139" s="419"/>
      <c r="R139" s="419"/>
      <c r="S139" s="419"/>
      <c r="T139" s="420"/>
      <c r="U139" s="423"/>
      <c r="V139" s="420"/>
      <c r="W139" s="420"/>
      <c r="X139" s="419"/>
      <c r="Y139" s="419"/>
      <c r="Z139" s="423"/>
      <c r="AA139" s="423"/>
      <c r="AB139" s="419"/>
      <c r="AC139" s="423"/>
      <c r="AD139" s="420"/>
      <c r="AE139" s="423"/>
      <c r="AF139" s="444"/>
      <c r="AG139" s="419"/>
      <c r="AH139" s="420"/>
      <c r="AI139" s="420"/>
      <c r="AJ139" s="423"/>
      <c r="AK139" s="444"/>
      <c r="AL139" s="420"/>
      <c r="AM139" s="420"/>
      <c r="AN139" s="420"/>
      <c r="AO139" s="423"/>
      <c r="AP139" s="420"/>
      <c r="AQ139" s="419"/>
      <c r="AR139" s="420"/>
      <c r="AS139" s="420"/>
      <c r="AT139" s="420"/>
      <c r="AU139" s="420"/>
      <c r="AV139" s="420"/>
      <c r="AW139" s="420"/>
      <c r="AX139" s="426"/>
      <c r="AY139" s="420"/>
      <c r="AZ139" s="420"/>
      <c r="BA139" s="420"/>
      <c r="BB139" s="419"/>
      <c r="BC139" s="420"/>
      <c r="BD139" s="427"/>
      <c r="BE139" s="420"/>
      <c r="BF139" s="420"/>
      <c r="BG139" s="420"/>
      <c r="BH139" s="423"/>
      <c r="BI139" s="420"/>
      <c r="BJ139" s="420"/>
      <c r="BK139" s="420"/>
      <c r="BL139" s="420"/>
      <c r="BM139" s="420"/>
      <c r="BN139" s="420"/>
      <c r="BO139" s="419"/>
      <c r="BP139" s="428"/>
      <c r="BQ139" s="420"/>
      <c r="BR139" s="423"/>
      <c r="BS139" s="423"/>
      <c r="BT139" s="420"/>
      <c r="BU139" s="420"/>
      <c r="BV139" s="420"/>
      <c r="BW139" s="420"/>
      <c r="BX139" s="429"/>
      <c r="BY139" s="419"/>
      <c r="BZ139" s="419"/>
      <c r="CA139" s="419"/>
      <c r="CB139" s="420"/>
      <c r="CC139" s="430"/>
      <c r="CD139" s="419"/>
      <c r="CE139" s="419"/>
      <c r="CF139" s="419"/>
      <c r="CG139" s="420"/>
      <c r="CH139" s="423"/>
      <c r="CI139" s="432"/>
      <c r="CJ139" s="432"/>
      <c r="CK139" s="432"/>
      <c r="CL139" s="420"/>
      <c r="CM139" s="423"/>
      <c r="CN139" s="420"/>
      <c r="CO139" s="420"/>
      <c r="CP139" s="420"/>
      <c r="CQ139" s="432"/>
      <c r="CR139" s="432"/>
      <c r="CS139" s="420"/>
      <c r="CT139" s="420"/>
      <c r="CU139" s="420"/>
      <c r="CV139" s="420"/>
      <c r="CW139" s="420"/>
      <c r="CX139" s="419"/>
      <c r="CY139" s="419"/>
      <c r="CZ139" s="419"/>
      <c r="DA139" s="419"/>
      <c r="DB139" s="419"/>
      <c r="DC139" s="419">
        <v>126753.19</v>
      </c>
      <c r="DD139" s="419"/>
      <c r="DE139" s="419">
        <v>7605.19</v>
      </c>
      <c r="DF139" s="420">
        <f t="shared" si="178"/>
        <v>126753.16666666701</v>
      </c>
      <c r="DG139" s="421">
        <f t="shared" si="179"/>
        <v>2.3333333330811001E-2</v>
      </c>
      <c r="DH139" s="419">
        <v>26132.76</v>
      </c>
      <c r="DI139" s="419"/>
      <c r="DJ139" s="420">
        <v>1567.97</v>
      </c>
      <c r="DK139" s="420">
        <f t="shared" si="180"/>
        <v>26132.833333333299</v>
      </c>
      <c r="DL139" s="422">
        <f t="shared" si="181"/>
        <v>7.3333333337359405E-2</v>
      </c>
      <c r="DM139" s="420">
        <v>27469.65</v>
      </c>
      <c r="DN139" s="420"/>
      <c r="DO139" s="420">
        <v>1648.18</v>
      </c>
      <c r="DP139" s="420">
        <f t="shared" si="182"/>
        <v>27469.666666666701</v>
      </c>
      <c r="DQ139" s="420">
        <f t="shared" si="183"/>
        <v>1.66666666664241E-2</v>
      </c>
      <c r="DR139" s="419">
        <v>24308.81</v>
      </c>
      <c r="DS139" s="419"/>
      <c r="DT139" s="419">
        <v>1458.53</v>
      </c>
      <c r="DU139" s="420">
        <f t="shared" si="184"/>
        <v>24308.833333333299</v>
      </c>
      <c r="DV139" s="423">
        <f t="shared" si="185"/>
        <v>2.3333333330811001E-2</v>
      </c>
      <c r="DW139" s="419">
        <v>26034.9</v>
      </c>
      <c r="DX139" s="419"/>
      <c r="DY139" s="419">
        <v>1562.09</v>
      </c>
      <c r="DZ139" s="420">
        <f t="shared" si="186"/>
        <v>26034.83</v>
      </c>
      <c r="EA139" s="423">
        <f t="shared" si="187"/>
        <v>-7.0000000000000007E-2</v>
      </c>
      <c r="EB139" s="419">
        <v>29993.02</v>
      </c>
      <c r="EC139" s="419"/>
      <c r="ED139" s="420">
        <v>1799.5812000000001</v>
      </c>
      <c r="EE139" s="419">
        <v>29993.02</v>
      </c>
      <c r="EF139" s="420">
        <f t="shared" si="188"/>
        <v>0</v>
      </c>
      <c r="EG139" s="419">
        <v>146265.95000000001</v>
      </c>
      <c r="EI139" s="419">
        <v>8775.9599999999991</v>
      </c>
      <c r="EJ139" s="420">
        <f t="shared" si="189"/>
        <v>146266</v>
      </c>
      <c r="EK139" s="420">
        <f t="shared" si="190"/>
        <v>0.05</v>
      </c>
      <c r="EL139" s="419">
        <v>37603.910000000003</v>
      </c>
      <c r="EN139" s="419">
        <v>2256.23</v>
      </c>
      <c r="EO139" s="419">
        <f t="shared" si="191"/>
        <v>37603.83</v>
      </c>
      <c r="EP139" s="419">
        <f t="shared" si="192"/>
        <v>-0.08</v>
      </c>
      <c r="EQ139" s="419">
        <v>29200.25</v>
      </c>
      <c r="ER139" s="419">
        <v>444562.21</v>
      </c>
      <c r="ES139" s="419">
        <v>1752.02</v>
      </c>
      <c r="ET139" s="419">
        <f t="shared" si="193"/>
        <v>29200.33</v>
      </c>
      <c r="EU139" s="419">
        <f t="shared" si="194"/>
        <v>0.08</v>
      </c>
      <c r="EV139" s="419">
        <v>30838.31</v>
      </c>
      <c r="EW139" s="419"/>
      <c r="EX139" s="419">
        <v>1850.3</v>
      </c>
      <c r="EY139" s="419">
        <f t="shared" si="195"/>
        <v>30838.33</v>
      </c>
      <c r="EZ139" s="419">
        <f t="shared" si="215"/>
        <v>0.02</v>
      </c>
      <c r="FA139" s="420"/>
      <c r="FB139" s="420"/>
      <c r="FC139" s="420"/>
      <c r="FD139" s="420">
        <f t="shared" si="196"/>
        <v>0</v>
      </c>
      <c r="FE139" s="420">
        <f t="shared" si="197"/>
        <v>0</v>
      </c>
      <c r="FF139" s="419"/>
      <c r="FG139" s="419"/>
      <c r="FH139" s="419"/>
      <c r="FI139" s="419">
        <f t="shared" si="198"/>
        <v>0</v>
      </c>
      <c r="FJ139" s="419">
        <f t="shared" si="199"/>
        <v>0</v>
      </c>
      <c r="FK139" s="419"/>
      <c r="FL139" s="419"/>
      <c r="FM139" s="419"/>
      <c r="FN139" s="420">
        <f t="shared" si="200"/>
        <v>0</v>
      </c>
      <c r="FO139" s="423">
        <f t="shared" si="201"/>
        <v>0</v>
      </c>
      <c r="FP139" s="419"/>
      <c r="FQ139" s="419"/>
      <c r="FR139" s="419"/>
      <c r="FS139" s="420">
        <f t="shared" si="202"/>
        <v>0</v>
      </c>
      <c r="FT139" s="420">
        <f t="shared" si="203"/>
        <v>0</v>
      </c>
      <c r="FU139" s="419"/>
      <c r="FV139" s="419"/>
      <c r="FW139" s="419"/>
      <c r="FX139" s="420">
        <f t="shared" si="204"/>
        <v>0</v>
      </c>
      <c r="FY139" s="420">
        <f t="shared" si="205"/>
        <v>0</v>
      </c>
      <c r="FZ139" s="419"/>
      <c r="GA139" s="419"/>
      <c r="GB139" s="419"/>
      <c r="GC139" s="420">
        <f t="shared" si="206"/>
        <v>0</v>
      </c>
      <c r="GD139" s="420">
        <f t="shared" si="207"/>
        <v>0</v>
      </c>
      <c r="GE139" s="419"/>
      <c r="GF139" s="419"/>
      <c r="GG139" s="419"/>
      <c r="GH139" s="420">
        <f t="shared" si="208"/>
        <v>0</v>
      </c>
      <c r="GI139" s="423">
        <f t="shared" si="209"/>
        <v>0</v>
      </c>
      <c r="GJ139" s="419"/>
      <c r="GK139" s="419"/>
      <c r="GL139" s="419"/>
      <c r="GM139" s="420">
        <f t="shared" si="210"/>
        <v>0</v>
      </c>
      <c r="GN139" s="420">
        <f t="shared" si="211"/>
        <v>0</v>
      </c>
      <c r="GO139" s="419"/>
      <c r="GP139" s="419"/>
      <c r="GQ139" s="419"/>
      <c r="GR139" s="420">
        <f t="shared" si="216"/>
        <v>0</v>
      </c>
      <c r="GS139" s="423">
        <f t="shared" si="212"/>
        <v>0</v>
      </c>
      <c r="GT139" s="419"/>
      <c r="GU139" s="419"/>
      <c r="GV139" s="419"/>
      <c r="GW139" s="420">
        <f t="shared" si="213"/>
        <v>0</v>
      </c>
      <c r="GX139" s="420">
        <f t="shared" si="214"/>
        <v>0</v>
      </c>
    </row>
    <row r="140" spans="1:206" ht="15">
      <c r="A140" s="414"/>
      <c r="B140" s="415" t="s">
        <v>222</v>
      </c>
      <c r="C140" s="698"/>
      <c r="D140" s="704" t="s">
        <v>551</v>
      </c>
      <c r="E140" s="434" t="s">
        <v>123</v>
      </c>
      <c r="F140" s="417">
        <v>0.13</v>
      </c>
      <c r="G140" s="418">
        <f t="shared" si="173"/>
        <v>7906313.6399999997</v>
      </c>
      <c r="H140" s="418">
        <f t="shared" si="174"/>
        <v>109667033.08</v>
      </c>
      <c r="I140" s="418">
        <f t="shared" si="174"/>
        <v>1027820.77</v>
      </c>
      <c r="J140" s="418">
        <f t="shared" si="175"/>
        <v>7906313.6153846197</v>
      </c>
      <c r="K140" s="418">
        <f t="shared" si="171"/>
        <v>-101760719.464615</v>
      </c>
      <c r="L140" s="418">
        <f t="shared" si="172"/>
        <v>-2.46153846383095E-2</v>
      </c>
      <c r="M140" s="424"/>
      <c r="N140" s="424"/>
      <c r="O140" s="424"/>
      <c r="P140" s="424"/>
      <c r="Q140" s="419"/>
      <c r="R140" s="419"/>
      <c r="S140" s="419"/>
      <c r="T140" s="420"/>
      <c r="U140" s="423"/>
      <c r="V140" s="420"/>
      <c r="W140" s="420"/>
      <c r="X140" s="419"/>
      <c r="Y140" s="419"/>
      <c r="Z140" s="423"/>
      <c r="AA140" s="423"/>
      <c r="AB140" s="419"/>
      <c r="AC140" s="423"/>
      <c r="AD140" s="420"/>
      <c r="AE140" s="423"/>
      <c r="AF140" s="444"/>
      <c r="AG140" s="419"/>
      <c r="AH140" s="420"/>
      <c r="AI140" s="420"/>
      <c r="AJ140" s="423"/>
      <c r="AK140" s="444"/>
      <c r="AL140" s="420"/>
      <c r="AM140" s="420"/>
      <c r="AN140" s="420"/>
      <c r="AO140" s="423"/>
      <c r="AP140" s="420"/>
      <c r="AQ140" s="419"/>
      <c r="AR140" s="420"/>
      <c r="AS140" s="420"/>
      <c r="AT140" s="420"/>
      <c r="AU140" s="420"/>
      <c r="AV140" s="420"/>
      <c r="AW140" s="420"/>
      <c r="AX140" s="426"/>
      <c r="AY140" s="420"/>
      <c r="AZ140" s="420"/>
      <c r="BA140" s="420"/>
      <c r="BB140" s="419"/>
      <c r="BC140" s="420"/>
      <c r="BD140" s="427"/>
      <c r="BE140" s="420"/>
      <c r="BF140" s="420"/>
      <c r="BG140" s="420"/>
      <c r="BH140" s="423"/>
      <c r="BI140" s="420"/>
      <c r="BJ140" s="420"/>
      <c r="BK140" s="420"/>
      <c r="BL140" s="420"/>
      <c r="BM140" s="420"/>
      <c r="BN140" s="420"/>
      <c r="BO140" s="419"/>
      <c r="BP140" s="428"/>
      <c r="BQ140" s="420"/>
      <c r="BR140" s="423"/>
      <c r="BS140" s="423"/>
      <c r="BT140" s="420"/>
      <c r="BU140" s="420"/>
      <c r="BV140" s="420"/>
      <c r="BW140" s="420"/>
      <c r="BX140" s="429"/>
      <c r="BY140" s="419"/>
      <c r="BZ140" s="419"/>
      <c r="CA140" s="419"/>
      <c r="CB140" s="420"/>
      <c r="CC140" s="430"/>
      <c r="CD140" s="419"/>
      <c r="CE140" s="419"/>
      <c r="CF140" s="419"/>
      <c r="CG140" s="420"/>
      <c r="CH140" s="423"/>
      <c r="CI140" s="432"/>
      <c r="CJ140" s="432"/>
      <c r="CK140" s="432"/>
      <c r="CL140" s="420"/>
      <c r="CM140" s="423"/>
      <c r="CN140" s="420"/>
      <c r="CO140" s="420"/>
      <c r="CP140" s="420"/>
      <c r="CQ140" s="432"/>
      <c r="CR140" s="432"/>
      <c r="CS140" s="420"/>
      <c r="CT140" s="420"/>
      <c r="CU140" s="420"/>
      <c r="CV140" s="420"/>
      <c r="CW140" s="420"/>
      <c r="CX140" s="419"/>
      <c r="CY140" s="419"/>
      <c r="CZ140" s="419"/>
      <c r="DA140" s="419"/>
      <c r="DB140" s="419"/>
      <c r="DC140" s="419"/>
      <c r="DD140" s="419"/>
      <c r="DE140" s="419"/>
      <c r="DF140" s="420">
        <f t="shared" si="178"/>
        <v>0</v>
      </c>
      <c r="DG140" s="421">
        <f t="shared" si="179"/>
        <v>0</v>
      </c>
      <c r="DH140" s="419"/>
      <c r="DI140" s="419"/>
      <c r="DJ140" s="419"/>
      <c r="DK140" s="420">
        <f t="shared" si="180"/>
        <v>0</v>
      </c>
      <c r="DL140" s="422">
        <f t="shared" si="181"/>
        <v>0</v>
      </c>
      <c r="DM140" s="420"/>
      <c r="DN140" s="420"/>
      <c r="DO140" s="420"/>
      <c r="DP140" s="420">
        <f t="shared" si="182"/>
        <v>0</v>
      </c>
      <c r="DQ140" s="420">
        <f t="shared" si="183"/>
        <v>0</v>
      </c>
      <c r="DR140" s="419"/>
      <c r="DS140" s="419"/>
      <c r="DT140" s="419"/>
      <c r="DU140" s="420">
        <f t="shared" si="184"/>
        <v>0</v>
      </c>
      <c r="DV140" s="423">
        <f t="shared" si="185"/>
        <v>0</v>
      </c>
      <c r="DW140" s="419"/>
      <c r="DX140" s="419"/>
      <c r="DY140" s="419"/>
      <c r="DZ140" s="420">
        <f t="shared" si="186"/>
        <v>0</v>
      </c>
      <c r="EA140" s="423">
        <f t="shared" si="187"/>
        <v>0</v>
      </c>
      <c r="EB140" s="419"/>
      <c r="EC140" s="419"/>
      <c r="ED140" s="420"/>
      <c r="EE140" s="419"/>
      <c r="EF140" s="420">
        <f t="shared" si="188"/>
        <v>0</v>
      </c>
      <c r="EG140" s="419"/>
      <c r="EH140" s="419"/>
      <c r="EI140" s="419"/>
      <c r="EJ140" s="420">
        <f t="shared" si="189"/>
        <v>0</v>
      </c>
      <c r="EK140" s="420">
        <f t="shared" si="190"/>
        <v>0</v>
      </c>
      <c r="EL140" s="419"/>
      <c r="EM140" s="419"/>
      <c r="EN140" s="419"/>
      <c r="EO140" s="419">
        <f t="shared" si="191"/>
        <v>0</v>
      </c>
      <c r="EP140" s="419">
        <f t="shared" si="192"/>
        <v>0</v>
      </c>
      <c r="EQ140" s="419"/>
      <c r="ER140" s="419"/>
      <c r="ES140" s="419"/>
      <c r="ET140" s="419">
        <f t="shared" si="193"/>
        <v>0</v>
      </c>
      <c r="EU140" s="419">
        <f t="shared" si="194"/>
        <v>0</v>
      </c>
      <c r="EV140" s="419"/>
      <c r="EW140" s="419"/>
      <c r="EX140" s="419"/>
      <c r="EY140" s="419">
        <f t="shared" si="195"/>
        <v>0</v>
      </c>
      <c r="EZ140" s="419">
        <f t="shared" si="215"/>
        <v>0</v>
      </c>
      <c r="FA140" s="420"/>
      <c r="FB140" s="420"/>
      <c r="FC140" s="420"/>
      <c r="FD140" s="420">
        <f t="shared" si="196"/>
        <v>0</v>
      </c>
      <c r="FE140" s="420">
        <f t="shared" si="197"/>
        <v>0</v>
      </c>
      <c r="FF140" s="419"/>
      <c r="FG140" s="419"/>
      <c r="FH140" s="419"/>
      <c r="FI140" s="419">
        <f t="shared" si="198"/>
        <v>0</v>
      </c>
      <c r="FJ140" s="419">
        <f t="shared" si="199"/>
        <v>0</v>
      </c>
      <c r="FK140" s="419"/>
      <c r="FL140" s="419"/>
      <c r="FM140" s="419"/>
      <c r="FN140" s="420">
        <f t="shared" si="200"/>
        <v>0</v>
      </c>
      <c r="FO140" s="423">
        <f t="shared" si="201"/>
        <v>0</v>
      </c>
      <c r="FP140" s="431">
        <v>1290552.45</v>
      </c>
      <c r="FQ140" s="431">
        <v>0</v>
      </c>
      <c r="FR140" s="431">
        <v>167771.82</v>
      </c>
      <c r="FS140" s="420">
        <f t="shared" si="202"/>
        <v>1290552.46</v>
      </c>
      <c r="FT140" s="420">
        <f t="shared" si="203"/>
        <v>1.00000000093132E-2</v>
      </c>
      <c r="FU140" s="419"/>
      <c r="FV140" s="419"/>
      <c r="FW140" s="419"/>
      <c r="FX140" s="420">
        <f t="shared" si="204"/>
        <v>0</v>
      </c>
      <c r="FY140" s="420">
        <f t="shared" si="205"/>
        <v>0</v>
      </c>
      <c r="FZ140" s="419"/>
      <c r="GA140" s="419"/>
      <c r="GB140" s="419"/>
      <c r="GC140" s="420">
        <f t="shared" si="206"/>
        <v>0</v>
      </c>
      <c r="GD140" s="420">
        <f t="shared" si="207"/>
        <v>0</v>
      </c>
      <c r="GE140" s="419"/>
      <c r="GF140" s="420">
        <v>109667033.08</v>
      </c>
      <c r="GG140" s="419"/>
      <c r="GH140" s="420">
        <f t="shared" si="208"/>
        <v>0</v>
      </c>
      <c r="GI140" s="423">
        <f t="shared" si="209"/>
        <v>0</v>
      </c>
      <c r="GJ140" s="419">
        <v>2597915.39</v>
      </c>
      <c r="GK140" s="419"/>
      <c r="GL140" s="419">
        <v>337729</v>
      </c>
      <c r="GM140" s="420">
        <f t="shared" si="210"/>
        <v>2597915.3846153799</v>
      </c>
      <c r="GN140" s="420">
        <f t="shared" si="211"/>
        <v>-5.3846156224608404E-3</v>
      </c>
      <c r="GO140" s="419">
        <v>4017845.8</v>
      </c>
      <c r="GP140" s="419"/>
      <c r="GQ140" s="419">
        <v>522319.95</v>
      </c>
      <c r="GR140" s="420">
        <f t="shared" si="216"/>
        <v>4017845.7692307699</v>
      </c>
      <c r="GS140" s="423">
        <f t="shared" si="212"/>
        <v>-3.07692307978868E-2</v>
      </c>
      <c r="GT140" s="419"/>
      <c r="GU140" s="419"/>
      <c r="GV140" s="419"/>
      <c r="GW140" s="420">
        <f t="shared" si="213"/>
        <v>0</v>
      </c>
      <c r="GX140" s="420">
        <f t="shared" si="214"/>
        <v>0</v>
      </c>
    </row>
    <row r="141" spans="1:206" ht="15">
      <c r="A141" s="414"/>
      <c r="B141" s="415" t="s">
        <v>222</v>
      </c>
      <c r="C141" s="698"/>
      <c r="D141" s="706"/>
      <c r="E141" s="434" t="s">
        <v>124</v>
      </c>
      <c r="F141" s="417">
        <v>0.09</v>
      </c>
      <c r="G141" s="418">
        <f t="shared" si="173"/>
        <v>8717462.5800000001</v>
      </c>
      <c r="H141" s="418">
        <f t="shared" si="174"/>
        <v>0</v>
      </c>
      <c r="I141" s="418">
        <f t="shared" si="174"/>
        <v>784571.64</v>
      </c>
      <c r="J141" s="418">
        <f t="shared" si="175"/>
        <v>8717462.6666666698</v>
      </c>
      <c r="K141" s="418">
        <f t="shared" si="171"/>
        <v>8717462.6666666698</v>
      </c>
      <c r="L141" s="418">
        <f t="shared" si="172"/>
        <v>8.6666667833924294E-2</v>
      </c>
      <c r="M141" s="424"/>
      <c r="N141" s="424"/>
      <c r="O141" s="424"/>
      <c r="P141" s="424"/>
      <c r="Q141" s="419"/>
      <c r="R141" s="419"/>
      <c r="S141" s="419"/>
      <c r="T141" s="420"/>
      <c r="U141" s="423"/>
      <c r="V141" s="420"/>
      <c r="W141" s="420"/>
      <c r="X141" s="419"/>
      <c r="Y141" s="419"/>
      <c r="Z141" s="423"/>
      <c r="AA141" s="423"/>
      <c r="AB141" s="419"/>
      <c r="AC141" s="423"/>
      <c r="AD141" s="420"/>
      <c r="AE141" s="423"/>
      <c r="AF141" s="444"/>
      <c r="AG141" s="419"/>
      <c r="AH141" s="420"/>
      <c r="AI141" s="420"/>
      <c r="AJ141" s="423"/>
      <c r="AK141" s="444"/>
      <c r="AL141" s="420"/>
      <c r="AM141" s="420"/>
      <c r="AN141" s="420"/>
      <c r="AO141" s="423"/>
      <c r="AP141" s="420"/>
      <c r="AQ141" s="419"/>
      <c r="AR141" s="420"/>
      <c r="AS141" s="420"/>
      <c r="AT141" s="420"/>
      <c r="AU141" s="420"/>
      <c r="AV141" s="420"/>
      <c r="AW141" s="420"/>
      <c r="AX141" s="426"/>
      <c r="AY141" s="420"/>
      <c r="AZ141" s="420"/>
      <c r="BA141" s="420"/>
      <c r="BB141" s="419"/>
      <c r="BC141" s="420"/>
      <c r="BD141" s="427"/>
      <c r="BE141" s="420"/>
      <c r="BF141" s="420"/>
      <c r="BG141" s="420"/>
      <c r="BH141" s="423"/>
      <c r="BI141" s="420"/>
      <c r="BJ141" s="420"/>
      <c r="BK141" s="420"/>
      <c r="BL141" s="420"/>
      <c r="BM141" s="420"/>
      <c r="BN141" s="420"/>
      <c r="BO141" s="419"/>
      <c r="BP141" s="428"/>
      <c r="BQ141" s="420"/>
      <c r="BR141" s="423"/>
      <c r="BS141" s="423"/>
      <c r="BT141" s="420"/>
      <c r="BU141" s="420"/>
      <c r="BV141" s="420"/>
      <c r="BW141" s="420"/>
      <c r="BX141" s="429"/>
      <c r="BY141" s="419"/>
      <c r="BZ141" s="419"/>
      <c r="CA141" s="419"/>
      <c r="CB141" s="420"/>
      <c r="CC141" s="430"/>
      <c r="CD141" s="419"/>
      <c r="CE141" s="419"/>
      <c r="CF141" s="419"/>
      <c r="CG141" s="420"/>
      <c r="CH141" s="423"/>
      <c r="CI141" s="432"/>
      <c r="CJ141" s="432"/>
      <c r="CK141" s="432"/>
      <c r="CL141" s="420"/>
      <c r="CM141" s="423"/>
      <c r="CN141" s="420"/>
      <c r="CO141" s="420"/>
      <c r="CP141" s="420"/>
      <c r="CQ141" s="432"/>
      <c r="CR141" s="432"/>
      <c r="CS141" s="420"/>
      <c r="CT141" s="420"/>
      <c r="CU141" s="420"/>
      <c r="CV141" s="420"/>
      <c r="CW141" s="420"/>
      <c r="CX141" s="419"/>
      <c r="CY141" s="419"/>
      <c r="CZ141" s="419"/>
      <c r="DA141" s="419"/>
      <c r="DB141" s="419"/>
      <c r="DC141" s="419"/>
      <c r="DD141" s="419"/>
      <c r="DE141" s="419"/>
      <c r="DF141" s="420">
        <f t="shared" si="178"/>
        <v>0</v>
      </c>
      <c r="DG141" s="421">
        <f t="shared" si="179"/>
        <v>0</v>
      </c>
      <c r="DH141" s="419"/>
      <c r="DI141" s="419"/>
      <c r="DJ141" s="419"/>
      <c r="DK141" s="420">
        <f t="shared" si="180"/>
        <v>0</v>
      </c>
      <c r="DL141" s="422">
        <f t="shared" si="181"/>
        <v>0</v>
      </c>
      <c r="DM141" s="420"/>
      <c r="DN141" s="420"/>
      <c r="DO141" s="420"/>
      <c r="DP141" s="420">
        <f t="shared" si="182"/>
        <v>0</v>
      </c>
      <c r="DQ141" s="420">
        <f t="shared" si="183"/>
        <v>0</v>
      </c>
      <c r="DR141" s="419"/>
      <c r="DS141" s="419"/>
      <c r="DT141" s="419"/>
      <c r="DU141" s="420">
        <f t="shared" si="184"/>
        <v>0</v>
      </c>
      <c r="DV141" s="423">
        <f t="shared" si="185"/>
        <v>0</v>
      </c>
      <c r="DW141" s="419"/>
      <c r="DX141" s="419"/>
      <c r="DY141" s="419"/>
      <c r="DZ141" s="420">
        <f t="shared" si="186"/>
        <v>0</v>
      </c>
      <c r="EA141" s="423">
        <f t="shared" si="187"/>
        <v>0</v>
      </c>
      <c r="EB141" s="420"/>
      <c r="EC141" s="419"/>
      <c r="ED141" s="420"/>
      <c r="EE141" s="419"/>
      <c r="EF141" s="420">
        <f t="shared" si="188"/>
        <v>0</v>
      </c>
      <c r="EG141" s="419"/>
      <c r="EH141" s="419"/>
      <c r="EI141" s="419"/>
      <c r="EJ141" s="420">
        <f t="shared" si="189"/>
        <v>0</v>
      </c>
      <c r="EK141" s="420">
        <f t="shared" si="190"/>
        <v>0</v>
      </c>
      <c r="EL141" s="419"/>
      <c r="EM141" s="419"/>
      <c r="EN141" s="419"/>
      <c r="EO141" s="419">
        <f t="shared" si="191"/>
        <v>0</v>
      </c>
      <c r="EP141" s="419">
        <f t="shared" si="192"/>
        <v>0</v>
      </c>
      <c r="EQ141" s="419"/>
      <c r="ER141" s="419"/>
      <c r="ES141" s="419"/>
      <c r="ET141" s="419">
        <f t="shared" si="193"/>
        <v>0</v>
      </c>
      <c r="EU141" s="419">
        <f t="shared" si="194"/>
        <v>0</v>
      </c>
      <c r="EV141" s="419"/>
      <c r="EW141" s="419"/>
      <c r="EX141" s="419"/>
      <c r="EY141" s="419">
        <f t="shared" si="195"/>
        <v>0</v>
      </c>
      <c r="EZ141" s="419">
        <f t="shared" si="215"/>
        <v>0</v>
      </c>
      <c r="FA141" s="420"/>
      <c r="FB141" s="420"/>
      <c r="FC141" s="420"/>
      <c r="FD141" s="420">
        <f t="shared" si="196"/>
        <v>0</v>
      </c>
      <c r="FE141" s="420">
        <f t="shared" si="197"/>
        <v>0</v>
      </c>
      <c r="FF141" s="419"/>
      <c r="FG141" s="419"/>
      <c r="FH141" s="419"/>
      <c r="FI141" s="419">
        <f t="shared" si="198"/>
        <v>0</v>
      </c>
      <c r="FJ141" s="419">
        <f t="shared" si="199"/>
        <v>0</v>
      </c>
      <c r="FK141" s="419"/>
      <c r="FL141" s="419"/>
      <c r="FM141" s="419"/>
      <c r="FN141" s="420">
        <f t="shared" si="200"/>
        <v>0</v>
      </c>
      <c r="FO141" s="423">
        <f t="shared" si="201"/>
        <v>0</v>
      </c>
      <c r="FP141" s="419"/>
      <c r="FQ141" s="419"/>
      <c r="FR141" s="419"/>
      <c r="FS141" s="420">
        <f t="shared" si="202"/>
        <v>0</v>
      </c>
      <c r="FT141" s="420">
        <f t="shared" si="203"/>
        <v>0</v>
      </c>
      <c r="FU141" s="419"/>
      <c r="FV141" s="419"/>
      <c r="FW141" s="419"/>
      <c r="FX141" s="420">
        <f t="shared" si="204"/>
        <v>0</v>
      </c>
      <c r="FY141" s="420">
        <f t="shared" si="205"/>
        <v>0</v>
      </c>
      <c r="FZ141" s="419"/>
      <c r="GA141" s="419"/>
      <c r="GB141" s="419"/>
      <c r="GC141" s="420">
        <f t="shared" si="206"/>
        <v>0</v>
      </c>
      <c r="GD141" s="420">
        <f t="shared" si="207"/>
        <v>0</v>
      </c>
      <c r="GE141" s="419"/>
      <c r="GF141" s="419"/>
      <c r="GG141" s="419"/>
      <c r="GH141" s="420">
        <f t="shared" si="208"/>
        <v>0</v>
      </c>
      <c r="GI141" s="423">
        <f t="shared" si="209"/>
        <v>0</v>
      </c>
      <c r="GJ141" s="419">
        <v>6433153.3600000003</v>
      </c>
      <c r="GK141" s="419"/>
      <c r="GL141" s="419">
        <v>578983.81000000006</v>
      </c>
      <c r="GM141" s="420">
        <f t="shared" si="210"/>
        <v>6433153.4444444403</v>
      </c>
      <c r="GN141" s="420">
        <f t="shared" si="211"/>
        <v>8.4444444626569706E-2</v>
      </c>
      <c r="GO141" s="419">
        <v>2284309.2200000002</v>
      </c>
      <c r="GP141" s="419"/>
      <c r="GQ141" s="419">
        <v>205587.83</v>
      </c>
      <c r="GR141" s="420">
        <f t="shared" si="216"/>
        <v>2284309.2222222202</v>
      </c>
      <c r="GS141" s="423">
        <f t="shared" si="212"/>
        <v>2.2222218103706802E-3</v>
      </c>
      <c r="GT141" s="419"/>
      <c r="GU141" s="419"/>
      <c r="GV141" s="419"/>
      <c r="GW141" s="420">
        <f t="shared" si="213"/>
        <v>0</v>
      </c>
      <c r="GX141" s="420">
        <f t="shared" si="214"/>
        <v>0</v>
      </c>
    </row>
    <row r="142" spans="1:206" ht="15">
      <c r="A142" s="414"/>
      <c r="B142" s="415" t="s">
        <v>222</v>
      </c>
      <c r="C142" s="698"/>
      <c r="D142" s="707"/>
      <c r="E142" s="434" t="s">
        <v>125</v>
      </c>
      <c r="F142" s="417">
        <v>0.06</v>
      </c>
      <c r="G142" s="418">
        <f t="shared" si="173"/>
        <v>7647168.7800000003</v>
      </c>
      <c r="H142" s="418">
        <f t="shared" si="174"/>
        <v>8466879.75</v>
      </c>
      <c r="I142" s="418">
        <f t="shared" si="174"/>
        <v>458830.11499999999</v>
      </c>
      <c r="J142" s="418">
        <f t="shared" si="175"/>
        <v>7647168.5833333302</v>
      </c>
      <c r="K142" s="418">
        <f t="shared" si="171"/>
        <v>-819711.16666666698</v>
      </c>
      <c r="L142" s="418">
        <f t="shared" si="172"/>
        <v>-0.19666666630655499</v>
      </c>
      <c r="M142" s="424"/>
      <c r="N142" s="424"/>
      <c r="O142" s="424"/>
      <c r="P142" s="424"/>
      <c r="Q142" s="419"/>
      <c r="R142" s="419"/>
      <c r="S142" s="419"/>
      <c r="T142" s="420"/>
      <c r="U142" s="423"/>
      <c r="V142" s="420"/>
      <c r="W142" s="420"/>
      <c r="X142" s="419"/>
      <c r="Y142" s="419"/>
      <c r="Z142" s="423"/>
      <c r="AA142" s="423"/>
      <c r="AB142" s="419"/>
      <c r="AC142" s="423"/>
      <c r="AD142" s="420"/>
      <c r="AE142" s="423"/>
      <c r="AF142" s="444"/>
      <c r="AG142" s="419"/>
      <c r="AH142" s="420"/>
      <c r="AI142" s="420"/>
      <c r="AJ142" s="423"/>
      <c r="AK142" s="444"/>
      <c r="AL142" s="420"/>
      <c r="AM142" s="420"/>
      <c r="AN142" s="420"/>
      <c r="AO142" s="423"/>
      <c r="AP142" s="420"/>
      <c r="AQ142" s="419"/>
      <c r="AR142" s="420"/>
      <c r="AS142" s="420"/>
      <c r="AT142" s="420"/>
      <c r="AU142" s="420"/>
      <c r="AV142" s="420"/>
      <c r="AW142" s="420"/>
      <c r="AX142" s="426"/>
      <c r="AY142" s="420"/>
      <c r="AZ142" s="420"/>
      <c r="BA142" s="420"/>
      <c r="BB142" s="419"/>
      <c r="BC142" s="420"/>
      <c r="BD142" s="427"/>
      <c r="BE142" s="420"/>
      <c r="BF142" s="420"/>
      <c r="BG142" s="420"/>
      <c r="BH142" s="423"/>
      <c r="BI142" s="420"/>
      <c r="BJ142" s="420"/>
      <c r="BK142" s="420"/>
      <c r="BL142" s="420"/>
      <c r="BM142" s="420"/>
      <c r="BN142" s="420"/>
      <c r="BO142" s="419"/>
      <c r="BP142" s="428"/>
      <c r="BQ142" s="420"/>
      <c r="BR142" s="423"/>
      <c r="BS142" s="423"/>
      <c r="BT142" s="420"/>
      <c r="BU142" s="420"/>
      <c r="BV142" s="420"/>
      <c r="BW142" s="420"/>
      <c r="BX142" s="429"/>
      <c r="BY142" s="419"/>
      <c r="BZ142" s="419"/>
      <c r="CA142" s="419"/>
      <c r="CB142" s="420"/>
      <c r="CC142" s="430"/>
      <c r="CD142" s="419"/>
      <c r="CE142" s="419"/>
      <c r="CF142" s="419"/>
      <c r="CG142" s="420"/>
      <c r="CH142" s="423"/>
      <c r="CI142" s="432"/>
      <c r="CJ142" s="432"/>
      <c r="CK142" s="432"/>
      <c r="CL142" s="420"/>
      <c r="CM142" s="423"/>
      <c r="CN142" s="420"/>
      <c r="CO142" s="420"/>
      <c r="CP142" s="420"/>
      <c r="CQ142" s="432"/>
      <c r="CR142" s="432"/>
      <c r="CS142" s="420"/>
      <c r="CT142" s="420"/>
      <c r="CU142" s="420"/>
      <c r="CV142" s="420"/>
      <c r="CW142" s="420"/>
      <c r="CX142" s="419"/>
      <c r="CY142" s="419"/>
      <c r="CZ142" s="419"/>
      <c r="DA142" s="419"/>
      <c r="DB142" s="419"/>
      <c r="DC142" s="419">
        <v>157771.9</v>
      </c>
      <c r="DD142" s="419"/>
      <c r="DE142" s="419">
        <v>9466.31</v>
      </c>
      <c r="DF142" s="420">
        <f t="shared" si="178"/>
        <v>157771.83333333299</v>
      </c>
      <c r="DG142" s="421">
        <f t="shared" si="179"/>
        <v>6.6666666651144596E-2</v>
      </c>
      <c r="DH142" s="419">
        <v>291856.77</v>
      </c>
      <c r="DI142" s="419"/>
      <c r="DJ142" s="419">
        <v>17511.41</v>
      </c>
      <c r="DK142" s="420">
        <f t="shared" si="180"/>
        <v>291856.83333333302</v>
      </c>
      <c r="DL142" s="422">
        <f t="shared" si="181"/>
        <v>6.33333332953043E-2</v>
      </c>
      <c r="DM142" s="420">
        <v>30416.01</v>
      </c>
      <c r="DN142" s="420"/>
      <c r="DO142" s="420">
        <v>1824.96</v>
      </c>
      <c r="DP142" s="420">
        <f t="shared" si="182"/>
        <v>30416</v>
      </c>
      <c r="DQ142" s="420">
        <f t="shared" si="183"/>
        <v>-9.9999999983992893E-3</v>
      </c>
      <c r="DR142" s="419">
        <v>26713.45</v>
      </c>
      <c r="DS142" s="419"/>
      <c r="DT142" s="419">
        <v>1602.81</v>
      </c>
      <c r="DU142" s="420">
        <f t="shared" si="184"/>
        <v>26713.5</v>
      </c>
      <c r="DV142" s="423">
        <f t="shared" si="185"/>
        <v>4.9999999999272397E-2</v>
      </c>
      <c r="DW142" s="419">
        <v>28664.06</v>
      </c>
      <c r="DX142" s="419"/>
      <c r="DY142" s="419">
        <v>1719.84</v>
      </c>
      <c r="DZ142" s="420">
        <f t="shared" si="186"/>
        <v>28664</v>
      </c>
      <c r="EA142" s="423">
        <f t="shared" si="187"/>
        <v>-0.06</v>
      </c>
      <c r="EB142" s="419">
        <v>2056050.75</v>
      </c>
      <c r="EC142" s="419"/>
      <c r="ED142" s="420">
        <v>123363.045</v>
      </c>
      <c r="EE142" s="419">
        <v>2056050.75</v>
      </c>
      <c r="EF142" s="420">
        <f t="shared" si="188"/>
        <v>0</v>
      </c>
      <c r="EG142" s="419">
        <v>577137.96</v>
      </c>
      <c r="EI142" s="419">
        <v>34628.28</v>
      </c>
      <c r="EJ142" s="420">
        <f t="shared" si="189"/>
        <v>577138</v>
      </c>
      <c r="EK142" s="420">
        <f t="shared" si="190"/>
        <v>0.04</v>
      </c>
      <c r="EL142" s="419">
        <v>28512.07</v>
      </c>
      <c r="EN142" s="419">
        <v>1710.72</v>
      </c>
      <c r="EO142" s="419">
        <f t="shared" si="191"/>
        <v>28512</v>
      </c>
      <c r="EP142" s="419">
        <f t="shared" si="192"/>
        <v>-7.0000000000000007E-2</v>
      </c>
      <c r="EQ142" s="419">
        <v>885376.71</v>
      </c>
      <c r="ER142" s="419">
        <v>4062571.06</v>
      </c>
      <c r="ES142" s="419">
        <v>53122.61</v>
      </c>
      <c r="ET142" s="419">
        <f t="shared" si="193"/>
        <v>885376.83</v>
      </c>
      <c r="EU142" s="419">
        <f t="shared" si="194"/>
        <v>0.12</v>
      </c>
      <c r="EV142" s="419">
        <v>21046.57</v>
      </c>
      <c r="EW142" s="419"/>
      <c r="EX142" s="419">
        <v>1262.79</v>
      </c>
      <c r="EY142" s="419">
        <f t="shared" si="195"/>
        <v>21046.5</v>
      </c>
      <c r="EZ142" s="419">
        <f t="shared" si="215"/>
        <v>-7.0000000000000007E-2</v>
      </c>
      <c r="FA142" s="420"/>
      <c r="FB142" s="420"/>
      <c r="FC142" s="420"/>
      <c r="FD142" s="420">
        <f t="shared" si="196"/>
        <v>0</v>
      </c>
      <c r="FE142" s="420">
        <f t="shared" si="197"/>
        <v>0</v>
      </c>
      <c r="FF142" s="419">
        <v>1000825.45</v>
      </c>
      <c r="FG142" s="419"/>
      <c r="FH142" s="419">
        <v>60049.53</v>
      </c>
      <c r="FI142" s="419">
        <f t="shared" si="198"/>
        <v>1000825.5</v>
      </c>
      <c r="FJ142" s="419">
        <f t="shared" si="199"/>
        <v>0.05</v>
      </c>
      <c r="FK142" s="419">
        <v>133960.35999999999</v>
      </c>
      <c r="FL142" s="419"/>
      <c r="FM142" s="419">
        <v>8037.63</v>
      </c>
      <c r="FN142" s="420">
        <f t="shared" si="200"/>
        <v>133960.5</v>
      </c>
      <c r="FO142" s="423">
        <f t="shared" si="201"/>
        <v>0.14000000000000001</v>
      </c>
      <c r="FP142" s="431">
        <v>321407.40000000002</v>
      </c>
      <c r="FQ142" s="431">
        <v>0</v>
      </c>
      <c r="FR142" s="431">
        <v>19284.45</v>
      </c>
      <c r="FS142" s="420">
        <f t="shared" si="202"/>
        <v>321407.5</v>
      </c>
      <c r="FT142" s="420">
        <f t="shared" si="203"/>
        <v>9.9999999976716894E-2</v>
      </c>
      <c r="FU142" s="419">
        <v>57728.12</v>
      </c>
      <c r="FV142" s="419">
        <v>87028.31</v>
      </c>
      <c r="FW142" s="419">
        <v>3463.68</v>
      </c>
      <c r="FX142" s="420">
        <f t="shared" si="204"/>
        <v>57728</v>
      </c>
      <c r="FY142" s="420">
        <f t="shared" si="205"/>
        <v>-0.120000000002619</v>
      </c>
      <c r="FZ142" s="419">
        <v>44672.29</v>
      </c>
      <c r="GA142" s="419"/>
      <c r="GB142" s="419">
        <v>2680.33</v>
      </c>
      <c r="GC142" s="420">
        <f t="shared" si="206"/>
        <v>44672.17</v>
      </c>
      <c r="GD142" s="420">
        <f t="shared" si="207"/>
        <v>-0.120000000002619</v>
      </c>
      <c r="GE142" s="419">
        <v>1569892.88</v>
      </c>
      <c r="GF142" s="419">
        <v>4317280.38</v>
      </c>
      <c r="GG142" s="419">
        <v>94193.56</v>
      </c>
      <c r="GH142" s="420">
        <f t="shared" si="208"/>
        <v>1569892.66666667</v>
      </c>
      <c r="GI142" s="423">
        <f t="shared" si="209"/>
        <v>-0.21333333314396399</v>
      </c>
      <c r="GJ142" s="437">
        <v>100822.84</v>
      </c>
      <c r="GK142" s="419"/>
      <c r="GL142" s="419">
        <v>6049.37</v>
      </c>
      <c r="GM142" s="420">
        <f t="shared" si="210"/>
        <v>100822.83333333299</v>
      </c>
      <c r="GN142" s="420">
        <f t="shared" si="211"/>
        <v>-6.6666666680248498E-3</v>
      </c>
      <c r="GO142" s="419">
        <v>68532.22</v>
      </c>
      <c r="GP142" s="419"/>
      <c r="GQ142" s="419">
        <v>4111.93</v>
      </c>
      <c r="GR142" s="420">
        <f t="shared" si="216"/>
        <v>68532.166666666701</v>
      </c>
      <c r="GS142" s="423">
        <f t="shared" si="212"/>
        <v>-5.33333333296468E-2</v>
      </c>
      <c r="GT142" s="419">
        <v>245780.97</v>
      </c>
      <c r="GU142" s="419"/>
      <c r="GV142" s="419">
        <v>14746.86</v>
      </c>
      <c r="GW142" s="420">
        <f t="shared" si="213"/>
        <v>245781</v>
      </c>
      <c r="GX142" s="420">
        <f t="shared" si="214"/>
        <v>2.9999999998835802E-2</v>
      </c>
    </row>
    <row r="143" spans="1:206" ht="15">
      <c r="A143" s="414"/>
      <c r="B143" s="415" t="s">
        <v>222</v>
      </c>
      <c r="C143" s="698"/>
      <c r="D143" s="704" t="s">
        <v>152</v>
      </c>
      <c r="E143" s="434" t="s">
        <v>123</v>
      </c>
      <c r="F143" s="417">
        <v>0.13</v>
      </c>
      <c r="G143" s="418">
        <f t="shared" si="173"/>
        <v>0</v>
      </c>
      <c r="H143" s="418">
        <f t="shared" si="174"/>
        <v>0</v>
      </c>
      <c r="I143" s="418">
        <f t="shared" si="174"/>
        <v>0</v>
      </c>
      <c r="J143" s="418">
        <f t="shared" si="175"/>
        <v>0</v>
      </c>
      <c r="K143" s="418">
        <f t="shared" si="171"/>
        <v>0</v>
      </c>
      <c r="L143" s="418">
        <f t="shared" si="172"/>
        <v>0</v>
      </c>
      <c r="M143" s="424"/>
      <c r="N143" s="424"/>
      <c r="O143" s="424"/>
      <c r="P143" s="424"/>
      <c r="Q143" s="419"/>
      <c r="R143" s="419"/>
      <c r="S143" s="419"/>
      <c r="T143" s="420"/>
      <c r="U143" s="423"/>
      <c r="V143" s="420"/>
      <c r="W143" s="420"/>
      <c r="X143" s="419"/>
      <c r="Y143" s="419"/>
      <c r="Z143" s="423"/>
      <c r="AA143" s="423"/>
      <c r="AB143" s="419"/>
      <c r="AC143" s="423"/>
      <c r="AD143" s="420"/>
      <c r="AE143" s="423"/>
      <c r="AF143" s="444"/>
      <c r="AG143" s="419"/>
      <c r="AH143" s="420"/>
      <c r="AI143" s="420"/>
      <c r="AJ143" s="423"/>
      <c r="AK143" s="444"/>
      <c r="AL143" s="420"/>
      <c r="AM143" s="420"/>
      <c r="AN143" s="420"/>
      <c r="AO143" s="423"/>
      <c r="AP143" s="420"/>
      <c r="AQ143" s="419"/>
      <c r="AR143" s="420"/>
      <c r="AS143" s="420"/>
      <c r="AT143" s="420"/>
      <c r="AU143" s="420"/>
      <c r="AV143" s="420"/>
      <c r="AW143" s="420"/>
      <c r="AX143" s="426"/>
      <c r="AY143" s="420"/>
      <c r="AZ143" s="420"/>
      <c r="BA143" s="420"/>
      <c r="BB143" s="419"/>
      <c r="BC143" s="420"/>
      <c r="BD143" s="427"/>
      <c r="BE143" s="420"/>
      <c r="BF143" s="420"/>
      <c r="BG143" s="420"/>
      <c r="BH143" s="423"/>
      <c r="BI143" s="420"/>
      <c r="BJ143" s="420"/>
      <c r="BK143" s="420"/>
      <c r="BL143" s="420"/>
      <c r="BM143" s="420"/>
      <c r="BN143" s="420"/>
      <c r="BO143" s="419"/>
      <c r="BP143" s="428"/>
      <c r="BQ143" s="420"/>
      <c r="BR143" s="423"/>
      <c r="BS143" s="423"/>
      <c r="BT143" s="420"/>
      <c r="BU143" s="420"/>
      <c r="BV143" s="420"/>
      <c r="BW143" s="420"/>
      <c r="BX143" s="429"/>
      <c r="BY143" s="419"/>
      <c r="BZ143" s="419"/>
      <c r="CA143" s="419"/>
      <c r="CB143" s="420"/>
      <c r="CC143" s="430"/>
      <c r="CD143" s="419"/>
      <c r="CE143" s="419"/>
      <c r="CF143" s="419"/>
      <c r="CG143" s="420"/>
      <c r="CH143" s="423"/>
      <c r="CI143" s="432"/>
      <c r="CJ143" s="432"/>
      <c r="CK143" s="432"/>
      <c r="CL143" s="420"/>
      <c r="CM143" s="423"/>
      <c r="CN143" s="420"/>
      <c r="CO143" s="420"/>
      <c r="CP143" s="420"/>
      <c r="CQ143" s="432"/>
      <c r="CR143" s="432"/>
      <c r="CS143" s="420"/>
      <c r="CT143" s="420"/>
      <c r="CU143" s="420"/>
      <c r="CV143" s="420"/>
      <c r="CW143" s="420"/>
      <c r="CX143" s="419"/>
      <c r="CY143" s="419"/>
      <c r="CZ143" s="419"/>
      <c r="DA143" s="419"/>
      <c r="DB143" s="419"/>
      <c r="DC143" s="419"/>
      <c r="DD143" s="419"/>
      <c r="DE143" s="419"/>
      <c r="DF143" s="420">
        <f t="shared" si="178"/>
        <v>0</v>
      </c>
      <c r="DG143" s="421">
        <f t="shared" si="179"/>
        <v>0</v>
      </c>
      <c r="DH143" s="419"/>
      <c r="DI143" s="419"/>
      <c r="DJ143" s="419"/>
      <c r="DK143" s="420">
        <f t="shared" si="180"/>
        <v>0</v>
      </c>
      <c r="DL143" s="422">
        <f t="shared" si="181"/>
        <v>0</v>
      </c>
      <c r="DM143" s="420"/>
      <c r="DN143" s="420"/>
      <c r="DO143" s="420"/>
      <c r="DP143" s="420">
        <f t="shared" si="182"/>
        <v>0</v>
      </c>
      <c r="DQ143" s="420">
        <f t="shared" si="183"/>
        <v>0</v>
      </c>
      <c r="DR143" s="419"/>
      <c r="DS143" s="419"/>
      <c r="DT143" s="419"/>
      <c r="DU143" s="420">
        <f t="shared" si="184"/>
        <v>0</v>
      </c>
      <c r="DV143" s="423">
        <f t="shared" si="185"/>
        <v>0</v>
      </c>
      <c r="DW143" s="419"/>
      <c r="DX143" s="419"/>
      <c r="DY143" s="419"/>
      <c r="DZ143" s="420">
        <f t="shared" si="186"/>
        <v>0</v>
      </c>
      <c r="EA143" s="423">
        <f t="shared" si="187"/>
        <v>0</v>
      </c>
      <c r="EB143" s="419"/>
      <c r="EC143" s="419"/>
      <c r="ED143" s="420"/>
      <c r="EE143" s="419"/>
      <c r="EF143" s="420">
        <f t="shared" si="188"/>
        <v>0</v>
      </c>
      <c r="EG143" s="419"/>
      <c r="EH143" s="419"/>
      <c r="EI143" s="419"/>
      <c r="EJ143" s="420">
        <f t="shared" si="189"/>
        <v>0</v>
      </c>
      <c r="EK143" s="420">
        <f t="shared" si="190"/>
        <v>0</v>
      </c>
      <c r="EL143" s="419"/>
      <c r="EM143" s="419"/>
      <c r="EN143" s="419"/>
      <c r="EO143" s="419">
        <f t="shared" si="191"/>
        <v>0</v>
      </c>
      <c r="EP143" s="419">
        <f t="shared" si="192"/>
        <v>0</v>
      </c>
      <c r="EQ143" s="419"/>
      <c r="ER143" s="419"/>
      <c r="ES143" s="419"/>
      <c r="ET143" s="419">
        <f t="shared" si="193"/>
        <v>0</v>
      </c>
      <c r="EU143" s="419">
        <f t="shared" si="194"/>
        <v>0</v>
      </c>
      <c r="EV143" s="419"/>
      <c r="EW143" s="419"/>
      <c r="EX143" s="419"/>
      <c r="EY143" s="419">
        <f t="shared" si="195"/>
        <v>0</v>
      </c>
      <c r="EZ143" s="419">
        <f t="shared" si="215"/>
        <v>0</v>
      </c>
      <c r="FA143" s="420"/>
      <c r="FB143" s="420"/>
      <c r="FC143" s="420"/>
      <c r="FD143" s="420">
        <f t="shared" si="196"/>
        <v>0</v>
      </c>
      <c r="FE143" s="420">
        <f t="shared" si="197"/>
        <v>0</v>
      </c>
      <c r="FF143" s="419"/>
      <c r="FG143" s="419"/>
      <c r="FH143" s="419"/>
      <c r="FI143" s="419">
        <f t="shared" si="198"/>
        <v>0</v>
      </c>
      <c r="FJ143" s="419">
        <f t="shared" si="199"/>
        <v>0</v>
      </c>
      <c r="FK143" s="419"/>
      <c r="FL143" s="419"/>
      <c r="FM143" s="419"/>
      <c r="FN143" s="420">
        <f t="shared" si="200"/>
        <v>0</v>
      </c>
      <c r="FO143" s="423">
        <f t="shared" si="201"/>
        <v>0</v>
      </c>
      <c r="FP143" s="419"/>
      <c r="FQ143" s="419"/>
      <c r="FR143" s="419"/>
      <c r="FS143" s="420">
        <f t="shared" si="202"/>
        <v>0</v>
      </c>
      <c r="FT143" s="420">
        <f t="shared" si="203"/>
        <v>0</v>
      </c>
      <c r="FU143" s="419"/>
      <c r="FV143" s="419"/>
      <c r="FW143" s="419"/>
      <c r="FX143" s="420">
        <f t="shared" si="204"/>
        <v>0</v>
      </c>
      <c r="FY143" s="420">
        <f t="shared" si="205"/>
        <v>0</v>
      </c>
      <c r="FZ143" s="419"/>
      <c r="GA143" s="419"/>
      <c r="GB143" s="419"/>
      <c r="GC143" s="420">
        <f t="shared" si="206"/>
        <v>0</v>
      </c>
      <c r="GD143" s="420">
        <f t="shared" si="207"/>
        <v>0</v>
      </c>
      <c r="GE143" s="419"/>
      <c r="GF143" s="419"/>
      <c r="GG143" s="419"/>
      <c r="GH143" s="420">
        <f t="shared" si="208"/>
        <v>0</v>
      </c>
      <c r="GI143" s="423">
        <f t="shared" si="209"/>
        <v>0</v>
      </c>
      <c r="GJ143" s="419"/>
      <c r="GK143" s="419"/>
      <c r="GL143" s="419"/>
      <c r="GM143" s="420">
        <f t="shared" si="210"/>
        <v>0</v>
      </c>
      <c r="GN143" s="420">
        <f t="shared" si="211"/>
        <v>0</v>
      </c>
      <c r="GO143" s="419"/>
      <c r="GP143" s="419"/>
      <c r="GQ143" s="419"/>
      <c r="GR143" s="420">
        <f t="shared" si="216"/>
        <v>0</v>
      </c>
      <c r="GS143" s="423">
        <f t="shared" si="212"/>
        <v>0</v>
      </c>
      <c r="GT143" s="419"/>
      <c r="GU143" s="419"/>
      <c r="GV143" s="419"/>
      <c r="GW143" s="420">
        <f t="shared" si="213"/>
        <v>0</v>
      </c>
      <c r="GX143" s="420">
        <f t="shared" si="214"/>
        <v>0</v>
      </c>
    </row>
    <row r="144" spans="1:206" ht="15">
      <c r="A144" s="414"/>
      <c r="B144" s="415" t="s">
        <v>222</v>
      </c>
      <c r="C144" s="698"/>
      <c r="D144" s="706"/>
      <c r="E144" s="434" t="s">
        <v>124</v>
      </c>
      <c r="F144" s="417">
        <v>0.09</v>
      </c>
      <c r="G144" s="418">
        <f t="shared" si="173"/>
        <v>416236.45</v>
      </c>
      <c r="H144" s="418">
        <f t="shared" si="174"/>
        <v>5486929.25</v>
      </c>
      <c r="I144" s="418">
        <f t="shared" si="174"/>
        <v>37461.279999999999</v>
      </c>
      <c r="J144" s="418">
        <f t="shared" si="175"/>
        <v>416236.44444444397</v>
      </c>
      <c r="K144" s="418">
        <f t="shared" si="171"/>
        <v>-5070692.8055555597</v>
      </c>
      <c r="L144" s="418">
        <f t="shared" si="172"/>
        <v>-5.55555557366461E-3</v>
      </c>
      <c r="M144" s="424"/>
      <c r="N144" s="424"/>
      <c r="O144" s="424"/>
      <c r="P144" s="424"/>
      <c r="Q144" s="419"/>
      <c r="R144" s="419"/>
      <c r="S144" s="419"/>
      <c r="T144" s="420"/>
      <c r="U144" s="423"/>
      <c r="V144" s="420"/>
      <c r="W144" s="420"/>
      <c r="X144" s="419"/>
      <c r="Y144" s="419"/>
      <c r="Z144" s="423"/>
      <c r="AA144" s="423"/>
      <c r="AB144" s="419"/>
      <c r="AC144" s="423"/>
      <c r="AD144" s="420"/>
      <c r="AE144" s="423"/>
      <c r="AF144" s="444"/>
      <c r="AG144" s="419"/>
      <c r="AH144" s="420"/>
      <c r="AI144" s="420"/>
      <c r="AJ144" s="423"/>
      <c r="AK144" s="444"/>
      <c r="AL144" s="420"/>
      <c r="AM144" s="420"/>
      <c r="AN144" s="420"/>
      <c r="AO144" s="423"/>
      <c r="AP144" s="420"/>
      <c r="AQ144" s="419"/>
      <c r="AR144" s="420"/>
      <c r="AS144" s="420"/>
      <c r="AT144" s="420"/>
      <c r="AU144" s="420"/>
      <c r="AV144" s="420"/>
      <c r="AW144" s="420"/>
      <c r="AX144" s="426"/>
      <c r="AY144" s="420"/>
      <c r="AZ144" s="420"/>
      <c r="BA144" s="420"/>
      <c r="BB144" s="419"/>
      <c r="BC144" s="420"/>
      <c r="BD144" s="427"/>
      <c r="BE144" s="420"/>
      <c r="BF144" s="420"/>
      <c r="BG144" s="420"/>
      <c r="BH144" s="423"/>
      <c r="BI144" s="420"/>
      <c r="BJ144" s="420"/>
      <c r="BK144" s="420"/>
      <c r="BL144" s="420"/>
      <c r="BM144" s="420"/>
      <c r="BN144" s="420"/>
      <c r="BO144" s="419"/>
      <c r="BP144" s="428"/>
      <c r="BQ144" s="420"/>
      <c r="BR144" s="423"/>
      <c r="BS144" s="423"/>
      <c r="BT144" s="420"/>
      <c r="BU144" s="420"/>
      <c r="BV144" s="420"/>
      <c r="BW144" s="420"/>
      <c r="BX144" s="429"/>
      <c r="BY144" s="419"/>
      <c r="BZ144" s="419"/>
      <c r="CA144" s="419"/>
      <c r="CB144" s="420"/>
      <c r="CC144" s="430"/>
      <c r="CD144" s="419"/>
      <c r="CE144" s="419"/>
      <c r="CF144" s="419"/>
      <c r="CG144" s="420"/>
      <c r="CH144" s="423"/>
      <c r="CI144" s="432"/>
      <c r="CJ144" s="432"/>
      <c r="CK144" s="432"/>
      <c r="CL144" s="420"/>
      <c r="CM144" s="423"/>
      <c r="CN144" s="420"/>
      <c r="CO144" s="420"/>
      <c r="CP144" s="420"/>
      <c r="CQ144" s="432"/>
      <c r="CR144" s="432"/>
      <c r="CS144" s="420"/>
      <c r="CT144" s="420"/>
      <c r="CU144" s="420"/>
      <c r="CV144" s="420"/>
      <c r="CW144" s="420"/>
      <c r="CX144" s="419"/>
      <c r="CY144" s="419"/>
      <c r="CZ144" s="419"/>
      <c r="DA144" s="419"/>
      <c r="DB144" s="419"/>
      <c r="DC144" s="419"/>
      <c r="DD144" s="419"/>
      <c r="DE144" s="419"/>
      <c r="DF144" s="420">
        <f t="shared" si="178"/>
        <v>0</v>
      </c>
      <c r="DG144" s="421">
        <f t="shared" si="179"/>
        <v>0</v>
      </c>
      <c r="DH144" s="419"/>
      <c r="DI144" s="419"/>
      <c r="DJ144" s="419"/>
      <c r="DK144" s="420">
        <f t="shared" si="180"/>
        <v>0</v>
      </c>
      <c r="DL144" s="422">
        <f t="shared" si="181"/>
        <v>0</v>
      </c>
      <c r="DM144" s="420"/>
      <c r="DN144" s="420"/>
      <c r="DO144" s="420"/>
      <c r="DP144" s="420">
        <f t="shared" si="182"/>
        <v>0</v>
      </c>
      <c r="DQ144" s="420">
        <f t="shared" si="183"/>
        <v>0</v>
      </c>
      <c r="DR144" s="419"/>
      <c r="DS144" s="419"/>
      <c r="DT144" s="419"/>
      <c r="DU144" s="420">
        <f t="shared" si="184"/>
        <v>0</v>
      </c>
      <c r="DV144" s="423">
        <f t="shared" si="185"/>
        <v>0</v>
      </c>
      <c r="DW144" s="419"/>
      <c r="DX144" s="419"/>
      <c r="DY144" s="419"/>
      <c r="DZ144" s="420">
        <f t="shared" si="186"/>
        <v>0</v>
      </c>
      <c r="EA144" s="423">
        <f t="shared" si="187"/>
        <v>0</v>
      </c>
      <c r="EB144" s="420"/>
      <c r="EC144" s="419"/>
      <c r="ED144" s="420"/>
      <c r="EE144" s="419"/>
      <c r="EF144" s="420">
        <f t="shared" si="188"/>
        <v>0</v>
      </c>
      <c r="EG144" s="419"/>
      <c r="EH144" s="419"/>
      <c r="EI144" s="419"/>
      <c r="EJ144" s="420">
        <f t="shared" si="189"/>
        <v>0</v>
      </c>
      <c r="EK144" s="420">
        <f t="shared" si="190"/>
        <v>0</v>
      </c>
      <c r="EL144" s="419"/>
      <c r="EM144" s="419"/>
      <c r="EN144" s="419"/>
      <c r="EO144" s="419">
        <f t="shared" si="191"/>
        <v>0</v>
      </c>
      <c r="EP144" s="419">
        <f t="shared" si="192"/>
        <v>0</v>
      </c>
      <c r="EQ144" s="419"/>
      <c r="ER144" s="419"/>
      <c r="ES144" s="419"/>
      <c r="ET144" s="419">
        <f t="shared" si="193"/>
        <v>0</v>
      </c>
      <c r="EU144" s="419">
        <f t="shared" si="194"/>
        <v>0</v>
      </c>
      <c r="EV144" s="419"/>
      <c r="EW144" s="419"/>
      <c r="EX144" s="419"/>
      <c r="EY144" s="419">
        <f t="shared" si="195"/>
        <v>0</v>
      </c>
      <c r="EZ144" s="419">
        <f t="shared" si="215"/>
        <v>0</v>
      </c>
      <c r="FA144" s="420"/>
      <c r="FB144" s="420"/>
      <c r="FC144" s="420"/>
      <c r="FD144" s="420">
        <f t="shared" si="196"/>
        <v>0</v>
      </c>
      <c r="FE144" s="420">
        <f t="shared" si="197"/>
        <v>0</v>
      </c>
      <c r="FF144" s="419"/>
      <c r="FG144" s="419"/>
      <c r="FH144" s="419"/>
      <c r="FI144" s="419">
        <f t="shared" si="198"/>
        <v>0</v>
      </c>
      <c r="FJ144" s="419">
        <f t="shared" si="199"/>
        <v>0</v>
      </c>
      <c r="FK144" s="419"/>
      <c r="FL144" s="419"/>
      <c r="FM144" s="419"/>
      <c r="FN144" s="420">
        <f t="shared" si="200"/>
        <v>0</v>
      </c>
      <c r="FO144" s="423">
        <f t="shared" si="201"/>
        <v>0</v>
      </c>
      <c r="FP144" s="419"/>
      <c r="FQ144" s="419"/>
      <c r="FR144" s="419"/>
      <c r="FS144" s="420">
        <f t="shared" si="202"/>
        <v>0</v>
      </c>
      <c r="FT144" s="420">
        <f t="shared" si="203"/>
        <v>0</v>
      </c>
      <c r="FU144" s="419"/>
      <c r="FV144" s="419"/>
      <c r="FW144" s="419"/>
      <c r="FX144" s="420">
        <f t="shared" si="204"/>
        <v>0</v>
      </c>
      <c r="FY144" s="420">
        <f t="shared" si="205"/>
        <v>0</v>
      </c>
      <c r="FZ144" s="419"/>
      <c r="GA144" s="419"/>
      <c r="GB144" s="419"/>
      <c r="GC144" s="420">
        <f t="shared" si="206"/>
        <v>0</v>
      </c>
      <c r="GD144" s="420">
        <f t="shared" si="207"/>
        <v>0</v>
      </c>
      <c r="GE144" s="419">
        <v>416236.45</v>
      </c>
      <c r="GF144" s="419">
        <v>5486929.25</v>
      </c>
      <c r="GG144" s="419">
        <v>37461.279999999999</v>
      </c>
      <c r="GH144" s="420">
        <f t="shared" si="208"/>
        <v>416236.44444444397</v>
      </c>
      <c r="GI144" s="423">
        <f t="shared" si="209"/>
        <v>-5.55555557366461E-3</v>
      </c>
      <c r="GJ144" s="419"/>
      <c r="GK144" s="419"/>
      <c r="GL144" s="419"/>
      <c r="GM144" s="420">
        <f t="shared" si="210"/>
        <v>0</v>
      </c>
      <c r="GN144" s="420">
        <f t="shared" si="211"/>
        <v>0</v>
      </c>
      <c r="GO144" s="419"/>
      <c r="GP144" s="419"/>
      <c r="GQ144" s="419"/>
      <c r="GR144" s="420">
        <f t="shared" si="216"/>
        <v>0</v>
      </c>
      <c r="GS144" s="423">
        <f t="shared" si="212"/>
        <v>0</v>
      </c>
      <c r="GT144" s="419"/>
      <c r="GU144" s="419"/>
      <c r="GV144" s="419"/>
      <c r="GW144" s="420">
        <f t="shared" si="213"/>
        <v>0</v>
      </c>
      <c r="GX144" s="420">
        <f t="shared" si="214"/>
        <v>0</v>
      </c>
    </row>
    <row r="145" spans="1:206" ht="13.5" customHeight="1">
      <c r="A145" s="414"/>
      <c r="B145" s="415" t="s">
        <v>222</v>
      </c>
      <c r="C145" s="698"/>
      <c r="D145" s="707"/>
      <c r="E145" s="434" t="s">
        <v>125</v>
      </c>
      <c r="F145" s="417">
        <v>0.06</v>
      </c>
      <c r="G145" s="418">
        <f t="shared" si="173"/>
        <v>225858.4</v>
      </c>
      <c r="H145" s="418">
        <f t="shared" si="174"/>
        <v>181478.05</v>
      </c>
      <c r="I145" s="418">
        <f t="shared" si="174"/>
        <v>13551.513000000001</v>
      </c>
      <c r="J145" s="418">
        <f t="shared" si="175"/>
        <v>225858.55</v>
      </c>
      <c r="K145" s="418">
        <f t="shared" si="171"/>
        <v>44380.5</v>
      </c>
      <c r="L145" s="418">
        <f t="shared" si="172"/>
        <v>0.15000000005238701</v>
      </c>
      <c r="M145" s="424"/>
      <c r="N145" s="424"/>
      <c r="O145" s="424"/>
      <c r="P145" s="424"/>
      <c r="Q145" s="419"/>
      <c r="R145" s="419"/>
      <c r="S145" s="419"/>
      <c r="T145" s="420"/>
      <c r="U145" s="423"/>
      <c r="V145" s="420"/>
      <c r="W145" s="420"/>
      <c r="X145" s="419"/>
      <c r="Y145" s="419"/>
      <c r="Z145" s="423"/>
      <c r="AA145" s="423"/>
      <c r="AB145" s="419"/>
      <c r="AC145" s="423"/>
      <c r="AD145" s="420"/>
      <c r="AE145" s="423"/>
      <c r="AF145" s="444"/>
      <c r="AG145" s="419"/>
      <c r="AH145" s="420"/>
      <c r="AI145" s="420"/>
      <c r="AJ145" s="423"/>
      <c r="AK145" s="444"/>
      <c r="AL145" s="420"/>
      <c r="AM145" s="420"/>
      <c r="AN145" s="420"/>
      <c r="AO145" s="423"/>
      <c r="AP145" s="420"/>
      <c r="AQ145" s="419"/>
      <c r="AR145" s="420"/>
      <c r="AS145" s="420"/>
      <c r="AT145" s="420"/>
      <c r="AU145" s="420"/>
      <c r="AV145" s="420"/>
      <c r="AW145" s="420"/>
      <c r="AX145" s="426"/>
      <c r="AY145" s="420"/>
      <c r="AZ145" s="420"/>
      <c r="BA145" s="420"/>
      <c r="BB145" s="419"/>
      <c r="BC145" s="420"/>
      <c r="BD145" s="427"/>
      <c r="BE145" s="420"/>
      <c r="BF145" s="420"/>
      <c r="BG145" s="420"/>
      <c r="BH145" s="423"/>
      <c r="BI145" s="420"/>
      <c r="BJ145" s="420"/>
      <c r="BK145" s="420"/>
      <c r="BL145" s="420"/>
      <c r="BM145" s="420"/>
      <c r="BN145" s="420"/>
      <c r="BO145" s="419"/>
      <c r="BP145" s="428"/>
      <c r="BQ145" s="420"/>
      <c r="BR145" s="423"/>
      <c r="BS145" s="423"/>
      <c r="BT145" s="420"/>
      <c r="BU145" s="420"/>
      <c r="BV145" s="420"/>
      <c r="BW145" s="420"/>
      <c r="BX145" s="429"/>
      <c r="BY145" s="419"/>
      <c r="BZ145" s="419"/>
      <c r="CA145" s="419"/>
      <c r="CB145" s="420"/>
      <c r="CC145" s="430"/>
      <c r="CD145" s="419"/>
      <c r="CE145" s="419"/>
      <c r="CF145" s="419"/>
      <c r="CG145" s="420"/>
      <c r="CH145" s="423"/>
      <c r="CI145" s="432"/>
      <c r="CJ145" s="432"/>
      <c r="CK145" s="432"/>
      <c r="CL145" s="420"/>
      <c r="CM145" s="423"/>
      <c r="CN145" s="420"/>
      <c r="CO145" s="420"/>
      <c r="CP145" s="420"/>
      <c r="CQ145" s="432"/>
      <c r="CR145" s="432"/>
      <c r="CS145" s="420"/>
      <c r="CT145" s="420"/>
      <c r="CU145" s="420"/>
      <c r="CV145" s="420"/>
      <c r="CW145" s="420"/>
      <c r="CX145" s="419"/>
      <c r="CY145" s="419"/>
      <c r="CZ145" s="419"/>
      <c r="DA145" s="419"/>
      <c r="DB145" s="419"/>
      <c r="DC145" s="419"/>
      <c r="DD145" s="419"/>
      <c r="DE145" s="419"/>
      <c r="DF145" s="420">
        <f t="shared" si="178"/>
        <v>0</v>
      </c>
      <c r="DG145" s="421">
        <f t="shared" si="179"/>
        <v>0</v>
      </c>
      <c r="DH145" s="419"/>
      <c r="DI145" s="419"/>
      <c r="DJ145" s="419"/>
      <c r="DK145" s="420">
        <f t="shared" si="180"/>
        <v>0</v>
      </c>
      <c r="DL145" s="422">
        <f t="shared" si="181"/>
        <v>0</v>
      </c>
      <c r="DM145" s="420"/>
      <c r="DN145" s="420"/>
      <c r="DO145" s="420"/>
      <c r="DP145" s="420">
        <f t="shared" si="182"/>
        <v>0</v>
      </c>
      <c r="DQ145" s="420">
        <f t="shared" si="183"/>
        <v>0</v>
      </c>
      <c r="DR145" s="419"/>
      <c r="DS145" s="419"/>
      <c r="DT145" s="419"/>
      <c r="DU145" s="420">
        <f t="shared" si="184"/>
        <v>0</v>
      </c>
      <c r="DV145" s="423">
        <f t="shared" si="185"/>
        <v>0</v>
      </c>
      <c r="DW145" s="419"/>
      <c r="DX145" s="419"/>
      <c r="DY145" s="419"/>
      <c r="DZ145" s="420">
        <f t="shared" si="186"/>
        <v>0</v>
      </c>
      <c r="EA145" s="423">
        <f t="shared" si="187"/>
        <v>0</v>
      </c>
      <c r="EB145" s="419">
        <v>181478.05</v>
      </c>
      <c r="EC145" s="419"/>
      <c r="ED145" s="420">
        <v>10888.683000000001</v>
      </c>
      <c r="EE145" s="419">
        <v>181478.05</v>
      </c>
      <c r="EF145" s="420">
        <f t="shared" si="188"/>
        <v>0</v>
      </c>
      <c r="EG145" s="419"/>
      <c r="EH145" s="419"/>
      <c r="EI145" s="419"/>
      <c r="EJ145" s="420">
        <f t="shared" si="189"/>
        <v>0</v>
      </c>
      <c r="EK145" s="420">
        <f t="shared" si="190"/>
        <v>0</v>
      </c>
      <c r="EL145" s="419"/>
      <c r="EM145" s="419"/>
      <c r="EN145" s="419"/>
      <c r="EO145" s="419">
        <f t="shared" si="191"/>
        <v>0</v>
      </c>
      <c r="EP145" s="419">
        <f t="shared" si="192"/>
        <v>0</v>
      </c>
      <c r="EQ145" s="419"/>
      <c r="ER145" s="419">
        <v>181478.05</v>
      </c>
      <c r="ES145" s="419"/>
      <c r="ET145" s="419">
        <f t="shared" si="193"/>
        <v>0</v>
      </c>
      <c r="EU145" s="419">
        <f t="shared" si="194"/>
        <v>0</v>
      </c>
      <c r="EV145" s="419"/>
      <c r="EW145" s="419"/>
      <c r="EX145" s="419"/>
      <c r="EY145" s="419">
        <f t="shared" si="195"/>
        <v>0</v>
      </c>
      <c r="EZ145" s="419">
        <f t="shared" si="215"/>
        <v>0</v>
      </c>
      <c r="FA145" s="420"/>
      <c r="FB145" s="420"/>
      <c r="FC145" s="420"/>
      <c r="FD145" s="420">
        <f t="shared" si="196"/>
        <v>0</v>
      </c>
      <c r="FE145" s="420">
        <f t="shared" si="197"/>
        <v>0</v>
      </c>
      <c r="FF145" s="419"/>
      <c r="FG145" s="419"/>
      <c r="FH145" s="419"/>
      <c r="FI145" s="419">
        <f t="shared" si="198"/>
        <v>0</v>
      </c>
      <c r="FJ145" s="419">
        <f t="shared" si="199"/>
        <v>0</v>
      </c>
      <c r="FK145" s="419"/>
      <c r="FL145" s="419"/>
      <c r="FM145" s="419"/>
      <c r="FN145" s="420">
        <f t="shared" si="200"/>
        <v>0</v>
      </c>
      <c r="FO145" s="423">
        <f t="shared" si="201"/>
        <v>0</v>
      </c>
      <c r="FP145" s="419"/>
      <c r="FQ145" s="419"/>
      <c r="FR145" s="419"/>
      <c r="FS145" s="420">
        <f t="shared" si="202"/>
        <v>0</v>
      </c>
      <c r="FT145" s="420">
        <f t="shared" si="203"/>
        <v>0</v>
      </c>
      <c r="FU145" s="419"/>
      <c r="FV145" s="419"/>
      <c r="FW145" s="419"/>
      <c r="FX145" s="420">
        <f t="shared" si="204"/>
        <v>0</v>
      </c>
      <c r="FY145" s="420">
        <f t="shared" si="205"/>
        <v>0</v>
      </c>
      <c r="FZ145" s="419"/>
      <c r="GA145" s="419"/>
      <c r="GB145" s="419"/>
      <c r="GC145" s="420">
        <f t="shared" si="206"/>
        <v>0</v>
      </c>
      <c r="GD145" s="420">
        <f t="shared" si="207"/>
        <v>0</v>
      </c>
      <c r="GE145" s="419"/>
      <c r="GF145" s="419"/>
      <c r="GG145" s="419"/>
      <c r="GH145" s="420">
        <f t="shared" si="208"/>
        <v>0</v>
      </c>
      <c r="GI145" s="423">
        <f t="shared" si="209"/>
        <v>0</v>
      </c>
      <c r="GJ145" s="437">
        <v>8530.49</v>
      </c>
      <c r="GK145" s="419"/>
      <c r="GL145" s="419">
        <v>511.83</v>
      </c>
      <c r="GM145" s="420">
        <f t="shared" si="210"/>
        <v>8530.5</v>
      </c>
      <c r="GN145" s="420">
        <f t="shared" si="211"/>
        <v>1.00000000002183E-2</v>
      </c>
      <c r="GO145" s="419">
        <v>5127.24</v>
      </c>
      <c r="GP145" s="419"/>
      <c r="GQ145" s="419">
        <v>307.64</v>
      </c>
      <c r="GR145" s="420">
        <f t="shared" si="216"/>
        <v>5127.3333333333303</v>
      </c>
      <c r="GS145" s="423">
        <f t="shared" si="212"/>
        <v>9.3333333333248406E-2</v>
      </c>
      <c r="GT145" s="419">
        <v>30722.62</v>
      </c>
      <c r="GU145" s="419"/>
      <c r="GV145" s="419">
        <v>1843.36</v>
      </c>
      <c r="GW145" s="420">
        <f t="shared" si="213"/>
        <v>30722.67</v>
      </c>
      <c r="GX145" s="420">
        <f t="shared" si="214"/>
        <v>4.9999999999272397E-2</v>
      </c>
    </row>
    <row r="146" spans="1:206" ht="15">
      <c r="A146" s="414"/>
      <c r="B146" s="415" t="s">
        <v>552</v>
      </c>
      <c r="C146" s="698"/>
      <c r="D146" s="704" t="s">
        <v>553</v>
      </c>
      <c r="E146" s="434" t="s">
        <v>123</v>
      </c>
      <c r="F146" s="417">
        <v>0.13</v>
      </c>
      <c r="G146" s="418">
        <f t="shared" si="173"/>
        <v>103556915.16</v>
      </c>
      <c r="H146" s="418">
        <f t="shared" si="174"/>
        <v>110194813.34</v>
      </c>
      <c r="I146" s="418">
        <f t="shared" si="174"/>
        <v>13462398.9661</v>
      </c>
      <c r="J146" s="418">
        <f t="shared" si="175"/>
        <v>103556915.12384599</v>
      </c>
      <c r="K146" s="418">
        <f t="shared" si="171"/>
        <v>-6637898.2161538601</v>
      </c>
      <c r="L146" s="418">
        <f t="shared" si="172"/>
        <v>-3.6153852939605699E-2</v>
      </c>
      <c r="M146" s="424"/>
      <c r="N146" s="424"/>
      <c r="O146" s="424"/>
      <c r="P146" s="424"/>
      <c r="Q146" s="419"/>
      <c r="R146" s="419"/>
      <c r="S146" s="419"/>
      <c r="T146" s="420"/>
      <c r="U146" s="423"/>
      <c r="V146" s="420"/>
      <c r="W146" s="420"/>
      <c r="X146" s="419"/>
      <c r="Y146" s="419"/>
      <c r="Z146" s="423"/>
      <c r="AA146" s="423"/>
      <c r="AB146" s="419"/>
      <c r="AC146" s="423"/>
      <c r="AD146" s="420"/>
      <c r="AE146" s="423"/>
      <c r="AF146" s="444"/>
      <c r="AG146" s="419"/>
      <c r="AH146" s="420"/>
      <c r="AI146" s="420"/>
      <c r="AJ146" s="423"/>
      <c r="AK146" s="444"/>
      <c r="AL146" s="420"/>
      <c r="AM146" s="420"/>
      <c r="AN146" s="420"/>
      <c r="AO146" s="423"/>
      <c r="AP146" s="420"/>
      <c r="AQ146" s="419"/>
      <c r="AR146" s="420"/>
      <c r="AS146" s="420"/>
      <c r="AT146" s="420"/>
      <c r="AU146" s="420"/>
      <c r="AV146" s="420"/>
      <c r="AW146" s="420"/>
      <c r="AX146" s="426"/>
      <c r="AY146" s="420"/>
      <c r="AZ146" s="420"/>
      <c r="BA146" s="420"/>
      <c r="BB146" s="419"/>
      <c r="BC146" s="420"/>
      <c r="BD146" s="427"/>
      <c r="BE146" s="420"/>
      <c r="BF146" s="420"/>
      <c r="BG146" s="420"/>
      <c r="BH146" s="423"/>
      <c r="BI146" s="420"/>
      <c r="BJ146" s="420"/>
      <c r="BK146" s="420"/>
      <c r="BL146" s="420"/>
      <c r="BM146" s="420"/>
      <c r="BN146" s="420"/>
      <c r="BO146" s="419"/>
      <c r="BP146" s="428"/>
      <c r="BQ146" s="420"/>
      <c r="BR146" s="423"/>
      <c r="BS146" s="423"/>
      <c r="BT146" s="420"/>
      <c r="BU146" s="420"/>
      <c r="BV146" s="420"/>
      <c r="BW146" s="420"/>
      <c r="BX146" s="429"/>
      <c r="BY146" s="419"/>
      <c r="BZ146" s="419"/>
      <c r="CA146" s="419"/>
      <c r="CB146" s="420"/>
      <c r="CC146" s="430"/>
      <c r="CD146" s="419"/>
      <c r="CE146" s="419"/>
      <c r="CF146" s="419"/>
      <c r="CG146" s="420"/>
      <c r="CH146" s="423"/>
      <c r="CI146" s="432"/>
      <c r="CJ146" s="432"/>
      <c r="CK146" s="432"/>
      <c r="CL146" s="420"/>
      <c r="CM146" s="423"/>
      <c r="CN146" s="420"/>
      <c r="CO146" s="420"/>
      <c r="CP146" s="420"/>
      <c r="CQ146" s="432"/>
      <c r="CR146" s="432"/>
      <c r="CS146" s="420"/>
      <c r="CT146" s="420"/>
      <c r="CU146" s="420"/>
      <c r="CV146" s="420"/>
      <c r="CW146" s="420"/>
      <c r="CX146" s="419"/>
      <c r="CY146" s="419"/>
      <c r="CZ146" s="419"/>
      <c r="DA146" s="419">
        <f t="shared" si="176"/>
        <v>0</v>
      </c>
      <c r="DB146" s="419">
        <f t="shared" si="177"/>
        <v>0</v>
      </c>
      <c r="DC146" s="419"/>
      <c r="DD146" s="419"/>
      <c r="DE146" s="419"/>
      <c r="DF146" s="420">
        <f t="shared" si="178"/>
        <v>0</v>
      </c>
      <c r="DG146" s="421">
        <f t="shared" si="179"/>
        <v>0</v>
      </c>
      <c r="DH146" s="419"/>
      <c r="DI146" s="419"/>
      <c r="DJ146" s="419"/>
      <c r="DK146" s="420">
        <f t="shared" si="180"/>
        <v>0</v>
      </c>
      <c r="DL146" s="422">
        <f t="shared" si="181"/>
        <v>0</v>
      </c>
      <c r="DM146" s="420"/>
      <c r="DN146" s="420"/>
      <c r="DO146" s="420"/>
      <c r="DP146" s="420">
        <f t="shared" si="182"/>
        <v>0</v>
      </c>
      <c r="DQ146" s="420">
        <f t="shared" si="183"/>
        <v>0</v>
      </c>
      <c r="DR146" s="419"/>
      <c r="DS146" s="419"/>
      <c r="DT146" s="419"/>
      <c r="DU146" s="420">
        <f t="shared" si="184"/>
        <v>0</v>
      </c>
      <c r="DV146" s="423">
        <f t="shared" si="185"/>
        <v>0</v>
      </c>
      <c r="DW146" s="419">
        <v>1410103.41</v>
      </c>
      <c r="DX146" s="419"/>
      <c r="DY146" s="419">
        <v>183313.44</v>
      </c>
      <c r="DZ146" s="420">
        <f t="shared" si="186"/>
        <v>1410103.38</v>
      </c>
      <c r="EA146" s="423">
        <f t="shared" si="187"/>
        <v>-0.03</v>
      </c>
      <c r="EB146" s="419">
        <v>1754774.97</v>
      </c>
      <c r="EC146" s="419"/>
      <c r="ED146" s="420">
        <v>228120.74609999999</v>
      </c>
      <c r="EE146" s="419">
        <v>1754774.97</v>
      </c>
      <c r="EF146" s="420">
        <f t="shared" si="188"/>
        <v>0</v>
      </c>
      <c r="EG146" s="419">
        <v>6432373.8899999997</v>
      </c>
      <c r="EH146" s="419"/>
      <c r="EI146" s="419">
        <v>836208.61</v>
      </c>
      <c r="EJ146" s="420">
        <f t="shared" si="189"/>
        <v>6432373.9199999999</v>
      </c>
      <c r="EK146" s="420">
        <f t="shared" si="190"/>
        <v>0.03</v>
      </c>
      <c r="EL146" s="419"/>
      <c r="EM146" s="419"/>
      <c r="EN146" s="419"/>
      <c r="EO146" s="419">
        <f t="shared" si="191"/>
        <v>0</v>
      </c>
      <c r="EP146" s="419">
        <f t="shared" si="192"/>
        <v>0</v>
      </c>
      <c r="EQ146" s="420">
        <v>7007081.3600000003</v>
      </c>
      <c r="ER146" s="420">
        <v>16604333.640000001</v>
      </c>
      <c r="ES146" s="420">
        <v>910920.58</v>
      </c>
      <c r="ET146" s="420">
        <f t="shared" si="193"/>
        <v>7007081.3799999999</v>
      </c>
      <c r="EU146" s="419">
        <f t="shared" si="194"/>
        <v>0.02</v>
      </c>
      <c r="EV146" s="419"/>
      <c r="EW146" s="419"/>
      <c r="EX146" s="419"/>
      <c r="EY146" s="419">
        <f t="shared" si="195"/>
        <v>0</v>
      </c>
      <c r="EZ146" s="419">
        <f t="shared" si="215"/>
        <v>0</v>
      </c>
      <c r="FA146" s="420">
        <v>51245525.82</v>
      </c>
      <c r="FB146" s="420"/>
      <c r="FC146" s="420">
        <v>6661918.3499999996</v>
      </c>
      <c r="FD146" s="420">
        <f t="shared" si="196"/>
        <v>51245525.770000003</v>
      </c>
      <c r="FE146" s="420">
        <f t="shared" si="197"/>
        <v>-0.05</v>
      </c>
      <c r="FF146" s="419"/>
      <c r="FG146" s="419"/>
      <c r="FH146" s="419"/>
      <c r="FI146" s="419">
        <f t="shared" si="198"/>
        <v>0</v>
      </c>
      <c r="FJ146" s="419">
        <f t="shared" si="199"/>
        <v>0</v>
      </c>
      <c r="FK146" s="419">
        <v>10007721.140000001</v>
      </c>
      <c r="FL146" s="419">
        <v>2693303.17</v>
      </c>
      <c r="FM146" s="419">
        <v>1301003.75</v>
      </c>
      <c r="FN146" s="420">
        <f t="shared" si="200"/>
        <v>10007721.15</v>
      </c>
      <c r="FO146" s="423">
        <f t="shared" si="201"/>
        <v>0.01</v>
      </c>
      <c r="FP146" s="431">
        <v>-0.01</v>
      </c>
      <c r="FQ146" s="431">
        <v>58559943.789999999</v>
      </c>
      <c r="FR146" s="431">
        <v>0</v>
      </c>
      <c r="FS146" s="420">
        <f t="shared" si="202"/>
        <v>0</v>
      </c>
      <c r="FT146" s="420">
        <f t="shared" si="203"/>
        <v>0.01</v>
      </c>
      <c r="FU146" s="419">
        <v>8707964.5999999996</v>
      </c>
      <c r="FV146" s="419">
        <v>6637898.1799999997</v>
      </c>
      <c r="FW146" s="419">
        <v>1132035.3999999999</v>
      </c>
      <c r="FX146" s="420">
        <f t="shared" si="204"/>
        <v>8707964.6199999992</v>
      </c>
      <c r="FY146" s="420">
        <f t="shared" si="205"/>
        <v>1.9999999552965199E-2</v>
      </c>
      <c r="FZ146" s="419">
        <v>16991369.98</v>
      </c>
      <c r="GA146" s="419">
        <v>8707964.5999999996</v>
      </c>
      <c r="GB146" s="419">
        <v>2208878.09</v>
      </c>
      <c r="GC146" s="420">
        <f t="shared" si="206"/>
        <v>16991369.920000002</v>
      </c>
      <c r="GD146" s="420">
        <f t="shared" si="207"/>
        <v>-5.9999998658895499E-2</v>
      </c>
      <c r="GE146" s="419"/>
      <c r="GF146" s="419"/>
      <c r="GG146" s="419"/>
      <c r="GH146" s="420">
        <f t="shared" si="208"/>
        <v>0</v>
      </c>
      <c r="GI146" s="423">
        <f t="shared" si="209"/>
        <v>0</v>
      </c>
      <c r="GJ146" s="419"/>
      <c r="GK146" s="419">
        <v>16991369.960000001</v>
      </c>
      <c r="GL146" s="419"/>
      <c r="GM146" s="420">
        <f t="shared" si="210"/>
        <v>0</v>
      </c>
      <c r="GN146" s="420">
        <f t="shared" si="211"/>
        <v>0</v>
      </c>
      <c r="GO146" s="419"/>
      <c r="GP146" s="419"/>
      <c r="GQ146" s="419"/>
      <c r="GR146" s="420">
        <f t="shared" si="216"/>
        <v>0</v>
      </c>
      <c r="GS146" s="423">
        <f t="shared" si="212"/>
        <v>0</v>
      </c>
      <c r="GT146" s="419"/>
      <c r="GU146" s="419"/>
      <c r="GV146" s="419"/>
      <c r="GW146" s="420">
        <f t="shared" si="213"/>
        <v>0</v>
      </c>
      <c r="GX146" s="420">
        <f t="shared" si="214"/>
        <v>0</v>
      </c>
    </row>
    <row r="147" spans="1:206" ht="15">
      <c r="A147" s="414"/>
      <c r="B147" s="415" t="s">
        <v>552</v>
      </c>
      <c r="C147" s="698"/>
      <c r="D147" s="706"/>
      <c r="E147" s="434" t="s">
        <v>124</v>
      </c>
      <c r="F147" s="417">
        <v>0.09</v>
      </c>
      <c r="G147" s="418">
        <f t="shared" si="173"/>
        <v>170952594.66999999</v>
      </c>
      <c r="H147" s="418">
        <f t="shared" si="174"/>
        <v>173511177.13999999</v>
      </c>
      <c r="I147" s="418">
        <f t="shared" si="174"/>
        <v>15385733.522500001</v>
      </c>
      <c r="J147" s="418">
        <f t="shared" si="175"/>
        <v>170952594.694444</v>
      </c>
      <c r="K147" s="418">
        <f t="shared" si="171"/>
        <v>-2558582.4455555701</v>
      </c>
      <c r="L147" s="418">
        <f t="shared" si="172"/>
        <v>2.4444401264190702E-2</v>
      </c>
      <c r="M147" s="424"/>
      <c r="N147" s="424"/>
      <c r="O147" s="424"/>
      <c r="P147" s="424"/>
      <c r="Q147" s="419"/>
      <c r="R147" s="419"/>
      <c r="S147" s="419"/>
      <c r="T147" s="420"/>
      <c r="U147" s="423"/>
      <c r="V147" s="420"/>
      <c r="W147" s="420"/>
      <c r="X147" s="419"/>
      <c r="Y147" s="419"/>
      <c r="Z147" s="423"/>
      <c r="AA147" s="423"/>
      <c r="AB147" s="419"/>
      <c r="AC147" s="423"/>
      <c r="AD147" s="420"/>
      <c r="AE147" s="423"/>
      <c r="AF147" s="444"/>
      <c r="AG147" s="419"/>
      <c r="AH147" s="420"/>
      <c r="AI147" s="420"/>
      <c r="AJ147" s="423"/>
      <c r="AK147" s="444"/>
      <c r="AL147" s="420"/>
      <c r="AM147" s="420"/>
      <c r="AN147" s="420"/>
      <c r="AO147" s="423"/>
      <c r="AP147" s="420"/>
      <c r="AQ147" s="419"/>
      <c r="AR147" s="420"/>
      <c r="AS147" s="420"/>
      <c r="AT147" s="420"/>
      <c r="AU147" s="420"/>
      <c r="AV147" s="420"/>
      <c r="AW147" s="420"/>
      <c r="AX147" s="426"/>
      <c r="AY147" s="420"/>
      <c r="AZ147" s="420"/>
      <c r="BA147" s="420"/>
      <c r="BB147" s="419"/>
      <c r="BC147" s="420"/>
      <c r="BD147" s="427"/>
      <c r="BE147" s="420"/>
      <c r="BF147" s="420"/>
      <c r="BG147" s="420"/>
      <c r="BH147" s="423"/>
      <c r="BI147" s="420"/>
      <c r="BJ147" s="420"/>
      <c r="BK147" s="420"/>
      <c r="BL147" s="420"/>
      <c r="BM147" s="420"/>
      <c r="BN147" s="420"/>
      <c r="BO147" s="419"/>
      <c r="BP147" s="428"/>
      <c r="BQ147" s="420"/>
      <c r="BR147" s="423"/>
      <c r="BS147" s="423"/>
      <c r="BT147" s="420"/>
      <c r="BU147" s="420"/>
      <c r="BV147" s="420"/>
      <c r="BW147" s="420"/>
      <c r="BX147" s="429"/>
      <c r="BY147" s="419"/>
      <c r="BZ147" s="419"/>
      <c r="CA147" s="419"/>
      <c r="CB147" s="420"/>
      <c r="CC147" s="430"/>
      <c r="CD147" s="419"/>
      <c r="CE147" s="419"/>
      <c r="CF147" s="419"/>
      <c r="CG147" s="420"/>
      <c r="CH147" s="423"/>
      <c r="CI147" s="432"/>
      <c r="CJ147" s="432"/>
      <c r="CK147" s="432"/>
      <c r="CL147" s="420"/>
      <c r="CM147" s="423"/>
      <c r="CN147" s="420"/>
      <c r="CO147" s="420"/>
      <c r="CP147" s="420"/>
      <c r="CQ147" s="432"/>
      <c r="CR147" s="432"/>
      <c r="CS147" s="420"/>
      <c r="CT147" s="420"/>
      <c r="CU147" s="420"/>
      <c r="CV147" s="420"/>
      <c r="CW147" s="420"/>
      <c r="CX147" s="419"/>
      <c r="CY147" s="419"/>
      <c r="CZ147" s="419"/>
      <c r="DA147" s="419">
        <f t="shared" si="176"/>
        <v>0</v>
      </c>
      <c r="DB147" s="419">
        <f t="shared" si="177"/>
        <v>0</v>
      </c>
      <c r="DC147" s="419"/>
      <c r="DD147" s="419"/>
      <c r="DE147" s="419"/>
      <c r="DF147" s="420">
        <f t="shared" si="178"/>
        <v>0</v>
      </c>
      <c r="DG147" s="421">
        <f t="shared" si="179"/>
        <v>0</v>
      </c>
      <c r="DH147" s="419"/>
      <c r="DI147" s="419"/>
      <c r="DJ147" s="419"/>
      <c r="DK147" s="420">
        <f t="shared" si="180"/>
        <v>0</v>
      </c>
      <c r="DL147" s="422">
        <f t="shared" si="181"/>
        <v>0</v>
      </c>
      <c r="DM147" s="420"/>
      <c r="DN147" s="420"/>
      <c r="DO147" s="420"/>
      <c r="DP147" s="420">
        <f t="shared" si="182"/>
        <v>0</v>
      </c>
      <c r="DQ147" s="420">
        <f t="shared" si="183"/>
        <v>0</v>
      </c>
      <c r="DR147" s="419"/>
      <c r="DS147" s="419"/>
      <c r="DT147" s="419"/>
      <c r="DU147" s="420">
        <f t="shared" si="184"/>
        <v>0</v>
      </c>
      <c r="DV147" s="423">
        <f t="shared" si="185"/>
        <v>0</v>
      </c>
      <c r="DW147" s="419">
        <v>5689509.3799999999</v>
      </c>
      <c r="DX147" s="419"/>
      <c r="DY147" s="419">
        <v>512055.84</v>
      </c>
      <c r="DZ147" s="420">
        <f t="shared" si="186"/>
        <v>5689509.3300000001</v>
      </c>
      <c r="EA147" s="423">
        <f t="shared" si="187"/>
        <v>-0.05</v>
      </c>
      <c r="EB147" s="420">
        <v>15112669.25</v>
      </c>
      <c r="EC147" s="419"/>
      <c r="ED147" s="420">
        <v>1360140.2324999999</v>
      </c>
      <c r="EE147" s="419">
        <v>15112669.25</v>
      </c>
      <c r="EF147" s="420">
        <f t="shared" si="188"/>
        <v>0</v>
      </c>
      <c r="EG147" s="419">
        <v>22818111.489999998</v>
      </c>
      <c r="EI147" s="419">
        <v>2053630.04</v>
      </c>
      <c r="EJ147" s="420">
        <f t="shared" si="189"/>
        <v>22818111.559999999</v>
      </c>
      <c r="EK147" s="420">
        <f t="shared" si="190"/>
        <v>7.0000000000000007E-2</v>
      </c>
      <c r="EL147" s="420">
        <v>416587.86</v>
      </c>
      <c r="EM147" s="419"/>
      <c r="EN147" s="419">
        <v>37492.910000000003</v>
      </c>
      <c r="EO147" s="419">
        <f t="shared" si="191"/>
        <v>416587.89</v>
      </c>
      <c r="EP147" s="419">
        <f t="shared" si="192"/>
        <v>0.03</v>
      </c>
      <c r="EQ147" s="420">
        <v>20035813.440000001</v>
      </c>
      <c r="ER147" s="419">
        <v>64072691.43</v>
      </c>
      <c r="ES147" s="419">
        <v>1803223.21</v>
      </c>
      <c r="ET147" s="420">
        <f t="shared" si="193"/>
        <v>20035813.440000001</v>
      </c>
      <c r="EU147" s="419">
        <f t="shared" si="194"/>
        <v>0</v>
      </c>
      <c r="EV147" s="455">
        <v>15940303.369999999</v>
      </c>
      <c r="EW147" s="419"/>
      <c r="EX147" s="455">
        <v>1434627.28</v>
      </c>
      <c r="EY147" s="419">
        <f t="shared" si="195"/>
        <v>15940303.109999999</v>
      </c>
      <c r="EZ147" s="419">
        <f t="shared" si="215"/>
        <v>-0.26</v>
      </c>
      <c r="FA147" s="456">
        <v>13343765.630000001</v>
      </c>
      <c r="FB147" s="420"/>
      <c r="FC147" s="456">
        <v>1200938.9099999999</v>
      </c>
      <c r="FD147" s="420">
        <f t="shared" si="196"/>
        <v>13343765.67</v>
      </c>
      <c r="FE147" s="420">
        <f t="shared" si="197"/>
        <v>0.04</v>
      </c>
      <c r="FF147" s="419">
        <v>14661554.76</v>
      </c>
      <c r="FG147" s="419"/>
      <c r="FH147" s="419">
        <v>1319539.93</v>
      </c>
      <c r="FI147" s="419">
        <f t="shared" si="198"/>
        <v>14661554.7777778</v>
      </c>
      <c r="FJ147" s="419">
        <f t="shared" si="199"/>
        <v>0.02</v>
      </c>
      <c r="FK147" s="419">
        <v>6976655.7300000004</v>
      </c>
      <c r="FL147" s="419">
        <v>43945623.759999998</v>
      </c>
      <c r="FM147" s="419">
        <v>627899.02</v>
      </c>
      <c r="FN147" s="420">
        <f t="shared" si="200"/>
        <v>6976655.7800000003</v>
      </c>
      <c r="FO147" s="423">
        <f t="shared" si="201"/>
        <v>0.05</v>
      </c>
      <c r="FP147" s="431">
        <v>4135529.05</v>
      </c>
      <c r="FQ147" s="431">
        <v>6976655.7199999997</v>
      </c>
      <c r="FR147" s="431">
        <v>372197.62</v>
      </c>
      <c r="FS147" s="420">
        <f t="shared" si="202"/>
        <v>4135529.11</v>
      </c>
      <c r="FT147" s="420">
        <f t="shared" si="203"/>
        <v>6.0000000055879403E-2</v>
      </c>
      <c r="FU147" s="419">
        <v>2517593.62</v>
      </c>
      <c r="FV147" s="419">
        <v>6694111.5</v>
      </c>
      <c r="FW147" s="419">
        <v>226583.42</v>
      </c>
      <c r="FX147" s="420">
        <f t="shared" si="204"/>
        <v>2517593.56</v>
      </c>
      <c r="FY147" s="420">
        <f t="shared" si="205"/>
        <v>-6.0000000055879403E-2</v>
      </c>
      <c r="FZ147" s="419">
        <v>49304501.090000004</v>
      </c>
      <c r="GA147" s="419">
        <v>2517593.62</v>
      </c>
      <c r="GB147" s="419">
        <v>4437405.1100000003</v>
      </c>
      <c r="GC147" s="420">
        <f t="shared" si="206"/>
        <v>49304501.219999999</v>
      </c>
      <c r="GD147" s="420">
        <f t="shared" si="207"/>
        <v>0.129999995231628</v>
      </c>
      <c r="GE147" s="419"/>
      <c r="GF147" s="419"/>
      <c r="GG147" s="419"/>
      <c r="GH147" s="420">
        <f t="shared" si="208"/>
        <v>0</v>
      </c>
      <c r="GI147" s="423">
        <f t="shared" si="209"/>
        <v>0</v>
      </c>
      <c r="GJ147" s="419"/>
      <c r="GK147" s="420">
        <v>49304501.109999999</v>
      </c>
      <c r="GL147" s="419"/>
      <c r="GM147" s="420">
        <f t="shared" si="210"/>
        <v>0</v>
      </c>
      <c r="GN147" s="420">
        <f t="shared" si="211"/>
        <v>0</v>
      </c>
      <c r="GO147" s="419"/>
      <c r="GP147" s="419"/>
      <c r="GQ147" s="419"/>
      <c r="GR147" s="420">
        <f t="shared" si="216"/>
        <v>0</v>
      </c>
      <c r="GS147" s="423">
        <f t="shared" si="212"/>
        <v>0</v>
      </c>
      <c r="GT147" s="419"/>
      <c r="GU147" s="419"/>
      <c r="GV147" s="419"/>
      <c r="GW147" s="420">
        <f t="shared" si="213"/>
        <v>0</v>
      </c>
      <c r="GX147" s="420">
        <f t="shared" si="214"/>
        <v>0</v>
      </c>
    </row>
    <row r="148" spans="1:206" ht="15">
      <c r="A148" s="414"/>
      <c r="B148" s="415" t="s">
        <v>552</v>
      </c>
      <c r="C148" s="698"/>
      <c r="D148" s="707"/>
      <c r="E148" s="434" t="s">
        <v>125</v>
      </c>
      <c r="F148" s="417">
        <v>0.06</v>
      </c>
      <c r="G148" s="418">
        <f t="shared" si="173"/>
        <v>5596644.9699999997</v>
      </c>
      <c r="H148" s="418">
        <f t="shared" si="174"/>
        <v>5322489.3899999997</v>
      </c>
      <c r="I148" s="418">
        <f t="shared" si="174"/>
        <v>335798.72879999998</v>
      </c>
      <c r="J148" s="418">
        <f t="shared" si="175"/>
        <v>5596645.4800000004</v>
      </c>
      <c r="K148" s="418">
        <f t="shared" si="171"/>
        <v>274156.09000000003</v>
      </c>
      <c r="L148" s="418">
        <f t="shared" si="172"/>
        <v>0.50999999977648303</v>
      </c>
      <c r="M148" s="424"/>
      <c r="N148" s="424"/>
      <c r="O148" s="424"/>
      <c r="P148" s="424"/>
      <c r="Q148" s="419"/>
      <c r="R148" s="419"/>
      <c r="S148" s="419"/>
      <c r="T148" s="420"/>
      <c r="U148" s="423"/>
      <c r="V148" s="420"/>
      <c r="W148" s="420"/>
      <c r="X148" s="419"/>
      <c r="Y148" s="419"/>
      <c r="Z148" s="423"/>
      <c r="AA148" s="423"/>
      <c r="AB148" s="419"/>
      <c r="AC148" s="423"/>
      <c r="AD148" s="420"/>
      <c r="AE148" s="423"/>
      <c r="AF148" s="444"/>
      <c r="AG148" s="419"/>
      <c r="AH148" s="420"/>
      <c r="AI148" s="420"/>
      <c r="AJ148" s="423"/>
      <c r="AK148" s="444"/>
      <c r="AL148" s="420"/>
      <c r="AM148" s="420"/>
      <c r="AN148" s="420"/>
      <c r="AO148" s="423"/>
      <c r="AP148" s="420"/>
      <c r="AQ148" s="419"/>
      <c r="AR148" s="420"/>
      <c r="AS148" s="420"/>
      <c r="AT148" s="420"/>
      <c r="AU148" s="420"/>
      <c r="AV148" s="420"/>
      <c r="AW148" s="420"/>
      <c r="AX148" s="426"/>
      <c r="AY148" s="420"/>
      <c r="AZ148" s="420"/>
      <c r="BA148" s="420"/>
      <c r="BB148" s="419"/>
      <c r="BC148" s="420"/>
      <c r="BD148" s="427"/>
      <c r="BE148" s="420"/>
      <c r="BF148" s="420"/>
      <c r="BG148" s="420"/>
      <c r="BH148" s="423"/>
      <c r="BI148" s="420"/>
      <c r="BJ148" s="420"/>
      <c r="BK148" s="420"/>
      <c r="BL148" s="420"/>
      <c r="BM148" s="420"/>
      <c r="BN148" s="420"/>
      <c r="BO148" s="419"/>
      <c r="BP148" s="428"/>
      <c r="BQ148" s="420"/>
      <c r="BR148" s="423"/>
      <c r="BS148" s="423"/>
      <c r="BT148" s="420"/>
      <c r="BU148" s="420"/>
      <c r="BV148" s="420"/>
      <c r="BW148" s="420"/>
      <c r="BX148" s="429"/>
      <c r="BY148" s="419"/>
      <c r="BZ148" s="419"/>
      <c r="CA148" s="419"/>
      <c r="CB148" s="420"/>
      <c r="CC148" s="430"/>
      <c r="CD148" s="419"/>
      <c r="CE148" s="419"/>
      <c r="CF148" s="419"/>
      <c r="CG148" s="420"/>
      <c r="CH148" s="423"/>
      <c r="CI148" s="432"/>
      <c r="CJ148" s="432"/>
      <c r="CK148" s="432"/>
      <c r="CL148" s="420"/>
      <c r="CM148" s="423"/>
      <c r="CN148" s="420"/>
      <c r="CO148" s="420"/>
      <c r="CP148" s="420"/>
      <c r="CQ148" s="432"/>
      <c r="CR148" s="432"/>
      <c r="CS148" s="420"/>
      <c r="CT148" s="420"/>
      <c r="CU148" s="420"/>
      <c r="CV148" s="420"/>
      <c r="CW148" s="420"/>
      <c r="CX148" s="419">
        <v>838843.68</v>
      </c>
      <c r="CY148" s="419"/>
      <c r="CZ148" s="419">
        <v>50330.62</v>
      </c>
      <c r="DA148" s="419">
        <f t="shared" si="176"/>
        <v>838843.67</v>
      </c>
      <c r="DB148" s="419">
        <f t="shared" si="177"/>
        <v>-0.01</v>
      </c>
      <c r="DC148" s="419">
        <v>108544.69</v>
      </c>
      <c r="DD148" s="419"/>
      <c r="DE148" s="419">
        <v>6512.69</v>
      </c>
      <c r="DF148" s="420">
        <f t="shared" si="178"/>
        <v>108544.83333333299</v>
      </c>
      <c r="DG148" s="421">
        <f t="shared" si="179"/>
        <v>-0.143333333326154</v>
      </c>
      <c r="DH148" s="419">
        <v>166952.85</v>
      </c>
      <c r="DI148" s="419"/>
      <c r="DJ148" s="419">
        <v>10017.17</v>
      </c>
      <c r="DK148" s="420">
        <f t="shared" si="180"/>
        <v>166952.83333333299</v>
      </c>
      <c r="DL148" s="422">
        <f t="shared" si="181"/>
        <v>-1.6666666662786201E-2</v>
      </c>
      <c r="DM148" s="420">
        <v>19770.41</v>
      </c>
      <c r="DN148" s="420"/>
      <c r="DO148" s="420">
        <v>1186.22</v>
      </c>
      <c r="DP148" s="420">
        <f t="shared" si="182"/>
        <v>19770.333333333299</v>
      </c>
      <c r="DQ148" s="420">
        <f t="shared" si="183"/>
        <v>-7.6666666664095801E-2</v>
      </c>
      <c r="DR148" s="419">
        <v>120279.15</v>
      </c>
      <c r="DS148" s="419"/>
      <c r="DT148" s="419">
        <v>7216.74</v>
      </c>
      <c r="DU148" s="420">
        <f t="shared" si="184"/>
        <v>120279</v>
      </c>
      <c r="DV148" s="423">
        <f t="shared" si="185"/>
        <v>-0.14999999999417901</v>
      </c>
      <c r="DW148" s="419">
        <v>356973.61</v>
      </c>
      <c r="DX148" s="419"/>
      <c r="DY148" s="419">
        <v>21418.42</v>
      </c>
      <c r="DZ148" s="420">
        <f t="shared" si="186"/>
        <v>356973.67</v>
      </c>
      <c r="EA148" s="423">
        <f t="shared" si="187"/>
        <v>0.06</v>
      </c>
      <c r="EB148" s="419">
        <v>26352.48</v>
      </c>
      <c r="EC148" s="419"/>
      <c r="ED148" s="420">
        <v>1581.1487999999999</v>
      </c>
      <c r="EE148" s="419">
        <v>26352.48</v>
      </c>
      <c r="EF148" s="420">
        <f t="shared" si="188"/>
        <v>0</v>
      </c>
      <c r="EG148" s="419">
        <v>128186.73</v>
      </c>
      <c r="EH148" s="419"/>
      <c r="EI148" s="419">
        <v>7691.21</v>
      </c>
      <c r="EJ148" s="420">
        <f t="shared" si="189"/>
        <v>128186.83</v>
      </c>
      <c r="EK148" s="420">
        <f t="shared" si="190"/>
        <v>0.1</v>
      </c>
      <c r="EL148" s="419">
        <v>21532.13</v>
      </c>
      <c r="EN148" s="419">
        <v>1291.93</v>
      </c>
      <c r="EO148" s="419">
        <f t="shared" si="191"/>
        <v>21532.17</v>
      </c>
      <c r="EP148" s="419">
        <f t="shared" si="192"/>
        <v>0.04</v>
      </c>
      <c r="EQ148" s="419">
        <v>23711.599999999999</v>
      </c>
      <c r="ER148" s="419">
        <v>1787435.73</v>
      </c>
      <c r="ES148" s="419">
        <v>1422.7</v>
      </c>
      <c r="ET148" s="420">
        <f t="shared" si="193"/>
        <v>23711.67</v>
      </c>
      <c r="EU148" s="419">
        <f t="shared" si="194"/>
        <v>7.0000000000000007E-2</v>
      </c>
      <c r="EV148" s="419">
        <v>23093.58</v>
      </c>
      <c r="EW148" s="419"/>
      <c r="EX148" s="419">
        <v>1385.62</v>
      </c>
      <c r="EY148" s="419">
        <f t="shared" si="195"/>
        <v>23093.67</v>
      </c>
      <c r="EZ148" s="419">
        <f t="shared" si="215"/>
        <v>0.09</v>
      </c>
      <c r="FA148" s="420">
        <v>243513.32</v>
      </c>
      <c r="FB148" s="420"/>
      <c r="FC148" s="420">
        <v>14610.8</v>
      </c>
      <c r="FD148" s="420">
        <f t="shared" si="196"/>
        <v>243513.33</v>
      </c>
      <c r="FE148" s="420">
        <f t="shared" si="197"/>
        <v>0.01</v>
      </c>
      <c r="FF148" s="419">
        <v>181800.66</v>
      </c>
      <c r="FG148" s="419"/>
      <c r="FH148" s="419">
        <v>10908.04</v>
      </c>
      <c r="FI148" s="419">
        <f t="shared" si="198"/>
        <v>181800.66666666701</v>
      </c>
      <c r="FJ148" s="419">
        <f t="shared" si="199"/>
        <v>0.01</v>
      </c>
      <c r="FK148" s="419">
        <v>-128009.05</v>
      </c>
      <c r="FL148" s="419">
        <v>311600.28999999998</v>
      </c>
      <c r="FM148" s="419">
        <v>-7680.54</v>
      </c>
      <c r="FN148" s="420">
        <f t="shared" si="200"/>
        <v>-128009</v>
      </c>
      <c r="FO148" s="423">
        <f t="shared" si="201"/>
        <v>0.05</v>
      </c>
      <c r="FP148" s="431">
        <v>66010.12</v>
      </c>
      <c r="FQ148" s="431">
        <v>0</v>
      </c>
      <c r="FR148" s="431">
        <v>3960.62</v>
      </c>
      <c r="FS148" s="420">
        <f t="shared" si="202"/>
        <v>66010.33</v>
      </c>
      <c r="FT148" s="420">
        <f t="shared" si="203"/>
        <v>0.21000000000640301</v>
      </c>
      <c r="FU148" s="419">
        <v>32135.05</v>
      </c>
      <c r="FV148" s="419"/>
      <c r="FW148" s="419">
        <v>1928.1</v>
      </c>
      <c r="FX148" s="420">
        <f t="shared" si="204"/>
        <v>32135</v>
      </c>
      <c r="FY148" s="420">
        <f t="shared" si="205"/>
        <v>-4.9999999999272397E-2</v>
      </c>
      <c r="FZ148" s="419">
        <v>3366953.96</v>
      </c>
      <c r="GA148" s="419">
        <v>91975.74</v>
      </c>
      <c r="GB148" s="419">
        <v>202017.24</v>
      </c>
      <c r="GC148" s="420">
        <f t="shared" si="206"/>
        <v>3366954</v>
      </c>
      <c r="GD148" s="420">
        <f t="shared" si="207"/>
        <v>4.0000000037252903E-2</v>
      </c>
      <c r="GE148" s="419"/>
      <c r="GF148" s="419"/>
      <c r="GG148" s="419"/>
      <c r="GH148" s="420">
        <f t="shared" si="208"/>
        <v>0</v>
      </c>
      <c r="GI148" s="423">
        <f t="shared" si="209"/>
        <v>0</v>
      </c>
      <c r="GJ148" s="419"/>
      <c r="GK148" s="419">
        <v>3131477.63</v>
      </c>
      <c r="GL148" s="419"/>
      <c r="GM148" s="420">
        <f t="shared" si="210"/>
        <v>0</v>
      </c>
      <c r="GN148" s="420">
        <f t="shared" si="211"/>
        <v>0</v>
      </c>
      <c r="GO148" s="419"/>
      <c r="GP148" s="419"/>
      <c r="GQ148" s="419"/>
      <c r="GR148" s="420">
        <f t="shared" si="216"/>
        <v>0</v>
      </c>
      <c r="GS148" s="423">
        <f t="shared" si="212"/>
        <v>0</v>
      </c>
      <c r="GT148" s="419"/>
      <c r="GU148" s="419"/>
      <c r="GV148" s="419"/>
      <c r="GW148" s="420">
        <f t="shared" si="213"/>
        <v>0</v>
      </c>
      <c r="GX148" s="420">
        <f t="shared" si="214"/>
        <v>0</v>
      </c>
    </row>
    <row r="149" spans="1:206" ht="15">
      <c r="A149" s="414"/>
      <c r="B149" s="415" t="s">
        <v>552</v>
      </c>
      <c r="C149" s="698"/>
      <c r="D149" s="704" t="s">
        <v>554</v>
      </c>
      <c r="E149" s="434" t="s">
        <v>123</v>
      </c>
      <c r="F149" s="417">
        <v>0.13</v>
      </c>
      <c r="G149" s="418">
        <f t="shared" si="173"/>
        <v>90297561.280000001</v>
      </c>
      <c r="H149" s="418">
        <f t="shared" si="174"/>
        <v>83659663.049999997</v>
      </c>
      <c r="I149" s="418">
        <f t="shared" si="174"/>
        <v>11738682.9548</v>
      </c>
      <c r="J149" s="418">
        <f t="shared" si="175"/>
        <v>90297561.190769196</v>
      </c>
      <c r="K149" s="418">
        <f t="shared" si="171"/>
        <v>6637898.1407692302</v>
      </c>
      <c r="L149" s="418">
        <f t="shared" si="172"/>
        <v>-8.9230775833129897E-2</v>
      </c>
      <c r="M149" s="424"/>
      <c r="N149" s="424"/>
      <c r="O149" s="424"/>
      <c r="P149" s="424"/>
      <c r="Q149" s="419"/>
      <c r="R149" s="419"/>
      <c r="S149" s="419"/>
      <c r="T149" s="420"/>
      <c r="U149" s="423"/>
      <c r="V149" s="420"/>
      <c r="W149" s="420"/>
      <c r="X149" s="419"/>
      <c r="Y149" s="419"/>
      <c r="Z149" s="423"/>
      <c r="AA149" s="423"/>
      <c r="AB149" s="419"/>
      <c r="AC149" s="423"/>
      <c r="AD149" s="420"/>
      <c r="AE149" s="423"/>
      <c r="AF149" s="444"/>
      <c r="AG149" s="419"/>
      <c r="AH149" s="420"/>
      <c r="AI149" s="420"/>
      <c r="AJ149" s="423"/>
      <c r="AK149" s="444"/>
      <c r="AL149" s="420"/>
      <c r="AM149" s="420"/>
      <c r="AN149" s="420"/>
      <c r="AO149" s="423"/>
      <c r="AP149" s="420"/>
      <c r="AQ149" s="419"/>
      <c r="AR149" s="420"/>
      <c r="AS149" s="420"/>
      <c r="AT149" s="420"/>
      <c r="AU149" s="420"/>
      <c r="AV149" s="420"/>
      <c r="AW149" s="420"/>
      <c r="AX149" s="426"/>
      <c r="AY149" s="420"/>
      <c r="AZ149" s="420"/>
      <c r="BA149" s="420"/>
      <c r="BB149" s="419"/>
      <c r="BC149" s="420"/>
      <c r="BD149" s="427"/>
      <c r="BE149" s="420"/>
      <c r="BF149" s="420"/>
      <c r="BG149" s="420"/>
      <c r="BH149" s="423"/>
      <c r="BI149" s="420"/>
      <c r="BJ149" s="420"/>
      <c r="BK149" s="420"/>
      <c r="BL149" s="420"/>
      <c r="BM149" s="420"/>
      <c r="BN149" s="420"/>
      <c r="BO149" s="419"/>
      <c r="BP149" s="428"/>
      <c r="BQ149" s="420"/>
      <c r="BR149" s="423"/>
      <c r="BS149" s="423"/>
      <c r="BT149" s="420"/>
      <c r="BU149" s="420"/>
      <c r="BV149" s="420"/>
      <c r="BW149" s="420"/>
      <c r="BX149" s="429"/>
      <c r="BY149" s="419"/>
      <c r="BZ149" s="419"/>
      <c r="CA149" s="419"/>
      <c r="CB149" s="420"/>
      <c r="CC149" s="430"/>
      <c r="CD149" s="419"/>
      <c r="CE149" s="419"/>
      <c r="CF149" s="419"/>
      <c r="CG149" s="420"/>
      <c r="CH149" s="423"/>
      <c r="CI149" s="432"/>
      <c r="CJ149" s="432"/>
      <c r="CK149" s="432"/>
      <c r="CL149" s="420"/>
      <c r="CM149" s="423"/>
      <c r="CN149" s="420"/>
      <c r="CO149" s="420"/>
      <c r="CP149" s="420"/>
      <c r="CQ149" s="432"/>
      <c r="CR149" s="432"/>
      <c r="CS149" s="420"/>
      <c r="CT149" s="420"/>
      <c r="CU149" s="420"/>
      <c r="CV149" s="420"/>
      <c r="CW149" s="420"/>
      <c r="CX149" s="419"/>
      <c r="CY149" s="419"/>
      <c r="CZ149" s="419"/>
      <c r="DA149" s="419">
        <f t="shared" si="176"/>
        <v>0</v>
      </c>
      <c r="DB149" s="419">
        <f t="shared" si="177"/>
        <v>0</v>
      </c>
      <c r="DC149" s="419"/>
      <c r="DD149" s="419"/>
      <c r="DE149" s="419"/>
      <c r="DF149" s="420">
        <f t="shared" si="178"/>
        <v>0</v>
      </c>
      <c r="DG149" s="421">
        <f t="shared" si="179"/>
        <v>0</v>
      </c>
      <c r="DH149" s="419"/>
      <c r="DI149" s="419"/>
      <c r="DJ149" s="419"/>
      <c r="DK149" s="420">
        <f t="shared" si="180"/>
        <v>0</v>
      </c>
      <c r="DL149" s="422">
        <f t="shared" si="181"/>
        <v>0</v>
      </c>
      <c r="DM149" s="420"/>
      <c r="DN149" s="420"/>
      <c r="DO149" s="420"/>
      <c r="DP149" s="420">
        <f t="shared" si="182"/>
        <v>0</v>
      </c>
      <c r="DQ149" s="420">
        <f t="shared" si="183"/>
        <v>0</v>
      </c>
      <c r="DR149" s="419"/>
      <c r="DS149" s="419"/>
      <c r="DT149" s="419"/>
      <c r="DU149" s="420">
        <f t="shared" si="184"/>
        <v>0</v>
      </c>
      <c r="DV149" s="423">
        <f t="shared" si="185"/>
        <v>0</v>
      </c>
      <c r="DW149" s="419">
        <v>2788773.1</v>
      </c>
      <c r="DX149" s="419"/>
      <c r="DY149" s="419">
        <v>362540.5</v>
      </c>
      <c r="DZ149" s="420">
        <f t="shared" si="186"/>
        <v>2788773.08</v>
      </c>
      <c r="EA149" s="423">
        <f t="shared" si="187"/>
        <v>-0.02</v>
      </c>
      <c r="EB149" s="419">
        <v>1364715.96</v>
      </c>
      <c r="EC149" s="419"/>
      <c r="ED149" s="420">
        <v>177413.0748</v>
      </c>
      <c r="EE149" s="419">
        <v>1364715.96</v>
      </c>
      <c r="EF149" s="420">
        <f t="shared" si="188"/>
        <v>0</v>
      </c>
      <c r="EG149" s="419"/>
      <c r="EH149" s="419"/>
      <c r="EI149" s="419"/>
      <c r="EJ149" s="420">
        <f t="shared" si="189"/>
        <v>0</v>
      </c>
      <c r="EK149" s="420">
        <f t="shared" si="190"/>
        <v>0</v>
      </c>
      <c r="EL149" s="419"/>
      <c r="EM149" s="419"/>
      <c r="EN149" s="419"/>
      <c r="EO149" s="419">
        <f t="shared" si="191"/>
        <v>0</v>
      </c>
      <c r="EP149" s="419">
        <f t="shared" si="192"/>
        <v>0</v>
      </c>
      <c r="EQ149" s="420">
        <v>70372.14</v>
      </c>
      <c r="ER149" s="420">
        <v>4223861.2</v>
      </c>
      <c r="ES149" s="420">
        <v>9148.3799999999992</v>
      </c>
      <c r="ET149" s="420">
        <f t="shared" si="193"/>
        <v>70372.149999999994</v>
      </c>
      <c r="EU149" s="419">
        <f t="shared" si="194"/>
        <v>0.01</v>
      </c>
      <c r="EV149" s="419"/>
      <c r="EW149" s="419"/>
      <c r="EX149" s="419"/>
      <c r="EY149" s="419">
        <f t="shared" si="195"/>
        <v>0</v>
      </c>
      <c r="EZ149" s="419">
        <f t="shared" si="215"/>
        <v>0</v>
      </c>
      <c r="FA149" s="420">
        <v>7851343.7999999998</v>
      </c>
      <c r="FB149" s="420"/>
      <c r="FC149" s="420">
        <v>1020674.7</v>
      </c>
      <c r="FD149" s="420">
        <f t="shared" si="196"/>
        <v>7851343.8499999996</v>
      </c>
      <c r="FE149" s="420">
        <f t="shared" si="197"/>
        <v>0.05</v>
      </c>
      <c r="FF149" s="419"/>
      <c r="FG149" s="419"/>
      <c r="FH149" s="419"/>
      <c r="FI149" s="419">
        <f t="shared" si="198"/>
        <v>0</v>
      </c>
      <c r="FJ149" s="419">
        <f t="shared" si="199"/>
        <v>0</v>
      </c>
      <c r="FK149" s="419">
        <v>16872170.16</v>
      </c>
      <c r="FL149" s="419">
        <v>7851343.7999999998</v>
      </c>
      <c r="FM149" s="419">
        <v>2193382.12</v>
      </c>
      <c r="FN149" s="420">
        <f t="shared" si="200"/>
        <v>16872170.149999999</v>
      </c>
      <c r="FO149" s="423">
        <f t="shared" si="201"/>
        <v>-0.01</v>
      </c>
      <c r="FP149" s="431">
        <v>6637898.1799999997</v>
      </c>
      <c r="FQ149" s="431">
        <v>16872170.16</v>
      </c>
      <c r="FR149" s="431">
        <v>862926.76</v>
      </c>
      <c r="FS149" s="420">
        <f t="shared" si="202"/>
        <v>6637898.1500000004</v>
      </c>
      <c r="FT149" s="420">
        <f t="shared" si="203"/>
        <v>-2.9999999329447701E-2</v>
      </c>
      <c r="FU149" s="419">
        <v>322421.46000000002</v>
      </c>
      <c r="FV149" s="419"/>
      <c r="FW149" s="419">
        <v>41914.79</v>
      </c>
      <c r="FX149" s="420">
        <f t="shared" si="204"/>
        <v>322421.46000000002</v>
      </c>
      <c r="FY149" s="420">
        <f t="shared" si="205"/>
        <v>0</v>
      </c>
      <c r="FZ149" s="419">
        <v>54389866.479999997</v>
      </c>
      <c r="GA149" s="419">
        <v>322421.46000000002</v>
      </c>
      <c r="GB149" s="419">
        <v>7070682.6299999999</v>
      </c>
      <c r="GC149" s="420">
        <f t="shared" si="206"/>
        <v>54389866.380000003</v>
      </c>
      <c r="GD149" s="420">
        <f t="shared" si="207"/>
        <v>-9.9999994039535495E-2</v>
      </c>
      <c r="GE149" s="419"/>
      <c r="GF149" s="419"/>
      <c r="GG149" s="419"/>
      <c r="GH149" s="420">
        <f t="shared" si="208"/>
        <v>0</v>
      </c>
      <c r="GI149" s="423">
        <f t="shared" si="209"/>
        <v>0</v>
      </c>
      <c r="GJ149" s="419"/>
      <c r="GK149" s="419">
        <v>54389866.43</v>
      </c>
      <c r="GL149" s="419"/>
      <c r="GM149" s="420">
        <f t="shared" si="210"/>
        <v>0</v>
      </c>
      <c r="GN149" s="420">
        <f t="shared" si="211"/>
        <v>0</v>
      </c>
      <c r="GO149" s="419"/>
      <c r="GP149" s="419"/>
      <c r="GQ149" s="419"/>
      <c r="GR149" s="420">
        <f t="shared" si="216"/>
        <v>0</v>
      </c>
      <c r="GS149" s="423">
        <f t="shared" si="212"/>
        <v>0</v>
      </c>
      <c r="GT149" s="419"/>
      <c r="GU149" s="419"/>
      <c r="GV149" s="419"/>
      <c r="GW149" s="420">
        <f t="shared" si="213"/>
        <v>0</v>
      </c>
      <c r="GX149" s="420">
        <f t="shared" si="214"/>
        <v>0</v>
      </c>
    </row>
    <row r="150" spans="1:206" ht="15">
      <c r="A150" s="414"/>
      <c r="B150" s="415" t="s">
        <v>552</v>
      </c>
      <c r="C150" s="698"/>
      <c r="D150" s="706"/>
      <c r="E150" s="434" t="s">
        <v>124</v>
      </c>
      <c r="F150" s="417">
        <v>0.09</v>
      </c>
      <c r="G150" s="418">
        <f t="shared" si="173"/>
        <v>57928881.990000002</v>
      </c>
      <c r="H150" s="418">
        <f t="shared" si="174"/>
        <v>55370299.530000001</v>
      </c>
      <c r="I150" s="418">
        <f t="shared" si="174"/>
        <v>5213599.4029000001</v>
      </c>
      <c r="J150" s="418">
        <f t="shared" si="175"/>
        <v>57928882.254444502</v>
      </c>
      <c r="K150" s="418">
        <f t="shared" si="171"/>
        <v>2558582.7244444499</v>
      </c>
      <c r="L150" s="418">
        <f t="shared" si="172"/>
        <v>0.26444444805383699</v>
      </c>
      <c r="M150" s="424"/>
      <c r="N150" s="424"/>
      <c r="O150" s="424"/>
      <c r="P150" s="424"/>
      <c r="Q150" s="419"/>
      <c r="R150" s="419"/>
      <c r="S150" s="419"/>
      <c r="T150" s="420"/>
      <c r="U150" s="423"/>
      <c r="V150" s="420"/>
      <c r="W150" s="420"/>
      <c r="X150" s="419"/>
      <c r="Y150" s="419"/>
      <c r="Z150" s="423"/>
      <c r="AA150" s="423"/>
      <c r="AB150" s="419"/>
      <c r="AC150" s="423"/>
      <c r="AD150" s="420"/>
      <c r="AE150" s="423"/>
      <c r="AF150" s="444"/>
      <c r="AG150" s="419"/>
      <c r="AH150" s="420"/>
      <c r="AI150" s="420"/>
      <c r="AJ150" s="423"/>
      <c r="AK150" s="444"/>
      <c r="AL150" s="420"/>
      <c r="AM150" s="420"/>
      <c r="AN150" s="420"/>
      <c r="AO150" s="423"/>
      <c r="AP150" s="420"/>
      <c r="AQ150" s="419"/>
      <c r="AR150" s="420"/>
      <c r="AS150" s="420"/>
      <c r="AT150" s="420"/>
      <c r="AU150" s="420"/>
      <c r="AV150" s="420"/>
      <c r="AW150" s="420"/>
      <c r="AX150" s="426"/>
      <c r="AY150" s="420"/>
      <c r="AZ150" s="420"/>
      <c r="BA150" s="420"/>
      <c r="BB150" s="419"/>
      <c r="BC150" s="420"/>
      <c r="BD150" s="427"/>
      <c r="BE150" s="420"/>
      <c r="BF150" s="420"/>
      <c r="BG150" s="420"/>
      <c r="BH150" s="423"/>
      <c r="BI150" s="420"/>
      <c r="BJ150" s="420"/>
      <c r="BK150" s="420"/>
      <c r="BL150" s="420"/>
      <c r="BM150" s="420"/>
      <c r="BN150" s="420"/>
      <c r="BO150" s="419"/>
      <c r="BP150" s="428"/>
      <c r="BQ150" s="420"/>
      <c r="BR150" s="423"/>
      <c r="BS150" s="423"/>
      <c r="BT150" s="420"/>
      <c r="BU150" s="420"/>
      <c r="BV150" s="420"/>
      <c r="BW150" s="420"/>
      <c r="BX150" s="429"/>
      <c r="BY150" s="419"/>
      <c r="BZ150" s="419"/>
      <c r="CA150" s="419"/>
      <c r="CB150" s="420"/>
      <c r="CC150" s="430"/>
      <c r="CD150" s="419"/>
      <c r="CE150" s="419"/>
      <c r="CF150" s="419"/>
      <c r="CG150" s="420"/>
      <c r="CH150" s="423"/>
      <c r="CI150" s="432"/>
      <c r="CJ150" s="432"/>
      <c r="CK150" s="432"/>
      <c r="CL150" s="420"/>
      <c r="CM150" s="423"/>
      <c r="CN150" s="420"/>
      <c r="CO150" s="420"/>
      <c r="CP150" s="420"/>
      <c r="CQ150" s="432"/>
      <c r="CR150" s="432"/>
      <c r="CS150" s="420"/>
      <c r="CT150" s="420"/>
      <c r="CU150" s="420"/>
      <c r="CV150" s="420"/>
      <c r="CW150" s="420"/>
      <c r="CX150" s="419"/>
      <c r="CY150" s="419"/>
      <c r="CZ150" s="419"/>
      <c r="DA150" s="419">
        <f t="shared" si="176"/>
        <v>0</v>
      </c>
      <c r="DB150" s="419">
        <f t="shared" si="177"/>
        <v>0</v>
      </c>
      <c r="DC150" s="419"/>
      <c r="DD150" s="419"/>
      <c r="DE150" s="419"/>
      <c r="DF150" s="420">
        <f t="shared" si="178"/>
        <v>0</v>
      </c>
      <c r="DG150" s="421">
        <f t="shared" si="179"/>
        <v>0</v>
      </c>
      <c r="DH150" s="419"/>
      <c r="DI150" s="419"/>
      <c r="DJ150" s="419"/>
      <c r="DK150" s="420">
        <f t="shared" si="180"/>
        <v>0</v>
      </c>
      <c r="DL150" s="422">
        <f t="shared" si="181"/>
        <v>0</v>
      </c>
      <c r="DM150" s="420"/>
      <c r="DN150" s="420"/>
      <c r="DO150" s="420"/>
      <c r="DP150" s="420">
        <f t="shared" si="182"/>
        <v>0</v>
      </c>
      <c r="DQ150" s="420">
        <f t="shared" si="183"/>
        <v>0</v>
      </c>
      <c r="DR150" s="419"/>
      <c r="DS150" s="419"/>
      <c r="DT150" s="419"/>
      <c r="DU150" s="420">
        <f t="shared" si="184"/>
        <v>0</v>
      </c>
      <c r="DV150" s="423">
        <f t="shared" si="185"/>
        <v>0</v>
      </c>
      <c r="DW150" s="419"/>
      <c r="DX150" s="419"/>
      <c r="DY150" s="419"/>
      <c r="DZ150" s="420">
        <f t="shared" si="186"/>
        <v>0</v>
      </c>
      <c r="EA150" s="423">
        <f t="shared" si="187"/>
        <v>0</v>
      </c>
      <c r="EB150" s="420">
        <v>4563885.8099999996</v>
      </c>
      <c r="EC150" s="419"/>
      <c r="ED150" s="420">
        <v>410749.72289999999</v>
      </c>
      <c r="EE150" s="419">
        <v>4563885.8099999996</v>
      </c>
      <c r="EF150" s="420">
        <f t="shared" si="188"/>
        <v>0</v>
      </c>
      <c r="EG150" s="419">
        <v>5127009.1100000003</v>
      </c>
      <c r="EI150" s="419">
        <v>461430.83</v>
      </c>
      <c r="EJ150" s="420">
        <f t="shared" si="189"/>
        <v>5127009.22</v>
      </c>
      <c r="EK150" s="420">
        <f t="shared" si="190"/>
        <v>0.11</v>
      </c>
      <c r="EL150" s="420"/>
      <c r="EM150" s="419"/>
      <c r="EN150" s="419"/>
      <c r="EO150" s="419">
        <f t="shared" si="191"/>
        <v>0</v>
      </c>
      <c r="EP150" s="419">
        <f t="shared" si="192"/>
        <v>0</v>
      </c>
      <c r="EQ150" s="419">
        <v>5505098.7800000003</v>
      </c>
      <c r="ER150" s="419">
        <v>15195993.699999999</v>
      </c>
      <c r="ES150" s="419">
        <v>495458.89</v>
      </c>
      <c r="ET150" s="420">
        <f t="shared" si="193"/>
        <v>5505098.7800000003</v>
      </c>
      <c r="EU150" s="419">
        <f t="shared" si="194"/>
        <v>0</v>
      </c>
      <c r="EV150" s="455">
        <v>9195475.9700000007</v>
      </c>
      <c r="EW150" s="419"/>
      <c r="EX150" s="455">
        <v>827592.84</v>
      </c>
      <c r="EY150" s="419">
        <f t="shared" si="195"/>
        <v>9195476</v>
      </c>
      <c r="EZ150" s="419">
        <f t="shared" si="215"/>
        <v>0.03</v>
      </c>
      <c r="FA150" s="456">
        <v>7444672.5800000001</v>
      </c>
      <c r="FB150" s="420"/>
      <c r="FC150" s="456">
        <v>670020.54</v>
      </c>
      <c r="FD150" s="420">
        <f t="shared" si="196"/>
        <v>7444672.6699999999</v>
      </c>
      <c r="FE150" s="420">
        <f t="shared" si="197"/>
        <v>0.09</v>
      </c>
      <c r="FF150" s="419">
        <v>6094961.79</v>
      </c>
      <c r="FG150" s="419"/>
      <c r="FH150" s="419">
        <v>548546.56000000006</v>
      </c>
      <c r="FI150" s="419">
        <f t="shared" si="198"/>
        <v>6094961.7777777798</v>
      </c>
      <c r="FJ150" s="419">
        <f t="shared" si="199"/>
        <v>-0.01</v>
      </c>
      <c r="FK150" s="419">
        <v>2197558.14</v>
      </c>
      <c r="FL150" s="419">
        <v>22735110.34</v>
      </c>
      <c r="FM150" s="419">
        <v>197780.24</v>
      </c>
      <c r="FN150" s="420">
        <f t="shared" si="200"/>
        <v>2197558.2200000002</v>
      </c>
      <c r="FO150" s="423">
        <f t="shared" si="201"/>
        <v>0.08</v>
      </c>
      <c r="FP150" s="431">
        <v>2558582.4500000002</v>
      </c>
      <c r="FQ150" s="431">
        <v>2197558.14</v>
      </c>
      <c r="FR150" s="431">
        <v>230272.43</v>
      </c>
      <c r="FS150" s="420">
        <f t="shared" si="202"/>
        <v>2558582.56</v>
      </c>
      <c r="FT150" s="420">
        <f t="shared" si="203"/>
        <v>0.10999999986961501</v>
      </c>
      <c r="FU150" s="419">
        <v>2851110.07</v>
      </c>
      <c r="FV150" s="419"/>
      <c r="FW150" s="419">
        <v>256599.91</v>
      </c>
      <c r="FX150" s="420">
        <f t="shared" si="204"/>
        <v>2851110.11</v>
      </c>
      <c r="FY150" s="420">
        <f t="shared" si="205"/>
        <v>4.0000000037252903E-2</v>
      </c>
      <c r="FZ150" s="419">
        <v>9450654.6899999995</v>
      </c>
      <c r="GA150" s="419">
        <v>2851110.06</v>
      </c>
      <c r="GB150" s="419">
        <v>850558.91</v>
      </c>
      <c r="GC150" s="420">
        <f t="shared" si="206"/>
        <v>9450654.5600000005</v>
      </c>
      <c r="GD150" s="420">
        <f t="shared" si="207"/>
        <v>-0.12999999895691899</v>
      </c>
      <c r="GE150" s="419"/>
      <c r="GF150" s="419"/>
      <c r="GG150" s="419"/>
      <c r="GH150" s="420">
        <f t="shared" si="208"/>
        <v>0</v>
      </c>
      <c r="GI150" s="423">
        <f t="shared" si="209"/>
        <v>0</v>
      </c>
      <c r="GJ150" s="419">
        <v>2939872.6</v>
      </c>
      <c r="GK150" s="419">
        <v>9450654.6899999995</v>
      </c>
      <c r="GL150" s="419">
        <v>264588.53000000003</v>
      </c>
      <c r="GM150" s="420">
        <f t="shared" si="210"/>
        <v>2939872.5555555602</v>
      </c>
      <c r="GN150" s="420">
        <f t="shared" si="211"/>
        <v>-4.4444444123655599E-2</v>
      </c>
      <c r="GO150" s="419"/>
      <c r="GP150" s="419">
        <v>2939872.6</v>
      </c>
      <c r="GQ150" s="419"/>
      <c r="GR150" s="420">
        <f t="shared" si="216"/>
        <v>0</v>
      </c>
      <c r="GS150" s="423">
        <f t="shared" si="212"/>
        <v>0</v>
      </c>
      <c r="GT150" s="419"/>
      <c r="GU150" s="419"/>
      <c r="GV150" s="419"/>
      <c r="GW150" s="420">
        <f t="shared" si="213"/>
        <v>0</v>
      </c>
      <c r="GX150" s="420">
        <f t="shared" si="214"/>
        <v>0</v>
      </c>
    </row>
    <row r="151" spans="1:206" ht="15">
      <c r="A151" s="414"/>
      <c r="B151" s="415" t="s">
        <v>552</v>
      </c>
      <c r="C151" s="698"/>
      <c r="D151" s="707"/>
      <c r="E151" s="434" t="s">
        <v>125</v>
      </c>
      <c r="F151" s="417">
        <v>0.06</v>
      </c>
      <c r="G151" s="418">
        <f t="shared" si="173"/>
        <v>4970078.3600000003</v>
      </c>
      <c r="H151" s="418">
        <f t="shared" si="174"/>
        <v>5157205.68</v>
      </c>
      <c r="I151" s="418">
        <f t="shared" si="174"/>
        <v>298204.70400000003</v>
      </c>
      <c r="J151" s="418">
        <f t="shared" si="175"/>
        <v>4970078.4000000004</v>
      </c>
      <c r="K151" s="418">
        <f t="shared" si="171"/>
        <v>-187127.27999999901</v>
      </c>
      <c r="L151" s="418">
        <f t="shared" si="172"/>
        <v>4.0000000968575498E-2</v>
      </c>
      <c r="M151" s="424"/>
      <c r="N151" s="424"/>
      <c r="O151" s="424"/>
      <c r="P151" s="424"/>
      <c r="Q151" s="419"/>
      <c r="R151" s="419"/>
      <c r="S151" s="419"/>
      <c r="T151" s="420"/>
      <c r="U151" s="423"/>
      <c r="V151" s="420"/>
      <c r="W151" s="420"/>
      <c r="X151" s="419"/>
      <c r="Y151" s="419"/>
      <c r="Z151" s="423"/>
      <c r="AA151" s="423"/>
      <c r="AB151" s="419"/>
      <c r="AC151" s="423"/>
      <c r="AD151" s="420"/>
      <c r="AE151" s="423"/>
      <c r="AF151" s="444"/>
      <c r="AG151" s="419"/>
      <c r="AH151" s="420"/>
      <c r="AI151" s="420"/>
      <c r="AJ151" s="423"/>
      <c r="AK151" s="444"/>
      <c r="AL151" s="420"/>
      <c r="AM151" s="420"/>
      <c r="AN151" s="420"/>
      <c r="AO151" s="423"/>
      <c r="AP151" s="420"/>
      <c r="AQ151" s="419"/>
      <c r="AR151" s="420"/>
      <c r="AS151" s="420"/>
      <c r="AT151" s="420"/>
      <c r="AU151" s="420"/>
      <c r="AV151" s="420"/>
      <c r="AW151" s="420"/>
      <c r="AX151" s="426"/>
      <c r="AY151" s="420"/>
      <c r="AZ151" s="420"/>
      <c r="BA151" s="420"/>
      <c r="BB151" s="419"/>
      <c r="BC151" s="420"/>
      <c r="BD151" s="427"/>
      <c r="BE151" s="420"/>
      <c r="BF151" s="420"/>
      <c r="BG151" s="420"/>
      <c r="BH151" s="423"/>
      <c r="BI151" s="420"/>
      <c r="BJ151" s="420"/>
      <c r="BK151" s="420"/>
      <c r="BL151" s="420"/>
      <c r="BM151" s="420"/>
      <c r="BN151" s="420"/>
      <c r="BO151" s="419"/>
      <c r="BP151" s="428"/>
      <c r="BQ151" s="420"/>
      <c r="BR151" s="423"/>
      <c r="BS151" s="423"/>
      <c r="BT151" s="420"/>
      <c r="BU151" s="420"/>
      <c r="BV151" s="420"/>
      <c r="BW151" s="420"/>
      <c r="BX151" s="429"/>
      <c r="BY151" s="419"/>
      <c r="BZ151" s="419"/>
      <c r="CA151" s="419"/>
      <c r="CB151" s="420"/>
      <c r="CC151" s="430"/>
      <c r="CD151" s="419"/>
      <c r="CE151" s="419"/>
      <c r="CF151" s="419"/>
      <c r="CG151" s="420"/>
      <c r="CH151" s="423"/>
      <c r="CI151" s="432"/>
      <c r="CJ151" s="432"/>
      <c r="CK151" s="432"/>
      <c r="CL151" s="420"/>
      <c r="CM151" s="423"/>
      <c r="CN151" s="420"/>
      <c r="CO151" s="420"/>
      <c r="CP151" s="420"/>
      <c r="CQ151" s="432"/>
      <c r="CR151" s="432"/>
      <c r="CS151" s="420"/>
      <c r="CT151" s="420"/>
      <c r="CU151" s="420"/>
      <c r="CV151" s="420"/>
      <c r="CW151" s="420"/>
      <c r="CX151" s="419">
        <v>1145616.05</v>
      </c>
      <c r="CY151" s="419"/>
      <c r="CZ151" s="419">
        <v>68736.95</v>
      </c>
      <c r="DA151" s="419">
        <f t="shared" si="176"/>
        <v>1145615.83</v>
      </c>
      <c r="DB151" s="419">
        <f t="shared" si="177"/>
        <v>-0.22</v>
      </c>
      <c r="DC151" s="419">
        <v>108544.69</v>
      </c>
      <c r="DD151" s="419"/>
      <c r="DE151" s="419">
        <v>6512.69</v>
      </c>
      <c r="DF151" s="420">
        <f t="shared" si="178"/>
        <v>108544.83333333299</v>
      </c>
      <c r="DG151" s="421">
        <f t="shared" si="179"/>
        <v>-0.143333333326154</v>
      </c>
      <c r="DH151" s="419">
        <v>19074.900000000001</v>
      </c>
      <c r="DI151" s="419"/>
      <c r="DJ151" s="419">
        <v>1144.49</v>
      </c>
      <c r="DK151" s="420">
        <f t="shared" si="180"/>
        <v>19074.833333333299</v>
      </c>
      <c r="DL151" s="422">
        <f t="shared" si="181"/>
        <v>-6.6666666665696497E-2</v>
      </c>
      <c r="DM151" s="420">
        <v>487062.86</v>
      </c>
      <c r="DN151" s="420"/>
      <c r="DO151" s="420">
        <v>29223.77</v>
      </c>
      <c r="DP151" s="420">
        <f t="shared" si="182"/>
        <v>487062.83333333302</v>
      </c>
      <c r="DQ151" s="420">
        <f t="shared" si="183"/>
        <v>-2.66666666138917E-2</v>
      </c>
      <c r="DR151" s="419">
        <v>17363.740000000002</v>
      </c>
      <c r="DS151" s="419"/>
      <c r="DT151" s="419">
        <v>1041.82</v>
      </c>
      <c r="DU151" s="420">
        <f t="shared" si="184"/>
        <v>17363.666666666701</v>
      </c>
      <c r="DV151" s="423">
        <f t="shared" si="185"/>
        <v>-7.3333333333721398E-2</v>
      </c>
      <c r="DW151" s="419">
        <v>490213.92</v>
      </c>
      <c r="DX151" s="419"/>
      <c r="DY151" s="419">
        <v>29412.84</v>
      </c>
      <c r="DZ151" s="420">
        <f t="shared" si="186"/>
        <v>490214</v>
      </c>
      <c r="EA151" s="423">
        <f t="shared" si="187"/>
        <v>0.08</v>
      </c>
      <c r="EB151" s="419">
        <v>916220.4</v>
      </c>
      <c r="EC151" s="419"/>
      <c r="ED151" s="420">
        <v>54973.224000000002</v>
      </c>
      <c r="EE151" s="419">
        <v>916220.4</v>
      </c>
      <c r="EF151" s="420">
        <f t="shared" si="188"/>
        <v>0</v>
      </c>
      <c r="EG151" s="419">
        <v>128186.73</v>
      </c>
      <c r="EH151" s="419"/>
      <c r="EI151" s="419">
        <v>7691.21</v>
      </c>
      <c r="EJ151" s="420">
        <f t="shared" si="189"/>
        <v>128186.83</v>
      </c>
      <c r="EK151" s="420">
        <f t="shared" si="190"/>
        <v>0.1</v>
      </c>
      <c r="EL151" s="419">
        <v>21532.13</v>
      </c>
      <c r="EN151" s="419">
        <v>1291.93</v>
      </c>
      <c r="EO151" s="419">
        <f t="shared" si="191"/>
        <v>21532.17</v>
      </c>
      <c r="EP151" s="419">
        <f t="shared" si="192"/>
        <v>0.04</v>
      </c>
      <c r="EQ151" s="419">
        <v>23711.599999999999</v>
      </c>
      <c r="ER151" s="419">
        <v>3333815.42</v>
      </c>
      <c r="ES151" s="419">
        <v>1422.7</v>
      </c>
      <c r="ET151" s="420">
        <f t="shared" si="193"/>
        <v>23711.67</v>
      </c>
      <c r="EU151" s="419">
        <f t="shared" si="194"/>
        <v>7.0000000000000007E-2</v>
      </c>
      <c r="EV151" s="419">
        <v>23093.58</v>
      </c>
      <c r="EW151" s="419"/>
      <c r="EX151" s="419">
        <v>1385.62</v>
      </c>
      <c r="EY151" s="419">
        <f t="shared" si="195"/>
        <v>23093.67</v>
      </c>
      <c r="EZ151" s="419">
        <f t="shared" si="215"/>
        <v>0.09</v>
      </c>
      <c r="FA151" s="420">
        <v>303680.82</v>
      </c>
      <c r="FB151" s="420"/>
      <c r="FC151" s="420">
        <v>18220.849999999999</v>
      </c>
      <c r="FD151" s="420">
        <f t="shared" si="196"/>
        <v>303680.83</v>
      </c>
      <c r="FE151" s="420">
        <f t="shared" si="197"/>
        <v>0.01</v>
      </c>
      <c r="FF151" s="419">
        <v>21281.8</v>
      </c>
      <c r="FG151" s="419"/>
      <c r="FH151" s="419">
        <v>1276.9100000000001</v>
      </c>
      <c r="FI151" s="419">
        <f t="shared" si="198"/>
        <v>21281.833333333299</v>
      </c>
      <c r="FJ151" s="419">
        <f t="shared" si="199"/>
        <v>0.03</v>
      </c>
      <c r="FK151" s="419">
        <v>32509.81</v>
      </c>
      <c r="FL151" s="419">
        <v>371767.79</v>
      </c>
      <c r="FM151" s="419">
        <v>1950.59</v>
      </c>
      <c r="FN151" s="420">
        <f t="shared" si="200"/>
        <v>32509.83</v>
      </c>
      <c r="FO151" s="423">
        <f t="shared" si="201"/>
        <v>0.02</v>
      </c>
      <c r="FP151" s="431">
        <v>75679.929999999993</v>
      </c>
      <c r="FQ151" s="431">
        <v>65019.62</v>
      </c>
      <c r="FR151" s="431">
        <v>4540.8</v>
      </c>
      <c r="FS151" s="420">
        <f t="shared" si="202"/>
        <v>75680</v>
      </c>
      <c r="FT151" s="420">
        <f t="shared" si="203"/>
        <v>7.0000000006984905E-2</v>
      </c>
      <c r="FU151" s="419">
        <v>32135.05</v>
      </c>
      <c r="FV151" s="419"/>
      <c r="FW151" s="419">
        <v>1928.1</v>
      </c>
      <c r="FX151" s="420">
        <f t="shared" si="204"/>
        <v>32135</v>
      </c>
      <c r="FY151" s="420">
        <f t="shared" si="205"/>
        <v>-4.9999999999272397E-2</v>
      </c>
      <c r="FZ151" s="419">
        <v>1124170.3500000001</v>
      </c>
      <c r="GA151" s="419">
        <v>26956.11</v>
      </c>
      <c r="GB151" s="419">
        <v>67450.210000000006</v>
      </c>
      <c r="GC151" s="420">
        <f t="shared" si="206"/>
        <v>1124170.17</v>
      </c>
      <c r="GD151" s="420">
        <f t="shared" si="207"/>
        <v>-0.18000000016763801</v>
      </c>
      <c r="GE151" s="419"/>
      <c r="GF151" s="419"/>
      <c r="GG151" s="419"/>
      <c r="GH151" s="420">
        <f t="shared" si="208"/>
        <v>0</v>
      </c>
      <c r="GI151" s="423">
        <f t="shared" si="209"/>
        <v>0</v>
      </c>
      <c r="GJ151" s="419"/>
      <c r="GK151" s="419">
        <v>1359646.74</v>
      </c>
      <c r="GL151" s="419"/>
      <c r="GM151" s="420">
        <f t="shared" si="210"/>
        <v>0</v>
      </c>
      <c r="GN151" s="420">
        <f t="shared" si="211"/>
        <v>0</v>
      </c>
      <c r="GO151" s="419"/>
      <c r="GP151" s="419"/>
      <c r="GQ151" s="419"/>
      <c r="GR151" s="420">
        <f t="shared" si="216"/>
        <v>0</v>
      </c>
      <c r="GS151" s="423">
        <f t="shared" si="212"/>
        <v>0</v>
      </c>
      <c r="GT151" s="419"/>
      <c r="GU151" s="419"/>
      <c r="GV151" s="419"/>
      <c r="GW151" s="420">
        <f t="shared" si="213"/>
        <v>0</v>
      </c>
      <c r="GX151" s="420">
        <f t="shared" si="214"/>
        <v>0</v>
      </c>
    </row>
    <row r="152" spans="1:206" ht="15">
      <c r="A152" s="414"/>
      <c r="B152" s="415" t="s">
        <v>555</v>
      </c>
      <c r="C152" s="698"/>
      <c r="D152" s="704" t="s">
        <v>143</v>
      </c>
      <c r="E152" s="434" t="s">
        <v>123</v>
      </c>
      <c r="F152" s="417">
        <v>0.13</v>
      </c>
      <c r="G152" s="418">
        <f t="shared" si="173"/>
        <v>1618141.77</v>
      </c>
      <c r="H152" s="418">
        <f t="shared" si="174"/>
        <v>1618141.77</v>
      </c>
      <c r="I152" s="418">
        <f t="shared" si="174"/>
        <v>210358.43</v>
      </c>
      <c r="J152" s="418">
        <f t="shared" si="175"/>
        <v>1618141.7692307699</v>
      </c>
      <c r="K152" s="418">
        <f t="shared" si="171"/>
        <v>-7.6923100277781497E-4</v>
      </c>
      <c r="L152" s="418">
        <f t="shared" si="172"/>
        <v>-7.6923100277781497E-4</v>
      </c>
      <c r="M152" s="424"/>
      <c r="N152" s="424"/>
      <c r="O152" s="424"/>
      <c r="P152" s="424"/>
      <c r="Q152" s="419"/>
      <c r="R152" s="419"/>
      <c r="S152" s="419"/>
      <c r="T152" s="420"/>
      <c r="U152" s="423"/>
      <c r="V152" s="420"/>
      <c r="W152" s="420"/>
      <c r="X152" s="419"/>
      <c r="Y152" s="419"/>
      <c r="Z152" s="423"/>
      <c r="AA152" s="423"/>
      <c r="AB152" s="419"/>
      <c r="AC152" s="423"/>
      <c r="AD152" s="420"/>
      <c r="AE152" s="423"/>
      <c r="AF152" s="444"/>
      <c r="AG152" s="419"/>
      <c r="AH152" s="420"/>
      <c r="AI152" s="420"/>
      <c r="AJ152" s="423"/>
      <c r="AK152" s="444"/>
      <c r="AL152" s="420"/>
      <c r="AM152" s="420"/>
      <c r="AN152" s="420"/>
      <c r="AO152" s="423"/>
      <c r="AP152" s="420"/>
      <c r="AQ152" s="419"/>
      <c r="AR152" s="420"/>
      <c r="AS152" s="420"/>
      <c r="AT152" s="420"/>
      <c r="AU152" s="420"/>
      <c r="AV152" s="420"/>
      <c r="AW152" s="420"/>
      <c r="AX152" s="426"/>
      <c r="AY152" s="420"/>
      <c r="AZ152" s="420"/>
      <c r="BA152" s="420"/>
      <c r="BB152" s="419"/>
      <c r="BC152" s="420"/>
      <c r="BD152" s="427"/>
      <c r="BE152" s="420"/>
      <c r="BF152" s="420"/>
      <c r="BG152" s="420"/>
      <c r="BH152" s="423"/>
      <c r="BI152" s="420"/>
      <c r="BJ152" s="420"/>
      <c r="BK152" s="420"/>
      <c r="BL152" s="420"/>
      <c r="BM152" s="420"/>
      <c r="BN152" s="420"/>
      <c r="BO152" s="419"/>
      <c r="BP152" s="428"/>
      <c r="BQ152" s="420"/>
      <c r="BR152" s="423"/>
      <c r="BS152" s="423"/>
      <c r="BT152" s="420"/>
      <c r="BU152" s="420"/>
      <c r="BV152" s="420"/>
      <c r="BW152" s="420"/>
      <c r="BX152" s="429"/>
      <c r="BY152" s="419"/>
      <c r="BZ152" s="419"/>
      <c r="CA152" s="419"/>
      <c r="CB152" s="420"/>
      <c r="CC152" s="430"/>
      <c r="CD152" s="419"/>
      <c r="CE152" s="419"/>
      <c r="CF152" s="419"/>
      <c r="CG152" s="420"/>
      <c r="CH152" s="423"/>
      <c r="CI152" s="432"/>
      <c r="CJ152" s="432"/>
      <c r="CK152" s="432"/>
      <c r="CL152" s="420"/>
      <c r="CM152" s="423"/>
      <c r="CN152" s="420"/>
      <c r="CO152" s="420"/>
      <c r="CP152" s="420"/>
      <c r="CQ152" s="432"/>
      <c r="CR152" s="432"/>
      <c r="CS152" s="420"/>
      <c r="CT152" s="420"/>
      <c r="CU152" s="420"/>
      <c r="CV152" s="420"/>
      <c r="CW152" s="420"/>
      <c r="CX152" s="419"/>
      <c r="CY152" s="419"/>
      <c r="CZ152" s="419"/>
      <c r="DA152" s="419">
        <f t="shared" si="176"/>
        <v>0</v>
      </c>
      <c r="DB152" s="419">
        <f t="shared" si="177"/>
        <v>0</v>
      </c>
      <c r="DC152" s="419"/>
      <c r="DD152" s="419"/>
      <c r="DE152" s="419"/>
      <c r="DF152" s="420">
        <f t="shared" si="178"/>
        <v>0</v>
      </c>
      <c r="DG152" s="421">
        <f t="shared" si="179"/>
        <v>0</v>
      </c>
      <c r="DH152" s="419">
        <v>1618141.77</v>
      </c>
      <c r="DI152" s="419">
        <v>1618141.77</v>
      </c>
      <c r="DJ152" s="419">
        <v>210358.43</v>
      </c>
      <c r="DK152" s="420">
        <f t="shared" si="180"/>
        <v>1618141.7692307699</v>
      </c>
      <c r="DL152" s="422">
        <f t="shared" si="181"/>
        <v>-7.6923100277781497E-4</v>
      </c>
      <c r="DM152" s="420"/>
      <c r="DN152" s="420"/>
      <c r="DO152" s="420"/>
      <c r="DP152" s="420">
        <f t="shared" si="182"/>
        <v>0</v>
      </c>
      <c r="DQ152" s="420">
        <f t="shared" si="183"/>
        <v>0</v>
      </c>
      <c r="DR152" s="419"/>
      <c r="DS152" s="419"/>
      <c r="DT152" s="419"/>
      <c r="DU152" s="420">
        <f t="shared" si="184"/>
        <v>0</v>
      </c>
      <c r="DV152" s="423">
        <f t="shared" si="185"/>
        <v>0</v>
      </c>
      <c r="DW152" s="419"/>
      <c r="DX152" s="419"/>
      <c r="DY152" s="419"/>
      <c r="DZ152" s="420">
        <f t="shared" si="186"/>
        <v>0</v>
      </c>
      <c r="EA152" s="423">
        <f t="shared" si="187"/>
        <v>0</v>
      </c>
      <c r="EB152" s="419"/>
      <c r="EC152" s="419"/>
      <c r="ED152" s="420"/>
      <c r="EE152" s="419"/>
      <c r="EF152" s="420">
        <f t="shared" si="188"/>
        <v>0</v>
      </c>
      <c r="EG152" s="419"/>
      <c r="EH152" s="419"/>
      <c r="EI152" s="419"/>
      <c r="EJ152" s="420">
        <f t="shared" si="189"/>
        <v>0</v>
      </c>
      <c r="EK152" s="420">
        <f t="shared" si="190"/>
        <v>0</v>
      </c>
      <c r="EL152" s="419"/>
      <c r="EM152" s="419"/>
      <c r="EN152" s="419"/>
      <c r="EO152" s="419">
        <f t="shared" si="191"/>
        <v>0</v>
      </c>
      <c r="EP152" s="419">
        <f t="shared" si="192"/>
        <v>0</v>
      </c>
      <c r="EQ152" s="419"/>
      <c r="ER152" s="419"/>
      <c r="ES152" s="419"/>
      <c r="ET152" s="419">
        <f t="shared" si="193"/>
        <v>0</v>
      </c>
      <c r="EU152" s="419">
        <f t="shared" si="194"/>
        <v>0</v>
      </c>
      <c r="EV152" s="419"/>
      <c r="EW152" s="419"/>
      <c r="EX152" s="419"/>
      <c r="EY152" s="419">
        <f t="shared" si="195"/>
        <v>0</v>
      </c>
      <c r="EZ152" s="419">
        <f t="shared" si="215"/>
        <v>0</v>
      </c>
      <c r="FA152" s="420"/>
      <c r="FB152" s="420"/>
      <c r="FC152" s="420"/>
      <c r="FD152" s="420">
        <f t="shared" si="196"/>
        <v>0</v>
      </c>
      <c r="FE152" s="420">
        <f t="shared" si="197"/>
        <v>0</v>
      </c>
      <c r="FF152" s="419"/>
      <c r="FG152" s="419"/>
      <c r="FH152" s="419"/>
      <c r="FI152" s="419">
        <f t="shared" si="198"/>
        <v>0</v>
      </c>
      <c r="FJ152" s="419">
        <f t="shared" si="199"/>
        <v>0</v>
      </c>
      <c r="FK152" s="419"/>
      <c r="FL152" s="419"/>
      <c r="FM152" s="419"/>
      <c r="FN152" s="420">
        <f t="shared" si="200"/>
        <v>0</v>
      </c>
      <c r="FO152" s="423">
        <f t="shared" si="201"/>
        <v>0</v>
      </c>
      <c r="FP152" s="419"/>
      <c r="FQ152" s="419"/>
      <c r="FR152" s="419"/>
      <c r="FS152" s="420">
        <f t="shared" si="202"/>
        <v>0</v>
      </c>
      <c r="FT152" s="420">
        <f t="shared" si="203"/>
        <v>0</v>
      </c>
      <c r="FU152" s="419"/>
      <c r="FV152" s="419"/>
      <c r="FW152" s="419"/>
      <c r="FX152" s="420">
        <f t="shared" si="204"/>
        <v>0</v>
      </c>
      <c r="FY152" s="420">
        <f t="shared" si="205"/>
        <v>0</v>
      </c>
      <c r="FZ152" s="419"/>
      <c r="GA152" s="419"/>
      <c r="GB152" s="419"/>
      <c r="GC152" s="420">
        <f t="shared" si="206"/>
        <v>0</v>
      </c>
      <c r="GD152" s="420">
        <f t="shared" si="207"/>
        <v>0</v>
      </c>
      <c r="GE152" s="419"/>
      <c r="GF152" s="419"/>
      <c r="GG152" s="419"/>
      <c r="GH152" s="420">
        <f t="shared" si="208"/>
        <v>0</v>
      </c>
      <c r="GI152" s="423">
        <f t="shared" si="209"/>
        <v>0</v>
      </c>
      <c r="GJ152" s="419"/>
      <c r="GK152" s="419"/>
      <c r="GL152" s="419"/>
      <c r="GM152" s="420">
        <f t="shared" si="210"/>
        <v>0</v>
      </c>
      <c r="GN152" s="420">
        <f t="shared" si="211"/>
        <v>0</v>
      </c>
      <c r="GO152" s="419"/>
      <c r="GP152" s="419"/>
      <c r="GQ152" s="419"/>
      <c r="GR152" s="420">
        <f t="shared" si="216"/>
        <v>0</v>
      </c>
      <c r="GS152" s="423">
        <f t="shared" si="212"/>
        <v>0</v>
      </c>
      <c r="GT152" s="419"/>
      <c r="GU152" s="419"/>
      <c r="GV152" s="419"/>
      <c r="GW152" s="420">
        <f t="shared" si="213"/>
        <v>0</v>
      </c>
      <c r="GX152" s="420">
        <f t="shared" si="214"/>
        <v>0</v>
      </c>
    </row>
    <row r="153" spans="1:206" ht="14.1" customHeight="1">
      <c r="A153" s="414"/>
      <c r="B153" s="415" t="s">
        <v>555</v>
      </c>
      <c r="C153" s="698"/>
      <c r="D153" s="705"/>
      <c r="E153" s="434" t="s">
        <v>124</v>
      </c>
      <c r="F153" s="417">
        <v>0.09</v>
      </c>
      <c r="G153" s="418">
        <f t="shared" si="173"/>
        <v>13158395.630000001</v>
      </c>
      <c r="H153" s="418">
        <f t="shared" si="174"/>
        <v>8336359.9800000004</v>
      </c>
      <c r="I153" s="418">
        <f t="shared" si="174"/>
        <v>1184255.6200000001</v>
      </c>
      <c r="J153" s="418">
        <f t="shared" si="175"/>
        <v>13158395.7777778</v>
      </c>
      <c r="K153" s="418">
        <f t="shared" si="171"/>
        <v>4822035.7977777803</v>
      </c>
      <c r="L153" s="418">
        <f t="shared" si="172"/>
        <v>0.147777775302529</v>
      </c>
      <c r="M153" s="424"/>
      <c r="N153" s="424"/>
      <c r="O153" s="424"/>
      <c r="P153" s="424"/>
      <c r="Q153" s="419"/>
      <c r="R153" s="419"/>
      <c r="S153" s="419"/>
      <c r="T153" s="420"/>
      <c r="U153" s="423"/>
      <c r="V153" s="420"/>
      <c r="W153" s="420"/>
      <c r="X153" s="419"/>
      <c r="Y153" s="419"/>
      <c r="Z153" s="423"/>
      <c r="AA153" s="423"/>
      <c r="AB153" s="419"/>
      <c r="AC153" s="423"/>
      <c r="AD153" s="420"/>
      <c r="AE153" s="423"/>
      <c r="AF153" s="444"/>
      <c r="AG153" s="419"/>
      <c r="AH153" s="420"/>
      <c r="AI153" s="420"/>
      <c r="AJ153" s="423"/>
      <c r="AK153" s="444"/>
      <c r="AL153" s="420"/>
      <c r="AM153" s="420"/>
      <c r="AN153" s="420"/>
      <c r="AO153" s="423"/>
      <c r="AP153" s="420"/>
      <c r="AQ153" s="419"/>
      <c r="AR153" s="420"/>
      <c r="AS153" s="420"/>
      <c r="AT153" s="420"/>
      <c r="AU153" s="420"/>
      <c r="AV153" s="420"/>
      <c r="AW153" s="420"/>
      <c r="AX153" s="426"/>
      <c r="AY153" s="420"/>
      <c r="AZ153" s="420"/>
      <c r="BA153" s="420"/>
      <c r="BB153" s="419"/>
      <c r="BC153" s="420"/>
      <c r="BD153" s="427"/>
      <c r="BE153" s="420"/>
      <c r="BF153" s="420"/>
      <c r="BG153" s="420"/>
      <c r="BH153" s="423"/>
      <c r="BI153" s="420"/>
      <c r="BJ153" s="420"/>
      <c r="BK153" s="420"/>
      <c r="BL153" s="420"/>
      <c r="BM153" s="420"/>
      <c r="BN153" s="420"/>
      <c r="BO153" s="419"/>
      <c r="BP153" s="428"/>
      <c r="BQ153" s="420"/>
      <c r="BR153" s="423"/>
      <c r="BS153" s="423"/>
      <c r="BT153" s="420"/>
      <c r="BU153" s="420"/>
      <c r="BV153" s="420"/>
      <c r="BW153" s="420"/>
      <c r="BX153" s="429"/>
      <c r="BY153" s="419"/>
      <c r="BZ153" s="419"/>
      <c r="CA153" s="419"/>
      <c r="CB153" s="420"/>
      <c r="CC153" s="430"/>
      <c r="CD153" s="419"/>
      <c r="CE153" s="419"/>
      <c r="CF153" s="419"/>
      <c r="CG153" s="420"/>
      <c r="CH153" s="423"/>
      <c r="CI153" s="432"/>
      <c r="CJ153" s="432"/>
      <c r="CK153" s="432"/>
      <c r="CL153" s="420"/>
      <c r="CM153" s="423"/>
      <c r="CN153" s="420"/>
      <c r="CO153" s="420"/>
      <c r="CP153" s="420"/>
      <c r="CQ153" s="432"/>
      <c r="CR153" s="432"/>
      <c r="CS153" s="420"/>
      <c r="CT153" s="420"/>
      <c r="CU153" s="420"/>
      <c r="CV153" s="420"/>
      <c r="CW153" s="420"/>
      <c r="CX153" s="419"/>
      <c r="CY153" s="419"/>
      <c r="CZ153" s="419"/>
      <c r="DA153" s="419">
        <f t="shared" si="176"/>
        <v>0</v>
      </c>
      <c r="DB153" s="419">
        <f t="shared" si="177"/>
        <v>0</v>
      </c>
      <c r="DC153" s="419"/>
      <c r="DD153" s="419"/>
      <c r="DE153" s="419"/>
      <c r="DF153" s="420">
        <f t="shared" si="178"/>
        <v>0</v>
      </c>
      <c r="DG153" s="421">
        <f t="shared" si="179"/>
        <v>0</v>
      </c>
      <c r="DH153" s="419"/>
      <c r="DI153" s="419"/>
      <c r="DJ153" s="419"/>
      <c r="DK153" s="420">
        <f t="shared" si="180"/>
        <v>0</v>
      </c>
      <c r="DL153" s="422">
        <f t="shared" si="181"/>
        <v>0</v>
      </c>
      <c r="DM153" s="420">
        <v>6906882.2400000002</v>
      </c>
      <c r="DN153" s="420"/>
      <c r="DO153" s="420">
        <v>621619.41</v>
      </c>
      <c r="DP153" s="420">
        <f t="shared" si="182"/>
        <v>6906882.3333333302</v>
      </c>
      <c r="DQ153" s="420">
        <f t="shared" si="183"/>
        <v>9.3333333730697604E-2</v>
      </c>
      <c r="DR153" s="419">
        <v>1429477.74</v>
      </c>
      <c r="DS153" s="419"/>
      <c r="DT153" s="419">
        <v>128653</v>
      </c>
      <c r="DU153" s="420">
        <f t="shared" si="184"/>
        <v>1429477.7777777801</v>
      </c>
      <c r="DV153" s="423">
        <f t="shared" si="185"/>
        <v>3.7777777761220897E-2</v>
      </c>
      <c r="DW153" s="419"/>
      <c r="DX153" s="419"/>
      <c r="DY153" s="419"/>
      <c r="DZ153" s="420">
        <f t="shared" si="186"/>
        <v>0</v>
      </c>
      <c r="EA153" s="423">
        <f t="shared" si="187"/>
        <v>0</v>
      </c>
      <c r="EB153" s="420"/>
      <c r="EC153" s="419"/>
      <c r="ED153" s="420"/>
      <c r="EE153" s="419"/>
      <c r="EF153" s="420">
        <f t="shared" si="188"/>
        <v>0</v>
      </c>
      <c r="EG153" s="419"/>
      <c r="EH153" s="419"/>
      <c r="EI153" s="419"/>
      <c r="EJ153" s="420">
        <f t="shared" si="189"/>
        <v>0</v>
      </c>
      <c r="EK153" s="420">
        <f t="shared" si="190"/>
        <v>0</v>
      </c>
      <c r="EL153" s="419"/>
      <c r="EM153" s="419"/>
      <c r="EN153" s="419"/>
      <c r="EO153" s="419">
        <f t="shared" si="191"/>
        <v>0</v>
      </c>
      <c r="EP153" s="419">
        <f t="shared" si="192"/>
        <v>0</v>
      </c>
      <c r="EQ153" s="419"/>
      <c r="ER153" s="420">
        <v>8336359.9800000004</v>
      </c>
      <c r="ES153" s="419"/>
      <c r="ET153" s="419">
        <f t="shared" si="193"/>
        <v>0</v>
      </c>
      <c r="EU153" s="419">
        <f t="shared" si="194"/>
        <v>0</v>
      </c>
      <c r="EV153" s="419"/>
      <c r="EW153" s="419"/>
      <c r="EX153" s="419"/>
      <c r="EY153" s="419">
        <f t="shared" si="195"/>
        <v>0</v>
      </c>
      <c r="EZ153" s="419">
        <f t="shared" si="215"/>
        <v>0</v>
      </c>
      <c r="FA153" s="420"/>
      <c r="FB153" s="420"/>
      <c r="FC153" s="420"/>
      <c r="FD153" s="420">
        <f t="shared" si="196"/>
        <v>0</v>
      </c>
      <c r="FE153" s="420">
        <f t="shared" si="197"/>
        <v>0</v>
      </c>
      <c r="FF153" s="419"/>
      <c r="FG153" s="419"/>
      <c r="FH153" s="419"/>
      <c r="FI153" s="419">
        <f t="shared" si="198"/>
        <v>0</v>
      </c>
      <c r="FJ153" s="419">
        <f t="shared" si="199"/>
        <v>0</v>
      </c>
      <c r="FK153" s="419">
        <v>717910.94</v>
      </c>
      <c r="FL153" s="419"/>
      <c r="FM153" s="419">
        <v>64611.98</v>
      </c>
      <c r="FN153" s="420">
        <f t="shared" si="200"/>
        <v>717910.89</v>
      </c>
      <c r="FO153" s="423">
        <f t="shared" si="201"/>
        <v>-0.05</v>
      </c>
      <c r="FP153" s="419"/>
      <c r="FQ153" s="419"/>
      <c r="FR153" s="419"/>
      <c r="FS153" s="420">
        <f t="shared" si="202"/>
        <v>0</v>
      </c>
      <c r="FT153" s="420">
        <f t="shared" si="203"/>
        <v>0</v>
      </c>
      <c r="FU153" s="419"/>
      <c r="FV153" s="419"/>
      <c r="FW153" s="419"/>
      <c r="FX153" s="420">
        <f t="shared" si="204"/>
        <v>0</v>
      </c>
      <c r="FY153" s="420">
        <f t="shared" si="205"/>
        <v>0</v>
      </c>
      <c r="FZ153" s="419"/>
      <c r="GA153" s="419"/>
      <c r="GB153" s="419"/>
      <c r="GC153" s="420">
        <f t="shared" si="206"/>
        <v>0</v>
      </c>
      <c r="GD153" s="420">
        <f t="shared" si="207"/>
        <v>0</v>
      </c>
      <c r="GE153" s="419"/>
      <c r="GF153" s="419"/>
      <c r="GG153" s="419"/>
      <c r="GH153" s="420">
        <f t="shared" si="208"/>
        <v>0</v>
      </c>
      <c r="GI153" s="423">
        <f t="shared" si="209"/>
        <v>0</v>
      </c>
      <c r="GJ153" s="419">
        <v>901676.81</v>
      </c>
      <c r="GK153" s="419"/>
      <c r="GL153" s="419">
        <v>81150.91</v>
      </c>
      <c r="GM153" s="420">
        <f t="shared" si="210"/>
        <v>901676.77777777798</v>
      </c>
      <c r="GN153" s="420">
        <f t="shared" si="211"/>
        <v>-3.2222222187556299E-2</v>
      </c>
      <c r="GO153" s="419">
        <v>2186851.59</v>
      </c>
      <c r="GP153" s="419"/>
      <c r="GQ153" s="419">
        <v>196816.65</v>
      </c>
      <c r="GR153" s="420">
        <f t="shared" si="216"/>
        <v>2186851.6666666698</v>
      </c>
      <c r="GS153" s="423">
        <f t="shared" si="212"/>
        <v>7.6666666660457794E-2</v>
      </c>
      <c r="GT153" s="419">
        <v>1015596.31</v>
      </c>
      <c r="GU153" s="419"/>
      <c r="GV153" s="419">
        <v>91403.67</v>
      </c>
      <c r="GW153" s="420">
        <f t="shared" si="213"/>
        <v>1015596.33</v>
      </c>
      <c r="GX153" s="420">
        <f t="shared" si="214"/>
        <v>1.9999999902211098E-2</v>
      </c>
    </row>
    <row r="154" spans="1:206" ht="15">
      <c r="A154" s="414"/>
      <c r="B154" s="415" t="s">
        <v>555</v>
      </c>
      <c r="C154" s="698"/>
      <c r="D154" s="707"/>
      <c r="E154" s="434" t="s">
        <v>125</v>
      </c>
      <c r="F154" s="417">
        <v>0.06</v>
      </c>
      <c r="G154" s="418">
        <f t="shared" si="173"/>
        <v>2756453.36</v>
      </c>
      <c r="H154" s="418">
        <f t="shared" si="174"/>
        <v>1912386.27</v>
      </c>
      <c r="I154" s="418">
        <f t="shared" si="174"/>
        <v>165387.19</v>
      </c>
      <c r="J154" s="418">
        <f t="shared" si="175"/>
        <v>2756453.1666666698</v>
      </c>
      <c r="K154" s="418">
        <f t="shared" si="171"/>
        <v>844066.89666666696</v>
      </c>
      <c r="L154" s="418">
        <f t="shared" si="172"/>
        <v>-0.19333333335816899</v>
      </c>
      <c r="M154" s="424"/>
      <c r="N154" s="424"/>
      <c r="O154" s="424"/>
      <c r="P154" s="424"/>
      <c r="Q154" s="419"/>
      <c r="R154" s="419"/>
      <c r="S154" s="419"/>
      <c r="T154" s="420"/>
      <c r="U154" s="423"/>
      <c r="V154" s="420"/>
      <c r="W154" s="420"/>
      <c r="X154" s="419"/>
      <c r="Y154" s="419"/>
      <c r="Z154" s="423"/>
      <c r="AA154" s="423"/>
      <c r="AB154" s="419"/>
      <c r="AC154" s="423"/>
      <c r="AD154" s="420"/>
      <c r="AE154" s="423"/>
      <c r="AF154" s="444"/>
      <c r="AG154" s="419"/>
      <c r="AH154" s="420"/>
      <c r="AI154" s="420"/>
      <c r="AJ154" s="423"/>
      <c r="AK154" s="444"/>
      <c r="AL154" s="420"/>
      <c r="AM154" s="420"/>
      <c r="AN154" s="420"/>
      <c r="AO154" s="423"/>
      <c r="AP154" s="420"/>
      <c r="AQ154" s="419"/>
      <c r="AR154" s="420"/>
      <c r="AS154" s="420"/>
      <c r="AT154" s="420"/>
      <c r="AU154" s="420"/>
      <c r="AV154" s="420"/>
      <c r="AW154" s="420"/>
      <c r="AX154" s="426"/>
      <c r="AY154" s="420"/>
      <c r="AZ154" s="420"/>
      <c r="BA154" s="420"/>
      <c r="BB154" s="419"/>
      <c r="BC154" s="420"/>
      <c r="BD154" s="427"/>
      <c r="BE154" s="420"/>
      <c r="BF154" s="420"/>
      <c r="BG154" s="420"/>
      <c r="BH154" s="423"/>
      <c r="BI154" s="420"/>
      <c r="BJ154" s="420"/>
      <c r="BK154" s="420"/>
      <c r="BL154" s="420"/>
      <c r="BM154" s="420"/>
      <c r="BN154" s="420"/>
      <c r="BO154" s="419"/>
      <c r="BP154" s="428"/>
      <c r="BQ154" s="420"/>
      <c r="BR154" s="423"/>
      <c r="BS154" s="423"/>
      <c r="BT154" s="420"/>
      <c r="BU154" s="420"/>
      <c r="BV154" s="420"/>
      <c r="BW154" s="420"/>
      <c r="BX154" s="429"/>
      <c r="BY154" s="419"/>
      <c r="BZ154" s="419"/>
      <c r="CA154" s="419"/>
      <c r="CB154" s="420"/>
      <c r="CC154" s="430"/>
      <c r="CD154" s="419"/>
      <c r="CE154" s="419"/>
      <c r="CF154" s="419"/>
      <c r="CG154" s="420"/>
      <c r="CH154" s="423"/>
      <c r="CI154" s="432"/>
      <c r="CJ154" s="432"/>
      <c r="CK154" s="432"/>
      <c r="CL154" s="420"/>
      <c r="CM154" s="423"/>
      <c r="CN154" s="420"/>
      <c r="CO154" s="420"/>
      <c r="CP154" s="420"/>
      <c r="CQ154" s="432"/>
      <c r="CR154" s="432"/>
      <c r="CS154" s="420"/>
      <c r="CT154" s="420"/>
      <c r="CU154" s="420"/>
      <c r="CV154" s="420"/>
      <c r="CW154" s="420"/>
      <c r="CX154" s="419">
        <v>965500.81</v>
      </c>
      <c r="CY154" s="419"/>
      <c r="CZ154" s="419">
        <v>57930.06</v>
      </c>
      <c r="DA154" s="419">
        <f t="shared" si="176"/>
        <v>965501</v>
      </c>
      <c r="DB154" s="419">
        <f t="shared" si="177"/>
        <v>0.19</v>
      </c>
      <c r="DC154" s="419">
        <v>271251.69</v>
      </c>
      <c r="DD154" s="419"/>
      <c r="DE154" s="419">
        <v>16275.1</v>
      </c>
      <c r="DF154" s="420">
        <f t="shared" si="178"/>
        <v>271251.66666666698</v>
      </c>
      <c r="DG154" s="421">
        <f t="shared" si="179"/>
        <v>2.33333333162591E-2</v>
      </c>
      <c r="DH154" s="419">
        <v>355480.49</v>
      </c>
      <c r="DI154" s="419">
        <v>1566199.21</v>
      </c>
      <c r="DJ154" s="419">
        <v>21328.83</v>
      </c>
      <c r="DK154" s="420">
        <f t="shared" si="180"/>
        <v>355480.5</v>
      </c>
      <c r="DL154" s="422">
        <f t="shared" si="181"/>
        <v>1.0000000067520901E-2</v>
      </c>
      <c r="DM154" s="420">
        <v>24408.82</v>
      </c>
      <c r="DN154" s="420"/>
      <c r="DO154" s="420">
        <v>1464.53</v>
      </c>
      <c r="DP154" s="420">
        <f t="shared" si="182"/>
        <v>24408.833333333299</v>
      </c>
      <c r="DQ154" s="420">
        <f t="shared" si="183"/>
        <v>1.33333333324117E-2</v>
      </c>
      <c r="DR154" s="419">
        <v>108008.6</v>
      </c>
      <c r="DS154" s="419"/>
      <c r="DT154" s="419">
        <v>6480.51</v>
      </c>
      <c r="DU154" s="420">
        <f t="shared" si="184"/>
        <v>108008.5</v>
      </c>
      <c r="DV154" s="423">
        <f t="shared" si="185"/>
        <v>-9.9999999991268906E-2</v>
      </c>
      <c r="DW154" s="419">
        <v>187735.85</v>
      </c>
      <c r="DX154" s="419"/>
      <c r="DY154" s="419">
        <v>11264.15</v>
      </c>
      <c r="DZ154" s="420">
        <f t="shared" si="186"/>
        <v>187735.83</v>
      </c>
      <c r="EA154" s="423">
        <f t="shared" si="187"/>
        <v>-0.02</v>
      </c>
      <c r="EB154" s="419"/>
      <c r="EC154" s="419"/>
      <c r="ED154" s="420"/>
      <c r="EE154" s="419"/>
      <c r="EF154" s="420">
        <f t="shared" si="188"/>
        <v>0</v>
      </c>
      <c r="EG154" s="419"/>
      <c r="EH154" s="419"/>
      <c r="EI154" s="419"/>
      <c r="EJ154" s="420">
        <f t="shared" si="189"/>
        <v>0</v>
      </c>
      <c r="EK154" s="420">
        <f t="shared" si="190"/>
        <v>0</v>
      </c>
      <c r="EL154" s="419"/>
      <c r="EM154" s="419"/>
      <c r="EN154" s="419"/>
      <c r="EO154" s="419">
        <f t="shared" si="191"/>
        <v>0</v>
      </c>
      <c r="EP154" s="419">
        <f t="shared" si="192"/>
        <v>0</v>
      </c>
      <c r="EQ154" s="419"/>
      <c r="ER154" s="419">
        <v>346187.06</v>
      </c>
      <c r="ES154" s="419"/>
      <c r="ET154" s="419">
        <f t="shared" si="193"/>
        <v>0</v>
      </c>
      <c r="EU154" s="419">
        <f t="shared" si="194"/>
        <v>0</v>
      </c>
      <c r="EV154" s="419"/>
      <c r="EW154" s="419"/>
      <c r="EX154" s="419"/>
      <c r="EY154" s="419">
        <f t="shared" si="195"/>
        <v>0</v>
      </c>
      <c r="EZ154" s="419">
        <f t="shared" si="215"/>
        <v>0</v>
      </c>
      <c r="FA154" s="420"/>
      <c r="FB154" s="420"/>
      <c r="FC154" s="420"/>
      <c r="FD154" s="420">
        <f t="shared" si="196"/>
        <v>0</v>
      </c>
      <c r="FE154" s="420">
        <f t="shared" si="197"/>
        <v>0</v>
      </c>
      <c r="FF154" s="419"/>
      <c r="FG154" s="419"/>
      <c r="FH154" s="419"/>
      <c r="FI154" s="419">
        <f t="shared" si="198"/>
        <v>0</v>
      </c>
      <c r="FJ154" s="419">
        <f t="shared" si="199"/>
        <v>0</v>
      </c>
      <c r="FK154" s="419"/>
      <c r="FL154" s="419"/>
      <c r="FM154" s="419"/>
      <c r="FN154" s="420">
        <f t="shared" si="200"/>
        <v>0</v>
      </c>
      <c r="FO154" s="423">
        <f t="shared" si="201"/>
        <v>0</v>
      </c>
      <c r="FP154" s="419"/>
      <c r="FQ154" s="419"/>
      <c r="FR154" s="419"/>
      <c r="FS154" s="420">
        <f t="shared" si="202"/>
        <v>0</v>
      </c>
      <c r="FT154" s="420">
        <f t="shared" si="203"/>
        <v>0</v>
      </c>
      <c r="FU154" s="419"/>
      <c r="FV154" s="419"/>
      <c r="FW154" s="419"/>
      <c r="FX154" s="420">
        <f t="shared" si="204"/>
        <v>0</v>
      </c>
      <c r="FY154" s="420">
        <f t="shared" si="205"/>
        <v>0</v>
      </c>
      <c r="FZ154" s="419"/>
      <c r="GA154" s="419"/>
      <c r="GB154" s="419"/>
      <c r="GC154" s="420">
        <f t="shared" si="206"/>
        <v>0</v>
      </c>
      <c r="GD154" s="420">
        <f t="shared" si="207"/>
        <v>0</v>
      </c>
      <c r="GE154" s="419">
        <v>131853.1</v>
      </c>
      <c r="GF154" s="419"/>
      <c r="GG154" s="419">
        <v>7911.18</v>
      </c>
      <c r="GH154" s="420">
        <f t="shared" si="208"/>
        <v>131853</v>
      </c>
      <c r="GI154" s="423">
        <f t="shared" si="209"/>
        <v>-0.100000000005821</v>
      </c>
      <c r="GJ154" s="437">
        <v>27724.12</v>
      </c>
      <c r="GK154" s="419"/>
      <c r="GL154" s="419">
        <v>1663.44</v>
      </c>
      <c r="GM154" s="420">
        <f t="shared" si="210"/>
        <v>27724</v>
      </c>
      <c r="GN154" s="420">
        <f t="shared" si="211"/>
        <v>-0.119999999995343</v>
      </c>
      <c r="GO154" s="419">
        <v>500154.14</v>
      </c>
      <c r="GP154" s="419"/>
      <c r="GQ154" s="419">
        <v>30009.25</v>
      </c>
      <c r="GR154" s="420">
        <f t="shared" si="216"/>
        <v>500154.16666666698</v>
      </c>
      <c r="GS154" s="423">
        <f t="shared" si="212"/>
        <v>2.6666666672099399E-2</v>
      </c>
      <c r="GT154" s="419">
        <v>184335.74</v>
      </c>
      <c r="GU154" s="419"/>
      <c r="GV154" s="419">
        <v>11060.14</v>
      </c>
      <c r="GW154" s="420">
        <f t="shared" si="213"/>
        <v>184335.67</v>
      </c>
      <c r="GX154" s="420">
        <f t="shared" si="214"/>
        <v>-6.9999999977881103E-2</v>
      </c>
    </row>
    <row r="155" spans="1:206" ht="15">
      <c r="A155" s="414"/>
      <c r="B155" s="415" t="s">
        <v>555</v>
      </c>
      <c r="C155" s="698"/>
      <c r="D155" s="704" t="s">
        <v>142</v>
      </c>
      <c r="E155" s="434" t="s">
        <v>123</v>
      </c>
      <c r="F155" s="417">
        <v>0.13</v>
      </c>
      <c r="G155" s="418">
        <f t="shared" si="173"/>
        <v>1237852.1000000001</v>
      </c>
      <c r="H155" s="418">
        <f t="shared" si="174"/>
        <v>1237852.1100000001</v>
      </c>
      <c r="I155" s="418">
        <f t="shared" si="174"/>
        <v>160920.78</v>
      </c>
      <c r="J155" s="418">
        <f t="shared" si="175"/>
        <v>1237852.15384615</v>
      </c>
      <c r="K155" s="418">
        <f t="shared" si="171"/>
        <v>4.3846153654158102E-2</v>
      </c>
      <c r="L155" s="418">
        <f t="shared" si="172"/>
        <v>5.3846153663471299E-2</v>
      </c>
      <c r="M155" s="424"/>
      <c r="N155" s="424"/>
      <c r="O155" s="424"/>
      <c r="P155" s="424"/>
      <c r="Q155" s="419"/>
      <c r="R155" s="419"/>
      <c r="S155" s="419"/>
      <c r="T155" s="420"/>
      <c r="U155" s="423"/>
      <c r="V155" s="420"/>
      <c r="W155" s="420"/>
      <c r="X155" s="419"/>
      <c r="Y155" s="419"/>
      <c r="Z155" s="423"/>
      <c r="AA155" s="423"/>
      <c r="AB155" s="419"/>
      <c r="AC155" s="423"/>
      <c r="AD155" s="420"/>
      <c r="AE155" s="423"/>
      <c r="AF155" s="444"/>
      <c r="AG155" s="419"/>
      <c r="AH155" s="420"/>
      <c r="AI155" s="420"/>
      <c r="AJ155" s="423"/>
      <c r="AK155" s="444"/>
      <c r="AL155" s="420"/>
      <c r="AM155" s="420"/>
      <c r="AN155" s="420"/>
      <c r="AO155" s="423"/>
      <c r="AP155" s="420"/>
      <c r="AQ155" s="419"/>
      <c r="AR155" s="420"/>
      <c r="AS155" s="420"/>
      <c r="AT155" s="420"/>
      <c r="AU155" s="420"/>
      <c r="AV155" s="420"/>
      <c r="AW155" s="420"/>
      <c r="AX155" s="426"/>
      <c r="AY155" s="420"/>
      <c r="AZ155" s="420"/>
      <c r="BA155" s="420"/>
      <c r="BB155" s="419"/>
      <c r="BC155" s="420"/>
      <c r="BD155" s="427"/>
      <c r="BE155" s="420"/>
      <c r="BF155" s="420"/>
      <c r="BG155" s="420"/>
      <c r="BH155" s="423"/>
      <c r="BI155" s="420"/>
      <c r="BJ155" s="420"/>
      <c r="BK155" s="420"/>
      <c r="BL155" s="420"/>
      <c r="BM155" s="420"/>
      <c r="BN155" s="420"/>
      <c r="BO155" s="419"/>
      <c r="BP155" s="428"/>
      <c r="BQ155" s="420"/>
      <c r="BR155" s="423"/>
      <c r="BS155" s="423"/>
      <c r="BT155" s="420"/>
      <c r="BU155" s="420"/>
      <c r="BV155" s="420"/>
      <c r="BW155" s="420"/>
      <c r="BX155" s="429"/>
      <c r="BY155" s="419"/>
      <c r="BZ155" s="419"/>
      <c r="CA155" s="419"/>
      <c r="CB155" s="420"/>
      <c r="CC155" s="430"/>
      <c r="CD155" s="419"/>
      <c r="CE155" s="419"/>
      <c r="CF155" s="419"/>
      <c r="CG155" s="420"/>
      <c r="CH155" s="423"/>
      <c r="CI155" s="432"/>
      <c r="CJ155" s="432"/>
      <c r="CK155" s="432"/>
      <c r="CL155" s="420"/>
      <c r="CM155" s="423"/>
      <c r="CN155" s="420"/>
      <c r="CO155" s="420"/>
      <c r="CP155" s="420"/>
      <c r="CQ155" s="432"/>
      <c r="CR155" s="432"/>
      <c r="CS155" s="420"/>
      <c r="CT155" s="420"/>
      <c r="CU155" s="420"/>
      <c r="CV155" s="420"/>
      <c r="CW155" s="420"/>
      <c r="CX155" s="419"/>
      <c r="CY155" s="419"/>
      <c r="CZ155" s="419"/>
      <c r="DA155" s="419">
        <f t="shared" si="176"/>
        <v>0</v>
      </c>
      <c r="DB155" s="419">
        <f t="shared" si="177"/>
        <v>0</v>
      </c>
      <c r="DC155" s="419"/>
      <c r="DD155" s="419"/>
      <c r="DE155" s="419"/>
      <c r="DF155" s="420">
        <f t="shared" si="178"/>
        <v>0</v>
      </c>
      <c r="DG155" s="421">
        <f t="shared" si="179"/>
        <v>0</v>
      </c>
      <c r="DH155" s="419">
        <v>1237852.1000000001</v>
      </c>
      <c r="DI155" s="419">
        <v>1237852.1100000001</v>
      </c>
      <c r="DJ155" s="419">
        <v>160920.78</v>
      </c>
      <c r="DK155" s="420">
        <f t="shared" si="180"/>
        <v>1237852.15384615</v>
      </c>
      <c r="DL155" s="422">
        <f t="shared" si="181"/>
        <v>5.3846153663471299E-2</v>
      </c>
      <c r="DM155" s="420"/>
      <c r="DN155" s="420"/>
      <c r="DO155" s="420"/>
      <c r="DP155" s="420">
        <f t="shared" si="182"/>
        <v>0</v>
      </c>
      <c r="DQ155" s="420">
        <f t="shared" si="183"/>
        <v>0</v>
      </c>
      <c r="DR155" s="419"/>
      <c r="DS155" s="419"/>
      <c r="DT155" s="419"/>
      <c r="DU155" s="420">
        <f t="shared" si="184"/>
        <v>0</v>
      </c>
      <c r="DV155" s="423">
        <f t="shared" si="185"/>
        <v>0</v>
      </c>
      <c r="DW155" s="419"/>
      <c r="DX155" s="419"/>
      <c r="DY155" s="419"/>
      <c r="DZ155" s="420">
        <f t="shared" si="186"/>
        <v>0</v>
      </c>
      <c r="EA155" s="423">
        <f t="shared" si="187"/>
        <v>0</v>
      </c>
      <c r="EB155" s="419"/>
      <c r="EC155" s="419"/>
      <c r="ED155" s="420"/>
      <c r="EE155" s="419"/>
      <c r="EF155" s="420">
        <f t="shared" si="188"/>
        <v>0</v>
      </c>
      <c r="EG155" s="419"/>
      <c r="EH155" s="419"/>
      <c r="EI155" s="419"/>
      <c r="EJ155" s="420">
        <f t="shared" si="189"/>
        <v>0</v>
      </c>
      <c r="EK155" s="420">
        <f t="shared" si="190"/>
        <v>0</v>
      </c>
      <c r="EL155" s="419"/>
      <c r="EM155" s="419"/>
      <c r="EN155" s="419"/>
      <c r="EO155" s="419">
        <f t="shared" si="191"/>
        <v>0</v>
      </c>
      <c r="EP155" s="419">
        <f t="shared" si="192"/>
        <v>0</v>
      </c>
      <c r="EQ155" s="419"/>
      <c r="ER155" s="419"/>
      <c r="ES155" s="419"/>
      <c r="ET155" s="419">
        <f t="shared" si="193"/>
        <v>0</v>
      </c>
      <c r="EU155" s="419">
        <f t="shared" si="194"/>
        <v>0</v>
      </c>
      <c r="EV155" s="419"/>
      <c r="EW155" s="419"/>
      <c r="EX155" s="419"/>
      <c r="EY155" s="419">
        <f t="shared" si="195"/>
        <v>0</v>
      </c>
      <c r="EZ155" s="419">
        <f t="shared" si="215"/>
        <v>0</v>
      </c>
      <c r="FA155" s="420"/>
      <c r="FB155" s="420"/>
      <c r="FC155" s="420"/>
      <c r="FD155" s="420">
        <f t="shared" si="196"/>
        <v>0</v>
      </c>
      <c r="FE155" s="420">
        <f t="shared" si="197"/>
        <v>0</v>
      </c>
      <c r="FF155" s="419"/>
      <c r="FG155" s="419"/>
      <c r="FH155" s="419"/>
      <c r="FI155" s="419">
        <f t="shared" si="198"/>
        <v>0</v>
      </c>
      <c r="FJ155" s="419">
        <f t="shared" si="199"/>
        <v>0</v>
      </c>
      <c r="FK155" s="419"/>
      <c r="FL155" s="419"/>
      <c r="FM155" s="419"/>
      <c r="FN155" s="420">
        <f t="shared" si="200"/>
        <v>0</v>
      </c>
      <c r="FO155" s="423">
        <f t="shared" si="201"/>
        <v>0</v>
      </c>
      <c r="FP155" s="419"/>
      <c r="FQ155" s="419"/>
      <c r="FR155" s="419"/>
      <c r="FS155" s="420">
        <f t="shared" si="202"/>
        <v>0</v>
      </c>
      <c r="FT155" s="420">
        <f t="shared" si="203"/>
        <v>0</v>
      </c>
      <c r="FU155" s="419"/>
      <c r="FV155" s="419"/>
      <c r="FW155" s="419"/>
      <c r="FX155" s="420">
        <f t="shared" si="204"/>
        <v>0</v>
      </c>
      <c r="FY155" s="420">
        <f t="shared" si="205"/>
        <v>0</v>
      </c>
      <c r="FZ155" s="419"/>
      <c r="GA155" s="419"/>
      <c r="GB155" s="419"/>
      <c r="GC155" s="420">
        <f t="shared" si="206"/>
        <v>0</v>
      </c>
      <c r="GD155" s="420">
        <f t="shared" si="207"/>
        <v>0</v>
      </c>
      <c r="GE155" s="419"/>
      <c r="GF155" s="419"/>
      <c r="GG155" s="419"/>
      <c r="GH155" s="420">
        <f t="shared" si="208"/>
        <v>0</v>
      </c>
      <c r="GI155" s="423">
        <f t="shared" si="209"/>
        <v>0</v>
      </c>
      <c r="GJ155" s="419"/>
      <c r="GK155" s="419"/>
      <c r="GL155" s="419"/>
      <c r="GM155" s="420">
        <f t="shared" si="210"/>
        <v>0</v>
      </c>
      <c r="GN155" s="420">
        <f t="shared" si="211"/>
        <v>0</v>
      </c>
      <c r="GO155" s="419"/>
      <c r="GP155" s="419"/>
      <c r="GQ155" s="419"/>
      <c r="GR155" s="420">
        <f t="shared" si="216"/>
        <v>0</v>
      </c>
      <c r="GS155" s="423">
        <f t="shared" si="212"/>
        <v>0</v>
      </c>
      <c r="GT155" s="419"/>
      <c r="GU155" s="419"/>
      <c r="GV155" s="419"/>
      <c r="GW155" s="420">
        <f t="shared" si="213"/>
        <v>0</v>
      </c>
      <c r="GX155" s="420">
        <f t="shared" si="214"/>
        <v>0</v>
      </c>
    </row>
    <row r="156" spans="1:206" ht="15">
      <c r="A156" s="414"/>
      <c r="B156" s="415" t="s">
        <v>555</v>
      </c>
      <c r="C156" s="698"/>
      <c r="D156" s="705"/>
      <c r="E156" s="434" t="s">
        <v>124</v>
      </c>
      <c r="F156" s="417">
        <v>0.09</v>
      </c>
      <c r="G156" s="418">
        <f t="shared" si="173"/>
        <v>8765868.9000000004</v>
      </c>
      <c r="H156" s="418">
        <f t="shared" si="174"/>
        <v>7311027.0499999998</v>
      </c>
      <c r="I156" s="418">
        <f t="shared" si="174"/>
        <v>788928.21</v>
      </c>
      <c r="J156" s="418">
        <f t="shared" si="175"/>
        <v>8765869</v>
      </c>
      <c r="K156" s="418">
        <f t="shared" si="171"/>
        <v>1454841.95</v>
      </c>
      <c r="L156" s="418">
        <f t="shared" si="172"/>
        <v>0.10000000149011599</v>
      </c>
      <c r="M156" s="424"/>
      <c r="N156" s="424"/>
      <c r="O156" s="424"/>
      <c r="P156" s="424"/>
      <c r="Q156" s="419"/>
      <c r="R156" s="419"/>
      <c r="S156" s="419"/>
      <c r="T156" s="420"/>
      <c r="U156" s="423"/>
      <c r="V156" s="420"/>
      <c r="W156" s="420"/>
      <c r="X156" s="419"/>
      <c r="Y156" s="419"/>
      <c r="Z156" s="423"/>
      <c r="AA156" s="423"/>
      <c r="AB156" s="419"/>
      <c r="AC156" s="423"/>
      <c r="AD156" s="420"/>
      <c r="AE156" s="423"/>
      <c r="AF156" s="444"/>
      <c r="AG156" s="419"/>
      <c r="AH156" s="420"/>
      <c r="AI156" s="420"/>
      <c r="AJ156" s="423"/>
      <c r="AK156" s="444"/>
      <c r="AL156" s="420"/>
      <c r="AM156" s="420"/>
      <c r="AN156" s="420"/>
      <c r="AO156" s="423"/>
      <c r="AP156" s="420"/>
      <c r="AQ156" s="419"/>
      <c r="AR156" s="420"/>
      <c r="AS156" s="420"/>
      <c r="AT156" s="420"/>
      <c r="AU156" s="420"/>
      <c r="AV156" s="420"/>
      <c r="AW156" s="420"/>
      <c r="AX156" s="426"/>
      <c r="AY156" s="420"/>
      <c r="AZ156" s="420"/>
      <c r="BA156" s="420"/>
      <c r="BB156" s="419"/>
      <c r="BC156" s="420"/>
      <c r="BD156" s="427"/>
      <c r="BE156" s="420"/>
      <c r="BF156" s="420"/>
      <c r="BG156" s="420"/>
      <c r="BH156" s="423"/>
      <c r="BI156" s="420"/>
      <c r="BJ156" s="420"/>
      <c r="BK156" s="420"/>
      <c r="BL156" s="420"/>
      <c r="BM156" s="420"/>
      <c r="BN156" s="420"/>
      <c r="BO156" s="419"/>
      <c r="BP156" s="428"/>
      <c r="BQ156" s="420"/>
      <c r="BR156" s="423"/>
      <c r="BS156" s="423"/>
      <c r="BT156" s="420"/>
      <c r="BU156" s="420"/>
      <c r="BV156" s="420"/>
      <c r="BW156" s="420"/>
      <c r="BX156" s="429"/>
      <c r="BY156" s="419"/>
      <c r="BZ156" s="419"/>
      <c r="CA156" s="419"/>
      <c r="CB156" s="420"/>
      <c r="CC156" s="430"/>
      <c r="CD156" s="419"/>
      <c r="CE156" s="419"/>
      <c r="CF156" s="419"/>
      <c r="CG156" s="420"/>
      <c r="CH156" s="423"/>
      <c r="CI156" s="432"/>
      <c r="CJ156" s="432"/>
      <c r="CK156" s="432"/>
      <c r="CL156" s="420"/>
      <c r="CM156" s="423"/>
      <c r="CN156" s="420"/>
      <c r="CO156" s="420"/>
      <c r="CP156" s="420"/>
      <c r="CQ156" s="432"/>
      <c r="CR156" s="432"/>
      <c r="CS156" s="420"/>
      <c r="CT156" s="420"/>
      <c r="CU156" s="420"/>
      <c r="CV156" s="420"/>
      <c r="CW156" s="420"/>
      <c r="CX156" s="419"/>
      <c r="CY156" s="419"/>
      <c r="CZ156" s="419"/>
      <c r="DA156" s="419">
        <f t="shared" si="176"/>
        <v>0</v>
      </c>
      <c r="DB156" s="419">
        <f t="shared" si="177"/>
        <v>0</v>
      </c>
      <c r="DC156" s="419"/>
      <c r="DD156" s="419"/>
      <c r="DE156" s="419"/>
      <c r="DF156" s="420">
        <f t="shared" si="178"/>
        <v>0</v>
      </c>
      <c r="DG156" s="421">
        <f t="shared" si="179"/>
        <v>0</v>
      </c>
      <c r="DH156" s="419"/>
      <c r="DI156" s="419"/>
      <c r="DJ156" s="419"/>
      <c r="DK156" s="420">
        <f t="shared" si="180"/>
        <v>0</v>
      </c>
      <c r="DL156" s="422">
        <f t="shared" si="181"/>
        <v>0</v>
      </c>
      <c r="DM156" s="420">
        <v>2435277.94</v>
      </c>
      <c r="DN156" s="420"/>
      <c r="DO156" s="420">
        <v>219175.02</v>
      </c>
      <c r="DP156" s="420">
        <f t="shared" si="182"/>
        <v>2435278</v>
      </c>
      <c r="DQ156" s="420">
        <f t="shared" si="183"/>
        <v>6.0000000055879403E-2</v>
      </c>
      <c r="DR156" s="419">
        <v>4875749.0999999996</v>
      </c>
      <c r="DS156" s="419"/>
      <c r="DT156" s="419">
        <v>438817.42</v>
      </c>
      <c r="DU156" s="420">
        <f t="shared" si="184"/>
        <v>4875749.1111111101</v>
      </c>
      <c r="DV156" s="423">
        <f t="shared" si="185"/>
        <v>1.11111113801599E-2</v>
      </c>
      <c r="DW156" s="419"/>
      <c r="DX156" s="419"/>
      <c r="DY156" s="419"/>
      <c r="DZ156" s="420">
        <f t="shared" si="186"/>
        <v>0</v>
      </c>
      <c r="EA156" s="423">
        <f t="shared" si="187"/>
        <v>0</v>
      </c>
      <c r="EB156" s="420"/>
      <c r="EC156" s="419"/>
      <c r="ED156" s="420"/>
      <c r="EE156" s="419"/>
      <c r="EF156" s="420">
        <f t="shared" si="188"/>
        <v>0</v>
      </c>
      <c r="EG156" s="419"/>
      <c r="EH156" s="419"/>
      <c r="EI156" s="419"/>
      <c r="EJ156" s="420">
        <f t="shared" si="189"/>
        <v>0</v>
      </c>
      <c r="EK156" s="420">
        <f t="shared" si="190"/>
        <v>0</v>
      </c>
      <c r="EL156" s="419"/>
      <c r="EM156" s="419"/>
      <c r="EN156" s="419"/>
      <c r="EO156" s="419">
        <f t="shared" si="191"/>
        <v>0</v>
      </c>
      <c r="EP156" s="419">
        <f t="shared" si="192"/>
        <v>0</v>
      </c>
      <c r="EQ156" s="419"/>
      <c r="ER156" s="420">
        <v>7311027.0499999998</v>
      </c>
      <c r="ES156" s="419"/>
      <c r="ET156" s="419">
        <f t="shared" si="193"/>
        <v>0</v>
      </c>
      <c r="EU156" s="419">
        <f t="shared" si="194"/>
        <v>0</v>
      </c>
      <c r="EV156" s="419"/>
      <c r="EW156" s="419"/>
      <c r="EX156" s="419"/>
      <c r="EY156" s="419">
        <f t="shared" si="195"/>
        <v>0</v>
      </c>
      <c r="EZ156" s="419">
        <f t="shared" si="215"/>
        <v>0</v>
      </c>
      <c r="FA156" s="420"/>
      <c r="FB156" s="420"/>
      <c r="FC156" s="420"/>
      <c r="FD156" s="420">
        <f t="shared" si="196"/>
        <v>0</v>
      </c>
      <c r="FE156" s="420">
        <f t="shared" si="197"/>
        <v>0</v>
      </c>
      <c r="FF156" s="419"/>
      <c r="FG156" s="419"/>
      <c r="FH156" s="419"/>
      <c r="FI156" s="419">
        <f t="shared" si="198"/>
        <v>0</v>
      </c>
      <c r="FJ156" s="419">
        <f t="shared" si="199"/>
        <v>0</v>
      </c>
      <c r="FK156" s="419">
        <v>1056734.68</v>
      </c>
      <c r="FL156" s="419"/>
      <c r="FM156" s="419">
        <v>95106.12</v>
      </c>
      <c r="FN156" s="420">
        <f t="shared" si="200"/>
        <v>1056734.67</v>
      </c>
      <c r="FO156" s="423">
        <f t="shared" si="201"/>
        <v>-0.01</v>
      </c>
      <c r="FP156" s="419"/>
      <c r="FQ156" s="419"/>
      <c r="FR156" s="419"/>
      <c r="FS156" s="420">
        <f t="shared" si="202"/>
        <v>0</v>
      </c>
      <c r="FT156" s="420">
        <f t="shared" si="203"/>
        <v>0</v>
      </c>
      <c r="FU156" s="419"/>
      <c r="FV156" s="419"/>
      <c r="FW156" s="419"/>
      <c r="FX156" s="420">
        <f t="shared" si="204"/>
        <v>0</v>
      </c>
      <c r="FY156" s="420">
        <f t="shared" si="205"/>
        <v>0</v>
      </c>
      <c r="FZ156" s="419"/>
      <c r="GA156" s="419"/>
      <c r="GB156" s="419"/>
      <c r="GC156" s="420">
        <f t="shared" si="206"/>
        <v>0</v>
      </c>
      <c r="GD156" s="420">
        <f t="shared" si="207"/>
        <v>0</v>
      </c>
      <c r="GE156" s="419"/>
      <c r="GF156" s="419"/>
      <c r="GG156" s="419"/>
      <c r="GH156" s="420">
        <f t="shared" si="208"/>
        <v>0</v>
      </c>
      <c r="GI156" s="423">
        <f t="shared" si="209"/>
        <v>0</v>
      </c>
      <c r="GJ156" s="419"/>
      <c r="GK156" s="419"/>
      <c r="GL156" s="419"/>
      <c r="GM156" s="420">
        <f t="shared" si="210"/>
        <v>0</v>
      </c>
      <c r="GN156" s="420">
        <f t="shared" si="211"/>
        <v>0</v>
      </c>
      <c r="GO156" s="419">
        <v>398107.18</v>
      </c>
      <c r="GP156" s="419"/>
      <c r="GQ156" s="419">
        <v>35829.65</v>
      </c>
      <c r="GR156" s="420">
        <f t="shared" si="216"/>
        <v>398107.22222222202</v>
      </c>
      <c r="GS156" s="423">
        <f t="shared" si="212"/>
        <v>4.2222222255077199E-2</v>
      </c>
      <c r="GT156" s="419"/>
      <c r="GU156" s="419"/>
      <c r="GV156" s="419"/>
      <c r="GW156" s="420">
        <f t="shared" si="213"/>
        <v>0</v>
      </c>
      <c r="GX156" s="420">
        <f t="shared" si="214"/>
        <v>0</v>
      </c>
    </row>
    <row r="157" spans="1:206" ht="15">
      <c r="A157" s="414"/>
      <c r="B157" s="415" t="s">
        <v>555</v>
      </c>
      <c r="C157" s="698"/>
      <c r="D157" s="707"/>
      <c r="E157" s="434" t="s">
        <v>125</v>
      </c>
      <c r="F157" s="417">
        <v>0.06</v>
      </c>
      <c r="G157" s="418">
        <f t="shared" si="173"/>
        <v>1021280.08</v>
      </c>
      <c r="H157" s="418">
        <f t="shared" si="174"/>
        <v>716108.47</v>
      </c>
      <c r="I157" s="418">
        <f t="shared" si="174"/>
        <v>61276.800000000003</v>
      </c>
      <c r="J157" s="418">
        <f t="shared" si="175"/>
        <v>1021280</v>
      </c>
      <c r="K157" s="418">
        <f t="shared" si="171"/>
        <v>305171.53000000003</v>
      </c>
      <c r="L157" s="418">
        <f t="shared" si="172"/>
        <v>-7.9999999958090498E-2</v>
      </c>
      <c r="M157" s="424"/>
      <c r="N157" s="424"/>
      <c r="O157" s="424"/>
      <c r="P157" s="424"/>
      <c r="Q157" s="419"/>
      <c r="R157" s="419"/>
      <c r="S157" s="419"/>
      <c r="T157" s="420"/>
      <c r="U157" s="423"/>
      <c r="V157" s="420"/>
      <c r="W157" s="420"/>
      <c r="X157" s="419"/>
      <c r="Y157" s="419"/>
      <c r="Z157" s="423"/>
      <c r="AA157" s="423"/>
      <c r="AB157" s="419"/>
      <c r="AC157" s="423"/>
      <c r="AD157" s="420"/>
      <c r="AE157" s="423"/>
      <c r="AF157" s="444"/>
      <c r="AG157" s="419"/>
      <c r="AH157" s="420"/>
      <c r="AI157" s="420"/>
      <c r="AJ157" s="423"/>
      <c r="AK157" s="444"/>
      <c r="AL157" s="420"/>
      <c r="AM157" s="420"/>
      <c r="AN157" s="420"/>
      <c r="AO157" s="423"/>
      <c r="AP157" s="420"/>
      <c r="AQ157" s="419"/>
      <c r="AR157" s="420"/>
      <c r="AS157" s="420"/>
      <c r="AT157" s="420"/>
      <c r="AU157" s="420"/>
      <c r="AV157" s="420"/>
      <c r="AW157" s="420"/>
      <c r="AX157" s="426"/>
      <c r="AY157" s="420"/>
      <c r="AZ157" s="420"/>
      <c r="BA157" s="420"/>
      <c r="BB157" s="419"/>
      <c r="BC157" s="420"/>
      <c r="BD157" s="427"/>
      <c r="BE157" s="420"/>
      <c r="BF157" s="420"/>
      <c r="BG157" s="420"/>
      <c r="BH157" s="423"/>
      <c r="BI157" s="420"/>
      <c r="BJ157" s="420"/>
      <c r="BK157" s="420"/>
      <c r="BL157" s="420"/>
      <c r="BM157" s="420"/>
      <c r="BN157" s="420"/>
      <c r="BO157" s="419"/>
      <c r="BP157" s="428"/>
      <c r="BQ157" s="420"/>
      <c r="BR157" s="423"/>
      <c r="BS157" s="423"/>
      <c r="BT157" s="420"/>
      <c r="BU157" s="420"/>
      <c r="BV157" s="420"/>
      <c r="BW157" s="420"/>
      <c r="BX157" s="429"/>
      <c r="BY157" s="419"/>
      <c r="BZ157" s="419"/>
      <c r="CA157" s="419"/>
      <c r="CB157" s="420"/>
      <c r="CC157" s="430"/>
      <c r="CD157" s="419"/>
      <c r="CE157" s="419"/>
      <c r="CF157" s="419"/>
      <c r="CG157" s="420"/>
      <c r="CH157" s="423"/>
      <c r="CI157" s="432"/>
      <c r="CJ157" s="432"/>
      <c r="CK157" s="432"/>
      <c r="CL157" s="420"/>
      <c r="CM157" s="423"/>
      <c r="CN157" s="420"/>
      <c r="CO157" s="420"/>
      <c r="CP157" s="420"/>
      <c r="CQ157" s="432"/>
      <c r="CR157" s="432"/>
      <c r="CS157" s="420"/>
      <c r="CT157" s="420"/>
      <c r="CU157" s="420"/>
      <c r="CV157" s="420"/>
      <c r="CW157" s="420"/>
      <c r="CX157" s="419">
        <v>422190.42</v>
      </c>
      <c r="CY157" s="419"/>
      <c r="CZ157" s="419">
        <v>25331.43</v>
      </c>
      <c r="DA157" s="419">
        <f t="shared" si="176"/>
        <v>422190.5</v>
      </c>
      <c r="DB157" s="419">
        <f t="shared" si="177"/>
        <v>0.08</v>
      </c>
      <c r="DC157" s="419">
        <v>25676.69</v>
      </c>
      <c r="DD157" s="419"/>
      <c r="DE157" s="419">
        <v>1540.6</v>
      </c>
      <c r="DF157" s="420">
        <f t="shared" si="178"/>
        <v>25676.666666666701</v>
      </c>
      <c r="DG157" s="421">
        <f t="shared" si="179"/>
        <v>2.3333333330811001E-2</v>
      </c>
      <c r="DH157" s="419">
        <v>26033.79</v>
      </c>
      <c r="DI157" s="419">
        <v>447867.11</v>
      </c>
      <c r="DJ157" s="419">
        <v>1562.03</v>
      </c>
      <c r="DK157" s="420">
        <f t="shared" si="180"/>
        <v>26033.833333333299</v>
      </c>
      <c r="DL157" s="422">
        <f t="shared" si="181"/>
        <v>4.33333333312476E-2</v>
      </c>
      <c r="DM157" s="420">
        <v>24408.82</v>
      </c>
      <c r="DN157" s="420"/>
      <c r="DO157" s="420">
        <v>1464.53</v>
      </c>
      <c r="DP157" s="420">
        <f t="shared" si="182"/>
        <v>24408.833333333299</v>
      </c>
      <c r="DQ157" s="420">
        <f t="shared" si="183"/>
        <v>1.33333333324117E-2</v>
      </c>
      <c r="DR157" s="419">
        <v>8681.8700000000008</v>
      </c>
      <c r="DS157" s="419"/>
      <c r="DT157" s="419">
        <v>520.91</v>
      </c>
      <c r="DU157" s="420">
        <f t="shared" si="184"/>
        <v>8681.8333333333303</v>
      </c>
      <c r="DV157" s="423">
        <f t="shared" si="185"/>
        <v>-3.6666666666860699E-2</v>
      </c>
      <c r="DW157" s="419">
        <v>209116.88</v>
      </c>
      <c r="DX157" s="419"/>
      <c r="DY157" s="419">
        <v>12547.01</v>
      </c>
      <c r="DZ157" s="420">
        <f t="shared" si="186"/>
        <v>209116.83</v>
      </c>
      <c r="EA157" s="423">
        <f t="shared" si="187"/>
        <v>-0.05</v>
      </c>
      <c r="EB157" s="419"/>
      <c r="EC157" s="419"/>
      <c r="ED157" s="420"/>
      <c r="EE157" s="419"/>
      <c r="EF157" s="420">
        <f t="shared" si="188"/>
        <v>0</v>
      </c>
      <c r="EG157" s="419"/>
      <c r="EH157" s="419"/>
      <c r="EI157" s="419"/>
      <c r="EJ157" s="420">
        <f t="shared" si="189"/>
        <v>0</v>
      </c>
      <c r="EK157" s="420">
        <f t="shared" si="190"/>
        <v>0</v>
      </c>
      <c r="EL157" s="419"/>
      <c r="EM157" s="419"/>
      <c r="EN157" s="419"/>
      <c r="EO157" s="419">
        <f t="shared" si="191"/>
        <v>0</v>
      </c>
      <c r="EP157" s="419">
        <f t="shared" si="192"/>
        <v>0</v>
      </c>
      <c r="EQ157" s="419"/>
      <c r="ER157" s="419">
        <v>268241.36</v>
      </c>
      <c r="ES157" s="419"/>
      <c r="ET157" s="419">
        <f t="shared" si="193"/>
        <v>0</v>
      </c>
      <c r="EU157" s="419">
        <f t="shared" si="194"/>
        <v>0</v>
      </c>
      <c r="EV157" s="419"/>
      <c r="EW157" s="419"/>
      <c r="EX157" s="419"/>
      <c r="EY157" s="419">
        <f t="shared" si="195"/>
        <v>0</v>
      </c>
      <c r="EZ157" s="419">
        <f t="shared" si="215"/>
        <v>0</v>
      </c>
      <c r="FA157" s="420"/>
      <c r="FB157" s="420"/>
      <c r="FC157" s="420"/>
      <c r="FD157" s="420">
        <f t="shared" si="196"/>
        <v>0</v>
      </c>
      <c r="FE157" s="420">
        <f t="shared" si="197"/>
        <v>0</v>
      </c>
      <c r="FF157" s="419"/>
      <c r="FG157" s="419"/>
      <c r="FH157" s="419"/>
      <c r="FI157" s="419">
        <f t="shared" si="198"/>
        <v>0</v>
      </c>
      <c r="FJ157" s="419">
        <f t="shared" si="199"/>
        <v>0</v>
      </c>
      <c r="FK157" s="419"/>
      <c r="FL157" s="419"/>
      <c r="FM157" s="419"/>
      <c r="FN157" s="420">
        <f t="shared" si="200"/>
        <v>0</v>
      </c>
      <c r="FO157" s="423">
        <f t="shared" si="201"/>
        <v>0</v>
      </c>
      <c r="FP157" s="419"/>
      <c r="FQ157" s="419"/>
      <c r="FR157" s="419"/>
      <c r="FS157" s="420">
        <f t="shared" si="202"/>
        <v>0</v>
      </c>
      <c r="FT157" s="420">
        <f t="shared" si="203"/>
        <v>0</v>
      </c>
      <c r="FU157" s="419"/>
      <c r="FV157" s="419"/>
      <c r="FW157" s="419"/>
      <c r="FX157" s="420">
        <f t="shared" si="204"/>
        <v>0</v>
      </c>
      <c r="FY157" s="420">
        <f t="shared" si="205"/>
        <v>0</v>
      </c>
      <c r="FZ157" s="419"/>
      <c r="GA157" s="419"/>
      <c r="GB157" s="419"/>
      <c r="GC157" s="420">
        <f t="shared" si="206"/>
        <v>0</v>
      </c>
      <c r="GD157" s="420">
        <f t="shared" si="207"/>
        <v>0</v>
      </c>
      <c r="GE157" s="419">
        <v>260783.91</v>
      </c>
      <c r="GF157" s="419"/>
      <c r="GG157" s="419">
        <v>15647.03</v>
      </c>
      <c r="GH157" s="420">
        <f t="shared" si="208"/>
        <v>260783.83333333299</v>
      </c>
      <c r="GI157" s="423">
        <f t="shared" si="209"/>
        <v>-7.6666666660457794E-2</v>
      </c>
      <c r="GJ157" s="437">
        <v>27724.12</v>
      </c>
      <c r="GK157" s="419"/>
      <c r="GL157" s="419">
        <v>1663.44</v>
      </c>
      <c r="GM157" s="420">
        <f t="shared" si="210"/>
        <v>27724</v>
      </c>
      <c r="GN157" s="420">
        <f t="shared" si="211"/>
        <v>-0.119999999995343</v>
      </c>
      <c r="GO157" s="419">
        <v>16663.580000000002</v>
      </c>
      <c r="GP157" s="419"/>
      <c r="GQ157" s="419">
        <v>999.82</v>
      </c>
      <c r="GR157" s="420">
        <f t="shared" si="216"/>
        <v>16663.666666666701</v>
      </c>
      <c r="GS157" s="423">
        <f t="shared" si="212"/>
        <v>8.6666666666133096E-2</v>
      </c>
      <c r="GT157" s="419"/>
      <c r="GU157" s="419"/>
      <c r="GV157" s="419"/>
      <c r="GW157" s="420">
        <f t="shared" si="213"/>
        <v>0</v>
      </c>
      <c r="GX157" s="420">
        <f t="shared" si="214"/>
        <v>0</v>
      </c>
    </row>
    <row r="158" spans="1:206" ht="15">
      <c r="A158" s="414"/>
      <c r="B158" s="415" t="s">
        <v>556</v>
      </c>
      <c r="C158" s="698"/>
      <c r="D158" s="704" t="s">
        <v>557</v>
      </c>
      <c r="E158" s="434" t="s">
        <v>123</v>
      </c>
      <c r="F158" s="417">
        <v>0.13</v>
      </c>
      <c r="G158" s="418">
        <f t="shared" si="173"/>
        <v>147201063.34</v>
      </c>
      <c r="H158" s="418">
        <f t="shared" si="174"/>
        <v>147201063.34</v>
      </c>
      <c r="I158" s="418">
        <f t="shared" si="174"/>
        <v>19136138.25</v>
      </c>
      <c r="J158" s="418">
        <f t="shared" si="175"/>
        <v>147201063.46153799</v>
      </c>
      <c r="K158" s="418">
        <f t="shared" si="171"/>
        <v>0.12153849005699199</v>
      </c>
      <c r="L158" s="418">
        <f t="shared" si="172"/>
        <v>0.12153851985931401</v>
      </c>
      <c r="M158" s="424"/>
      <c r="N158" s="424"/>
      <c r="O158" s="424"/>
      <c r="P158" s="424"/>
      <c r="Q158" s="419"/>
      <c r="R158" s="419"/>
      <c r="S158" s="419"/>
      <c r="T158" s="420"/>
      <c r="U158" s="423"/>
      <c r="V158" s="420"/>
      <c r="W158" s="420"/>
      <c r="X158" s="419"/>
      <c r="Y158" s="419"/>
      <c r="Z158" s="423"/>
      <c r="AA158" s="423"/>
      <c r="AB158" s="419"/>
      <c r="AC158" s="423"/>
      <c r="AD158" s="420"/>
      <c r="AE158" s="423"/>
      <c r="AF158" s="444"/>
      <c r="AG158" s="419"/>
      <c r="AH158" s="420"/>
      <c r="AI158" s="420"/>
      <c r="AJ158" s="423"/>
      <c r="AK158" s="444"/>
      <c r="AL158" s="420"/>
      <c r="AM158" s="420"/>
      <c r="AN158" s="420"/>
      <c r="AO158" s="423"/>
      <c r="AP158" s="420"/>
      <c r="AQ158" s="419"/>
      <c r="AR158" s="420"/>
      <c r="AS158" s="420"/>
      <c r="AT158" s="420"/>
      <c r="AU158" s="420"/>
      <c r="AV158" s="420"/>
      <c r="AW158" s="420"/>
      <c r="AX158" s="426"/>
      <c r="AY158" s="420"/>
      <c r="AZ158" s="420"/>
      <c r="BA158" s="420"/>
      <c r="BB158" s="419"/>
      <c r="BC158" s="420"/>
      <c r="BD158" s="427"/>
      <c r="BE158" s="420"/>
      <c r="BF158" s="420"/>
      <c r="BG158" s="420"/>
      <c r="BH158" s="423"/>
      <c r="BI158" s="420"/>
      <c r="BJ158" s="420"/>
      <c r="BK158" s="420"/>
      <c r="BL158" s="420"/>
      <c r="BM158" s="420"/>
      <c r="BN158" s="420"/>
      <c r="BO158" s="419"/>
      <c r="BP158" s="428"/>
      <c r="BQ158" s="420"/>
      <c r="BR158" s="423"/>
      <c r="BS158" s="423"/>
      <c r="BT158" s="420"/>
      <c r="BU158" s="420"/>
      <c r="BV158" s="420"/>
      <c r="BW158" s="420"/>
      <c r="BX158" s="429"/>
      <c r="BY158" s="419"/>
      <c r="BZ158" s="419"/>
      <c r="CA158" s="419"/>
      <c r="CB158" s="420"/>
      <c r="CC158" s="430"/>
      <c r="CD158" s="419"/>
      <c r="CE158" s="419"/>
      <c r="CF158" s="419"/>
      <c r="CG158" s="420"/>
      <c r="CH158" s="423"/>
      <c r="CI158" s="432"/>
      <c r="CJ158" s="432"/>
      <c r="CK158" s="432"/>
      <c r="CL158" s="420"/>
      <c r="CM158" s="423"/>
      <c r="CN158" s="420"/>
      <c r="CO158" s="420"/>
      <c r="CP158" s="420"/>
      <c r="CQ158" s="432"/>
      <c r="CR158" s="432"/>
      <c r="CS158" s="420"/>
      <c r="CT158" s="420"/>
      <c r="CU158" s="420"/>
      <c r="CV158" s="420"/>
      <c r="CW158" s="420"/>
      <c r="CX158" s="419"/>
      <c r="CY158" s="419"/>
      <c r="CZ158" s="419"/>
      <c r="DA158" s="419">
        <f t="shared" si="176"/>
        <v>0</v>
      </c>
      <c r="DB158" s="419">
        <f t="shared" si="177"/>
        <v>0</v>
      </c>
      <c r="DC158" s="419"/>
      <c r="DD158" s="419"/>
      <c r="DE158" s="419"/>
      <c r="DF158" s="420">
        <f t="shared" si="178"/>
        <v>0</v>
      </c>
      <c r="DG158" s="421">
        <f t="shared" si="179"/>
        <v>0</v>
      </c>
      <c r="DH158" s="419"/>
      <c r="DI158" s="419"/>
      <c r="DJ158" s="419"/>
      <c r="DK158" s="420">
        <f t="shared" si="180"/>
        <v>0</v>
      </c>
      <c r="DL158" s="422">
        <f t="shared" si="181"/>
        <v>0</v>
      </c>
      <c r="DM158" s="420"/>
      <c r="DN158" s="420"/>
      <c r="DO158" s="420"/>
      <c r="DP158" s="420">
        <f t="shared" si="182"/>
        <v>0</v>
      </c>
      <c r="DQ158" s="420">
        <f t="shared" si="183"/>
        <v>0</v>
      </c>
      <c r="DR158" s="419"/>
      <c r="DS158" s="419"/>
      <c r="DT158" s="419"/>
      <c r="DU158" s="420">
        <f t="shared" si="184"/>
        <v>0</v>
      </c>
      <c r="DV158" s="423">
        <f t="shared" si="185"/>
        <v>0</v>
      </c>
      <c r="DW158" s="419"/>
      <c r="DX158" s="419"/>
      <c r="DY158" s="419"/>
      <c r="DZ158" s="420">
        <f t="shared" si="186"/>
        <v>0</v>
      </c>
      <c r="EA158" s="423">
        <f t="shared" si="187"/>
        <v>0</v>
      </c>
      <c r="EB158" s="419"/>
      <c r="EC158" s="419"/>
      <c r="ED158" s="420"/>
      <c r="EE158" s="419"/>
      <c r="EF158" s="420">
        <f t="shared" si="188"/>
        <v>0</v>
      </c>
      <c r="EG158" s="419">
        <v>47178568.409999996</v>
      </c>
      <c r="EH158" s="419"/>
      <c r="EI158" s="419">
        <v>6133213.9000000004</v>
      </c>
      <c r="EJ158" s="420">
        <f t="shared" si="189"/>
        <v>47178568.460000001</v>
      </c>
      <c r="EK158" s="420">
        <f t="shared" si="190"/>
        <v>0.05</v>
      </c>
      <c r="EL158" s="419">
        <v>6150264.7699999996</v>
      </c>
      <c r="EN158" s="419">
        <v>799534.43</v>
      </c>
      <c r="EO158" s="419">
        <f t="shared" si="191"/>
        <v>6150264.8499999996</v>
      </c>
      <c r="EP158" s="419">
        <f t="shared" si="192"/>
        <v>0.08</v>
      </c>
      <c r="EQ158" s="419">
        <v>23113976.710000001</v>
      </c>
      <c r="ER158" s="420">
        <v>76442809.909999996</v>
      </c>
      <c r="ES158" s="419">
        <v>3004816.97</v>
      </c>
      <c r="ET158" s="419">
        <f t="shared" si="193"/>
        <v>23113976.690000001</v>
      </c>
      <c r="EU158" s="419">
        <f t="shared" si="194"/>
        <v>-0.02</v>
      </c>
      <c r="EV158" s="455">
        <v>29244247.780000001</v>
      </c>
      <c r="EW158" s="419"/>
      <c r="EX158" s="455">
        <v>3801752.21</v>
      </c>
      <c r="EY158" s="419">
        <f t="shared" si="195"/>
        <v>29244247.77</v>
      </c>
      <c r="EZ158" s="419">
        <f t="shared" si="215"/>
        <v>-0.01</v>
      </c>
      <c r="FA158" s="420">
        <v>13431090.17</v>
      </c>
      <c r="FB158" s="420"/>
      <c r="FC158" s="420">
        <v>1746041.72</v>
      </c>
      <c r="FD158" s="420">
        <f t="shared" si="196"/>
        <v>13431090.15</v>
      </c>
      <c r="FE158" s="420">
        <f t="shared" si="197"/>
        <v>-0.02</v>
      </c>
      <c r="FF158" s="419">
        <v>17301566.399999999</v>
      </c>
      <c r="FG158" s="419">
        <v>42675337.93</v>
      </c>
      <c r="FH158" s="419">
        <v>2249203.63</v>
      </c>
      <c r="FI158" s="419">
        <f t="shared" si="198"/>
        <v>17301566.384615399</v>
      </c>
      <c r="FJ158" s="419">
        <f t="shared" si="199"/>
        <v>-0.02</v>
      </c>
      <c r="FK158" s="419">
        <v>10781349.1</v>
      </c>
      <c r="FL158" s="419">
        <v>17301566.41</v>
      </c>
      <c r="FM158" s="419">
        <v>1401575.39</v>
      </c>
      <c r="FN158" s="420">
        <f t="shared" si="200"/>
        <v>10781349.15</v>
      </c>
      <c r="FO158" s="423">
        <f t="shared" si="201"/>
        <v>0.05</v>
      </c>
      <c r="FP158" s="431"/>
      <c r="FQ158" s="431">
        <v>3361437.59</v>
      </c>
      <c r="FR158" s="431"/>
      <c r="FS158" s="420">
        <f t="shared" si="202"/>
        <v>0</v>
      </c>
      <c r="FT158" s="420">
        <f t="shared" si="203"/>
        <v>0</v>
      </c>
      <c r="FU158" s="419"/>
      <c r="FV158" s="419">
        <v>7419911.5</v>
      </c>
      <c r="FW158" s="419"/>
      <c r="FX158" s="420">
        <f t="shared" si="204"/>
        <v>0</v>
      </c>
      <c r="FY158" s="420">
        <f t="shared" si="205"/>
        <v>0</v>
      </c>
      <c r="FZ158" s="419"/>
      <c r="GA158" s="419"/>
      <c r="GB158" s="419"/>
      <c r="GC158" s="420">
        <f t="shared" si="206"/>
        <v>0</v>
      </c>
      <c r="GD158" s="420">
        <f t="shared" si="207"/>
        <v>0</v>
      </c>
      <c r="GE158" s="419"/>
      <c r="GF158" s="419"/>
      <c r="GG158" s="419"/>
      <c r="GH158" s="420">
        <f t="shared" si="208"/>
        <v>0</v>
      </c>
      <c r="GI158" s="423">
        <f t="shared" si="209"/>
        <v>0</v>
      </c>
      <c r="GJ158" s="419"/>
      <c r="GK158" s="419"/>
      <c r="GL158" s="419"/>
      <c r="GM158" s="420">
        <f t="shared" si="210"/>
        <v>0</v>
      </c>
      <c r="GN158" s="420">
        <f t="shared" si="211"/>
        <v>0</v>
      </c>
      <c r="GO158" s="419"/>
      <c r="GP158" s="419"/>
      <c r="GQ158" s="419"/>
      <c r="GR158" s="420">
        <f t="shared" si="216"/>
        <v>0</v>
      </c>
      <c r="GS158" s="423">
        <f t="shared" si="212"/>
        <v>0</v>
      </c>
      <c r="GT158" s="419"/>
      <c r="GU158" s="419"/>
      <c r="GV158" s="419"/>
      <c r="GW158" s="420">
        <f t="shared" si="213"/>
        <v>0</v>
      </c>
      <c r="GX158" s="420">
        <f t="shared" si="214"/>
        <v>0</v>
      </c>
    </row>
    <row r="159" spans="1:206" ht="15">
      <c r="A159" s="414"/>
      <c r="B159" s="415" t="s">
        <v>556</v>
      </c>
      <c r="C159" s="698"/>
      <c r="D159" s="705"/>
      <c r="E159" s="434" t="s">
        <v>124</v>
      </c>
      <c r="F159" s="417">
        <v>0.09</v>
      </c>
      <c r="G159" s="418">
        <f t="shared" si="173"/>
        <v>478949113.81</v>
      </c>
      <c r="H159" s="418">
        <f t="shared" si="174"/>
        <v>478949113.79000002</v>
      </c>
      <c r="I159" s="418">
        <f t="shared" si="174"/>
        <v>43105420.247100003</v>
      </c>
      <c r="J159" s="418">
        <f t="shared" si="175"/>
        <v>478949113.85666698</v>
      </c>
      <c r="K159" s="418">
        <f t="shared" si="171"/>
        <v>6.6666722297668499E-2</v>
      </c>
      <c r="L159" s="418">
        <f t="shared" si="172"/>
        <v>4.6666741371154799E-2</v>
      </c>
      <c r="M159" s="424"/>
      <c r="N159" s="424"/>
      <c r="O159" s="424"/>
      <c r="P159" s="424"/>
      <c r="Q159" s="419"/>
      <c r="R159" s="419"/>
      <c r="S159" s="419"/>
      <c r="T159" s="420"/>
      <c r="U159" s="423"/>
      <c r="V159" s="420"/>
      <c r="W159" s="420"/>
      <c r="X159" s="419"/>
      <c r="Y159" s="419"/>
      <c r="Z159" s="423"/>
      <c r="AA159" s="423"/>
      <c r="AB159" s="419"/>
      <c r="AC159" s="423"/>
      <c r="AD159" s="420"/>
      <c r="AE159" s="423"/>
      <c r="AF159" s="444"/>
      <c r="AG159" s="419"/>
      <c r="AH159" s="420"/>
      <c r="AI159" s="420"/>
      <c r="AJ159" s="423"/>
      <c r="AK159" s="444"/>
      <c r="AL159" s="420"/>
      <c r="AM159" s="420"/>
      <c r="AN159" s="420"/>
      <c r="AO159" s="423"/>
      <c r="AP159" s="420"/>
      <c r="AQ159" s="419"/>
      <c r="AR159" s="420"/>
      <c r="AS159" s="420"/>
      <c r="AT159" s="420"/>
      <c r="AU159" s="420"/>
      <c r="AV159" s="420"/>
      <c r="AW159" s="420"/>
      <c r="AX159" s="426"/>
      <c r="AY159" s="420"/>
      <c r="AZ159" s="420"/>
      <c r="BA159" s="420"/>
      <c r="BB159" s="419"/>
      <c r="BC159" s="420"/>
      <c r="BD159" s="427"/>
      <c r="BE159" s="420"/>
      <c r="BF159" s="420"/>
      <c r="BG159" s="420"/>
      <c r="BH159" s="423"/>
      <c r="BI159" s="420"/>
      <c r="BJ159" s="420"/>
      <c r="BK159" s="420"/>
      <c r="BL159" s="420"/>
      <c r="BM159" s="420"/>
      <c r="BN159" s="420"/>
      <c r="BO159" s="419"/>
      <c r="BP159" s="428"/>
      <c r="BQ159" s="420"/>
      <c r="BR159" s="423"/>
      <c r="BS159" s="423"/>
      <c r="BT159" s="420"/>
      <c r="BU159" s="420"/>
      <c r="BV159" s="420"/>
      <c r="BW159" s="420"/>
      <c r="BX159" s="429"/>
      <c r="BY159" s="419"/>
      <c r="BZ159" s="419"/>
      <c r="CA159" s="419"/>
      <c r="CB159" s="420"/>
      <c r="CC159" s="430"/>
      <c r="CD159" s="419"/>
      <c r="CE159" s="419"/>
      <c r="CF159" s="419"/>
      <c r="CG159" s="420"/>
      <c r="CH159" s="423"/>
      <c r="CI159" s="432"/>
      <c r="CJ159" s="432"/>
      <c r="CK159" s="432"/>
      <c r="CL159" s="420"/>
      <c r="CM159" s="423"/>
      <c r="CN159" s="420"/>
      <c r="CO159" s="420"/>
      <c r="CP159" s="420"/>
      <c r="CQ159" s="432"/>
      <c r="CR159" s="432"/>
      <c r="CS159" s="420"/>
      <c r="CT159" s="420"/>
      <c r="CU159" s="420"/>
      <c r="CV159" s="420"/>
      <c r="CW159" s="420"/>
      <c r="CX159" s="419">
        <v>1196981.56</v>
      </c>
      <c r="CY159" s="419"/>
      <c r="CZ159" s="419">
        <v>107728.34</v>
      </c>
      <c r="DA159" s="419">
        <f t="shared" si="176"/>
        <v>1196981.56</v>
      </c>
      <c r="DB159" s="419">
        <f t="shared" si="177"/>
        <v>0</v>
      </c>
      <c r="DC159" s="419"/>
      <c r="DD159" s="419"/>
      <c r="DE159" s="419"/>
      <c r="DF159" s="420">
        <f t="shared" si="178"/>
        <v>0</v>
      </c>
      <c r="DG159" s="421">
        <f t="shared" si="179"/>
        <v>0</v>
      </c>
      <c r="DH159" s="419"/>
      <c r="DI159" s="419"/>
      <c r="DJ159" s="419"/>
      <c r="DK159" s="420">
        <f t="shared" si="180"/>
        <v>0</v>
      </c>
      <c r="DL159" s="422">
        <f t="shared" si="181"/>
        <v>0</v>
      </c>
      <c r="DM159" s="420"/>
      <c r="DN159" s="420"/>
      <c r="DO159" s="420"/>
      <c r="DP159" s="420">
        <f t="shared" si="182"/>
        <v>0</v>
      </c>
      <c r="DQ159" s="420">
        <f t="shared" si="183"/>
        <v>0</v>
      </c>
      <c r="DR159" s="419">
        <v>2066988.89</v>
      </c>
      <c r="DS159" s="419"/>
      <c r="DT159" s="419">
        <v>186029</v>
      </c>
      <c r="DU159" s="420">
        <f t="shared" si="184"/>
        <v>2066988.8888888899</v>
      </c>
      <c r="DV159" s="423">
        <f t="shared" si="185"/>
        <v>-1.1111109051853401E-3</v>
      </c>
      <c r="DW159" s="419">
        <v>30862137.199999999</v>
      </c>
      <c r="DX159" s="419"/>
      <c r="DY159" s="419">
        <v>2777592.34</v>
      </c>
      <c r="DZ159" s="420">
        <f t="shared" si="186"/>
        <v>30862137.109999999</v>
      </c>
      <c r="EA159" s="423">
        <f t="shared" si="187"/>
        <v>-0.09</v>
      </c>
      <c r="EB159" s="420">
        <v>28336580.190000001</v>
      </c>
      <c r="EC159" s="419"/>
      <c r="ED159" s="420">
        <v>2550292.2171</v>
      </c>
      <c r="EE159" s="419">
        <v>28336580.190000001</v>
      </c>
      <c r="EF159" s="420">
        <f t="shared" si="188"/>
        <v>0</v>
      </c>
      <c r="EG159" s="419">
        <v>28407089.690000001</v>
      </c>
      <c r="EH159" s="419"/>
      <c r="EI159" s="419">
        <v>2556638.0699999998</v>
      </c>
      <c r="EJ159" s="420">
        <f t="shared" si="189"/>
        <v>28407089.670000002</v>
      </c>
      <c r="EK159" s="420">
        <f t="shared" si="190"/>
        <v>-0.02</v>
      </c>
      <c r="EL159" s="419"/>
      <c r="EM159" s="419"/>
      <c r="EN159" s="419"/>
      <c r="EO159" s="419">
        <f t="shared" si="191"/>
        <v>0</v>
      </c>
      <c r="EP159" s="419">
        <f t="shared" si="192"/>
        <v>0</v>
      </c>
      <c r="EQ159" s="419">
        <v>7949179.1699999999</v>
      </c>
      <c r="ER159" s="419">
        <v>98818956.700000003</v>
      </c>
      <c r="ES159" s="419">
        <v>715426.13</v>
      </c>
      <c r="ET159" s="419">
        <f t="shared" si="193"/>
        <v>7949179.2199999997</v>
      </c>
      <c r="EU159" s="419">
        <f t="shared" si="194"/>
        <v>0.05</v>
      </c>
      <c r="EV159" s="455">
        <v>6762789.6799999997</v>
      </c>
      <c r="EW159" s="419"/>
      <c r="EX159" s="455">
        <v>608651.06999999995</v>
      </c>
      <c r="EY159" s="419">
        <f t="shared" si="195"/>
        <v>6762789.6699999999</v>
      </c>
      <c r="EZ159" s="419">
        <f t="shared" si="215"/>
        <v>-0.01</v>
      </c>
      <c r="FA159" s="446">
        <v>5133369.2699999996</v>
      </c>
      <c r="FB159" s="420"/>
      <c r="FC159" s="446">
        <v>462003.23</v>
      </c>
      <c r="FD159" s="420">
        <f t="shared" si="196"/>
        <v>5133369.22</v>
      </c>
      <c r="FE159" s="420">
        <f t="shared" si="197"/>
        <v>-0.05</v>
      </c>
      <c r="FF159" s="419">
        <v>14359763.060000001</v>
      </c>
      <c r="FG159" s="420">
        <v>11896158.949999999</v>
      </c>
      <c r="FH159" s="419">
        <v>1292378.69</v>
      </c>
      <c r="FI159" s="419">
        <f t="shared" si="198"/>
        <v>14359763.2222222</v>
      </c>
      <c r="FJ159" s="419">
        <f t="shared" si="199"/>
        <v>0.16</v>
      </c>
      <c r="FK159" s="419"/>
      <c r="FL159" s="419">
        <v>14359763.039999999</v>
      </c>
      <c r="FM159" s="419"/>
      <c r="FN159" s="420">
        <f t="shared" si="200"/>
        <v>0</v>
      </c>
      <c r="FO159" s="423">
        <f t="shared" si="201"/>
        <v>0</v>
      </c>
      <c r="FP159" s="419"/>
      <c r="FQ159" s="419"/>
      <c r="FR159" s="419"/>
      <c r="FS159" s="420">
        <f t="shared" si="202"/>
        <v>0</v>
      </c>
      <c r="FT159" s="420">
        <f t="shared" si="203"/>
        <v>0</v>
      </c>
      <c r="FU159" s="419"/>
      <c r="FV159" s="419"/>
      <c r="FW159" s="419"/>
      <c r="FX159" s="420">
        <f t="shared" si="204"/>
        <v>0</v>
      </c>
      <c r="FY159" s="420">
        <f t="shared" si="205"/>
        <v>0</v>
      </c>
      <c r="FZ159" s="419">
        <v>353874235.10000002</v>
      </c>
      <c r="GA159" s="419">
        <v>353874235.10000002</v>
      </c>
      <c r="GB159" s="419">
        <v>31848681.16</v>
      </c>
      <c r="GC159" s="420">
        <f t="shared" si="206"/>
        <v>353874235.11000001</v>
      </c>
      <c r="GD159" s="420">
        <f t="shared" si="207"/>
        <v>9.9999904632568394E-3</v>
      </c>
      <c r="GE159" s="419"/>
      <c r="GF159" s="419"/>
      <c r="GG159" s="419"/>
      <c r="GH159" s="420">
        <f t="shared" si="208"/>
        <v>0</v>
      </c>
      <c r="GI159" s="423">
        <f t="shared" si="209"/>
        <v>0</v>
      </c>
      <c r="GJ159" s="419"/>
      <c r="GK159" s="419"/>
      <c r="GL159" s="419"/>
      <c r="GM159" s="420">
        <f t="shared" si="210"/>
        <v>0</v>
      </c>
      <c r="GN159" s="420">
        <f t="shared" si="211"/>
        <v>0</v>
      </c>
      <c r="GO159" s="419"/>
      <c r="GP159" s="419"/>
      <c r="GQ159" s="419"/>
      <c r="GR159" s="420">
        <f t="shared" si="216"/>
        <v>0</v>
      </c>
      <c r="GS159" s="423">
        <f t="shared" si="212"/>
        <v>0</v>
      </c>
      <c r="GT159" s="419"/>
      <c r="GU159" s="419"/>
      <c r="GV159" s="419"/>
      <c r="GW159" s="420">
        <f t="shared" si="213"/>
        <v>0</v>
      </c>
      <c r="GX159" s="420">
        <f t="shared" si="214"/>
        <v>0</v>
      </c>
    </row>
    <row r="160" spans="1:206" ht="15">
      <c r="A160" s="414"/>
      <c r="B160" s="415" t="s">
        <v>556</v>
      </c>
      <c r="C160" s="698"/>
      <c r="D160" s="707"/>
      <c r="E160" s="434" t="s">
        <v>125</v>
      </c>
      <c r="F160" s="417">
        <v>0.06</v>
      </c>
      <c r="G160" s="418">
        <f t="shared" si="173"/>
        <v>11740607.59</v>
      </c>
      <c r="H160" s="418">
        <f t="shared" si="174"/>
        <v>11740607.6</v>
      </c>
      <c r="I160" s="418">
        <f t="shared" si="174"/>
        <v>704436.45180000004</v>
      </c>
      <c r="J160" s="418">
        <f t="shared" si="175"/>
        <v>11740607.529999999</v>
      </c>
      <c r="K160" s="418">
        <f t="shared" si="171"/>
        <v>-6.9999998435378102E-2</v>
      </c>
      <c r="L160" s="418">
        <f t="shared" si="172"/>
        <v>-5.9999996796250302E-2</v>
      </c>
      <c r="M160" s="424"/>
      <c r="N160" s="424"/>
      <c r="O160" s="424"/>
      <c r="P160" s="424"/>
      <c r="Q160" s="419"/>
      <c r="R160" s="419"/>
      <c r="S160" s="419"/>
      <c r="T160" s="420"/>
      <c r="U160" s="423"/>
      <c r="V160" s="420"/>
      <c r="W160" s="420"/>
      <c r="X160" s="419"/>
      <c r="Y160" s="419"/>
      <c r="Z160" s="423"/>
      <c r="AA160" s="423"/>
      <c r="AB160" s="419"/>
      <c r="AC160" s="423"/>
      <c r="AD160" s="420"/>
      <c r="AE160" s="423"/>
      <c r="AF160" s="444"/>
      <c r="AG160" s="419"/>
      <c r="AH160" s="420"/>
      <c r="AI160" s="420"/>
      <c r="AJ160" s="423"/>
      <c r="AK160" s="444"/>
      <c r="AL160" s="420"/>
      <c r="AM160" s="420"/>
      <c r="AN160" s="420"/>
      <c r="AO160" s="423"/>
      <c r="AP160" s="420"/>
      <c r="AQ160" s="419"/>
      <c r="AR160" s="420"/>
      <c r="AS160" s="420"/>
      <c r="AT160" s="420"/>
      <c r="AU160" s="420"/>
      <c r="AV160" s="420"/>
      <c r="AW160" s="420"/>
      <c r="AX160" s="426"/>
      <c r="AY160" s="420"/>
      <c r="AZ160" s="420"/>
      <c r="BA160" s="420"/>
      <c r="BB160" s="419"/>
      <c r="BC160" s="420"/>
      <c r="BD160" s="427"/>
      <c r="BE160" s="420"/>
      <c r="BF160" s="420"/>
      <c r="BG160" s="420"/>
      <c r="BH160" s="423"/>
      <c r="BI160" s="420"/>
      <c r="BJ160" s="420"/>
      <c r="BK160" s="420"/>
      <c r="BL160" s="420"/>
      <c r="BM160" s="420"/>
      <c r="BN160" s="420"/>
      <c r="BO160" s="419"/>
      <c r="BP160" s="428"/>
      <c r="BQ160" s="420"/>
      <c r="BR160" s="423"/>
      <c r="BS160" s="423"/>
      <c r="BT160" s="420"/>
      <c r="BU160" s="420"/>
      <c r="BV160" s="420"/>
      <c r="BW160" s="420"/>
      <c r="BX160" s="429"/>
      <c r="BY160" s="419"/>
      <c r="BZ160" s="419"/>
      <c r="CA160" s="419"/>
      <c r="CB160" s="420"/>
      <c r="CC160" s="430"/>
      <c r="CD160" s="419"/>
      <c r="CE160" s="419"/>
      <c r="CF160" s="419"/>
      <c r="CG160" s="420"/>
      <c r="CH160" s="423"/>
      <c r="CI160" s="432"/>
      <c r="CJ160" s="432"/>
      <c r="CK160" s="432"/>
      <c r="CL160" s="420"/>
      <c r="CM160" s="423"/>
      <c r="CN160" s="420"/>
      <c r="CO160" s="420"/>
      <c r="CP160" s="420"/>
      <c r="CQ160" s="432"/>
      <c r="CR160" s="432"/>
      <c r="CS160" s="420"/>
      <c r="CT160" s="420"/>
      <c r="CU160" s="420"/>
      <c r="CV160" s="420"/>
      <c r="CW160" s="420"/>
      <c r="CX160" s="419">
        <v>1853016.31</v>
      </c>
      <c r="CY160" s="419"/>
      <c r="CZ160" s="419">
        <v>111180.97</v>
      </c>
      <c r="DA160" s="419">
        <f t="shared" si="176"/>
        <v>1853016.17</v>
      </c>
      <c r="DB160" s="419">
        <f t="shared" si="177"/>
        <v>-0.14000000000000001</v>
      </c>
      <c r="DC160" s="419">
        <v>20763.38</v>
      </c>
      <c r="DD160" s="419"/>
      <c r="DE160" s="419">
        <v>1245.8</v>
      </c>
      <c r="DF160" s="420">
        <f t="shared" si="178"/>
        <v>20763.333333333299</v>
      </c>
      <c r="DG160" s="421">
        <f t="shared" si="179"/>
        <v>4.6666666668898002E-2</v>
      </c>
      <c r="DH160" s="419">
        <v>84435.22</v>
      </c>
      <c r="DI160" s="419"/>
      <c r="DJ160" s="419">
        <v>5066.1099999999997</v>
      </c>
      <c r="DK160" s="420">
        <f t="shared" si="180"/>
        <v>84435.166666666701</v>
      </c>
      <c r="DL160" s="422">
        <f t="shared" si="181"/>
        <v>-5.33333333296468E-2</v>
      </c>
      <c r="DM160" s="420">
        <v>184940.93</v>
      </c>
      <c r="DN160" s="420"/>
      <c r="DO160" s="420">
        <v>11096.45</v>
      </c>
      <c r="DP160" s="420">
        <f t="shared" si="182"/>
        <v>184940.83333333299</v>
      </c>
      <c r="DQ160" s="420">
        <f t="shared" si="183"/>
        <v>-9.6666666649980498E-2</v>
      </c>
      <c r="DR160" s="419">
        <v>837241.24</v>
      </c>
      <c r="DS160" s="419"/>
      <c r="DT160" s="419">
        <v>50234.48</v>
      </c>
      <c r="DU160" s="420">
        <f t="shared" si="184"/>
        <v>837241.33333333302</v>
      </c>
      <c r="DV160" s="423">
        <f t="shared" si="185"/>
        <v>9.3333333381451694E-2</v>
      </c>
      <c r="DW160" s="419">
        <v>52667.3</v>
      </c>
      <c r="DX160" s="419"/>
      <c r="DY160" s="419">
        <v>3160.04</v>
      </c>
      <c r="DZ160" s="420">
        <f t="shared" si="186"/>
        <v>52667.33</v>
      </c>
      <c r="EA160" s="423">
        <f t="shared" si="187"/>
        <v>0.03</v>
      </c>
      <c r="EB160" s="419">
        <v>168761.53</v>
      </c>
      <c r="EC160" s="419"/>
      <c r="ED160" s="420">
        <v>10125.691800000001</v>
      </c>
      <c r="EE160" s="419">
        <v>168761.53</v>
      </c>
      <c r="EF160" s="420">
        <f t="shared" si="188"/>
        <v>0</v>
      </c>
      <c r="EG160" s="419">
        <v>1122829.54</v>
      </c>
      <c r="EH160" s="419"/>
      <c r="EI160" s="419">
        <v>67369.78</v>
      </c>
      <c r="EJ160" s="420">
        <f t="shared" si="189"/>
        <v>1122829.67</v>
      </c>
      <c r="EK160" s="420">
        <f t="shared" si="190"/>
        <v>0.13</v>
      </c>
      <c r="EL160" s="419">
        <v>100515.45</v>
      </c>
      <c r="EN160" s="419">
        <v>6030.92</v>
      </c>
      <c r="EO160" s="419">
        <f t="shared" si="191"/>
        <v>100515.33</v>
      </c>
      <c r="EP160" s="419">
        <f t="shared" si="192"/>
        <v>-0.12</v>
      </c>
      <c r="EQ160" s="420">
        <v>144993.15</v>
      </c>
      <c r="ER160" s="420">
        <v>4455025.22</v>
      </c>
      <c r="ES160" s="420">
        <v>8699.59</v>
      </c>
      <c r="ET160" s="419">
        <f t="shared" si="193"/>
        <v>144993.17000000001</v>
      </c>
      <c r="EU160" s="419">
        <f t="shared" si="194"/>
        <v>0.02</v>
      </c>
      <c r="EV160" s="419">
        <v>126520.88</v>
      </c>
      <c r="EW160" s="419"/>
      <c r="EX160" s="419">
        <v>7591.26</v>
      </c>
      <c r="EY160" s="419">
        <f t="shared" si="195"/>
        <v>126521</v>
      </c>
      <c r="EZ160" s="419">
        <f t="shared" si="215"/>
        <v>0.12</v>
      </c>
      <c r="FA160" s="420">
        <v>129889.27</v>
      </c>
      <c r="FB160" s="420"/>
      <c r="FC160" s="420">
        <v>7793.35</v>
      </c>
      <c r="FD160" s="420">
        <f t="shared" si="196"/>
        <v>129889.17</v>
      </c>
      <c r="FE160" s="420">
        <f t="shared" si="197"/>
        <v>-0.1</v>
      </c>
      <c r="FF160" s="419">
        <v>574271.68999999994</v>
      </c>
      <c r="FG160" s="419">
        <v>371548.95</v>
      </c>
      <c r="FH160" s="419">
        <v>34456.31</v>
      </c>
      <c r="FI160" s="419">
        <f t="shared" si="198"/>
        <v>574271.83333333302</v>
      </c>
      <c r="FJ160" s="419">
        <f t="shared" si="199"/>
        <v>0.14000000000000001</v>
      </c>
      <c r="FK160" s="419">
        <v>6294629.5499999998</v>
      </c>
      <c r="FL160" s="419">
        <v>574271.68999999994</v>
      </c>
      <c r="FM160" s="419">
        <v>377677.77</v>
      </c>
      <c r="FN160" s="420">
        <f t="shared" si="200"/>
        <v>6294629.5</v>
      </c>
      <c r="FO160" s="423">
        <f t="shared" si="201"/>
        <v>-0.05</v>
      </c>
      <c r="FP160" s="431">
        <v>45132.15</v>
      </c>
      <c r="FQ160" s="431">
        <v>612966.38</v>
      </c>
      <c r="FR160" s="431">
        <v>2707.93</v>
      </c>
      <c r="FS160" s="420">
        <f t="shared" si="202"/>
        <v>45132.17</v>
      </c>
      <c r="FT160" s="420">
        <f t="shared" si="203"/>
        <v>1.9999999996798599E-2</v>
      </c>
      <c r="FU160" s="419"/>
      <c r="FV160" s="419">
        <v>5726795.3600000003</v>
      </c>
      <c r="FW160" s="419"/>
      <c r="FX160" s="420">
        <f t="shared" si="204"/>
        <v>0</v>
      </c>
      <c r="FY160" s="420">
        <f t="shared" si="205"/>
        <v>0</v>
      </c>
      <c r="FZ160" s="419"/>
      <c r="GA160" s="419"/>
      <c r="GB160" s="419"/>
      <c r="GC160" s="420">
        <f t="shared" si="206"/>
        <v>0</v>
      </c>
      <c r="GD160" s="420">
        <f t="shared" si="207"/>
        <v>0</v>
      </c>
      <c r="GE160" s="419"/>
      <c r="GF160" s="419"/>
      <c r="GG160" s="419"/>
      <c r="GH160" s="420">
        <f t="shared" si="208"/>
        <v>0</v>
      </c>
      <c r="GI160" s="423">
        <f t="shared" si="209"/>
        <v>0</v>
      </c>
      <c r="GJ160" s="419"/>
      <c r="GK160" s="419"/>
      <c r="GL160" s="419"/>
      <c r="GM160" s="420">
        <f t="shared" si="210"/>
        <v>0</v>
      </c>
      <c r="GN160" s="420">
        <f t="shared" si="211"/>
        <v>0</v>
      </c>
      <c r="GO160" s="419"/>
      <c r="GP160" s="419"/>
      <c r="GQ160" s="419"/>
      <c r="GR160" s="420">
        <f t="shared" si="216"/>
        <v>0</v>
      </c>
      <c r="GS160" s="423">
        <f t="shared" si="212"/>
        <v>0</v>
      </c>
      <c r="GT160" s="419"/>
      <c r="GU160" s="419"/>
      <c r="GV160" s="419"/>
      <c r="GW160" s="420">
        <f t="shared" si="213"/>
        <v>0</v>
      </c>
      <c r="GX160" s="420">
        <f t="shared" si="214"/>
        <v>0</v>
      </c>
    </row>
    <row r="161" spans="1:206" ht="15">
      <c r="A161" s="414"/>
      <c r="B161" s="415" t="s">
        <v>558</v>
      </c>
      <c r="C161" s="698"/>
      <c r="D161" s="704" t="s">
        <v>559</v>
      </c>
      <c r="E161" s="434" t="s">
        <v>123</v>
      </c>
      <c r="F161" s="417">
        <v>0.13</v>
      </c>
      <c r="G161" s="418">
        <f t="shared" si="173"/>
        <v>44633960.189999998</v>
      </c>
      <c r="H161" s="418">
        <f t="shared" si="174"/>
        <v>44684712.619999997</v>
      </c>
      <c r="I161" s="418">
        <f t="shared" si="174"/>
        <v>5802414.8300000001</v>
      </c>
      <c r="J161" s="418">
        <f t="shared" si="175"/>
        <v>44633960.230769202</v>
      </c>
      <c r="K161" s="418">
        <f t="shared" si="171"/>
        <v>-50752.389230772897</v>
      </c>
      <c r="L161" s="418">
        <f t="shared" si="172"/>
        <v>4.0769226849079097E-2</v>
      </c>
      <c r="M161" s="424"/>
      <c r="N161" s="424"/>
      <c r="O161" s="424"/>
      <c r="P161" s="424"/>
      <c r="Q161" s="419"/>
      <c r="R161" s="419"/>
      <c r="S161" s="419"/>
      <c r="T161" s="420"/>
      <c r="U161" s="423"/>
      <c r="V161" s="420"/>
      <c r="W161" s="420"/>
      <c r="X161" s="419"/>
      <c r="Y161" s="419"/>
      <c r="Z161" s="423"/>
      <c r="AA161" s="423"/>
      <c r="AB161" s="419"/>
      <c r="AC161" s="423"/>
      <c r="AD161" s="420"/>
      <c r="AE161" s="423"/>
      <c r="AF161" s="444"/>
      <c r="AG161" s="419"/>
      <c r="AH161" s="420"/>
      <c r="AI161" s="420"/>
      <c r="AJ161" s="423"/>
      <c r="AK161" s="444"/>
      <c r="AL161" s="420"/>
      <c r="AM161" s="420"/>
      <c r="AN161" s="420"/>
      <c r="AO161" s="423"/>
      <c r="AP161" s="420"/>
      <c r="AQ161" s="419"/>
      <c r="AR161" s="420"/>
      <c r="AS161" s="420"/>
      <c r="AT161" s="420"/>
      <c r="AU161" s="420"/>
      <c r="AV161" s="420"/>
      <c r="AW161" s="420"/>
      <c r="AX161" s="426"/>
      <c r="AY161" s="420"/>
      <c r="AZ161" s="420"/>
      <c r="BA161" s="420"/>
      <c r="BB161" s="419"/>
      <c r="BC161" s="420"/>
      <c r="BD161" s="427"/>
      <c r="BE161" s="420"/>
      <c r="BF161" s="420"/>
      <c r="BG161" s="420"/>
      <c r="BH161" s="423"/>
      <c r="BI161" s="420"/>
      <c r="BJ161" s="420"/>
      <c r="BK161" s="420"/>
      <c r="BL161" s="420"/>
      <c r="BM161" s="420"/>
      <c r="BN161" s="420"/>
      <c r="BO161" s="419"/>
      <c r="BP161" s="428"/>
      <c r="BQ161" s="420"/>
      <c r="BR161" s="423"/>
      <c r="BS161" s="423"/>
      <c r="BT161" s="420"/>
      <c r="BU161" s="420"/>
      <c r="BV161" s="420"/>
      <c r="BW161" s="420"/>
      <c r="BX161" s="429"/>
      <c r="BY161" s="419"/>
      <c r="BZ161" s="419"/>
      <c r="CA161" s="419"/>
      <c r="CB161" s="420"/>
      <c r="CC161" s="430"/>
      <c r="CD161" s="419"/>
      <c r="CE161" s="419"/>
      <c r="CF161" s="419"/>
      <c r="CG161" s="420"/>
      <c r="CH161" s="423"/>
      <c r="CI161" s="432"/>
      <c r="CJ161" s="432"/>
      <c r="CK161" s="432"/>
      <c r="CL161" s="420"/>
      <c r="CM161" s="423"/>
      <c r="CN161" s="420"/>
      <c r="CO161" s="420"/>
      <c r="CP161" s="420"/>
      <c r="CQ161" s="432"/>
      <c r="CR161" s="432"/>
      <c r="CS161" s="420"/>
      <c r="CT161" s="420"/>
      <c r="CU161" s="420"/>
      <c r="CV161" s="420"/>
      <c r="CW161" s="420"/>
      <c r="CX161" s="420"/>
      <c r="CY161" s="420"/>
      <c r="CZ161" s="420"/>
      <c r="DA161" s="420">
        <f t="shared" si="176"/>
        <v>0</v>
      </c>
      <c r="DB161" s="419">
        <f t="shared" si="177"/>
        <v>0</v>
      </c>
      <c r="DC161" s="419"/>
      <c r="DD161" s="419"/>
      <c r="DE161" s="419"/>
      <c r="DF161" s="420">
        <f t="shared" si="178"/>
        <v>0</v>
      </c>
      <c r="DG161" s="421">
        <f t="shared" si="179"/>
        <v>0</v>
      </c>
      <c r="DH161" s="419"/>
      <c r="DI161" s="419"/>
      <c r="DJ161" s="419"/>
      <c r="DK161" s="420">
        <f t="shared" si="180"/>
        <v>0</v>
      </c>
      <c r="DL161" s="422">
        <f t="shared" si="181"/>
        <v>0</v>
      </c>
      <c r="DM161" s="420"/>
      <c r="DN161" s="420"/>
      <c r="DO161" s="420"/>
      <c r="DP161" s="420">
        <f t="shared" si="182"/>
        <v>0</v>
      </c>
      <c r="DQ161" s="420">
        <f t="shared" si="183"/>
        <v>0</v>
      </c>
      <c r="DR161" s="419"/>
      <c r="DS161" s="419"/>
      <c r="DT161" s="419"/>
      <c r="DU161" s="420">
        <f t="shared" si="184"/>
        <v>0</v>
      </c>
      <c r="DV161" s="423">
        <f t="shared" si="185"/>
        <v>0</v>
      </c>
      <c r="DW161" s="419"/>
      <c r="DX161" s="419"/>
      <c r="DY161" s="419"/>
      <c r="DZ161" s="420">
        <f t="shared" si="186"/>
        <v>0</v>
      </c>
      <c r="EA161" s="423">
        <f t="shared" si="187"/>
        <v>0</v>
      </c>
      <c r="EB161" s="419"/>
      <c r="EC161" s="419"/>
      <c r="ED161" s="420"/>
      <c r="EE161" s="419"/>
      <c r="EF161" s="420">
        <f t="shared" si="188"/>
        <v>0</v>
      </c>
      <c r="EG161" s="419"/>
      <c r="EH161" s="419"/>
      <c r="EI161" s="419"/>
      <c r="EJ161" s="420">
        <f t="shared" si="189"/>
        <v>0</v>
      </c>
      <c r="EK161" s="420">
        <f t="shared" si="190"/>
        <v>0</v>
      </c>
      <c r="EL161" s="419"/>
      <c r="EM161" s="419"/>
      <c r="EN161" s="419"/>
      <c r="EO161" s="419">
        <f t="shared" si="191"/>
        <v>0</v>
      </c>
      <c r="EP161" s="419">
        <f t="shared" si="192"/>
        <v>0</v>
      </c>
      <c r="EQ161" s="419">
        <v>3311391.41</v>
      </c>
      <c r="ER161" s="420">
        <v>3311391.41</v>
      </c>
      <c r="ES161" s="419">
        <v>430480.89</v>
      </c>
      <c r="ET161" s="419">
        <f t="shared" si="193"/>
        <v>3311391.46</v>
      </c>
      <c r="EU161" s="419">
        <f t="shared" si="194"/>
        <v>0.05</v>
      </c>
      <c r="EV161" s="455">
        <v>-1111.3599999999999</v>
      </c>
      <c r="EW161" s="419"/>
      <c r="EX161" s="455">
        <v>-144.47999999999999</v>
      </c>
      <c r="EY161" s="419">
        <f t="shared" si="195"/>
        <v>-1111.3800000000001</v>
      </c>
      <c r="EZ161" s="419">
        <f t="shared" si="215"/>
        <v>-0.02</v>
      </c>
      <c r="FA161" s="420">
        <v>3460508.83</v>
      </c>
      <c r="FB161" s="420">
        <v>-1111.3599999999999</v>
      </c>
      <c r="FC161" s="420">
        <v>449866.15</v>
      </c>
      <c r="FD161" s="420">
        <f t="shared" si="196"/>
        <v>3460508.85</v>
      </c>
      <c r="FE161" s="420">
        <f t="shared" si="197"/>
        <v>0.02</v>
      </c>
      <c r="FF161" s="419">
        <v>15393576.08</v>
      </c>
      <c r="FG161" s="419"/>
      <c r="FH161" s="419">
        <v>2001164.89</v>
      </c>
      <c r="FI161" s="419">
        <f t="shared" si="198"/>
        <v>15393576.0769231</v>
      </c>
      <c r="FJ161" s="419">
        <f t="shared" si="199"/>
        <v>0</v>
      </c>
      <c r="FK161" s="419">
        <v>5285540.4000000004</v>
      </c>
      <c r="FL161" s="419">
        <v>18854084.920000002</v>
      </c>
      <c r="FM161" s="419">
        <v>687120.25</v>
      </c>
      <c r="FN161" s="420">
        <f t="shared" si="200"/>
        <v>5285540.38</v>
      </c>
      <c r="FO161" s="423">
        <f t="shared" si="201"/>
        <v>-0.02</v>
      </c>
      <c r="FP161" s="431">
        <v>15856621.199999999</v>
      </c>
      <c r="FQ161" s="431">
        <v>21142161.600000001</v>
      </c>
      <c r="FR161" s="431">
        <v>2061360.76</v>
      </c>
      <c r="FS161" s="420">
        <f t="shared" si="202"/>
        <v>15856621.23</v>
      </c>
      <c r="FT161" s="420">
        <f t="shared" si="203"/>
        <v>3.0000001192092899E-2</v>
      </c>
      <c r="FU161" s="419">
        <v>1327433.6299999999</v>
      </c>
      <c r="FV161" s="419">
        <v>1378186.05</v>
      </c>
      <c r="FW161" s="419">
        <v>172566.37</v>
      </c>
      <c r="FX161" s="420">
        <f t="shared" si="204"/>
        <v>1327433.6200000001</v>
      </c>
      <c r="FY161" s="420">
        <f t="shared" si="205"/>
        <v>-9.9999997764825804E-3</v>
      </c>
      <c r="FZ161" s="419"/>
      <c r="GA161" s="419"/>
      <c r="GB161" s="419"/>
      <c r="GC161" s="420">
        <f t="shared" si="206"/>
        <v>0</v>
      </c>
      <c r="GD161" s="420">
        <f t="shared" si="207"/>
        <v>0</v>
      </c>
      <c r="GE161" s="419"/>
      <c r="GF161" s="419"/>
      <c r="GG161" s="419"/>
      <c r="GH161" s="420">
        <f t="shared" si="208"/>
        <v>0</v>
      </c>
      <c r="GI161" s="423">
        <f t="shared" si="209"/>
        <v>0</v>
      </c>
      <c r="GJ161" s="419"/>
      <c r="GK161" s="419"/>
      <c r="GL161" s="419"/>
      <c r="GM161" s="420">
        <f t="shared" si="210"/>
        <v>0</v>
      </c>
      <c r="GN161" s="420">
        <f t="shared" si="211"/>
        <v>0</v>
      </c>
      <c r="GO161" s="419"/>
      <c r="GP161" s="419"/>
      <c r="GQ161" s="419"/>
      <c r="GR161" s="420">
        <f t="shared" si="216"/>
        <v>0</v>
      </c>
      <c r="GS161" s="423">
        <f t="shared" si="212"/>
        <v>0</v>
      </c>
      <c r="GT161" s="419"/>
      <c r="GU161" s="419"/>
      <c r="GV161" s="419"/>
      <c r="GW161" s="420">
        <f t="shared" si="213"/>
        <v>0</v>
      </c>
      <c r="GX161" s="420">
        <f t="shared" si="214"/>
        <v>0</v>
      </c>
    </row>
    <row r="162" spans="1:206" ht="15">
      <c r="A162" s="414"/>
      <c r="B162" s="415" t="s">
        <v>558</v>
      </c>
      <c r="C162" s="698"/>
      <c r="D162" s="705"/>
      <c r="E162" s="434" t="s">
        <v>124</v>
      </c>
      <c r="F162" s="417">
        <v>0.09</v>
      </c>
      <c r="G162" s="418">
        <f t="shared" si="173"/>
        <v>91093474.980000004</v>
      </c>
      <c r="H162" s="418">
        <f t="shared" si="174"/>
        <v>91093474.980000004</v>
      </c>
      <c r="I162" s="418">
        <f t="shared" si="174"/>
        <v>8198412.7465000004</v>
      </c>
      <c r="J162" s="418">
        <f t="shared" si="175"/>
        <v>91093474.961111099</v>
      </c>
      <c r="K162" s="418">
        <f t="shared" si="171"/>
        <v>-1.8888890743255601E-2</v>
      </c>
      <c r="L162" s="418">
        <f t="shared" si="172"/>
        <v>-1.8888890743255601E-2</v>
      </c>
      <c r="M162" s="424"/>
      <c r="N162" s="424"/>
      <c r="O162" s="424"/>
      <c r="P162" s="424"/>
      <c r="Q162" s="419"/>
      <c r="R162" s="419"/>
      <c r="S162" s="419"/>
      <c r="T162" s="420"/>
      <c r="U162" s="423"/>
      <c r="V162" s="420"/>
      <c r="W162" s="420"/>
      <c r="X162" s="419"/>
      <c r="Y162" s="419"/>
      <c r="Z162" s="423"/>
      <c r="AA162" s="423"/>
      <c r="AB162" s="419"/>
      <c r="AC162" s="423"/>
      <c r="AD162" s="420"/>
      <c r="AE162" s="423"/>
      <c r="AF162" s="444"/>
      <c r="AG162" s="419"/>
      <c r="AH162" s="420"/>
      <c r="AI162" s="420"/>
      <c r="AJ162" s="423"/>
      <c r="AK162" s="444"/>
      <c r="AL162" s="420"/>
      <c r="AM162" s="420"/>
      <c r="AN162" s="420"/>
      <c r="AO162" s="423"/>
      <c r="AP162" s="420"/>
      <c r="AQ162" s="419"/>
      <c r="AR162" s="420"/>
      <c r="AS162" s="420"/>
      <c r="AT162" s="420"/>
      <c r="AU162" s="420"/>
      <c r="AV162" s="420"/>
      <c r="AW162" s="420"/>
      <c r="AX162" s="426"/>
      <c r="AY162" s="420"/>
      <c r="AZ162" s="420"/>
      <c r="BA162" s="420"/>
      <c r="BB162" s="419"/>
      <c r="BC162" s="420"/>
      <c r="BD162" s="427"/>
      <c r="BE162" s="420"/>
      <c r="BF162" s="420"/>
      <c r="BG162" s="420"/>
      <c r="BH162" s="423"/>
      <c r="BI162" s="420"/>
      <c r="BJ162" s="420"/>
      <c r="BK162" s="420"/>
      <c r="BL162" s="420"/>
      <c r="BM162" s="420"/>
      <c r="BN162" s="420"/>
      <c r="BO162" s="419"/>
      <c r="BP162" s="428"/>
      <c r="BQ162" s="420"/>
      <c r="BR162" s="423"/>
      <c r="BS162" s="423"/>
      <c r="BT162" s="420"/>
      <c r="BU162" s="420"/>
      <c r="BV162" s="420"/>
      <c r="BW162" s="420"/>
      <c r="BX162" s="429"/>
      <c r="BY162" s="419"/>
      <c r="BZ162" s="419"/>
      <c r="CA162" s="419"/>
      <c r="CB162" s="420"/>
      <c r="CC162" s="430"/>
      <c r="CD162" s="419"/>
      <c r="CE162" s="419"/>
      <c r="CF162" s="419"/>
      <c r="CG162" s="420"/>
      <c r="CH162" s="423"/>
      <c r="CI162" s="432"/>
      <c r="CJ162" s="432"/>
      <c r="CK162" s="432"/>
      <c r="CL162" s="420"/>
      <c r="CM162" s="423"/>
      <c r="CN162" s="420"/>
      <c r="CO162" s="420"/>
      <c r="CP162" s="420"/>
      <c r="CQ162" s="432"/>
      <c r="CR162" s="432"/>
      <c r="CS162" s="420"/>
      <c r="CT162" s="420"/>
      <c r="CU162" s="420"/>
      <c r="CV162" s="420"/>
      <c r="CW162" s="420"/>
      <c r="CX162" s="420"/>
      <c r="CY162" s="420"/>
      <c r="CZ162" s="420"/>
      <c r="DA162" s="420">
        <f t="shared" si="176"/>
        <v>0</v>
      </c>
      <c r="DB162" s="419">
        <f t="shared" si="177"/>
        <v>0</v>
      </c>
      <c r="DC162" s="419"/>
      <c r="DD162" s="419"/>
      <c r="DE162" s="419"/>
      <c r="DF162" s="420">
        <f t="shared" si="178"/>
        <v>0</v>
      </c>
      <c r="DG162" s="421">
        <f t="shared" si="179"/>
        <v>0</v>
      </c>
      <c r="DH162" s="419"/>
      <c r="DI162" s="419"/>
      <c r="DJ162" s="419"/>
      <c r="DK162" s="420">
        <f t="shared" si="180"/>
        <v>0</v>
      </c>
      <c r="DL162" s="422">
        <f t="shared" si="181"/>
        <v>0</v>
      </c>
      <c r="DM162" s="420"/>
      <c r="DN162" s="420"/>
      <c r="DO162" s="420"/>
      <c r="DP162" s="420">
        <f t="shared" si="182"/>
        <v>0</v>
      </c>
      <c r="DQ162" s="420">
        <f t="shared" si="183"/>
        <v>0</v>
      </c>
      <c r="DR162" s="419"/>
      <c r="DS162" s="419"/>
      <c r="DT162" s="419"/>
      <c r="DU162" s="420">
        <f t="shared" si="184"/>
        <v>0</v>
      </c>
      <c r="DV162" s="423">
        <f t="shared" si="185"/>
        <v>0</v>
      </c>
      <c r="DW162" s="419"/>
      <c r="DX162" s="419"/>
      <c r="DY162" s="419"/>
      <c r="DZ162" s="420">
        <f t="shared" si="186"/>
        <v>0</v>
      </c>
      <c r="EA162" s="423">
        <f t="shared" si="187"/>
        <v>0</v>
      </c>
      <c r="EB162" s="420">
        <v>8815376.8499999996</v>
      </c>
      <c r="EC162" s="419"/>
      <c r="ED162" s="420">
        <v>793383.91650000005</v>
      </c>
      <c r="EE162" s="419">
        <v>8815376.8499999996</v>
      </c>
      <c r="EF162" s="420">
        <f t="shared" si="188"/>
        <v>0</v>
      </c>
      <c r="EG162" s="419">
        <v>10826207.67</v>
      </c>
      <c r="EH162" s="419"/>
      <c r="EI162" s="419">
        <v>974358.69</v>
      </c>
      <c r="EJ162" s="420">
        <f t="shared" si="189"/>
        <v>10826207.67</v>
      </c>
      <c r="EK162" s="420">
        <f t="shared" si="190"/>
        <v>0</v>
      </c>
      <c r="EL162" s="419"/>
      <c r="EM162" s="419"/>
      <c r="EN162" s="419"/>
      <c r="EO162" s="419">
        <f t="shared" si="191"/>
        <v>0</v>
      </c>
      <c r="EP162" s="419">
        <f t="shared" si="192"/>
        <v>0</v>
      </c>
      <c r="EQ162" s="419">
        <v>15880794.199999999</v>
      </c>
      <c r="ER162" s="419">
        <v>35522378.719999999</v>
      </c>
      <c r="ES162" s="419">
        <v>1429271.49</v>
      </c>
      <c r="ET162" s="419">
        <f t="shared" si="193"/>
        <v>15880794.33</v>
      </c>
      <c r="EU162" s="419">
        <f t="shared" si="194"/>
        <v>0.13</v>
      </c>
      <c r="EV162" s="455">
        <v>12876537.6</v>
      </c>
      <c r="EW162" s="419"/>
      <c r="EX162" s="455">
        <v>1158888.3899999999</v>
      </c>
      <c r="EY162" s="419">
        <f t="shared" si="195"/>
        <v>12876537.67</v>
      </c>
      <c r="EZ162" s="419">
        <f t="shared" si="215"/>
        <v>7.0000000000000007E-2</v>
      </c>
      <c r="FA162" s="456">
        <v>14377556.77</v>
      </c>
      <c r="FB162" s="420">
        <v>4698875.3099999996</v>
      </c>
      <c r="FC162" s="456">
        <v>1293980.1000000001</v>
      </c>
      <c r="FD162" s="420">
        <f t="shared" si="196"/>
        <v>14377556.67</v>
      </c>
      <c r="FE162" s="420">
        <f t="shared" si="197"/>
        <v>-0.1</v>
      </c>
      <c r="FF162" s="419">
        <v>5489119.7400000002</v>
      </c>
      <c r="FG162" s="419"/>
      <c r="FH162" s="419">
        <v>494020.76</v>
      </c>
      <c r="FI162" s="419">
        <f t="shared" si="198"/>
        <v>5489119.5555555597</v>
      </c>
      <c r="FJ162" s="419">
        <f t="shared" si="199"/>
        <v>-0.18</v>
      </c>
      <c r="FK162" s="419">
        <v>7471481.1500000004</v>
      </c>
      <c r="FL162" s="419">
        <v>28044338.800000001</v>
      </c>
      <c r="FM162" s="419">
        <v>672433.31</v>
      </c>
      <c r="FN162" s="420">
        <f t="shared" si="200"/>
        <v>7471481.2199999997</v>
      </c>
      <c r="FO162" s="423">
        <f t="shared" si="201"/>
        <v>7.0000000000000007E-2</v>
      </c>
      <c r="FP162" s="419">
        <v>4596565.12</v>
      </c>
      <c r="FQ162" s="419">
        <v>12068046.26</v>
      </c>
      <c r="FR162" s="419">
        <v>413690.87</v>
      </c>
      <c r="FS162" s="420">
        <f t="shared" si="202"/>
        <v>4596565.22</v>
      </c>
      <c r="FT162" s="420">
        <f t="shared" si="203"/>
        <v>9.9999999627470998E-2</v>
      </c>
      <c r="FU162" s="419">
        <v>10759835.880000001</v>
      </c>
      <c r="FV162" s="419">
        <v>10759835.890000001</v>
      </c>
      <c r="FW162" s="419">
        <v>968385.22</v>
      </c>
      <c r="FX162" s="420">
        <f t="shared" si="204"/>
        <v>10759835.779999999</v>
      </c>
      <c r="FY162" s="420">
        <f t="shared" si="205"/>
        <v>-0.10000000149011599</v>
      </c>
      <c r="FZ162" s="419"/>
      <c r="GA162" s="419"/>
      <c r="GB162" s="419"/>
      <c r="GC162" s="420">
        <f t="shared" si="206"/>
        <v>0</v>
      </c>
      <c r="GD162" s="420">
        <f t="shared" si="207"/>
        <v>0</v>
      </c>
      <c r="GE162" s="419"/>
      <c r="GF162" s="419"/>
      <c r="GG162" s="419"/>
      <c r="GH162" s="420">
        <f t="shared" si="208"/>
        <v>0</v>
      </c>
      <c r="GI162" s="423">
        <f t="shared" si="209"/>
        <v>0</v>
      </c>
      <c r="GJ162" s="419"/>
      <c r="GK162" s="419"/>
      <c r="GL162" s="419"/>
      <c r="GM162" s="420">
        <f t="shared" si="210"/>
        <v>0</v>
      </c>
      <c r="GN162" s="420">
        <f t="shared" si="211"/>
        <v>0</v>
      </c>
      <c r="GO162" s="419"/>
      <c r="GP162" s="419"/>
      <c r="GQ162" s="419"/>
      <c r="GR162" s="420">
        <f t="shared" si="216"/>
        <v>0</v>
      </c>
      <c r="GS162" s="423">
        <f t="shared" si="212"/>
        <v>0</v>
      </c>
      <c r="GT162" s="419"/>
      <c r="GU162" s="419"/>
      <c r="GV162" s="419"/>
      <c r="GW162" s="420">
        <f t="shared" si="213"/>
        <v>0</v>
      </c>
      <c r="GX162" s="420">
        <f t="shared" si="214"/>
        <v>0</v>
      </c>
    </row>
    <row r="163" spans="1:206" ht="15">
      <c r="A163" s="414"/>
      <c r="B163" s="415" t="s">
        <v>558</v>
      </c>
      <c r="C163" s="698"/>
      <c r="D163" s="707"/>
      <c r="E163" s="434" t="s">
        <v>125</v>
      </c>
      <c r="F163" s="417">
        <v>0.06</v>
      </c>
      <c r="G163" s="418">
        <f t="shared" si="173"/>
        <v>5717774.1799999997</v>
      </c>
      <c r="H163" s="418">
        <f t="shared" si="174"/>
        <v>5667021.7599999998</v>
      </c>
      <c r="I163" s="418">
        <f t="shared" si="174"/>
        <v>343066.45679999999</v>
      </c>
      <c r="J163" s="418">
        <f t="shared" si="175"/>
        <v>5717774.2800000003</v>
      </c>
      <c r="K163" s="418">
        <f t="shared" si="171"/>
        <v>50752.520000000499</v>
      </c>
      <c r="L163" s="418">
        <f t="shared" si="172"/>
        <v>0.100000000558794</v>
      </c>
      <c r="M163" s="424"/>
      <c r="N163" s="424"/>
      <c r="O163" s="424"/>
      <c r="P163" s="424"/>
      <c r="Q163" s="419"/>
      <c r="R163" s="419"/>
      <c r="S163" s="419"/>
      <c r="T163" s="420"/>
      <c r="U163" s="423"/>
      <c r="V163" s="420"/>
      <c r="W163" s="420"/>
      <c r="X163" s="419"/>
      <c r="Y163" s="419"/>
      <c r="Z163" s="423"/>
      <c r="AA163" s="423"/>
      <c r="AB163" s="419"/>
      <c r="AC163" s="423"/>
      <c r="AD163" s="420"/>
      <c r="AE163" s="423"/>
      <c r="AF163" s="444"/>
      <c r="AG163" s="419"/>
      <c r="AH163" s="420"/>
      <c r="AI163" s="420"/>
      <c r="AJ163" s="423"/>
      <c r="AK163" s="444"/>
      <c r="AL163" s="420"/>
      <c r="AM163" s="420"/>
      <c r="AN163" s="420"/>
      <c r="AO163" s="423"/>
      <c r="AP163" s="420"/>
      <c r="AQ163" s="419"/>
      <c r="AR163" s="420"/>
      <c r="AS163" s="420"/>
      <c r="AT163" s="420"/>
      <c r="AU163" s="420"/>
      <c r="AV163" s="420"/>
      <c r="AW163" s="420"/>
      <c r="AX163" s="426"/>
      <c r="AY163" s="420"/>
      <c r="AZ163" s="420"/>
      <c r="BA163" s="420"/>
      <c r="BB163" s="419"/>
      <c r="BC163" s="420"/>
      <c r="BD163" s="427"/>
      <c r="BE163" s="420"/>
      <c r="BF163" s="420"/>
      <c r="BG163" s="420"/>
      <c r="BH163" s="423"/>
      <c r="BI163" s="420"/>
      <c r="BJ163" s="420"/>
      <c r="BK163" s="420"/>
      <c r="BL163" s="420"/>
      <c r="BM163" s="420"/>
      <c r="BN163" s="420"/>
      <c r="BO163" s="419"/>
      <c r="BP163" s="428"/>
      <c r="BQ163" s="420"/>
      <c r="BR163" s="423"/>
      <c r="BS163" s="423"/>
      <c r="BT163" s="420"/>
      <c r="BU163" s="420"/>
      <c r="BV163" s="420"/>
      <c r="BW163" s="420"/>
      <c r="BX163" s="429"/>
      <c r="BY163" s="419"/>
      <c r="BZ163" s="419"/>
      <c r="CA163" s="419"/>
      <c r="CB163" s="420"/>
      <c r="CC163" s="430"/>
      <c r="CD163" s="419"/>
      <c r="CE163" s="419"/>
      <c r="CF163" s="419"/>
      <c r="CG163" s="420"/>
      <c r="CH163" s="423"/>
      <c r="CI163" s="432"/>
      <c r="CJ163" s="432"/>
      <c r="CK163" s="432"/>
      <c r="CL163" s="420"/>
      <c r="CM163" s="423"/>
      <c r="CN163" s="420"/>
      <c r="CO163" s="420"/>
      <c r="CP163" s="420"/>
      <c r="CQ163" s="432"/>
      <c r="CR163" s="432"/>
      <c r="CS163" s="420"/>
      <c r="CT163" s="420"/>
      <c r="CU163" s="420"/>
      <c r="CV163" s="420"/>
      <c r="CW163" s="420"/>
      <c r="CX163" s="420">
        <v>1080897.05</v>
      </c>
      <c r="CY163" s="420"/>
      <c r="CZ163" s="420">
        <v>64853.81</v>
      </c>
      <c r="DA163" s="420">
        <f t="shared" si="176"/>
        <v>1080896.83</v>
      </c>
      <c r="DB163" s="419">
        <f t="shared" si="177"/>
        <v>-0.22</v>
      </c>
      <c r="DC163" s="420">
        <v>39502.6</v>
      </c>
      <c r="DD163" s="420"/>
      <c r="DE163" s="420">
        <v>2370.16</v>
      </c>
      <c r="DF163" s="420">
        <f t="shared" si="178"/>
        <v>39502.666666666701</v>
      </c>
      <c r="DG163" s="421">
        <f t="shared" si="179"/>
        <v>-6.6666666665696497E-2</v>
      </c>
      <c r="DH163" s="419">
        <v>40051.980000000003</v>
      </c>
      <c r="DI163" s="419"/>
      <c r="DJ163" s="419">
        <v>2403.12</v>
      </c>
      <c r="DK163" s="420">
        <f t="shared" si="180"/>
        <v>40052</v>
      </c>
      <c r="DL163" s="422">
        <f t="shared" si="181"/>
        <v>1.9999999996798599E-2</v>
      </c>
      <c r="DM163" s="420">
        <v>37552.019999999997</v>
      </c>
      <c r="DN163" s="420"/>
      <c r="DO163" s="420">
        <v>2253.12</v>
      </c>
      <c r="DP163" s="420">
        <f t="shared" si="182"/>
        <v>37552</v>
      </c>
      <c r="DQ163" s="420">
        <f t="shared" si="183"/>
        <v>-1.9999999996798599E-2</v>
      </c>
      <c r="DR163" s="419">
        <v>35003.53</v>
      </c>
      <c r="DS163" s="419"/>
      <c r="DT163" s="419">
        <v>2100.21</v>
      </c>
      <c r="DU163" s="420">
        <f t="shared" si="184"/>
        <v>35003.5</v>
      </c>
      <c r="DV163" s="423">
        <f t="shared" si="185"/>
        <v>-2.9999999998835802E-2</v>
      </c>
      <c r="DW163" s="419">
        <v>284344.55</v>
      </c>
      <c r="DX163" s="419"/>
      <c r="DY163" s="419">
        <v>17060.669999999998</v>
      </c>
      <c r="DZ163" s="420">
        <f t="shared" si="186"/>
        <v>284344.5</v>
      </c>
      <c r="EA163" s="423">
        <f t="shared" si="187"/>
        <v>-0.05</v>
      </c>
      <c r="EB163" s="419">
        <v>40542.28</v>
      </c>
      <c r="EC163" s="419"/>
      <c r="ED163" s="420">
        <v>2432.5367999999999</v>
      </c>
      <c r="EE163" s="419">
        <v>40542.28</v>
      </c>
      <c r="EF163" s="420">
        <f t="shared" si="188"/>
        <v>0</v>
      </c>
      <c r="EG163" s="419">
        <v>561381.55000000005</v>
      </c>
      <c r="EH163" s="419"/>
      <c r="EI163" s="419">
        <v>33682.89</v>
      </c>
      <c r="EJ163" s="420">
        <f t="shared" si="189"/>
        <v>561381.5</v>
      </c>
      <c r="EK163" s="420">
        <f t="shared" si="190"/>
        <v>-0.05</v>
      </c>
      <c r="EL163" s="419">
        <v>100820.75</v>
      </c>
      <c r="EN163" s="419">
        <v>6049.25</v>
      </c>
      <c r="EO163" s="419">
        <f t="shared" si="191"/>
        <v>100820.83</v>
      </c>
      <c r="EP163" s="419">
        <f t="shared" si="192"/>
        <v>0.08</v>
      </c>
      <c r="EQ163" s="420">
        <v>124289.21</v>
      </c>
      <c r="ER163" s="420">
        <v>2287766.23</v>
      </c>
      <c r="ES163" s="420">
        <v>7457.34</v>
      </c>
      <c r="ET163" s="419">
        <f t="shared" si="193"/>
        <v>124289</v>
      </c>
      <c r="EU163" s="419">
        <f t="shared" si="194"/>
        <v>-0.21</v>
      </c>
      <c r="EV163" s="419">
        <v>288253.07</v>
      </c>
      <c r="EW163" s="419"/>
      <c r="EX163" s="419">
        <v>17295.189999999999</v>
      </c>
      <c r="EY163" s="419">
        <f t="shared" si="195"/>
        <v>288253.17</v>
      </c>
      <c r="EZ163" s="419">
        <f t="shared" si="215"/>
        <v>0.1</v>
      </c>
      <c r="FA163" s="420">
        <v>37431.360000000001</v>
      </c>
      <c r="FB163" s="420"/>
      <c r="FC163" s="420">
        <v>2245.89</v>
      </c>
      <c r="FD163" s="420">
        <f t="shared" si="196"/>
        <v>37431.5</v>
      </c>
      <c r="FE163" s="420">
        <f t="shared" si="197"/>
        <v>0.14000000000000001</v>
      </c>
      <c r="FF163" s="419">
        <v>596168.92000000004</v>
      </c>
      <c r="FG163" s="419"/>
      <c r="FH163" s="419">
        <v>35770.14</v>
      </c>
      <c r="FI163" s="419">
        <f t="shared" si="198"/>
        <v>596169</v>
      </c>
      <c r="FJ163" s="419">
        <f t="shared" si="199"/>
        <v>0.08</v>
      </c>
      <c r="FK163" s="419">
        <v>97010.39</v>
      </c>
      <c r="FL163" s="419">
        <v>978472.65</v>
      </c>
      <c r="FM163" s="419">
        <v>5820.62</v>
      </c>
      <c r="FN163" s="420">
        <f t="shared" si="200"/>
        <v>97010.33</v>
      </c>
      <c r="FO163" s="423">
        <f t="shared" si="201"/>
        <v>-0.06</v>
      </c>
      <c r="FP163" s="431">
        <v>100066.34</v>
      </c>
      <c r="FQ163" s="431">
        <v>155029.25</v>
      </c>
      <c r="FR163" s="431">
        <v>6003.98</v>
      </c>
      <c r="FS163" s="420">
        <f t="shared" si="202"/>
        <v>100066.33</v>
      </c>
      <c r="FT163" s="420">
        <f t="shared" si="203"/>
        <v>-9.9999999947613105E-3</v>
      </c>
      <c r="FU163" s="419">
        <v>2254458.58</v>
      </c>
      <c r="FV163" s="419">
        <v>2245753.63</v>
      </c>
      <c r="FW163" s="419">
        <v>135267.53</v>
      </c>
      <c r="FX163" s="420">
        <f t="shared" si="204"/>
        <v>2254458.83</v>
      </c>
      <c r="FY163" s="420">
        <f t="shared" si="205"/>
        <v>0.25</v>
      </c>
      <c r="FZ163" s="419"/>
      <c r="GA163" s="419"/>
      <c r="GB163" s="419"/>
      <c r="GC163" s="420">
        <f t="shared" si="206"/>
        <v>0</v>
      </c>
      <c r="GD163" s="420">
        <f t="shared" si="207"/>
        <v>0</v>
      </c>
      <c r="GE163" s="419"/>
      <c r="GF163" s="419"/>
      <c r="GG163" s="419"/>
      <c r="GH163" s="420">
        <f t="shared" si="208"/>
        <v>0</v>
      </c>
      <c r="GI163" s="423">
        <f t="shared" si="209"/>
        <v>0</v>
      </c>
      <c r="GJ163" s="419"/>
      <c r="GK163" s="419"/>
      <c r="GL163" s="419"/>
      <c r="GM163" s="420">
        <f t="shared" si="210"/>
        <v>0</v>
      </c>
      <c r="GN163" s="420">
        <f t="shared" si="211"/>
        <v>0</v>
      </c>
      <c r="GO163" s="419"/>
      <c r="GP163" s="419"/>
      <c r="GQ163" s="419"/>
      <c r="GR163" s="420">
        <f t="shared" si="216"/>
        <v>0</v>
      </c>
      <c r="GS163" s="423">
        <f t="shared" si="212"/>
        <v>0</v>
      </c>
      <c r="GT163" s="419"/>
      <c r="GU163" s="419"/>
      <c r="GV163" s="419"/>
      <c r="GW163" s="420">
        <f t="shared" si="213"/>
        <v>0</v>
      </c>
      <c r="GX163" s="420">
        <f t="shared" si="214"/>
        <v>0</v>
      </c>
    </row>
    <row r="164" spans="1:206" ht="15">
      <c r="A164" s="414"/>
      <c r="B164" s="415" t="s">
        <v>560</v>
      </c>
      <c r="C164" s="698"/>
      <c r="D164" s="704" t="s">
        <v>561</v>
      </c>
      <c r="E164" s="434" t="s">
        <v>123</v>
      </c>
      <c r="F164" s="417">
        <v>0.13</v>
      </c>
      <c r="G164" s="418">
        <f t="shared" si="173"/>
        <v>81877757.104499996</v>
      </c>
      <c r="H164" s="418">
        <f t="shared" si="174"/>
        <v>81877757.099999994</v>
      </c>
      <c r="I164" s="418">
        <f t="shared" si="174"/>
        <v>10644108.415385</v>
      </c>
      <c r="J164" s="418">
        <f t="shared" si="175"/>
        <v>81877757.041423097</v>
      </c>
      <c r="K164" s="418">
        <f t="shared" si="171"/>
        <v>-5.8576911687851001E-2</v>
      </c>
      <c r="L164" s="418">
        <f t="shared" si="172"/>
        <v>-6.3076913356781006E-2</v>
      </c>
      <c r="M164" s="424"/>
      <c r="N164" s="424"/>
      <c r="O164" s="424"/>
      <c r="P164" s="424"/>
      <c r="Q164" s="419"/>
      <c r="R164" s="419"/>
      <c r="S164" s="419"/>
      <c r="T164" s="420"/>
      <c r="U164" s="423"/>
      <c r="V164" s="420"/>
      <c r="W164" s="420"/>
      <c r="X164" s="419"/>
      <c r="Y164" s="419"/>
      <c r="Z164" s="423"/>
      <c r="AA164" s="423"/>
      <c r="AB164" s="419"/>
      <c r="AC164" s="423"/>
      <c r="AD164" s="420"/>
      <c r="AE164" s="423"/>
      <c r="AF164" s="444"/>
      <c r="AG164" s="419"/>
      <c r="AH164" s="420"/>
      <c r="AI164" s="420"/>
      <c r="AJ164" s="423"/>
      <c r="AK164" s="444"/>
      <c r="AL164" s="420"/>
      <c r="AM164" s="420"/>
      <c r="AN164" s="420"/>
      <c r="AO164" s="423"/>
      <c r="AP164" s="420"/>
      <c r="AQ164" s="419"/>
      <c r="AR164" s="420"/>
      <c r="AS164" s="420"/>
      <c r="AT164" s="420"/>
      <c r="AU164" s="420"/>
      <c r="AV164" s="420"/>
      <c r="AW164" s="420"/>
      <c r="AX164" s="426"/>
      <c r="AY164" s="420"/>
      <c r="AZ164" s="420"/>
      <c r="BA164" s="420"/>
      <c r="BB164" s="419"/>
      <c r="BC164" s="420"/>
      <c r="BD164" s="427"/>
      <c r="BE164" s="420"/>
      <c r="BF164" s="420"/>
      <c r="BG164" s="420"/>
      <c r="BH164" s="423"/>
      <c r="BI164" s="420"/>
      <c r="BJ164" s="420"/>
      <c r="BK164" s="420"/>
      <c r="BL164" s="420"/>
      <c r="BM164" s="420"/>
      <c r="BN164" s="420"/>
      <c r="BO164" s="419"/>
      <c r="BP164" s="428"/>
      <c r="BQ164" s="420"/>
      <c r="BR164" s="423"/>
      <c r="BS164" s="423"/>
      <c r="BT164" s="420"/>
      <c r="BU164" s="420"/>
      <c r="BV164" s="420"/>
      <c r="BW164" s="420"/>
      <c r="BX164" s="429"/>
      <c r="BY164" s="419"/>
      <c r="BZ164" s="419"/>
      <c r="CA164" s="419"/>
      <c r="CB164" s="420"/>
      <c r="CC164" s="430"/>
      <c r="CD164" s="419"/>
      <c r="CE164" s="419"/>
      <c r="CF164" s="419"/>
      <c r="CG164" s="420"/>
      <c r="CH164" s="423"/>
      <c r="CI164" s="432"/>
      <c r="CJ164" s="432"/>
      <c r="CK164" s="432"/>
      <c r="CL164" s="420"/>
      <c r="CM164" s="423"/>
      <c r="CN164" s="420"/>
      <c r="CO164" s="420"/>
      <c r="CP164" s="420"/>
      <c r="CQ164" s="432"/>
      <c r="CR164" s="432"/>
      <c r="CS164" s="420"/>
      <c r="CT164" s="420"/>
      <c r="CU164" s="420"/>
      <c r="CV164" s="420"/>
      <c r="CW164" s="420"/>
      <c r="CX164" s="419"/>
      <c r="CY164" s="419"/>
      <c r="CZ164" s="419"/>
      <c r="DA164" s="419"/>
      <c r="DB164" s="419"/>
      <c r="DC164" s="419"/>
      <c r="DD164" s="419"/>
      <c r="DE164" s="419"/>
      <c r="DF164" s="420"/>
      <c r="DG164" s="421"/>
      <c r="DH164" s="419"/>
      <c r="DI164" s="419"/>
      <c r="DJ164" s="419"/>
      <c r="DK164" s="420"/>
      <c r="DL164" s="422"/>
      <c r="DM164" s="420"/>
      <c r="DN164" s="420"/>
      <c r="DO164" s="420"/>
      <c r="DP164" s="420">
        <f t="shared" si="182"/>
        <v>0</v>
      </c>
      <c r="DQ164" s="420">
        <f t="shared" si="183"/>
        <v>0</v>
      </c>
      <c r="DR164" s="419"/>
      <c r="DS164" s="419"/>
      <c r="DT164" s="419"/>
      <c r="DU164" s="420">
        <f t="shared" si="184"/>
        <v>0</v>
      </c>
      <c r="DV164" s="423">
        <f t="shared" si="185"/>
        <v>0</v>
      </c>
      <c r="DW164" s="419">
        <v>1862123.89</v>
      </c>
      <c r="DX164" s="419"/>
      <c r="DY164" s="419">
        <v>242076.11</v>
      </c>
      <c r="DZ164" s="420">
        <f t="shared" si="186"/>
        <v>1862123.92</v>
      </c>
      <c r="EA164" s="423">
        <f t="shared" si="187"/>
        <v>0.03</v>
      </c>
      <c r="EB164" s="419"/>
      <c r="EC164" s="419"/>
      <c r="ED164" s="420"/>
      <c r="EE164" s="419"/>
      <c r="EF164" s="420">
        <f t="shared" si="188"/>
        <v>0</v>
      </c>
      <c r="EG164" s="419"/>
      <c r="EH164" s="419"/>
      <c r="EI164" s="419"/>
      <c r="EJ164" s="420">
        <f t="shared" si="189"/>
        <v>0</v>
      </c>
      <c r="EK164" s="420">
        <f t="shared" si="190"/>
        <v>0</v>
      </c>
      <c r="EL164" s="420">
        <v>620707.9645</v>
      </c>
      <c r="EN164" s="420">
        <v>80692.035384999996</v>
      </c>
      <c r="EO164" s="419">
        <f t="shared" si="191"/>
        <v>620707.96</v>
      </c>
      <c r="EP164" s="419">
        <f t="shared" si="192"/>
        <v>0</v>
      </c>
      <c r="EQ164" s="419"/>
      <c r="ER164" s="420">
        <v>2482831.85</v>
      </c>
      <c r="ES164" s="419"/>
      <c r="ET164" s="419">
        <f t="shared" si="193"/>
        <v>0</v>
      </c>
      <c r="EU164" s="419">
        <f t="shared" si="194"/>
        <v>0</v>
      </c>
      <c r="EV164" s="455">
        <v>9627108.4100000001</v>
      </c>
      <c r="EW164" s="419"/>
      <c r="EX164" s="455">
        <v>1251524.0900000001</v>
      </c>
      <c r="EY164" s="419">
        <f t="shared" si="195"/>
        <v>9627108.3800000008</v>
      </c>
      <c r="EZ164" s="419">
        <f t="shared" si="215"/>
        <v>-0.03</v>
      </c>
      <c r="FA164" s="420">
        <v>43576577.899999999</v>
      </c>
      <c r="FB164" s="420"/>
      <c r="FC164" s="420">
        <v>5664955.1200000001</v>
      </c>
      <c r="FD164" s="420">
        <f t="shared" si="196"/>
        <v>43576577.850000001</v>
      </c>
      <c r="FE164" s="420">
        <f t="shared" si="197"/>
        <v>-0.05</v>
      </c>
      <c r="FF164" s="419">
        <v>761658.26</v>
      </c>
      <c r="FG164" s="419">
        <v>53203686.310000002</v>
      </c>
      <c r="FH164" s="419">
        <v>99015.57</v>
      </c>
      <c r="FI164" s="419">
        <f t="shared" si="198"/>
        <v>761658.23076923098</v>
      </c>
      <c r="FJ164" s="419">
        <f t="shared" si="199"/>
        <v>-0.03</v>
      </c>
      <c r="FK164" s="419">
        <v>25429580.68</v>
      </c>
      <c r="FL164" s="419">
        <v>-494647.06</v>
      </c>
      <c r="FM164" s="419">
        <v>3305845.49</v>
      </c>
      <c r="FN164" s="420">
        <f t="shared" si="200"/>
        <v>25429580.690000001</v>
      </c>
      <c r="FO164" s="423">
        <f t="shared" si="201"/>
        <v>0.01</v>
      </c>
      <c r="FP164" s="419"/>
      <c r="FQ164" s="419"/>
      <c r="FR164" s="419"/>
      <c r="FS164" s="420">
        <f t="shared" si="202"/>
        <v>0</v>
      </c>
      <c r="FT164" s="420">
        <f t="shared" si="203"/>
        <v>0</v>
      </c>
      <c r="FU164" s="419"/>
      <c r="FV164" s="420">
        <v>26685886</v>
      </c>
      <c r="FW164" s="419"/>
      <c r="FX164" s="420">
        <f t="shared" si="204"/>
        <v>0</v>
      </c>
      <c r="FY164" s="420">
        <f t="shared" si="205"/>
        <v>0</v>
      </c>
      <c r="FZ164" s="419"/>
      <c r="GA164" s="419"/>
      <c r="GB164" s="419"/>
      <c r="GC164" s="420">
        <f t="shared" si="206"/>
        <v>0</v>
      </c>
      <c r="GD164" s="420">
        <f t="shared" si="207"/>
        <v>0</v>
      </c>
      <c r="GE164" s="419"/>
      <c r="GF164" s="419"/>
      <c r="GG164" s="419"/>
      <c r="GH164" s="420">
        <f t="shared" si="208"/>
        <v>0</v>
      </c>
      <c r="GI164" s="423">
        <f t="shared" si="209"/>
        <v>0</v>
      </c>
      <c r="GJ164" s="419"/>
      <c r="GK164" s="419"/>
      <c r="GL164" s="419"/>
      <c r="GM164" s="420">
        <f t="shared" si="210"/>
        <v>0</v>
      </c>
      <c r="GN164" s="420">
        <f t="shared" si="211"/>
        <v>0</v>
      </c>
      <c r="GO164" s="419"/>
      <c r="GP164" s="419"/>
      <c r="GQ164" s="419"/>
      <c r="GR164" s="420">
        <f t="shared" si="216"/>
        <v>0</v>
      </c>
      <c r="GS164" s="423">
        <f t="shared" si="212"/>
        <v>0</v>
      </c>
      <c r="GT164" s="419"/>
      <c r="GU164" s="419"/>
      <c r="GV164" s="419"/>
      <c r="GW164" s="420">
        <f t="shared" si="213"/>
        <v>0</v>
      </c>
      <c r="GX164" s="420">
        <f t="shared" si="214"/>
        <v>0</v>
      </c>
    </row>
    <row r="165" spans="1:206" ht="15">
      <c r="A165" s="414"/>
      <c r="B165" s="415" t="s">
        <v>560</v>
      </c>
      <c r="C165" s="698"/>
      <c r="D165" s="705"/>
      <c r="E165" s="434" t="s">
        <v>124</v>
      </c>
      <c r="F165" s="417">
        <v>0.09</v>
      </c>
      <c r="G165" s="418">
        <f t="shared" si="173"/>
        <v>124770767.03</v>
      </c>
      <c r="H165" s="418">
        <f t="shared" si="174"/>
        <v>124770767.03</v>
      </c>
      <c r="I165" s="418">
        <f t="shared" si="174"/>
        <v>11229368.993000001</v>
      </c>
      <c r="J165" s="418">
        <f t="shared" si="175"/>
        <v>124770766.588889</v>
      </c>
      <c r="K165" s="418">
        <f t="shared" si="171"/>
        <v>-0.44111110270023302</v>
      </c>
      <c r="L165" s="418">
        <f t="shared" si="172"/>
        <v>-0.44111111760139499</v>
      </c>
      <c r="M165" s="424"/>
      <c r="N165" s="424"/>
      <c r="O165" s="424"/>
      <c r="P165" s="424"/>
      <c r="Q165" s="419"/>
      <c r="R165" s="419"/>
      <c r="S165" s="419"/>
      <c r="T165" s="420"/>
      <c r="U165" s="423"/>
      <c r="V165" s="420"/>
      <c r="W165" s="420"/>
      <c r="X165" s="419"/>
      <c r="Y165" s="419"/>
      <c r="Z165" s="423"/>
      <c r="AA165" s="423"/>
      <c r="AB165" s="419"/>
      <c r="AC165" s="423"/>
      <c r="AD165" s="420"/>
      <c r="AE165" s="423"/>
      <c r="AF165" s="444"/>
      <c r="AG165" s="419"/>
      <c r="AH165" s="420"/>
      <c r="AI165" s="420"/>
      <c r="AJ165" s="423"/>
      <c r="AK165" s="444"/>
      <c r="AL165" s="420"/>
      <c r="AM165" s="420"/>
      <c r="AN165" s="420"/>
      <c r="AO165" s="423"/>
      <c r="AP165" s="420"/>
      <c r="AQ165" s="419"/>
      <c r="AR165" s="420"/>
      <c r="AS165" s="420"/>
      <c r="AT165" s="420"/>
      <c r="AU165" s="420"/>
      <c r="AV165" s="420"/>
      <c r="AW165" s="420"/>
      <c r="AX165" s="426"/>
      <c r="AY165" s="420"/>
      <c r="AZ165" s="420"/>
      <c r="BA165" s="420"/>
      <c r="BB165" s="419"/>
      <c r="BC165" s="420"/>
      <c r="BD165" s="427"/>
      <c r="BE165" s="420"/>
      <c r="BF165" s="420"/>
      <c r="BG165" s="420"/>
      <c r="BH165" s="423"/>
      <c r="BI165" s="420"/>
      <c r="BJ165" s="420"/>
      <c r="BK165" s="420"/>
      <c r="BL165" s="420"/>
      <c r="BM165" s="420"/>
      <c r="BN165" s="420"/>
      <c r="BO165" s="419"/>
      <c r="BP165" s="428"/>
      <c r="BQ165" s="420"/>
      <c r="BR165" s="423"/>
      <c r="BS165" s="423"/>
      <c r="BT165" s="420"/>
      <c r="BU165" s="420"/>
      <c r="BV165" s="420"/>
      <c r="BW165" s="420"/>
      <c r="BX165" s="429"/>
      <c r="BY165" s="419"/>
      <c r="BZ165" s="419"/>
      <c r="CA165" s="419"/>
      <c r="CB165" s="420"/>
      <c r="CC165" s="430"/>
      <c r="CD165" s="419"/>
      <c r="CE165" s="419"/>
      <c r="CF165" s="419"/>
      <c r="CG165" s="420"/>
      <c r="CH165" s="423"/>
      <c r="CI165" s="432"/>
      <c r="CJ165" s="432"/>
      <c r="CK165" s="432"/>
      <c r="CL165" s="420"/>
      <c r="CM165" s="423"/>
      <c r="CN165" s="420"/>
      <c r="CO165" s="420"/>
      <c r="CP165" s="420"/>
      <c r="CQ165" s="432"/>
      <c r="CR165" s="432"/>
      <c r="CS165" s="420"/>
      <c r="CT165" s="420"/>
      <c r="CU165" s="420"/>
      <c r="CV165" s="420"/>
      <c r="CW165" s="420"/>
      <c r="CX165" s="419"/>
      <c r="CY165" s="419"/>
      <c r="CZ165" s="419"/>
      <c r="DA165" s="419"/>
      <c r="DB165" s="419"/>
      <c r="DC165" s="419"/>
      <c r="DD165" s="419"/>
      <c r="DE165" s="419"/>
      <c r="DF165" s="420"/>
      <c r="DG165" s="421"/>
      <c r="DH165" s="419"/>
      <c r="DI165" s="419"/>
      <c r="DJ165" s="419"/>
      <c r="DK165" s="420"/>
      <c r="DL165" s="422"/>
      <c r="DM165" s="420"/>
      <c r="DN165" s="420"/>
      <c r="DO165" s="420"/>
      <c r="DP165" s="420">
        <f t="shared" si="182"/>
        <v>0</v>
      </c>
      <c r="DQ165" s="420">
        <f t="shared" si="183"/>
        <v>0</v>
      </c>
      <c r="DR165" s="419">
        <v>7304524.2000000002</v>
      </c>
      <c r="DS165" s="419">
        <v>7304524.1200000001</v>
      </c>
      <c r="DT165" s="419">
        <v>657407.18000000005</v>
      </c>
      <c r="DU165" s="420">
        <f t="shared" si="184"/>
        <v>7304524.2222222202</v>
      </c>
      <c r="DV165" s="423">
        <f t="shared" si="185"/>
        <v>2.2222222760319699E-2</v>
      </c>
      <c r="DW165" s="420">
        <v>8102008.4400000004</v>
      </c>
      <c r="DX165" s="420">
        <v>8102008.4800000004</v>
      </c>
      <c r="DY165" s="420">
        <v>729180.76</v>
      </c>
      <c r="DZ165" s="420">
        <f t="shared" si="186"/>
        <v>8102008.4400000004</v>
      </c>
      <c r="EA165" s="423">
        <f t="shared" si="187"/>
        <v>0</v>
      </c>
      <c r="EB165" s="420">
        <v>9353293.6999999993</v>
      </c>
      <c r="EC165" s="419"/>
      <c r="ED165" s="420">
        <v>841796.43299999996</v>
      </c>
      <c r="EE165" s="419">
        <v>9353293.6999999993</v>
      </c>
      <c r="EF165" s="420">
        <f t="shared" si="188"/>
        <v>0</v>
      </c>
      <c r="EG165" s="419">
        <v>784942.18</v>
      </c>
      <c r="EH165" s="419"/>
      <c r="EI165" s="419">
        <v>70644.800000000003</v>
      </c>
      <c r="EJ165" s="420">
        <f t="shared" si="189"/>
        <v>784942.22</v>
      </c>
      <c r="EK165" s="420">
        <f t="shared" si="190"/>
        <v>0.04</v>
      </c>
      <c r="EL165" s="420">
        <v>560629.87</v>
      </c>
      <c r="EM165" s="419"/>
      <c r="EN165" s="419">
        <v>50456.68</v>
      </c>
      <c r="EO165" s="419">
        <f t="shared" si="191"/>
        <v>560629.78</v>
      </c>
      <c r="EP165" s="419">
        <f t="shared" si="192"/>
        <v>-0.09</v>
      </c>
      <c r="EQ165" s="420">
        <v>21662704.670000002</v>
      </c>
      <c r="ER165" s="419">
        <v>32361570.449999999</v>
      </c>
      <c r="ES165" s="419">
        <v>1949643.42</v>
      </c>
      <c r="ET165" s="419">
        <f t="shared" si="193"/>
        <v>21662704.670000002</v>
      </c>
      <c r="EU165" s="419">
        <f t="shared" si="194"/>
        <v>0</v>
      </c>
      <c r="EV165" s="455">
        <v>28741030.93</v>
      </c>
      <c r="EW165" s="419"/>
      <c r="EX165" s="455">
        <v>2586692.7799999998</v>
      </c>
      <c r="EY165" s="419">
        <f t="shared" si="195"/>
        <v>28741030.890000001</v>
      </c>
      <c r="EZ165" s="419">
        <f t="shared" si="215"/>
        <v>-0.04</v>
      </c>
      <c r="FA165" s="456">
        <v>22415041.140000001</v>
      </c>
      <c r="FB165" s="420">
        <v>8626120.9000000004</v>
      </c>
      <c r="FC165" s="456">
        <v>2017353.7</v>
      </c>
      <c r="FD165" s="420">
        <f t="shared" si="196"/>
        <v>22415041.109999999</v>
      </c>
      <c r="FE165" s="420">
        <f t="shared" si="197"/>
        <v>-0.03</v>
      </c>
      <c r="FF165" s="419">
        <v>16931161.859999999</v>
      </c>
      <c r="FG165" s="419">
        <v>42529951.159999996</v>
      </c>
      <c r="FH165" s="419">
        <v>1523804.55</v>
      </c>
      <c r="FI165" s="419">
        <f t="shared" si="198"/>
        <v>16931161.666666701</v>
      </c>
      <c r="FJ165" s="419">
        <f t="shared" si="199"/>
        <v>-0.19</v>
      </c>
      <c r="FK165" s="419">
        <v>8915430.0399999991</v>
      </c>
      <c r="FL165" s="419">
        <v>16931161.870000001</v>
      </c>
      <c r="FM165" s="419">
        <v>802388.69</v>
      </c>
      <c r="FN165" s="420">
        <f t="shared" si="200"/>
        <v>8915429.8900000006</v>
      </c>
      <c r="FO165" s="423">
        <f t="shared" si="201"/>
        <v>-0.15</v>
      </c>
      <c r="FP165" s="419"/>
      <c r="FQ165" s="419"/>
      <c r="FR165" s="419"/>
      <c r="FS165" s="420">
        <f t="shared" si="202"/>
        <v>0</v>
      </c>
      <c r="FT165" s="420">
        <f t="shared" si="203"/>
        <v>0</v>
      </c>
      <c r="FU165" s="419"/>
      <c r="FV165" s="419">
        <v>8915430.0500000007</v>
      </c>
      <c r="FW165" s="419"/>
      <c r="FX165" s="420">
        <f t="shared" si="204"/>
        <v>0</v>
      </c>
      <c r="FY165" s="420">
        <f t="shared" si="205"/>
        <v>0</v>
      </c>
      <c r="FZ165" s="419"/>
      <c r="GA165" s="419"/>
      <c r="GB165" s="419"/>
      <c r="GC165" s="420">
        <f t="shared" si="206"/>
        <v>0</v>
      </c>
      <c r="GD165" s="420">
        <f t="shared" si="207"/>
        <v>0</v>
      </c>
      <c r="GE165" s="419"/>
      <c r="GF165" s="419"/>
      <c r="GG165" s="419"/>
      <c r="GH165" s="420">
        <f t="shared" si="208"/>
        <v>0</v>
      </c>
      <c r="GI165" s="423">
        <f t="shared" si="209"/>
        <v>0</v>
      </c>
      <c r="GJ165" s="419"/>
      <c r="GK165" s="419"/>
      <c r="GL165" s="419"/>
      <c r="GM165" s="420">
        <f t="shared" si="210"/>
        <v>0</v>
      </c>
      <c r="GN165" s="420">
        <f t="shared" si="211"/>
        <v>0</v>
      </c>
      <c r="GO165" s="419"/>
      <c r="GP165" s="419"/>
      <c r="GQ165" s="419"/>
      <c r="GR165" s="420">
        <f t="shared" si="216"/>
        <v>0</v>
      </c>
      <c r="GS165" s="423">
        <f t="shared" si="212"/>
        <v>0</v>
      </c>
      <c r="GT165" s="419"/>
      <c r="GU165" s="419"/>
      <c r="GV165" s="419"/>
      <c r="GW165" s="420">
        <f t="shared" si="213"/>
        <v>0</v>
      </c>
      <c r="GX165" s="420">
        <f t="shared" si="214"/>
        <v>0</v>
      </c>
    </row>
    <row r="166" spans="1:206" ht="14.25" customHeight="1">
      <c r="A166" s="414"/>
      <c r="B166" s="415" t="s">
        <v>560</v>
      </c>
      <c r="C166" s="698"/>
      <c r="D166" s="707"/>
      <c r="E166" s="434" t="s">
        <v>125</v>
      </c>
      <c r="F166" s="417">
        <v>0.06</v>
      </c>
      <c r="G166" s="418">
        <f t="shared" si="173"/>
        <v>11907521.02</v>
      </c>
      <c r="H166" s="418">
        <f t="shared" si="174"/>
        <v>11907521.02</v>
      </c>
      <c r="I166" s="418">
        <f t="shared" si="174"/>
        <v>714451.26080000005</v>
      </c>
      <c r="J166" s="418">
        <f t="shared" si="175"/>
        <v>11907521.0133333</v>
      </c>
      <c r="K166" s="418">
        <f t="shared" si="171"/>
        <v>-6.6666658967733401E-3</v>
      </c>
      <c r="L166" s="418">
        <f t="shared" si="172"/>
        <v>-6.6666677594184902E-3</v>
      </c>
      <c r="M166" s="424"/>
      <c r="N166" s="424"/>
      <c r="O166" s="424"/>
      <c r="P166" s="424"/>
      <c r="Q166" s="419"/>
      <c r="R166" s="419"/>
      <c r="S166" s="419"/>
      <c r="T166" s="420"/>
      <c r="U166" s="423"/>
      <c r="V166" s="420"/>
      <c r="W166" s="420"/>
      <c r="X166" s="419"/>
      <c r="Y166" s="419"/>
      <c r="Z166" s="423"/>
      <c r="AA166" s="423"/>
      <c r="AB166" s="419"/>
      <c r="AC166" s="423"/>
      <c r="AD166" s="420"/>
      <c r="AE166" s="423"/>
      <c r="AF166" s="444"/>
      <c r="AG166" s="419"/>
      <c r="AH166" s="420"/>
      <c r="AI166" s="420"/>
      <c r="AJ166" s="423"/>
      <c r="AK166" s="444"/>
      <c r="AL166" s="420"/>
      <c r="AM166" s="420"/>
      <c r="AN166" s="420"/>
      <c r="AO166" s="423"/>
      <c r="AP166" s="420"/>
      <c r="AQ166" s="419"/>
      <c r="AR166" s="420"/>
      <c r="AS166" s="420"/>
      <c r="AT166" s="420"/>
      <c r="AU166" s="420"/>
      <c r="AV166" s="420"/>
      <c r="AW166" s="420"/>
      <c r="AX166" s="426"/>
      <c r="AY166" s="420"/>
      <c r="AZ166" s="420"/>
      <c r="BA166" s="420"/>
      <c r="BB166" s="419"/>
      <c r="BC166" s="420"/>
      <c r="BD166" s="427"/>
      <c r="BE166" s="420"/>
      <c r="BF166" s="420"/>
      <c r="BG166" s="420"/>
      <c r="BH166" s="423"/>
      <c r="BI166" s="420"/>
      <c r="BJ166" s="420"/>
      <c r="BK166" s="420"/>
      <c r="BL166" s="420"/>
      <c r="BM166" s="420"/>
      <c r="BN166" s="420"/>
      <c r="BO166" s="419"/>
      <c r="BP166" s="428"/>
      <c r="BQ166" s="420"/>
      <c r="BR166" s="423"/>
      <c r="BS166" s="423"/>
      <c r="BT166" s="420"/>
      <c r="BU166" s="420"/>
      <c r="BV166" s="420"/>
      <c r="BW166" s="420"/>
      <c r="BX166" s="429"/>
      <c r="BY166" s="419"/>
      <c r="BZ166" s="419"/>
      <c r="CA166" s="419"/>
      <c r="CB166" s="420"/>
      <c r="CC166" s="430"/>
      <c r="CD166" s="419"/>
      <c r="CE166" s="419"/>
      <c r="CF166" s="419"/>
      <c r="CG166" s="420"/>
      <c r="CH166" s="423"/>
      <c r="CI166" s="432"/>
      <c r="CJ166" s="432"/>
      <c r="CK166" s="432"/>
      <c r="CL166" s="420"/>
      <c r="CM166" s="423"/>
      <c r="CN166" s="420"/>
      <c r="CO166" s="420"/>
      <c r="CP166" s="420"/>
      <c r="CQ166" s="432"/>
      <c r="CR166" s="432"/>
      <c r="CS166" s="420"/>
      <c r="CT166" s="420"/>
      <c r="CU166" s="420"/>
      <c r="CV166" s="420"/>
      <c r="CW166" s="420"/>
      <c r="CX166" s="419"/>
      <c r="CY166" s="419"/>
      <c r="CZ166" s="419"/>
      <c r="DA166" s="419"/>
      <c r="DB166" s="419"/>
      <c r="DC166" s="419"/>
      <c r="DD166" s="419"/>
      <c r="DE166" s="419"/>
      <c r="DF166" s="420"/>
      <c r="DG166" s="421"/>
      <c r="DH166" s="419"/>
      <c r="DI166" s="419"/>
      <c r="DJ166" s="419"/>
      <c r="DK166" s="420"/>
      <c r="DL166" s="422"/>
      <c r="DM166" s="420">
        <v>650813.81000000006</v>
      </c>
      <c r="DN166" s="420"/>
      <c r="DO166" s="420">
        <v>39048.83</v>
      </c>
      <c r="DP166" s="420">
        <f t="shared" si="182"/>
        <v>650813.83333333302</v>
      </c>
      <c r="DQ166" s="420">
        <f t="shared" si="183"/>
        <v>2.33333333162591E-2</v>
      </c>
      <c r="DR166" s="419">
        <v>515632.51</v>
      </c>
      <c r="DS166" s="419">
        <v>1143344.01</v>
      </c>
      <c r="DT166" s="419">
        <v>30937.96</v>
      </c>
      <c r="DU166" s="420">
        <f t="shared" si="184"/>
        <v>515632.66666666698</v>
      </c>
      <c r="DV166" s="423">
        <f t="shared" si="185"/>
        <v>0.15666666667675599</v>
      </c>
      <c r="DW166" s="420">
        <v>398645.31</v>
      </c>
      <c r="DX166" s="419">
        <v>23102.32</v>
      </c>
      <c r="DY166" s="420">
        <v>23918.720000000001</v>
      </c>
      <c r="DZ166" s="420">
        <f t="shared" si="186"/>
        <v>398645.33</v>
      </c>
      <c r="EA166" s="423">
        <f t="shared" si="187"/>
        <v>0.02</v>
      </c>
      <c r="EB166" s="419">
        <v>26757.9</v>
      </c>
      <c r="EC166" s="419"/>
      <c r="ED166" s="420">
        <v>1605.4739999999999</v>
      </c>
      <c r="EE166" s="419">
        <v>26757.9</v>
      </c>
      <c r="EF166" s="420">
        <f t="shared" si="188"/>
        <v>0</v>
      </c>
      <c r="EG166" s="419">
        <v>1182624.8600000001</v>
      </c>
      <c r="EH166" s="419"/>
      <c r="EI166" s="419">
        <v>70957.490000000005</v>
      </c>
      <c r="EJ166" s="420">
        <f t="shared" si="189"/>
        <v>1182624.83</v>
      </c>
      <c r="EK166" s="420">
        <f t="shared" si="190"/>
        <v>-0.03</v>
      </c>
      <c r="EL166" s="419">
        <v>21863.4</v>
      </c>
      <c r="EN166" s="419">
        <v>1311.81</v>
      </c>
      <c r="EO166" s="419">
        <f t="shared" si="191"/>
        <v>21863.5</v>
      </c>
      <c r="EP166" s="419">
        <f t="shared" si="192"/>
        <v>0.1</v>
      </c>
      <c r="EQ166" s="419">
        <v>979130.27</v>
      </c>
      <c r="ER166" s="419">
        <v>2577532.9900000002</v>
      </c>
      <c r="ES166" s="419">
        <v>58747.83</v>
      </c>
      <c r="ET166" s="419">
        <f t="shared" si="193"/>
        <v>979130.5</v>
      </c>
      <c r="EU166" s="419">
        <f t="shared" si="194"/>
        <v>0.23</v>
      </c>
      <c r="EV166" s="419">
        <v>89295.91</v>
      </c>
      <c r="EW166" s="419"/>
      <c r="EX166" s="419">
        <v>5357.75</v>
      </c>
      <c r="EY166" s="419">
        <f t="shared" si="195"/>
        <v>89295.83</v>
      </c>
      <c r="EZ166" s="419">
        <f t="shared" si="215"/>
        <v>-0.08</v>
      </c>
      <c r="FA166" s="420">
        <v>2064952.27</v>
      </c>
      <c r="FB166" s="420"/>
      <c r="FC166" s="420">
        <v>123897.13</v>
      </c>
      <c r="FD166" s="420">
        <f t="shared" si="196"/>
        <v>2064952.17</v>
      </c>
      <c r="FE166" s="420">
        <f t="shared" si="197"/>
        <v>-0.1</v>
      </c>
      <c r="FF166" s="419">
        <v>348600.91</v>
      </c>
      <c r="FG166" s="419">
        <v>2185736.94</v>
      </c>
      <c r="FH166" s="419">
        <v>20916.060000000001</v>
      </c>
      <c r="FI166" s="419">
        <f t="shared" si="198"/>
        <v>348601</v>
      </c>
      <c r="FJ166" s="419">
        <f t="shared" si="199"/>
        <v>0.09</v>
      </c>
      <c r="FK166" s="419">
        <v>7332018.0700000003</v>
      </c>
      <c r="FL166" s="419">
        <v>348600.91</v>
      </c>
      <c r="FM166" s="419">
        <v>439921.06</v>
      </c>
      <c r="FN166" s="420">
        <f t="shared" si="200"/>
        <v>7332017.6699999999</v>
      </c>
      <c r="FO166" s="423">
        <f t="shared" si="201"/>
        <v>-0.4</v>
      </c>
      <c r="FP166" s="431">
        <v>-1702814.2</v>
      </c>
      <c r="FQ166" s="431">
        <v>0</v>
      </c>
      <c r="FR166" s="431">
        <v>-102168.8532</v>
      </c>
      <c r="FS166" s="420">
        <f t="shared" si="202"/>
        <v>-1702814.22</v>
      </c>
      <c r="FT166" s="420">
        <f t="shared" si="203"/>
        <v>-2.00000000186265E-2</v>
      </c>
      <c r="FU166" s="419"/>
      <c r="FV166" s="419">
        <v>5629203.8499999996</v>
      </c>
      <c r="FW166" s="419"/>
      <c r="FX166" s="420">
        <f t="shared" si="204"/>
        <v>0</v>
      </c>
      <c r="FY166" s="420">
        <f t="shared" si="205"/>
        <v>0</v>
      </c>
      <c r="FZ166" s="419"/>
      <c r="GA166" s="419"/>
      <c r="GB166" s="419"/>
      <c r="GC166" s="420">
        <f t="shared" si="206"/>
        <v>0</v>
      </c>
      <c r="GD166" s="420">
        <f t="shared" si="207"/>
        <v>0</v>
      </c>
      <c r="GE166" s="419"/>
      <c r="GF166" s="419"/>
      <c r="GG166" s="419"/>
      <c r="GH166" s="420">
        <f t="shared" si="208"/>
        <v>0</v>
      </c>
      <c r="GI166" s="423">
        <f t="shared" si="209"/>
        <v>0</v>
      </c>
      <c r="GJ166" s="419"/>
      <c r="GK166" s="419"/>
      <c r="GL166" s="419"/>
      <c r="GM166" s="420">
        <f t="shared" si="210"/>
        <v>0</v>
      </c>
      <c r="GN166" s="420">
        <f t="shared" si="211"/>
        <v>0</v>
      </c>
      <c r="GO166" s="419"/>
      <c r="GP166" s="419"/>
      <c r="GQ166" s="419"/>
      <c r="GR166" s="420">
        <f t="shared" si="216"/>
        <v>0</v>
      </c>
      <c r="GS166" s="423">
        <f t="shared" si="212"/>
        <v>0</v>
      </c>
      <c r="GT166" s="419"/>
      <c r="GU166" s="419"/>
      <c r="GV166" s="419"/>
      <c r="GW166" s="420">
        <f t="shared" si="213"/>
        <v>0</v>
      </c>
      <c r="GX166" s="420">
        <f t="shared" si="214"/>
        <v>0</v>
      </c>
    </row>
    <row r="167" spans="1:206" ht="15">
      <c r="A167" s="414"/>
      <c r="B167" s="415" t="s">
        <v>562</v>
      </c>
      <c r="C167" s="698"/>
      <c r="D167" s="704" t="s">
        <v>563</v>
      </c>
      <c r="E167" s="434" t="s">
        <v>123</v>
      </c>
      <c r="F167" s="417">
        <v>0.13</v>
      </c>
      <c r="G167" s="418">
        <f t="shared" si="173"/>
        <v>50640483.270000003</v>
      </c>
      <c r="H167" s="418">
        <f t="shared" si="174"/>
        <v>50640483.270000003</v>
      </c>
      <c r="I167" s="418">
        <f t="shared" si="174"/>
        <v>6583262.8499999996</v>
      </c>
      <c r="J167" s="418">
        <f t="shared" si="175"/>
        <v>50640483.461538501</v>
      </c>
      <c r="K167" s="418">
        <f t="shared" si="171"/>
        <v>0.191538460552692</v>
      </c>
      <c r="L167" s="418">
        <f t="shared" si="172"/>
        <v>0.191538460552692</v>
      </c>
      <c r="M167" s="424"/>
      <c r="N167" s="424"/>
      <c r="O167" s="424"/>
      <c r="P167" s="424"/>
      <c r="Q167" s="419"/>
      <c r="R167" s="419"/>
      <c r="S167" s="419"/>
      <c r="T167" s="420"/>
      <c r="U167" s="423"/>
      <c r="V167" s="420"/>
      <c r="W167" s="420"/>
      <c r="X167" s="419"/>
      <c r="Y167" s="419"/>
      <c r="Z167" s="423"/>
      <c r="AA167" s="423"/>
      <c r="AB167" s="419"/>
      <c r="AC167" s="423"/>
      <c r="AD167" s="420"/>
      <c r="AE167" s="423"/>
      <c r="AF167" s="444"/>
      <c r="AG167" s="419"/>
      <c r="AH167" s="420"/>
      <c r="AI167" s="420"/>
      <c r="AJ167" s="423"/>
      <c r="AK167" s="444"/>
      <c r="AL167" s="420"/>
      <c r="AM167" s="420"/>
      <c r="AN167" s="420"/>
      <c r="AO167" s="423"/>
      <c r="AP167" s="420"/>
      <c r="AQ167" s="419"/>
      <c r="AR167" s="420"/>
      <c r="AS167" s="420"/>
      <c r="AT167" s="420"/>
      <c r="AU167" s="420"/>
      <c r="AV167" s="420"/>
      <c r="AW167" s="420"/>
      <c r="AX167" s="426"/>
      <c r="AY167" s="420"/>
      <c r="AZ167" s="420"/>
      <c r="BA167" s="420"/>
      <c r="BB167" s="419"/>
      <c r="BC167" s="420"/>
      <c r="BD167" s="427"/>
      <c r="BE167" s="420"/>
      <c r="BF167" s="420"/>
      <c r="BG167" s="420"/>
      <c r="BH167" s="423"/>
      <c r="BI167" s="420"/>
      <c r="BJ167" s="420"/>
      <c r="BK167" s="420"/>
      <c r="BL167" s="420"/>
      <c r="BM167" s="420"/>
      <c r="BN167" s="420"/>
      <c r="BO167" s="419"/>
      <c r="BP167" s="428"/>
      <c r="BQ167" s="420"/>
      <c r="BR167" s="423"/>
      <c r="BS167" s="423"/>
      <c r="BT167" s="420"/>
      <c r="BU167" s="420"/>
      <c r="BV167" s="420"/>
      <c r="BW167" s="420"/>
      <c r="BX167" s="429"/>
      <c r="BY167" s="419"/>
      <c r="BZ167" s="419"/>
      <c r="CA167" s="419"/>
      <c r="CB167" s="420"/>
      <c r="CC167" s="430"/>
      <c r="CD167" s="419"/>
      <c r="CE167" s="419"/>
      <c r="CF167" s="419"/>
      <c r="CG167" s="420"/>
      <c r="CH167" s="423"/>
      <c r="CI167" s="432"/>
      <c r="CJ167" s="432"/>
      <c r="CK167" s="432"/>
      <c r="CL167" s="420"/>
      <c r="CM167" s="423"/>
      <c r="CN167" s="420"/>
      <c r="CO167" s="420"/>
      <c r="CP167" s="420"/>
      <c r="CQ167" s="432"/>
      <c r="CR167" s="432"/>
      <c r="CS167" s="420"/>
      <c r="CT167" s="420"/>
      <c r="CU167" s="420"/>
      <c r="CV167" s="420"/>
      <c r="CW167" s="420"/>
      <c r="CX167" s="419"/>
      <c r="CY167" s="419"/>
      <c r="CZ167" s="419"/>
      <c r="DA167" s="419"/>
      <c r="DB167" s="419"/>
      <c r="DC167" s="419"/>
      <c r="DD167" s="419"/>
      <c r="DE167" s="419"/>
      <c r="DF167" s="420"/>
      <c r="DG167" s="421"/>
      <c r="DH167" s="419"/>
      <c r="DI167" s="419"/>
      <c r="DJ167" s="419"/>
      <c r="DK167" s="420"/>
      <c r="DL167" s="422"/>
      <c r="DM167" s="420">
        <v>651899.31999999995</v>
      </c>
      <c r="DN167" s="420"/>
      <c r="DO167" s="420">
        <v>84746.91</v>
      </c>
      <c r="DP167" s="420">
        <f t="shared" si="182"/>
        <v>651899.30769230798</v>
      </c>
      <c r="DQ167" s="420">
        <f t="shared" si="183"/>
        <v>-1.23076922027394E-2</v>
      </c>
      <c r="DR167" s="419"/>
      <c r="DS167" s="419"/>
      <c r="DT167" s="419"/>
      <c r="DU167" s="420">
        <f t="shared" si="184"/>
        <v>0</v>
      </c>
      <c r="DV167" s="423">
        <f t="shared" si="185"/>
        <v>0</v>
      </c>
      <c r="DW167" s="420">
        <v>2234548.67</v>
      </c>
      <c r="DX167" s="419"/>
      <c r="DY167" s="420">
        <v>290491.33</v>
      </c>
      <c r="DZ167" s="420">
        <f t="shared" si="186"/>
        <v>2234548.69</v>
      </c>
      <c r="EA167" s="423">
        <f t="shared" si="187"/>
        <v>0.02</v>
      </c>
      <c r="EB167" s="419"/>
      <c r="EC167" s="419"/>
      <c r="ED167" s="420"/>
      <c r="EE167" s="419"/>
      <c r="EF167" s="420">
        <f t="shared" si="188"/>
        <v>0</v>
      </c>
      <c r="EG167" s="419"/>
      <c r="EH167" s="419"/>
      <c r="EI167" s="419"/>
      <c r="EJ167" s="420">
        <f t="shared" si="189"/>
        <v>0</v>
      </c>
      <c r="EK167" s="420">
        <f t="shared" si="190"/>
        <v>0</v>
      </c>
      <c r="EL167" s="419">
        <v>-1489699.11</v>
      </c>
      <c r="EN167" s="419">
        <v>-193660.88</v>
      </c>
      <c r="EO167" s="419">
        <f t="shared" si="191"/>
        <v>-1489699.08</v>
      </c>
      <c r="EP167" s="419">
        <f t="shared" si="192"/>
        <v>0.03</v>
      </c>
      <c r="EQ167" s="419"/>
      <c r="ER167" s="420">
        <v>1396748.88</v>
      </c>
      <c r="ES167" s="419"/>
      <c r="ET167" s="419">
        <f t="shared" si="193"/>
        <v>0</v>
      </c>
      <c r="EU167" s="419">
        <f t="shared" si="194"/>
        <v>0</v>
      </c>
      <c r="EV167" s="455">
        <v>40644662.640000001</v>
      </c>
      <c r="EW167" s="419"/>
      <c r="EX167" s="455">
        <v>5283806.1399999997</v>
      </c>
      <c r="EY167" s="419">
        <f t="shared" si="195"/>
        <v>40644662.619999997</v>
      </c>
      <c r="EZ167" s="419">
        <f t="shared" si="215"/>
        <v>-0.02</v>
      </c>
      <c r="FA167" s="420">
        <v>7967063.5999999996</v>
      </c>
      <c r="FB167" s="420">
        <v>40644662.640000001</v>
      </c>
      <c r="FC167" s="420">
        <v>1035718.28</v>
      </c>
      <c r="FD167" s="420">
        <f t="shared" si="196"/>
        <v>7967063.6900000004</v>
      </c>
      <c r="FE167" s="420">
        <f t="shared" si="197"/>
        <v>0.09</v>
      </c>
      <c r="FF167" s="419">
        <v>575769.03</v>
      </c>
      <c r="FG167" s="419">
        <v>7967063.5999999996</v>
      </c>
      <c r="FH167" s="419">
        <v>74849.98</v>
      </c>
      <c r="FI167" s="419">
        <f t="shared" si="198"/>
        <v>575769.07692307699</v>
      </c>
      <c r="FJ167" s="419">
        <f t="shared" si="199"/>
        <v>0.05</v>
      </c>
      <c r="FK167" s="419">
        <v>56239.12</v>
      </c>
      <c r="FL167" s="419">
        <v>575769.03</v>
      </c>
      <c r="FM167" s="419">
        <v>7311.09</v>
      </c>
      <c r="FN167" s="420">
        <f t="shared" si="200"/>
        <v>56239.15</v>
      </c>
      <c r="FO167" s="423">
        <f t="shared" si="201"/>
        <v>0.03</v>
      </c>
      <c r="FP167" s="419"/>
      <c r="FQ167" s="419"/>
      <c r="FR167" s="419"/>
      <c r="FS167" s="420">
        <f t="shared" si="202"/>
        <v>0</v>
      </c>
      <c r="FT167" s="420">
        <f t="shared" si="203"/>
        <v>0</v>
      </c>
      <c r="FU167" s="419"/>
      <c r="FV167" s="420">
        <v>56239.12</v>
      </c>
      <c r="FW167" s="419"/>
      <c r="FX167" s="420">
        <f t="shared" si="204"/>
        <v>0</v>
      </c>
      <c r="FY167" s="420">
        <f t="shared" si="205"/>
        <v>0</v>
      </c>
      <c r="FZ167" s="419"/>
      <c r="GA167" s="419"/>
      <c r="GB167" s="419"/>
      <c r="GC167" s="420">
        <f t="shared" si="206"/>
        <v>0</v>
      </c>
      <c r="GD167" s="420">
        <f t="shared" si="207"/>
        <v>0</v>
      </c>
      <c r="GE167" s="419"/>
      <c r="GF167" s="419"/>
      <c r="GG167" s="419"/>
      <c r="GH167" s="420">
        <f t="shared" si="208"/>
        <v>0</v>
      </c>
      <c r="GI167" s="423">
        <f t="shared" si="209"/>
        <v>0</v>
      </c>
      <c r="GJ167" s="419"/>
      <c r="GK167" s="419"/>
      <c r="GL167" s="419"/>
      <c r="GM167" s="420">
        <f t="shared" si="210"/>
        <v>0</v>
      </c>
      <c r="GN167" s="420">
        <f t="shared" si="211"/>
        <v>0</v>
      </c>
      <c r="GO167" s="419"/>
      <c r="GP167" s="419"/>
      <c r="GQ167" s="419"/>
      <c r="GR167" s="420">
        <f t="shared" si="216"/>
        <v>0</v>
      </c>
      <c r="GS167" s="423">
        <f t="shared" si="212"/>
        <v>0</v>
      </c>
      <c r="GT167" s="419"/>
      <c r="GU167" s="419"/>
      <c r="GV167" s="419"/>
      <c r="GW167" s="420">
        <f t="shared" si="213"/>
        <v>0</v>
      </c>
      <c r="GX167" s="420">
        <f t="shared" si="214"/>
        <v>0</v>
      </c>
    </row>
    <row r="168" spans="1:206" ht="15">
      <c r="A168" s="414"/>
      <c r="B168" s="415" t="s">
        <v>562</v>
      </c>
      <c r="C168" s="698"/>
      <c r="D168" s="705"/>
      <c r="E168" s="434" t="s">
        <v>124</v>
      </c>
      <c r="F168" s="417">
        <v>0.09</v>
      </c>
      <c r="G168" s="418">
        <f t="shared" si="173"/>
        <v>48663447.969999999</v>
      </c>
      <c r="H168" s="418">
        <f t="shared" si="174"/>
        <v>48663447.969999999</v>
      </c>
      <c r="I168" s="418">
        <f t="shared" si="174"/>
        <v>4379710.3304000003</v>
      </c>
      <c r="J168" s="418">
        <f t="shared" si="175"/>
        <v>48663448.115555599</v>
      </c>
      <c r="K168" s="418">
        <f t="shared" si="171"/>
        <v>0.145555555820465</v>
      </c>
      <c r="L168" s="418">
        <f t="shared" si="172"/>
        <v>0.14555556327104599</v>
      </c>
      <c r="M168" s="424"/>
      <c r="N168" s="424"/>
      <c r="O168" s="424"/>
      <c r="P168" s="424"/>
      <c r="Q168" s="419"/>
      <c r="R168" s="419"/>
      <c r="S168" s="419"/>
      <c r="T168" s="420"/>
      <c r="U168" s="423"/>
      <c r="V168" s="420"/>
      <c r="W168" s="420"/>
      <c r="X168" s="419"/>
      <c r="Y168" s="419"/>
      <c r="Z168" s="423"/>
      <c r="AA168" s="423"/>
      <c r="AB168" s="419"/>
      <c r="AC168" s="423"/>
      <c r="AD168" s="420"/>
      <c r="AE168" s="423"/>
      <c r="AF168" s="444"/>
      <c r="AG168" s="419"/>
      <c r="AH168" s="420"/>
      <c r="AI168" s="420"/>
      <c r="AJ168" s="423"/>
      <c r="AK168" s="444"/>
      <c r="AL168" s="420"/>
      <c r="AM168" s="420"/>
      <c r="AN168" s="420"/>
      <c r="AO168" s="423"/>
      <c r="AP168" s="420"/>
      <c r="AQ168" s="419"/>
      <c r="AR168" s="420"/>
      <c r="AS168" s="420"/>
      <c r="AT168" s="420"/>
      <c r="AU168" s="420"/>
      <c r="AV168" s="420"/>
      <c r="AW168" s="420"/>
      <c r="AX168" s="426"/>
      <c r="AY168" s="420"/>
      <c r="AZ168" s="420"/>
      <c r="BA168" s="420"/>
      <c r="BB168" s="419"/>
      <c r="BC168" s="420"/>
      <c r="BD168" s="427"/>
      <c r="BE168" s="420"/>
      <c r="BF168" s="420"/>
      <c r="BG168" s="420"/>
      <c r="BH168" s="423"/>
      <c r="BI168" s="420"/>
      <c r="BJ168" s="420"/>
      <c r="BK168" s="420"/>
      <c r="BL168" s="420"/>
      <c r="BM168" s="420"/>
      <c r="BN168" s="420"/>
      <c r="BO168" s="419"/>
      <c r="BP168" s="428"/>
      <c r="BQ168" s="420"/>
      <c r="BR168" s="423"/>
      <c r="BS168" s="423"/>
      <c r="BT168" s="420"/>
      <c r="BU168" s="420"/>
      <c r="BV168" s="420"/>
      <c r="BW168" s="420"/>
      <c r="BX168" s="429"/>
      <c r="BY168" s="419"/>
      <c r="BZ168" s="419"/>
      <c r="CA168" s="419"/>
      <c r="CB168" s="420"/>
      <c r="CC168" s="430"/>
      <c r="CD168" s="419"/>
      <c r="CE168" s="419"/>
      <c r="CF168" s="419"/>
      <c r="CG168" s="420"/>
      <c r="CH168" s="423"/>
      <c r="CI168" s="432"/>
      <c r="CJ168" s="432"/>
      <c r="CK168" s="432"/>
      <c r="CL168" s="420"/>
      <c r="CM168" s="423"/>
      <c r="CN168" s="420"/>
      <c r="CO168" s="420"/>
      <c r="CP168" s="420"/>
      <c r="CQ168" s="432"/>
      <c r="CR168" s="432"/>
      <c r="CS168" s="420"/>
      <c r="CT168" s="420"/>
      <c r="CU168" s="420"/>
      <c r="CV168" s="420"/>
      <c r="CW168" s="420"/>
      <c r="CX168" s="419"/>
      <c r="CY168" s="419"/>
      <c r="CZ168" s="419"/>
      <c r="DA168" s="419"/>
      <c r="DB168" s="419"/>
      <c r="DC168" s="419"/>
      <c r="DD168" s="419"/>
      <c r="DE168" s="419"/>
      <c r="DF168" s="420"/>
      <c r="DG168" s="421"/>
      <c r="DH168" s="419"/>
      <c r="DI168" s="419"/>
      <c r="DJ168" s="419"/>
      <c r="DK168" s="420"/>
      <c r="DL168" s="422"/>
      <c r="DM168" s="420"/>
      <c r="DN168" s="420"/>
      <c r="DO168" s="420"/>
      <c r="DP168" s="420">
        <f t="shared" si="182"/>
        <v>0</v>
      </c>
      <c r="DQ168" s="420">
        <f t="shared" si="183"/>
        <v>0</v>
      </c>
      <c r="DR168" s="419">
        <v>3909072.72</v>
      </c>
      <c r="DS168" s="419">
        <v>3909072.72</v>
      </c>
      <c r="DT168" s="419">
        <v>351816.55</v>
      </c>
      <c r="DU168" s="420">
        <f t="shared" si="184"/>
        <v>3909072.7777777798</v>
      </c>
      <c r="DV168" s="423">
        <f t="shared" si="185"/>
        <v>5.7777777779847397E-2</v>
      </c>
      <c r="DW168" s="420">
        <v>3842342.84</v>
      </c>
      <c r="DX168" s="420">
        <v>3842342.85</v>
      </c>
      <c r="DY168" s="420">
        <v>345810.85</v>
      </c>
      <c r="DZ168" s="420">
        <f t="shared" si="186"/>
        <v>3842342.78</v>
      </c>
      <c r="EA168" s="423">
        <f t="shared" si="187"/>
        <v>-0.06</v>
      </c>
      <c r="EB168" s="420">
        <v>12411183.560000001</v>
      </c>
      <c r="EC168" s="419"/>
      <c r="ED168" s="420">
        <v>1117006.5204</v>
      </c>
      <c r="EE168" s="419">
        <v>12411183.560000001</v>
      </c>
      <c r="EF168" s="420">
        <f t="shared" si="188"/>
        <v>0</v>
      </c>
      <c r="EG168" s="419"/>
      <c r="EH168" s="419"/>
      <c r="EI168" s="419"/>
      <c r="EJ168" s="420">
        <f t="shared" si="189"/>
        <v>0</v>
      </c>
      <c r="EK168" s="420">
        <f t="shared" si="190"/>
        <v>0</v>
      </c>
      <c r="EL168" s="420">
        <v>754714.81</v>
      </c>
      <c r="EM168" s="419"/>
      <c r="EN168" s="419">
        <v>67924.34</v>
      </c>
      <c r="EO168" s="419">
        <f t="shared" si="191"/>
        <v>754714.89</v>
      </c>
      <c r="EP168" s="419">
        <f t="shared" si="192"/>
        <v>0.08</v>
      </c>
      <c r="EQ168" s="420">
        <v>4964168.2300000004</v>
      </c>
      <c r="ER168" s="419">
        <v>18130066.600000001</v>
      </c>
      <c r="ES168" s="419">
        <v>446775.14</v>
      </c>
      <c r="ET168" s="419">
        <f t="shared" si="193"/>
        <v>4964168.22</v>
      </c>
      <c r="EU168" s="419">
        <f t="shared" si="194"/>
        <v>-0.01</v>
      </c>
      <c r="EV168" s="455">
        <v>5715960.25</v>
      </c>
      <c r="EW168" s="419"/>
      <c r="EX168" s="455">
        <v>514436.43</v>
      </c>
      <c r="EY168" s="419">
        <f t="shared" si="195"/>
        <v>5715960.3300000001</v>
      </c>
      <c r="EZ168" s="419">
        <f t="shared" si="215"/>
        <v>0.08</v>
      </c>
      <c r="FA168" s="456">
        <v>5981824.8200000003</v>
      </c>
      <c r="FB168" s="420"/>
      <c r="FC168" s="456">
        <v>538364.24</v>
      </c>
      <c r="FD168" s="420">
        <f t="shared" si="196"/>
        <v>5981824.8899999997</v>
      </c>
      <c r="FE168" s="420">
        <f t="shared" si="197"/>
        <v>7.0000000000000007E-2</v>
      </c>
      <c r="FF168" s="419">
        <v>7050635.1500000004</v>
      </c>
      <c r="FG168" s="419">
        <v>11697785.060000001</v>
      </c>
      <c r="FH168" s="419">
        <v>634557.17000000004</v>
      </c>
      <c r="FI168" s="419">
        <f t="shared" si="198"/>
        <v>7050635.2222222202</v>
      </c>
      <c r="FJ168" s="419">
        <f t="shared" si="199"/>
        <v>7.0000000000000007E-2</v>
      </c>
      <c r="FK168" s="419">
        <v>6143637.3300000001</v>
      </c>
      <c r="FL168" s="419">
        <v>7050635.21</v>
      </c>
      <c r="FM168" s="419">
        <v>552927.35</v>
      </c>
      <c r="FN168" s="420">
        <f t="shared" si="200"/>
        <v>6143637.2199999997</v>
      </c>
      <c r="FO168" s="423">
        <f t="shared" si="201"/>
        <v>-0.11</v>
      </c>
      <c r="FP168" s="431">
        <v>-2110091.7400000002</v>
      </c>
      <c r="FQ168" s="431">
        <v>0</v>
      </c>
      <c r="FR168" s="431">
        <v>-189908.26</v>
      </c>
      <c r="FS168" s="420">
        <f t="shared" si="202"/>
        <v>-2110091.7799999998</v>
      </c>
      <c r="FT168" s="420">
        <f t="shared" si="203"/>
        <v>-3.9999999571591602E-2</v>
      </c>
      <c r="FU168" s="419"/>
      <c r="FV168" s="457">
        <v>4033545.53</v>
      </c>
      <c r="FW168" s="419"/>
      <c r="FX168" s="420">
        <f t="shared" si="204"/>
        <v>0</v>
      </c>
      <c r="FY168" s="420">
        <f t="shared" si="205"/>
        <v>0</v>
      </c>
      <c r="FZ168" s="419"/>
      <c r="GA168" s="419"/>
      <c r="GB168" s="419"/>
      <c r="GC168" s="420">
        <f t="shared" si="206"/>
        <v>0</v>
      </c>
      <c r="GD168" s="420">
        <f t="shared" si="207"/>
        <v>0</v>
      </c>
      <c r="GE168" s="419"/>
      <c r="GF168" s="419"/>
      <c r="GG168" s="419"/>
      <c r="GH168" s="420">
        <f t="shared" si="208"/>
        <v>0</v>
      </c>
      <c r="GI168" s="423">
        <f t="shared" si="209"/>
        <v>0</v>
      </c>
      <c r="GJ168" s="419"/>
      <c r="GK168" s="419"/>
      <c r="GL168" s="419"/>
      <c r="GM168" s="420">
        <f t="shared" si="210"/>
        <v>0</v>
      </c>
      <c r="GN168" s="420">
        <f t="shared" si="211"/>
        <v>0</v>
      </c>
      <c r="GO168" s="419"/>
      <c r="GP168" s="419"/>
      <c r="GQ168" s="419"/>
      <c r="GR168" s="420">
        <f t="shared" si="216"/>
        <v>0</v>
      </c>
      <c r="GS168" s="423">
        <f t="shared" si="212"/>
        <v>0</v>
      </c>
      <c r="GT168" s="419"/>
      <c r="GU168" s="419"/>
      <c r="GV168" s="419"/>
      <c r="GW168" s="420">
        <f t="shared" si="213"/>
        <v>0</v>
      </c>
      <c r="GX168" s="420">
        <f t="shared" si="214"/>
        <v>0</v>
      </c>
    </row>
    <row r="169" spans="1:206" ht="15">
      <c r="A169" s="414"/>
      <c r="B169" s="415" t="s">
        <v>562</v>
      </c>
      <c r="C169" s="698"/>
      <c r="D169" s="707"/>
      <c r="E169" s="434" t="s">
        <v>125</v>
      </c>
      <c r="F169" s="417">
        <v>0.06</v>
      </c>
      <c r="G169" s="418">
        <f t="shared" si="173"/>
        <v>3552876.81</v>
      </c>
      <c r="H169" s="418">
        <f t="shared" si="174"/>
        <v>3552876.81</v>
      </c>
      <c r="I169" s="418">
        <f t="shared" si="174"/>
        <v>213172.6146</v>
      </c>
      <c r="J169" s="418">
        <f t="shared" si="175"/>
        <v>3552876.91</v>
      </c>
      <c r="K169" s="418">
        <f t="shared" si="171"/>
        <v>0.100000000558794</v>
      </c>
      <c r="L169" s="418">
        <f t="shared" si="172"/>
        <v>0.10000000009313199</v>
      </c>
      <c r="M169" s="424"/>
      <c r="N169" s="424"/>
      <c r="O169" s="424"/>
      <c r="P169" s="424"/>
      <c r="Q169" s="419"/>
      <c r="R169" s="419"/>
      <c r="S169" s="419"/>
      <c r="T169" s="420"/>
      <c r="U169" s="423"/>
      <c r="V169" s="420"/>
      <c r="W169" s="420"/>
      <c r="X169" s="419"/>
      <c r="Y169" s="419"/>
      <c r="Z169" s="423"/>
      <c r="AA169" s="423"/>
      <c r="AB169" s="419"/>
      <c r="AC169" s="423"/>
      <c r="AD169" s="420"/>
      <c r="AE169" s="423"/>
      <c r="AF169" s="444"/>
      <c r="AG169" s="419"/>
      <c r="AH169" s="420"/>
      <c r="AI169" s="420"/>
      <c r="AJ169" s="423"/>
      <c r="AK169" s="444"/>
      <c r="AL169" s="420"/>
      <c r="AM169" s="420"/>
      <c r="AN169" s="420"/>
      <c r="AO169" s="423"/>
      <c r="AP169" s="420"/>
      <c r="AQ169" s="419"/>
      <c r="AR169" s="420"/>
      <c r="AS169" s="420"/>
      <c r="AT169" s="420"/>
      <c r="AU169" s="420"/>
      <c r="AV169" s="420"/>
      <c r="AW169" s="420"/>
      <c r="AX169" s="426"/>
      <c r="AY169" s="420"/>
      <c r="AZ169" s="420"/>
      <c r="BA169" s="420"/>
      <c r="BB169" s="419"/>
      <c r="BC169" s="420"/>
      <c r="BD169" s="427"/>
      <c r="BE169" s="420"/>
      <c r="BF169" s="420"/>
      <c r="BG169" s="420"/>
      <c r="BH169" s="423"/>
      <c r="BI169" s="420"/>
      <c r="BJ169" s="420"/>
      <c r="BK169" s="420"/>
      <c r="BL169" s="420"/>
      <c r="BM169" s="420"/>
      <c r="BN169" s="420"/>
      <c r="BO169" s="419"/>
      <c r="BP169" s="428"/>
      <c r="BQ169" s="420"/>
      <c r="BR169" s="423"/>
      <c r="BS169" s="423"/>
      <c r="BT169" s="420"/>
      <c r="BU169" s="420"/>
      <c r="BV169" s="420"/>
      <c r="BW169" s="420"/>
      <c r="BX169" s="429"/>
      <c r="BY169" s="419"/>
      <c r="BZ169" s="419"/>
      <c r="CA169" s="419"/>
      <c r="CB169" s="420"/>
      <c r="CC169" s="430"/>
      <c r="CD169" s="419"/>
      <c r="CE169" s="419"/>
      <c r="CF169" s="419"/>
      <c r="CG169" s="420"/>
      <c r="CH169" s="423"/>
      <c r="CI169" s="432"/>
      <c r="CJ169" s="432"/>
      <c r="CK169" s="432"/>
      <c r="CL169" s="420"/>
      <c r="CM169" s="423"/>
      <c r="CN169" s="420"/>
      <c r="CO169" s="420"/>
      <c r="CP169" s="420"/>
      <c r="CQ169" s="432"/>
      <c r="CR169" s="432"/>
      <c r="CS169" s="420"/>
      <c r="CT169" s="420"/>
      <c r="CU169" s="420"/>
      <c r="CV169" s="420"/>
      <c r="CW169" s="420"/>
      <c r="CX169" s="419"/>
      <c r="CY169" s="419"/>
      <c r="CZ169" s="419"/>
      <c r="DA169" s="419"/>
      <c r="DB169" s="419"/>
      <c r="DC169" s="419"/>
      <c r="DD169" s="419"/>
      <c r="DE169" s="419"/>
      <c r="DF169" s="420"/>
      <c r="DG169" s="421"/>
      <c r="DH169" s="419"/>
      <c r="DI169" s="419"/>
      <c r="DJ169" s="419"/>
      <c r="DK169" s="420"/>
      <c r="DL169" s="422"/>
      <c r="DM169" s="420">
        <v>253322.11</v>
      </c>
      <c r="DN169" s="420"/>
      <c r="DO169" s="420">
        <v>15199.33</v>
      </c>
      <c r="DP169" s="420">
        <f t="shared" si="182"/>
        <v>253322.16666666701</v>
      </c>
      <c r="DQ169" s="420">
        <f t="shared" si="183"/>
        <v>5.6666666700039101E-2</v>
      </c>
      <c r="DR169" s="419">
        <v>84936.97</v>
      </c>
      <c r="DS169" s="419">
        <v>314806.73</v>
      </c>
      <c r="DT169" s="419">
        <v>5096.22</v>
      </c>
      <c r="DU169" s="420">
        <f t="shared" si="184"/>
        <v>84937</v>
      </c>
      <c r="DV169" s="423">
        <f t="shared" si="185"/>
        <v>3.00000000133878E-2</v>
      </c>
      <c r="DW169" s="419">
        <v>398996.43</v>
      </c>
      <c r="DX169" s="419">
        <v>23452.36</v>
      </c>
      <c r="DY169" s="419">
        <v>23939.79</v>
      </c>
      <c r="DZ169" s="420">
        <f t="shared" si="186"/>
        <v>398996.5</v>
      </c>
      <c r="EA169" s="423">
        <f t="shared" si="187"/>
        <v>7.0000000000000007E-2</v>
      </c>
      <c r="EB169" s="419">
        <v>186738.78</v>
      </c>
      <c r="EC169" s="419"/>
      <c r="ED169" s="420">
        <v>11204.326800000001</v>
      </c>
      <c r="EE169" s="419">
        <v>186738.78</v>
      </c>
      <c r="EF169" s="420">
        <f t="shared" si="188"/>
        <v>0</v>
      </c>
      <c r="EG169" s="419">
        <v>575868.81999999995</v>
      </c>
      <c r="EH169" s="419"/>
      <c r="EI169" s="419">
        <v>34552.129999999997</v>
      </c>
      <c r="EJ169" s="420">
        <f t="shared" si="189"/>
        <v>575868.82999999996</v>
      </c>
      <c r="EK169" s="420">
        <f t="shared" si="190"/>
        <v>0.01</v>
      </c>
      <c r="EL169" s="419">
        <v>22194.67</v>
      </c>
      <c r="EN169" s="419">
        <v>1331.68</v>
      </c>
      <c r="EO169" s="419">
        <f t="shared" si="191"/>
        <v>22194.67</v>
      </c>
      <c r="EP169" s="419">
        <f t="shared" si="192"/>
        <v>0</v>
      </c>
      <c r="EQ169" s="419">
        <v>109212.07</v>
      </c>
      <c r="ER169" s="419">
        <v>1261157.18</v>
      </c>
      <c r="ES169" s="419">
        <v>6552.73</v>
      </c>
      <c r="ET169" s="419">
        <f t="shared" si="193"/>
        <v>109212.17</v>
      </c>
      <c r="EU169" s="419">
        <f t="shared" si="194"/>
        <v>0.1</v>
      </c>
      <c r="EV169" s="419">
        <v>31632.34</v>
      </c>
      <c r="EW169" s="419"/>
      <c r="EX169" s="419">
        <v>1897.94</v>
      </c>
      <c r="EY169" s="419">
        <f t="shared" si="195"/>
        <v>31632.33</v>
      </c>
      <c r="EZ169" s="419">
        <f t="shared" si="215"/>
        <v>-0.01</v>
      </c>
      <c r="FA169" s="420">
        <v>61495.22</v>
      </c>
      <c r="FB169" s="420"/>
      <c r="FC169" s="420">
        <v>3689.71</v>
      </c>
      <c r="FD169" s="420">
        <f t="shared" si="196"/>
        <v>61495.17</v>
      </c>
      <c r="FE169" s="420">
        <f t="shared" si="197"/>
        <v>-0.05</v>
      </c>
      <c r="FF169" s="419">
        <v>95340.04</v>
      </c>
      <c r="FG169" s="419">
        <v>124981.13</v>
      </c>
      <c r="FH169" s="419">
        <v>5720.41</v>
      </c>
      <c r="FI169" s="419">
        <f t="shared" si="198"/>
        <v>95340.166666666701</v>
      </c>
      <c r="FJ169" s="419">
        <f t="shared" si="199"/>
        <v>0.13</v>
      </c>
      <c r="FK169" s="419">
        <v>1686535.09</v>
      </c>
      <c r="FL169" s="419">
        <v>95340.03</v>
      </c>
      <c r="FM169" s="419">
        <v>101192.09</v>
      </c>
      <c r="FN169" s="420">
        <f t="shared" si="200"/>
        <v>1686534.83</v>
      </c>
      <c r="FO169" s="423">
        <f t="shared" si="201"/>
        <v>-0.26</v>
      </c>
      <c r="FP169" s="431">
        <v>46604.27</v>
      </c>
      <c r="FQ169" s="431">
        <v>0</v>
      </c>
      <c r="FR169" s="431">
        <v>2796.2577999999999</v>
      </c>
      <c r="FS169" s="420">
        <f t="shared" si="202"/>
        <v>46604.3</v>
      </c>
      <c r="FT169" s="420">
        <f t="shared" si="203"/>
        <v>3.0000000006111801E-2</v>
      </c>
      <c r="FU169" s="419"/>
      <c r="FV169" s="458">
        <v>1733139.38</v>
      </c>
      <c r="FW169" s="419"/>
      <c r="FX169" s="420">
        <f t="shared" si="204"/>
        <v>0</v>
      </c>
      <c r="FY169" s="420">
        <f t="shared" si="205"/>
        <v>0</v>
      </c>
      <c r="FZ169" s="419"/>
      <c r="GA169" s="419"/>
      <c r="GB169" s="419"/>
      <c r="GC169" s="420">
        <f t="shared" si="206"/>
        <v>0</v>
      </c>
      <c r="GD169" s="420">
        <f t="shared" si="207"/>
        <v>0</v>
      </c>
      <c r="GE169" s="419"/>
      <c r="GF169" s="419"/>
      <c r="GG169" s="419"/>
      <c r="GH169" s="420">
        <f t="shared" si="208"/>
        <v>0</v>
      </c>
      <c r="GI169" s="423">
        <f t="shared" si="209"/>
        <v>0</v>
      </c>
      <c r="GJ169" s="419"/>
      <c r="GK169" s="419"/>
      <c r="GL169" s="419"/>
      <c r="GM169" s="420">
        <f t="shared" si="210"/>
        <v>0</v>
      </c>
      <c r="GN169" s="420">
        <f t="shared" si="211"/>
        <v>0</v>
      </c>
      <c r="GO169" s="419"/>
      <c r="GP169" s="419"/>
      <c r="GQ169" s="419"/>
      <c r="GR169" s="420">
        <f t="shared" si="216"/>
        <v>0</v>
      </c>
      <c r="GS169" s="423">
        <f t="shared" si="212"/>
        <v>0</v>
      </c>
      <c r="GT169" s="419"/>
      <c r="GU169" s="419"/>
      <c r="GV169" s="419"/>
      <c r="GW169" s="420">
        <f t="shared" si="213"/>
        <v>0</v>
      </c>
      <c r="GX169" s="420">
        <f t="shared" si="214"/>
        <v>0</v>
      </c>
    </row>
    <row r="170" spans="1:206" ht="15">
      <c r="A170" s="414"/>
      <c r="B170" s="415" t="s">
        <v>564</v>
      </c>
      <c r="C170" s="698"/>
      <c r="D170" s="704" t="s">
        <v>565</v>
      </c>
      <c r="E170" s="434" t="s">
        <v>123</v>
      </c>
      <c r="F170" s="417">
        <v>0.13</v>
      </c>
      <c r="G170" s="418">
        <f t="shared" si="173"/>
        <v>53058126.720299996</v>
      </c>
      <c r="H170" s="418">
        <f t="shared" si="174"/>
        <v>53058126.719999999</v>
      </c>
      <c r="I170" s="418">
        <f t="shared" si="174"/>
        <v>6897556.5095389998</v>
      </c>
      <c r="J170" s="418">
        <f t="shared" si="175"/>
        <v>53058126.996453904</v>
      </c>
      <c r="K170" s="418">
        <f t="shared" si="171"/>
        <v>0.27645385265350297</v>
      </c>
      <c r="L170" s="418">
        <f t="shared" si="172"/>
        <v>0.276153855025768</v>
      </c>
      <c r="M170" s="424"/>
      <c r="N170" s="424"/>
      <c r="O170" s="424"/>
      <c r="P170" s="424"/>
      <c r="Q170" s="419"/>
      <c r="R170" s="419"/>
      <c r="S170" s="419"/>
      <c r="T170" s="420"/>
      <c r="U170" s="423"/>
      <c r="V170" s="420"/>
      <c r="W170" s="420"/>
      <c r="X170" s="419"/>
      <c r="Y170" s="419"/>
      <c r="Z170" s="423"/>
      <c r="AA170" s="423"/>
      <c r="AB170" s="419"/>
      <c r="AC170" s="423"/>
      <c r="AD170" s="420"/>
      <c r="AE170" s="423"/>
      <c r="AF170" s="444"/>
      <c r="AG170" s="419"/>
      <c r="AH170" s="420"/>
      <c r="AI170" s="420"/>
      <c r="AJ170" s="423"/>
      <c r="AK170" s="444"/>
      <c r="AL170" s="420"/>
      <c r="AM170" s="420"/>
      <c r="AN170" s="420"/>
      <c r="AO170" s="423"/>
      <c r="AP170" s="420"/>
      <c r="AQ170" s="419"/>
      <c r="AR170" s="420"/>
      <c r="AS170" s="420"/>
      <c r="AT170" s="420"/>
      <c r="AU170" s="420"/>
      <c r="AV170" s="420"/>
      <c r="AW170" s="420"/>
      <c r="AX170" s="426"/>
      <c r="AY170" s="420"/>
      <c r="AZ170" s="420"/>
      <c r="BA170" s="420"/>
      <c r="BB170" s="419"/>
      <c r="BC170" s="420"/>
      <c r="BD170" s="427"/>
      <c r="BE170" s="420"/>
      <c r="BF170" s="420"/>
      <c r="BG170" s="420"/>
      <c r="BH170" s="423"/>
      <c r="BI170" s="420"/>
      <c r="BJ170" s="420"/>
      <c r="BK170" s="420"/>
      <c r="BL170" s="420"/>
      <c r="BM170" s="420"/>
      <c r="BN170" s="420"/>
      <c r="BO170" s="419"/>
      <c r="BP170" s="428"/>
      <c r="BQ170" s="420"/>
      <c r="BR170" s="423"/>
      <c r="BS170" s="423"/>
      <c r="BT170" s="420"/>
      <c r="BU170" s="420"/>
      <c r="BV170" s="420"/>
      <c r="BW170" s="420"/>
      <c r="BX170" s="429"/>
      <c r="BY170" s="419"/>
      <c r="BZ170" s="419"/>
      <c r="CA170" s="419"/>
      <c r="CB170" s="420"/>
      <c r="CC170" s="430"/>
      <c r="CD170" s="419"/>
      <c r="CE170" s="419"/>
      <c r="CF170" s="419"/>
      <c r="CG170" s="420"/>
      <c r="CH170" s="423"/>
      <c r="CI170" s="432"/>
      <c r="CJ170" s="432"/>
      <c r="CK170" s="432"/>
      <c r="CL170" s="420"/>
      <c r="CM170" s="423"/>
      <c r="CN170" s="420"/>
      <c r="CO170" s="420"/>
      <c r="CP170" s="420"/>
      <c r="CQ170" s="432"/>
      <c r="CR170" s="432"/>
      <c r="CS170" s="420"/>
      <c r="CT170" s="420"/>
      <c r="CU170" s="420"/>
      <c r="CV170" s="420"/>
      <c r="CW170" s="420"/>
      <c r="CX170" s="419"/>
      <c r="CY170" s="419"/>
      <c r="CZ170" s="419"/>
      <c r="DA170" s="419"/>
      <c r="DB170" s="419"/>
      <c r="DC170" s="419"/>
      <c r="DD170" s="419"/>
      <c r="DE170" s="419"/>
      <c r="DF170" s="420"/>
      <c r="DG170" s="421"/>
      <c r="DH170" s="419"/>
      <c r="DI170" s="419"/>
      <c r="DJ170" s="419"/>
      <c r="DK170" s="420"/>
      <c r="DL170" s="422"/>
      <c r="DM170" s="420"/>
      <c r="DN170" s="420"/>
      <c r="DO170" s="420"/>
      <c r="DP170" s="420">
        <f t="shared" si="182"/>
        <v>0</v>
      </c>
      <c r="DQ170" s="420">
        <f t="shared" si="183"/>
        <v>0</v>
      </c>
      <c r="DR170" s="419"/>
      <c r="DS170" s="419"/>
      <c r="DT170" s="419"/>
      <c r="DU170" s="420">
        <f t="shared" si="184"/>
        <v>0</v>
      </c>
      <c r="DV170" s="423">
        <f t="shared" si="185"/>
        <v>0</v>
      </c>
      <c r="DW170" s="419"/>
      <c r="DX170" s="419"/>
      <c r="DY170" s="419"/>
      <c r="DZ170" s="420">
        <f t="shared" si="186"/>
        <v>0</v>
      </c>
      <c r="EA170" s="423">
        <f t="shared" si="187"/>
        <v>0</v>
      </c>
      <c r="EB170" s="419"/>
      <c r="EC170" s="419"/>
      <c r="ED170" s="420"/>
      <c r="EE170" s="419"/>
      <c r="EF170" s="420">
        <f t="shared" si="188"/>
        <v>0</v>
      </c>
      <c r="EG170" s="419"/>
      <c r="EH170" s="419"/>
      <c r="EI170" s="419"/>
      <c r="EJ170" s="420">
        <f t="shared" si="189"/>
        <v>0</v>
      </c>
      <c r="EK170" s="420">
        <f t="shared" si="190"/>
        <v>0</v>
      </c>
      <c r="EL170" s="420">
        <v>868991.15029999998</v>
      </c>
      <c r="EM170" s="392"/>
      <c r="EN170" s="420">
        <v>112968.849539</v>
      </c>
      <c r="EO170" s="419">
        <f t="shared" si="191"/>
        <v>868991.15</v>
      </c>
      <c r="EP170" s="419">
        <f t="shared" si="192"/>
        <v>0</v>
      </c>
      <c r="EQ170" s="420">
        <v>10768246.4</v>
      </c>
      <c r="ER170" s="420">
        <v>11637237.560000001</v>
      </c>
      <c r="ES170" s="420">
        <v>1399872.04</v>
      </c>
      <c r="ET170" s="419">
        <f t="shared" si="193"/>
        <v>10768246.460000001</v>
      </c>
      <c r="EU170" s="419">
        <f t="shared" si="194"/>
        <v>0.06</v>
      </c>
      <c r="EV170" s="455">
        <v>21536492.710000001</v>
      </c>
      <c r="EW170" s="419"/>
      <c r="EX170" s="455">
        <v>2799744.05</v>
      </c>
      <c r="EY170" s="419">
        <f t="shared" si="195"/>
        <v>21536492.690000001</v>
      </c>
      <c r="EZ170" s="419">
        <f t="shared" si="215"/>
        <v>-0.02</v>
      </c>
      <c r="FA170" s="420">
        <v>19252628.48</v>
      </c>
      <c r="FB170" s="420">
        <v>21536492.699999999</v>
      </c>
      <c r="FC170" s="420">
        <v>2502841.7200000002</v>
      </c>
      <c r="FD170" s="420">
        <f t="shared" si="196"/>
        <v>19252628.620000001</v>
      </c>
      <c r="FE170" s="420">
        <f t="shared" si="197"/>
        <v>0.14000000000000001</v>
      </c>
      <c r="FF170" s="419">
        <v>489873.66</v>
      </c>
      <c r="FG170" s="419">
        <v>19252628.489999998</v>
      </c>
      <c r="FH170" s="419">
        <v>63683.58</v>
      </c>
      <c r="FI170" s="419">
        <f t="shared" si="198"/>
        <v>489873.69230769202</v>
      </c>
      <c r="FJ170" s="419">
        <f t="shared" si="199"/>
        <v>0.03</v>
      </c>
      <c r="FK170" s="419">
        <v>141894.32</v>
      </c>
      <c r="FL170" s="419">
        <v>489873.65</v>
      </c>
      <c r="FM170" s="419">
        <v>18446.27</v>
      </c>
      <c r="FN170" s="420">
        <f t="shared" si="200"/>
        <v>141894.38</v>
      </c>
      <c r="FO170" s="423">
        <f t="shared" si="201"/>
        <v>0.06</v>
      </c>
      <c r="FP170" s="419"/>
      <c r="FQ170" s="419"/>
      <c r="FR170" s="419"/>
      <c r="FS170" s="420">
        <f t="shared" si="202"/>
        <v>0</v>
      </c>
      <c r="FT170" s="420">
        <f t="shared" si="203"/>
        <v>0</v>
      </c>
      <c r="FU170" s="419"/>
      <c r="FV170" s="420">
        <v>141894.32</v>
      </c>
      <c r="FW170" s="419"/>
      <c r="FX170" s="420">
        <f t="shared" si="204"/>
        <v>0</v>
      </c>
      <c r="FY170" s="420">
        <f t="shared" si="205"/>
        <v>0</v>
      </c>
      <c r="FZ170" s="419"/>
      <c r="GA170" s="419"/>
      <c r="GB170" s="419"/>
      <c r="GC170" s="420">
        <f t="shared" si="206"/>
        <v>0</v>
      </c>
      <c r="GD170" s="420">
        <f t="shared" si="207"/>
        <v>0</v>
      </c>
      <c r="GE170" s="419"/>
      <c r="GF170" s="419"/>
      <c r="GG170" s="419"/>
      <c r="GH170" s="420">
        <f t="shared" si="208"/>
        <v>0</v>
      </c>
      <c r="GI170" s="423">
        <f t="shared" si="209"/>
        <v>0</v>
      </c>
      <c r="GJ170" s="419"/>
      <c r="GK170" s="419"/>
      <c r="GL170" s="419"/>
      <c r="GM170" s="420">
        <f t="shared" si="210"/>
        <v>0</v>
      </c>
      <c r="GN170" s="420">
        <f t="shared" si="211"/>
        <v>0</v>
      </c>
      <c r="GO170" s="419"/>
      <c r="GP170" s="419"/>
      <c r="GQ170" s="419"/>
      <c r="GR170" s="420">
        <f t="shared" si="216"/>
        <v>0</v>
      </c>
      <c r="GS170" s="423">
        <f t="shared" si="212"/>
        <v>0</v>
      </c>
      <c r="GT170" s="419"/>
      <c r="GU170" s="419"/>
      <c r="GV170" s="419"/>
      <c r="GW170" s="420">
        <f t="shared" si="213"/>
        <v>0</v>
      </c>
      <c r="GX170" s="420">
        <f t="shared" si="214"/>
        <v>0</v>
      </c>
    </row>
    <row r="171" spans="1:206" ht="15">
      <c r="A171" s="414"/>
      <c r="B171" s="415" t="s">
        <v>564</v>
      </c>
      <c r="C171" s="698"/>
      <c r="D171" s="705"/>
      <c r="E171" s="434" t="s">
        <v>124</v>
      </c>
      <c r="F171" s="417">
        <v>0.09</v>
      </c>
      <c r="G171" s="418">
        <f t="shared" si="173"/>
        <v>53634943.189999998</v>
      </c>
      <c r="H171" s="418">
        <f t="shared" si="174"/>
        <v>53634943.170000002</v>
      </c>
      <c r="I171" s="418">
        <f t="shared" si="174"/>
        <v>4827144.8869000003</v>
      </c>
      <c r="J171" s="418">
        <f t="shared" si="175"/>
        <v>53634943.187777802</v>
      </c>
      <c r="K171" s="418">
        <f t="shared" si="171"/>
        <v>1.7777770757675199E-2</v>
      </c>
      <c r="L171" s="418">
        <f t="shared" si="172"/>
        <v>-2.2222250699996901E-3</v>
      </c>
      <c r="M171" s="424"/>
      <c r="N171" s="424"/>
      <c r="O171" s="424"/>
      <c r="P171" s="424"/>
      <c r="Q171" s="419"/>
      <c r="R171" s="419"/>
      <c r="S171" s="419"/>
      <c r="T171" s="420"/>
      <c r="U171" s="423"/>
      <c r="V171" s="420"/>
      <c r="W171" s="420"/>
      <c r="X171" s="419"/>
      <c r="Y171" s="419"/>
      <c r="Z171" s="423"/>
      <c r="AA171" s="423"/>
      <c r="AB171" s="419"/>
      <c r="AC171" s="423"/>
      <c r="AD171" s="420"/>
      <c r="AE171" s="423"/>
      <c r="AF171" s="444"/>
      <c r="AG171" s="419"/>
      <c r="AH171" s="420"/>
      <c r="AI171" s="420"/>
      <c r="AJ171" s="423"/>
      <c r="AK171" s="444"/>
      <c r="AL171" s="420"/>
      <c r="AM171" s="420"/>
      <c r="AN171" s="420"/>
      <c r="AO171" s="423"/>
      <c r="AP171" s="420"/>
      <c r="AQ171" s="419"/>
      <c r="AR171" s="420"/>
      <c r="AS171" s="420"/>
      <c r="AT171" s="420"/>
      <c r="AU171" s="420"/>
      <c r="AV171" s="420"/>
      <c r="AW171" s="420"/>
      <c r="AX171" s="426"/>
      <c r="AY171" s="420"/>
      <c r="AZ171" s="420"/>
      <c r="BA171" s="420"/>
      <c r="BB171" s="419"/>
      <c r="BC171" s="420"/>
      <c r="BD171" s="427"/>
      <c r="BE171" s="420"/>
      <c r="BF171" s="420"/>
      <c r="BG171" s="420"/>
      <c r="BH171" s="423"/>
      <c r="BI171" s="420"/>
      <c r="BJ171" s="420"/>
      <c r="BK171" s="420"/>
      <c r="BL171" s="420"/>
      <c r="BM171" s="420"/>
      <c r="BN171" s="420"/>
      <c r="BO171" s="419"/>
      <c r="BP171" s="428"/>
      <c r="BQ171" s="420"/>
      <c r="BR171" s="423"/>
      <c r="BS171" s="423"/>
      <c r="BT171" s="420"/>
      <c r="BU171" s="420"/>
      <c r="BV171" s="420"/>
      <c r="BW171" s="420"/>
      <c r="BX171" s="429"/>
      <c r="BY171" s="419"/>
      <c r="BZ171" s="419"/>
      <c r="CA171" s="419"/>
      <c r="CB171" s="420"/>
      <c r="CC171" s="430"/>
      <c r="CD171" s="419"/>
      <c r="CE171" s="419"/>
      <c r="CF171" s="419"/>
      <c r="CG171" s="420"/>
      <c r="CH171" s="423"/>
      <c r="CI171" s="432"/>
      <c r="CJ171" s="432"/>
      <c r="CK171" s="432"/>
      <c r="CL171" s="420"/>
      <c r="CM171" s="423"/>
      <c r="CN171" s="420"/>
      <c r="CO171" s="420"/>
      <c r="CP171" s="420"/>
      <c r="CQ171" s="432"/>
      <c r="CR171" s="432"/>
      <c r="CS171" s="420"/>
      <c r="CT171" s="420"/>
      <c r="CU171" s="420"/>
      <c r="CV171" s="420"/>
      <c r="CW171" s="420"/>
      <c r="CX171" s="419"/>
      <c r="CY171" s="419"/>
      <c r="CZ171" s="419"/>
      <c r="DA171" s="419"/>
      <c r="DB171" s="419"/>
      <c r="DC171" s="419"/>
      <c r="DD171" s="419"/>
      <c r="DE171" s="419"/>
      <c r="DF171" s="420"/>
      <c r="DG171" s="421"/>
      <c r="DH171" s="419"/>
      <c r="DI171" s="419"/>
      <c r="DJ171" s="419"/>
      <c r="DK171" s="420"/>
      <c r="DL171" s="422"/>
      <c r="DM171" s="420"/>
      <c r="DN171" s="420"/>
      <c r="DO171" s="420"/>
      <c r="DP171" s="420">
        <f t="shared" si="182"/>
        <v>0</v>
      </c>
      <c r="DQ171" s="420">
        <f t="shared" si="183"/>
        <v>0</v>
      </c>
      <c r="DR171" s="419"/>
      <c r="DS171" s="419"/>
      <c r="DT171" s="419"/>
      <c r="DU171" s="420">
        <f t="shared" si="184"/>
        <v>0</v>
      </c>
      <c r="DV171" s="423">
        <f t="shared" si="185"/>
        <v>0</v>
      </c>
      <c r="DW171" s="419"/>
      <c r="DX171" s="419"/>
      <c r="DY171" s="419"/>
      <c r="DZ171" s="420">
        <f t="shared" si="186"/>
        <v>0</v>
      </c>
      <c r="EA171" s="423">
        <f t="shared" si="187"/>
        <v>0</v>
      </c>
      <c r="EB171" s="420">
        <v>10431866.41</v>
      </c>
      <c r="EC171" s="420"/>
      <c r="ED171" s="420">
        <v>938867.97690000001</v>
      </c>
      <c r="EE171" s="419">
        <v>10431866.41</v>
      </c>
      <c r="EF171" s="420">
        <f t="shared" si="188"/>
        <v>0</v>
      </c>
      <c r="EG171" s="419">
        <v>0.01</v>
      </c>
      <c r="EH171" s="419"/>
      <c r="EI171" s="419"/>
      <c r="EJ171" s="420">
        <f t="shared" si="189"/>
        <v>0</v>
      </c>
      <c r="EK171" s="420">
        <f t="shared" si="190"/>
        <v>-0.01</v>
      </c>
      <c r="EL171" s="420">
        <v>3333891.76</v>
      </c>
      <c r="EM171" s="419"/>
      <c r="EN171" s="419">
        <v>300050.26</v>
      </c>
      <c r="EO171" s="419">
        <f t="shared" si="191"/>
        <v>3333891.78</v>
      </c>
      <c r="EP171" s="419">
        <f t="shared" si="192"/>
        <v>0.02</v>
      </c>
      <c r="EQ171" s="420">
        <v>84547.58</v>
      </c>
      <c r="ER171" s="419">
        <v>13850305.75</v>
      </c>
      <c r="ES171" s="419">
        <v>7609.28</v>
      </c>
      <c r="ET171" s="419">
        <f t="shared" si="193"/>
        <v>84547.56</v>
      </c>
      <c r="EU171" s="419">
        <f t="shared" si="194"/>
        <v>-0.02</v>
      </c>
      <c r="EV171" s="455">
        <v>10798302.82</v>
      </c>
      <c r="EW171" s="419"/>
      <c r="EX171" s="455">
        <v>971847.26</v>
      </c>
      <c r="EY171" s="419">
        <f t="shared" si="195"/>
        <v>10798302.890000001</v>
      </c>
      <c r="EZ171" s="419">
        <f t="shared" si="215"/>
        <v>7.0000000000000007E-2</v>
      </c>
      <c r="FA171" s="456">
        <v>10900671.82</v>
      </c>
      <c r="FB171" s="420">
        <v>10197038.789999999</v>
      </c>
      <c r="FC171" s="456">
        <v>981060.46</v>
      </c>
      <c r="FD171" s="420">
        <f t="shared" si="196"/>
        <v>10900671.779999999</v>
      </c>
      <c r="FE171" s="420">
        <f t="shared" si="197"/>
        <v>-0.04</v>
      </c>
      <c r="FF171" s="419">
        <v>13227644.380000001</v>
      </c>
      <c r="FG171" s="419">
        <v>11501935.84</v>
      </c>
      <c r="FH171" s="419">
        <v>1190488</v>
      </c>
      <c r="FI171" s="419">
        <f t="shared" si="198"/>
        <v>13227644.444444399</v>
      </c>
      <c r="FJ171" s="419">
        <f t="shared" si="199"/>
        <v>0.06</v>
      </c>
      <c r="FK171" s="419">
        <v>6692880.7999999998</v>
      </c>
      <c r="FL171" s="419">
        <v>13227644.380000001</v>
      </c>
      <c r="FM171" s="419">
        <v>602359.26</v>
      </c>
      <c r="FN171" s="420">
        <f t="shared" si="200"/>
        <v>6692880.6699999999</v>
      </c>
      <c r="FO171" s="423">
        <f t="shared" si="201"/>
        <v>-0.13</v>
      </c>
      <c r="FP171" s="431">
        <v>-1834862.39</v>
      </c>
      <c r="FQ171" s="431">
        <v>0</v>
      </c>
      <c r="FR171" s="431">
        <v>-165137.60999999999</v>
      </c>
      <c r="FS171" s="420">
        <f t="shared" si="202"/>
        <v>-1834862.33</v>
      </c>
      <c r="FT171" s="420">
        <f t="shared" si="203"/>
        <v>5.9999999823048697E-2</v>
      </c>
      <c r="FU171" s="419"/>
      <c r="FV171" s="419">
        <v>4858018.41</v>
      </c>
      <c r="FW171" s="419"/>
      <c r="FX171" s="420">
        <f t="shared" si="204"/>
        <v>0</v>
      </c>
      <c r="FY171" s="420">
        <f t="shared" si="205"/>
        <v>0</v>
      </c>
      <c r="FZ171" s="419"/>
      <c r="GA171" s="419"/>
      <c r="GB171" s="419"/>
      <c r="GC171" s="420">
        <f t="shared" si="206"/>
        <v>0</v>
      </c>
      <c r="GD171" s="420">
        <f t="shared" si="207"/>
        <v>0</v>
      </c>
      <c r="GE171" s="419"/>
      <c r="GF171" s="419"/>
      <c r="GG171" s="419"/>
      <c r="GH171" s="420">
        <f t="shared" si="208"/>
        <v>0</v>
      </c>
      <c r="GI171" s="423">
        <f t="shared" si="209"/>
        <v>0</v>
      </c>
      <c r="GJ171" s="419"/>
      <c r="GK171" s="419"/>
      <c r="GL171" s="419"/>
      <c r="GM171" s="420">
        <f t="shared" si="210"/>
        <v>0</v>
      </c>
      <c r="GN171" s="420">
        <f t="shared" si="211"/>
        <v>0</v>
      </c>
      <c r="GO171" s="419"/>
      <c r="GP171" s="419"/>
      <c r="GQ171" s="419"/>
      <c r="GR171" s="420">
        <f t="shared" si="216"/>
        <v>0</v>
      </c>
      <c r="GS171" s="423">
        <f t="shared" si="212"/>
        <v>0</v>
      </c>
      <c r="GT171" s="419"/>
      <c r="GU171" s="419"/>
      <c r="GV171" s="419"/>
      <c r="GW171" s="420">
        <f t="shared" si="213"/>
        <v>0</v>
      </c>
      <c r="GX171" s="420">
        <f t="shared" si="214"/>
        <v>0</v>
      </c>
    </row>
    <row r="172" spans="1:206" ht="15">
      <c r="A172" s="414"/>
      <c r="B172" s="415" t="s">
        <v>564</v>
      </c>
      <c r="C172" s="698"/>
      <c r="D172" s="707"/>
      <c r="E172" s="434" t="s">
        <v>125</v>
      </c>
      <c r="F172" s="417">
        <v>0.06</v>
      </c>
      <c r="G172" s="418">
        <f t="shared" si="173"/>
        <v>2845773.19</v>
      </c>
      <c r="H172" s="418">
        <f t="shared" si="174"/>
        <v>2845773.19</v>
      </c>
      <c r="I172" s="418">
        <f t="shared" si="174"/>
        <v>170746.4044</v>
      </c>
      <c r="J172" s="418">
        <f t="shared" si="175"/>
        <v>2845773.40666667</v>
      </c>
      <c r="K172" s="418">
        <f t="shared" si="171"/>
        <v>0.216666666325182</v>
      </c>
      <c r="L172" s="418">
        <f t="shared" si="172"/>
        <v>0.21666666679084301</v>
      </c>
      <c r="M172" s="424"/>
      <c r="N172" s="424"/>
      <c r="O172" s="424"/>
      <c r="P172" s="424"/>
      <c r="Q172" s="419"/>
      <c r="R172" s="419"/>
      <c r="S172" s="419"/>
      <c r="T172" s="420"/>
      <c r="U172" s="423"/>
      <c r="V172" s="420"/>
      <c r="W172" s="420"/>
      <c r="X172" s="419"/>
      <c r="Y172" s="419"/>
      <c r="Z172" s="423"/>
      <c r="AA172" s="423"/>
      <c r="AB172" s="419"/>
      <c r="AC172" s="423"/>
      <c r="AD172" s="420"/>
      <c r="AE172" s="423"/>
      <c r="AF172" s="444"/>
      <c r="AG172" s="419"/>
      <c r="AH172" s="420"/>
      <c r="AI172" s="420"/>
      <c r="AJ172" s="423"/>
      <c r="AK172" s="444"/>
      <c r="AL172" s="420"/>
      <c r="AM172" s="420"/>
      <c r="AN172" s="420"/>
      <c r="AO172" s="423"/>
      <c r="AP172" s="420"/>
      <c r="AQ172" s="419"/>
      <c r="AR172" s="420"/>
      <c r="AS172" s="420"/>
      <c r="AT172" s="420"/>
      <c r="AU172" s="420"/>
      <c r="AV172" s="420"/>
      <c r="AW172" s="420"/>
      <c r="AX172" s="426"/>
      <c r="AY172" s="420"/>
      <c r="AZ172" s="420"/>
      <c r="BA172" s="420"/>
      <c r="BB172" s="419"/>
      <c r="BC172" s="420"/>
      <c r="BD172" s="427"/>
      <c r="BE172" s="420"/>
      <c r="BF172" s="420"/>
      <c r="BG172" s="420"/>
      <c r="BH172" s="423"/>
      <c r="BI172" s="420"/>
      <c r="BJ172" s="420"/>
      <c r="BK172" s="420"/>
      <c r="BL172" s="420"/>
      <c r="BM172" s="420"/>
      <c r="BN172" s="420"/>
      <c r="BO172" s="419"/>
      <c r="BP172" s="428"/>
      <c r="BQ172" s="420"/>
      <c r="BR172" s="423"/>
      <c r="BS172" s="423"/>
      <c r="BT172" s="420"/>
      <c r="BU172" s="420"/>
      <c r="BV172" s="420"/>
      <c r="BW172" s="420"/>
      <c r="BX172" s="429"/>
      <c r="BY172" s="419"/>
      <c r="BZ172" s="419"/>
      <c r="CA172" s="419"/>
      <c r="CB172" s="420"/>
      <c r="CC172" s="430"/>
      <c r="CD172" s="419"/>
      <c r="CE172" s="419"/>
      <c r="CF172" s="419"/>
      <c r="CG172" s="420"/>
      <c r="CH172" s="423"/>
      <c r="CI172" s="432"/>
      <c r="CJ172" s="432"/>
      <c r="CK172" s="432"/>
      <c r="CL172" s="420"/>
      <c r="CM172" s="423"/>
      <c r="CN172" s="420"/>
      <c r="CO172" s="420"/>
      <c r="CP172" s="420"/>
      <c r="CQ172" s="432"/>
      <c r="CR172" s="432"/>
      <c r="CS172" s="420"/>
      <c r="CT172" s="420"/>
      <c r="CU172" s="420"/>
      <c r="CV172" s="420"/>
      <c r="CW172" s="420"/>
      <c r="CX172" s="419"/>
      <c r="CY172" s="419"/>
      <c r="CZ172" s="419"/>
      <c r="DA172" s="419"/>
      <c r="DB172" s="419"/>
      <c r="DC172" s="419"/>
      <c r="DD172" s="419"/>
      <c r="DE172" s="419"/>
      <c r="DF172" s="420"/>
      <c r="DG172" s="421"/>
      <c r="DH172" s="419"/>
      <c r="DI172" s="419"/>
      <c r="DJ172" s="419"/>
      <c r="DK172" s="420"/>
      <c r="DL172" s="422"/>
      <c r="DM172" s="420">
        <v>211266.08</v>
      </c>
      <c r="DN172" s="420"/>
      <c r="DO172" s="420">
        <v>12675.97</v>
      </c>
      <c r="DP172" s="420">
        <f t="shared" si="182"/>
        <v>211266.16666666701</v>
      </c>
      <c r="DQ172" s="420">
        <f t="shared" si="183"/>
        <v>8.6666666669771103E-2</v>
      </c>
      <c r="DR172" s="419">
        <v>82603.3</v>
      </c>
      <c r="DS172" s="419">
        <v>270417.03000000003</v>
      </c>
      <c r="DT172" s="419">
        <v>4956.2</v>
      </c>
      <c r="DU172" s="420">
        <f t="shared" si="184"/>
        <v>82603.333333333299</v>
      </c>
      <c r="DV172" s="423">
        <f t="shared" si="185"/>
        <v>3.3333333325572298E-2</v>
      </c>
      <c r="DW172" s="419">
        <v>386089.59</v>
      </c>
      <c r="DX172" s="419">
        <v>23452.36</v>
      </c>
      <c r="DY172" s="419">
        <v>23165.38</v>
      </c>
      <c r="DZ172" s="420">
        <f t="shared" si="186"/>
        <v>386089.67</v>
      </c>
      <c r="EA172" s="423">
        <f t="shared" si="187"/>
        <v>0.08</v>
      </c>
      <c r="EB172" s="419">
        <v>213021.81</v>
      </c>
      <c r="EC172" s="419"/>
      <c r="ED172" s="420">
        <v>12781.3086</v>
      </c>
      <c r="EE172" s="419">
        <v>213021.81</v>
      </c>
      <c r="EF172" s="420">
        <f t="shared" si="188"/>
        <v>0</v>
      </c>
      <c r="EG172" s="419">
        <v>575868.81999999995</v>
      </c>
      <c r="EH172" s="419"/>
      <c r="EI172" s="419">
        <v>34552.129999999997</v>
      </c>
      <c r="EJ172" s="420">
        <f t="shared" si="189"/>
        <v>575868.82999999996</v>
      </c>
      <c r="EK172" s="420">
        <f t="shared" si="190"/>
        <v>0.01</v>
      </c>
      <c r="EL172" s="419">
        <v>22194.66</v>
      </c>
      <c r="EN172" s="419">
        <v>1331.68</v>
      </c>
      <c r="EO172" s="419">
        <f t="shared" si="191"/>
        <v>22194.67</v>
      </c>
      <c r="EP172" s="419">
        <f t="shared" si="192"/>
        <v>0.01</v>
      </c>
      <c r="EQ172" s="419">
        <v>109436.69</v>
      </c>
      <c r="ER172" s="419">
        <v>1274533.3700000001</v>
      </c>
      <c r="ES172" s="419">
        <v>6566.21</v>
      </c>
      <c r="ET172" s="419">
        <f t="shared" si="193"/>
        <v>109436.83</v>
      </c>
      <c r="EU172" s="419">
        <f t="shared" si="194"/>
        <v>0.14000000000000001</v>
      </c>
      <c r="EV172" s="419">
        <v>31869.56</v>
      </c>
      <c r="EW172" s="419"/>
      <c r="EX172" s="419">
        <v>1912.17</v>
      </c>
      <c r="EY172" s="419">
        <f t="shared" si="195"/>
        <v>31869.5</v>
      </c>
      <c r="EZ172" s="419">
        <f t="shared" si="215"/>
        <v>-0.06</v>
      </c>
      <c r="FA172" s="420">
        <v>61768.41</v>
      </c>
      <c r="FB172" s="420"/>
      <c r="FC172" s="420">
        <v>3706.11</v>
      </c>
      <c r="FD172" s="420">
        <f t="shared" si="196"/>
        <v>61768.5</v>
      </c>
      <c r="FE172" s="420">
        <f t="shared" si="197"/>
        <v>0.09</v>
      </c>
      <c r="FF172" s="419">
        <v>95626.94</v>
      </c>
      <c r="FG172" s="419">
        <v>125716.16</v>
      </c>
      <c r="FH172" s="419">
        <v>5737.62</v>
      </c>
      <c r="FI172" s="419">
        <f t="shared" si="198"/>
        <v>95627</v>
      </c>
      <c r="FJ172" s="419">
        <f t="shared" si="199"/>
        <v>0.06</v>
      </c>
      <c r="FK172" s="419">
        <v>1014414.9</v>
      </c>
      <c r="FL172" s="419">
        <v>95626.99</v>
      </c>
      <c r="FM172" s="419">
        <v>60864.88</v>
      </c>
      <c r="FN172" s="420">
        <f t="shared" si="200"/>
        <v>1014414.67</v>
      </c>
      <c r="FO172" s="423">
        <f t="shared" si="201"/>
        <v>-0.23</v>
      </c>
      <c r="FP172" s="431">
        <v>41612.43</v>
      </c>
      <c r="FQ172" s="431">
        <v>0</v>
      </c>
      <c r="FR172" s="431">
        <v>2496.7458000000001</v>
      </c>
      <c r="FS172" s="420">
        <f t="shared" si="202"/>
        <v>41612.43</v>
      </c>
      <c r="FT172" s="420">
        <f t="shared" si="203"/>
        <v>0</v>
      </c>
      <c r="FU172" s="419"/>
      <c r="FV172" s="419">
        <v>1056027.28</v>
      </c>
      <c r="FW172" s="419"/>
      <c r="FX172" s="420">
        <f t="shared" si="204"/>
        <v>0</v>
      </c>
      <c r="FY172" s="420">
        <f t="shared" si="205"/>
        <v>0</v>
      </c>
      <c r="FZ172" s="419"/>
      <c r="GA172" s="419"/>
      <c r="GB172" s="419"/>
      <c r="GC172" s="420">
        <f t="shared" si="206"/>
        <v>0</v>
      </c>
      <c r="GD172" s="420">
        <f t="shared" si="207"/>
        <v>0</v>
      </c>
      <c r="GE172" s="419"/>
      <c r="GF172" s="419"/>
      <c r="GG172" s="419"/>
      <c r="GH172" s="420">
        <f t="shared" si="208"/>
        <v>0</v>
      </c>
      <c r="GI172" s="423">
        <f t="shared" si="209"/>
        <v>0</v>
      </c>
      <c r="GJ172" s="419"/>
      <c r="GK172" s="419"/>
      <c r="GL172" s="419"/>
      <c r="GM172" s="420">
        <f t="shared" si="210"/>
        <v>0</v>
      </c>
      <c r="GN172" s="420">
        <f t="shared" si="211"/>
        <v>0</v>
      </c>
      <c r="GO172" s="419"/>
      <c r="GP172" s="419"/>
      <c r="GQ172" s="419"/>
      <c r="GR172" s="420">
        <f t="shared" si="216"/>
        <v>0</v>
      </c>
      <c r="GS172" s="423">
        <f t="shared" si="212"/>
        <v>0</v>
      </c>
      <c r="GT172" s="419"/>
      <c r="GU172" s="419"/>
      <c r="GV172" s="419"/>
      <c r="GW172" s="420">
        <f t="shared" si="213"/>
        <v>0</v>
      </c>
      <c r="GX172" s="420">
        <f t="shared" si="214"/>
        <v>0</v>
      </c>
    </row>
    <row r="173" spans="1:206" ht="15">
      <c r="A173" s="414"/>
      <c r="B173" s="415" t="s">
        <v>566</v>
      </c>
      <c r="C173" s="698"/>
      <c r="D173" s="704" t="s">
        <v>567</v>
      </c>
      <c r="E173" s="434" t="s">
        <v>123</v>
      </c>
      <c r="F173" s="417">
        <v>0.13</v>
      </c>
      <c r="G173" s="418">
        <f t="shared" si="173"/>
        <v>8581946.8900000006</v>
      </c>
      <c r="H173" s="418">
        <f t="shared" si="174"/>
        <v>8581946.8900000006</v>
      </c>
      <c r="I173" s="418">
        <f t="shared" si="174"/>
        <v>1115653.1052000001</v>
      </c>
      <c r="J173" s="418">
        <f t="shared" si="175"/>
        <v>8581946.9630769193</v>
      </c>
      <c r="K173" s="418">
        <f t="shared" si="171"/>
        <v>7.3076920583844199E-2</v>
      </c>
      <c r="L173" s="418">
        <f t="shared" si="172"/>
        <v>7.3076920583844199E-2</v>
      </c>
      <c r="M173" s="424"/>
      <c r="N173" s="424"/>
      <c r="O173" s="424"/>
      <c r="P173" s="424"/>
      <c r="Q173" s="419"/>
      <c r="R173" s="419"/>
      <c r="S173" s="419"/>
      <c r="T173" s="420"/>
      <c r="U173" s="423"/>
      <c r="V173" s="420"/>
      <c r="W173" s="420"/>
      <c r="X173" s="419"/>
      <c r="Y173" s="419"/>
      <c r="Z173" s="423"/>
      <c r="AA173" s="423"/>
      <c r="AB173" s="419"/>
      <c r="AC173" s="423"/>
      <c r="AD173" s="420"/>
      <c r="AE173" s="423"/>
      <c r="AF173" s="444"/>
      <c r="AG173" s="419"/>
      <c r="AH173" s="420"/>
      <c r="AI173" s="420"/>
      <c r="AJ173" s="423"/>
      <c r="AK173" s="444"/>
      <c r="AL173" s="420"/>
      <c r="AM173" s="420"/>
      <c r="AN173" s="420"/>
      <c r="AO173" s="423"/>
      <c r="AP173" s="420"/>
      <c r="AQ173" s="419"/>
      <c r="AR173" s="420"/>
      <c r="AS173" s="420"/>
      <c r="AT173" s="420"/>
      <c r="AU173" s="420"/>
      <c r="AV173" s="420"/>
      <c r="AW173" s="420"/>
      <c r="AX173" s="426"/>
      <c r="AY173" s="420"/>
      <c r="AZ173" s="420"/>
      <c r="BA173" s="420"/>
      <c r="BB173" s="419"/>
      <c r="BC173" s="420"/>
      <c r="BD173" s="427"/>
      <c r="BE173" s="420"/>
      <c r="BF173" s="420"/>
      <c r="BG173" s="420"/>
      <c r="BH173" s="423"/>
      <c r="BI173" s="420"/>
      <c r="BJ173" s="420"/>
      <c r="BK173" s="420"/>
      <c r="BL173" s="420"/>
      <c r="BM173" s="420"/>
      <c r="BN173" s="420"/>
      <c r="BO173" s="419"/>
      <c r="BP173" s="428"/>
      <c r="BQ173" s="420"/>
      <c r="BR173" s="423"/>
      <c r="BS173" s="423"/>
      <c r="BT173" s="420"/>
      <c r="BU173" s="420"/>
      <c r="BV173" s="420"/>
      <c r="BW173" s="420"/>
      <c r="BX173" s="429"/>
      <c r="BY173" s="419"/>
      <c r="BZ173" s="419"/>
      <c r="CA173" s="419"/>
      <c r="CB173" s="420"/>
      <c r="CC173" s="430"/>
      <c r="CD173" s="419"/>
      <c r="CE173" s="419"/>
      <c r="CF173" s="419"/>
      <c r="CG173" s="420"/>
      <c r="CH173" s="423"/>
      <c r="CI173" s="432"/>
      <c r="CJ173" s="432"/>
      <c r="CK173" s="432"/>
      <c r="CL173" s="420"/>
      <c r="CM173" s="423"/>
      <c r="CN173" s="420"/>
      <c r="CO173" s="420"/>
      <c r="CP173" s="420"/>
      <c r="CQ173" s="432"/>
      <c r="CR173" s="432"/>
      <c r="CS173" s="420"/>
      <c r="CT173" s="420"/>
      <c r="CU173" s="420"/>
      <c r="CV173" s="420"/>
      <c r="CW173" s="420"/>
      <c r="CX173" s="419"/>
      <c r="CY173" s="419"/>
      <c r="CZ173" s="419"/>
      <c r="DA173" s="419"/>
      <c r="DB173" s="419"/>
      <c r="DC173" s="419"/>
      <c r="DD173" s="419"/>
      <c r="DE173" s="419"/>
      <c r="DF173" s="420"/>
      <c r="DG173" s="421"/>
      <c r="DH173" s="419"/>
      <c r="DI173" s="419"/>
      <c r="DJ173" s="419"/>
      <c r="DK173" s="420"/>
      <c r="DL173" s="422"/>
      <c r="DM173" s="420"/>
      <c r="DN173" s="420"/>
      <c r="DO173" s="420"/>
      <c r="DP173" s="420"/>
      <c r="DQ173" s="420"/>
      <c r="DR173" s="419"/>
      <c r="DS173" s="419"/>
      <c r="DT173" s="419"/>
      <c r="DU173" s="420"/>
      <c r="DV173" s="423"/>
      <c r="DW173" s="419"/>
      <c r="DX173" s="419"/>
      <c r="DY173" s="419"/>
      <c r="DZ173" s="420"/>
      <c r="EA173" s="423"/>
      <c r="EB173" s="420">
        <v>240834.52</v>
      </c>
      <c r="EC173" s="419"/>
      <c r="ED173" s="420">
        <v>31308.4876</v>
      </c>
      <c r="EE173" s="419">
        <v>240834.52</v>
      </c>
      <c r="EF173" s="420">
        <f t="shared" si="188"/>
        <v>0</v>
      </c>
      <c r="EG173" s="419"/>
      <c r="EH173" s="419"/>
      <c r="EI173" s="419"/>
      <c r="EJ173" s="420">
        <f t="shared" si="189"/>
        <v>0</v>
      </c>
      <c r="EK173" s="420">
        <f t="shared" si="190"/>
        <v>0</v>
      </c>
      <c r="EL173" s="419">
        <v>2456371.6800000002</v>
      </c>
      <c r="EN173" s="419">
        <v>319328.32</v>
      </c>
      <c r="EO173" s="419">
        <f t="shared" si="191"/>
        <v>2456371.69</v>
      </c>
      <c r="EP173" s="419">
        <f t="shared" si="192"/>
        <v>0.01</v>
      </c>
      <c r="EQ173" s="419">
        <v>5250177</v>
      </c>
      <c r="ER173" s="419"/>
      <c r="ES173" s="419">
        <v>682523.02</v>
      </c>
      <c r="ET173" s="419">
        <f t="shared" si="193"/>
        <v>5250177.08</v>
      </c>
      <c r="EU173" s="419">
        <f t="shared" si="194"/>
        <v>0.08</v>
      </c>
      <c r="EV173" s="419"/>
      <c r="EW173" s="419"/>
      <c r="EX173" s="419"/>
      <c r="EY173" s="419">
        <f t="shared" si="195"/>
        <v>0</v>
      </c>
      <c r="EZ173" s="419">
        <f t="shared" si="215"/>
        <v>0</v>
      </c>
      <c r="FA173" s="420">
        <v>81637.17</v>
      </c>
      <c r="FB173" s="420"/>
      <c r="FC173" s="420">
        <v>10612.83</v>
      </c>
      <c r="FD173" s="420">
        <f t="shared" si="196"/>
        <v>81637.149999999994</v>
      </c>
      <c r="FE173" s="420">
        <f t="shared" si="197"/>
        <v>-0.02</v>
      </c>
      <c r="FF173" s="419"/>
      <c r="FG173" s="419"/>
      <c r="FH173" s="419"/>
      <c r="FI173" s="419">
        <f t="shared" si="198"/>
        <v>0</v>
      </c>
      <c r="FJ173" s="419">
        <f t="shared" si="199"/>
        <v>0</v>
      </c>
      <c r="FK173" s="419"/>
      <c r="FL173" s="419"/>
      <c r="FM173" s="419"/>
      <c r="FN173" s="420">
        <f t="shared" si="200"/>
        <v>0</v>
      </c>
      <c r="FO173" s="423">
        <f t="shared" si="201"/>
        <v>0</v>
      </c>
      <c r="FP173" s="431">
        <v>552926.52</v>
      </c>
      <c r="FQ173" s="431">
        <v>8581946.8900000006</v>
      </c>
      <c r="FR173" s="431">
        <v>71880.4476</v>
      </c>
      <c r="FS173" s="420">
        <f t="shared" si="202"/>
        <v>552926.52</v>
      </c>
      <c r="FT173" s="420">
        <f t="shared" si="203"/>
        <v>0</v>
      </c>
      <c r="FU173" s="419"/>
      <c r="FV173" s="419"/>
      <c r="FW173" s="419"/>
      <c r="FX173" s="420">
        <f t="shared" si="204"/>
        <v>0</v>
      </c>
      <c r="FY173" s="420">
        <f t="shared" si="205"/>
        <v>0</v>
      </c>
      <c r="FZ173" s="419"/>
      <c r="GA173" s="419"/>
      <c r="GB173" s="419"/>
      <c r="GC173" s="420">
        <f t="shared" si="206"/>
        <v>0</v>
      </c>
      <c r="GD173" s="420">
        <f t="shared" si="207"/>
        <v>0</v>
      </c>
      <c r="GE173" s="419"/>
      <c r="GF173" s="419"/>
      <c r="GG173" s="419"/>
      <c r="GH173" s="420">
        <f t="shared" si="208"/>
        <v>0</v>
      </c>
      <c r="GI173" s="423">
        <f t="shared" si="209"/>
        <v>0</v>
      </c>
      <c r="GJ173" s="419"/>
      <c r="GK173" s="419"/>
      <c r="GL173" s="419"/>
      <c r="GM173" s="420">
        <f t="shared" si="210"/>
        <v>0</v>
      </c>
      <c r="GN173" s="420">
        <f t="shared" si="211"/>
        <v>0</v>
      </c>
      <c r="GO173" s="419"/>
      <c r="GP173" s="419"/>
      <c r="GQ173" s="419"/>
      <c r="GR173" s="420">
        <f t="shared" si="216"/>
        <v>0</v>
      </c>
      <c r="GS173" s="423">
        <f t="shared" si="212"/>
        <v>0</v>
      </c>
      <c r="GT173" s="419"/>
      <c r="GU173" s="419"/>
      <c r="GV173" s="419"/>
      <c r="GW173" s="420">
        <f t="shared" si="213"/>
        <v>0</v>
      </c>
      <c r="GX173" s="420">
        <f t="shared" si="214"/>
        <v>0</v>
      </c>
    </row>
    <row r="174" spans="1:206" ht="15">
      <c r="A174" s="414"/>
      <c r="B174" s="415" t="s">
        <v>566</v>
      </c>
      <c r="C174" s="698"/>
      <c r="D174" s="705"/>
      <c r="E174" s="434" t="s">
        <v>124</v>
      </c>
      <c r="F174" s="417">
        <v>0.09</v>
      </c>
      <c r="G174" s="418">
        <f t="shared" si="173"/>
        <v>7580183.4800000004</v>
      </c>
      <c r="H174" s="418">
        <f t="shared" si="174"/>
        <v>7580183.4699999997</v>
      </c>
      <c r="I174" s="418">
        <f t="shared" si="174"/>
        <v>682216.5183</v>
      </c>
      <c r="J174" s="418">
        <f t="shared" si="175"/>
        <v>7580183.5366666699</v>
      </c>
      <c r="K174" s="418">
        <f t="shared" si="171"/>
        <v>6.6666667349636596E-2</v>
      </c>
      <c r="L174" s="418">
        <f t="shared" si="172"/>
        <v>5.6666667573154E-2</v>
      </c>
      <c r="M174" s="424"/>
      <c r="N174" s="424"/>
      <c r="O174" s="424"/>
      <c r="P174" s="424"/>
      <c r="Q174" s="419"/>
      <c r="R174" s="419"/>
      <c r="S174" s="419"/>
      <c r="T174" s="420"/>
      <c r="U174" s="423"/>
      <c r="V174" s="420"/>
      <c r="W174" s="420"/>
      <c r="X174" s="419"/>
      <c r="Y174" s="419"/>
      <c r="Z174" s="423"/>
      <c r="AA174" s="423"/>
      <c r="AB174" s="419"/>
      <c r="AC174" s="423"/>
      <c r="AD174" s="420"/>
      <c r="AE174" s="423"/>
      <c r="AF174" s="444"/>
      <c r="AG174" s="419"/>
      <c r="AH174" s="420"/>
      <c r="AI174" s="420"/>
      <c r="AJ174" s="423"/>
      <c r="AK174" s="444"/>
      <c r="AL174" s="420"/>
      <c r="AM174" s="420"/>
      <c r="AN174" s="420"/>
      <c r="AO174" s="423"/>
      <c r="AP174" s="420"/>
      <c r="AQ174" s="419"/>
      <c r="AR174" s="420"/>
      <c r="AS174" s="420"/>
      <c r="AT174" s="420"/>
      <c r="AU174" s="420"/>
      <c r="AV174" s="420"/>
      <c r="AW174" s="420"/>
      <c r="AX174" s="426"/>
      <c r="AY174" s="420"/>
      <c r="AZ174" s="420"/>
      <c r="BA174" s="420"/>
      <c r="BB174" s="419"/>
      <c r="BC174" s="420"/>
      <c r="BD174" s="427"/>
      <c r="BE174" s="420"/>
      <c r="BF174" s="420"/>
      <c r="BG174" s="420"/>
      <c r="BH174" s="423"/>
      <c r="BI174" s="420"/>
      <c r="BJ174" s="420"/>
      <c r="BK174" s="420"/>
      <c r="BL174" s="420"/>
      <c r="BM174" s="420"/>
      <c r="BN174" s="420"/>
      <c r="BO174" s="419"/>
      <c r="BP174" s="428"/>
      <c r="BQ174" s="420"/>
      <c r="BR174" s="423"/>
      <c r="BS174" s="423"/>
      <c r="BT174" s="420"/>
      <c r="BU174" s="420"/>
      <c r="BV174" s="420"/>
      <c r="BW174" s="420"/>
      <c r="BX174" s="429"/>
      <c r="BY174" s="419"/>
      <c r="BZ174" s="419"/>
      <c r="CA174" s="419"/>
      <c r="CB174" s="420"/>
      <c r="CC174" s="430"/>
      <c r="CD174" s="419"/>
      <c r="CE174" s="419"/>
      <c r="CF174" s="419"/>
      <c r="CG174" s="420"/>
      <c r="CH174" s="423"/>
      <c r="CI174" s="432"/>
      <c r="CJ174" s="432"/>
      <c r="CK174" s="432"/>
      <c r="CL174" s="420"/>
      <c r="CM174" s="423"/>
      <c r="CN174" s="420"/>
      <c r="CO174" s="420"/>
      <c r="CP174" s="420"/>
      <c r="CQ174" s="432"/>
      <c r="CR174" s="432"/>
      <c r="CS174" s="420"/>
      <c r="CT174" s="420"/>
      <c r="CU174" s="420"/>
      <c r="CV174" s="420"/>
      <c r="CW174" s="420"/>
      <c r="CX174" s="419"/>
      <c r="CY174" s="419"/>
      <c r="CZ174" s="419"/>
      <c r="DA174" s="419"/>
      <c r="DB174" s="419"/>
      <c r="DC174" s="419"/>
      <c r="DD174" s="419"/>
      <c r="DE174" s="419"/>
      <c r="DF174" s="420"/>
      <c r="DG174" s="421"/>
      <c r="DH174" s="419"/>
      <c r="DI174" s="419"/>
      <c r="DJ174" s="419"/>
      <c r="DK174" s="420"/>
      <c r="DL174" s="422"/>
      <c r="DM174" s="420"/>
      <c r="DN174" s="420"/>
      <c r="DO174" s="420"/>
      <c r="DP174" s="420"/>
      <c r="DQ174" s="420"/>
      <c r="DR174" s="419"/>
      <c r="DS174" s="419"/>
      <c r="DT174" s="419"/>
      <c r="DU174" s="420"/>
      <c r="DV174" s="423"/>
      <c r="DW174" s="419"/>
      <c r="DX174" s="419"/>
      <c r="DY174" s="419"/>
      <c r="DZ174" s="420"/>
      <c r="EA174" s="423"/>
      <c r="EB174" s="420"/>
      <c r="EC174" s="419"/>
      <c r="ED174" s="420"/>
      <c r="EE174" s="419"/>
      <c r="EF174" s="420">
        <f t="shared" si="188"/>
        <v>0</v>
      </c>
      <c r="EG174" s="419">
        <v>1780942.68</v>
      </c>
      <c r="EH174" s="419"/>
      <c r="EI174" s="419">
        <v>160284.84</v>
      </c>
      <c r="EJ174" s="420">
        <f t="shared" si="189"/>
        <v>1780942.67</v>
      </c>
      <c r="EK174" s="420">
        <f t="shared" si="190"/>
        <v>-0.01</v>
      </c>
      <c r="EL174" s="420">
        <v>258600.92</v>
      </c>
      <c r="EM174" s="419"/>
      <c r="EN174" s="419">
        <v>23274.080000000002</v>
      </c>
      <c r="EO174" s="419">
        <f t="shared" si="191"/>
        <v>258600.89</v>
      </c>
      <c r="EP174" s="419">
        <f t="shared" si="192"/>
        <v>-0.03</v>
      </c>
      <c r="EQ174" s="420">
        <v>860483.89</v>
      </c>
      <c r="ER174" s="419"/>
      <c r="ES174" s="419">
        <v>77443.55</v>
      </c>
      <c r="ET174" s="419">
        <f t="shared" si="193"/>
        <v>860483.89</v>
      </c>
      <c r="EU174" s="419">
        <f t="shared" si="194"/>
        <v>0</v>
      </c>
      <c r="EV174" s="455">
        <v>4197457.12</v>
      </c>
      <c r="EW174" s="419"/>
      <c r="EX174" s="455">
        <v>377771.15</v>
      </c>
      <c r="EY174" s="419">
        <f t="shared" si="195"/>
        <v>4197457.22</v>
      </c>
      <c r="EZ174" s="419">
        <f t="shared" si="215"/>
        <v>0.1</v>
      </c>
      <c r="FA174" s="420"/>
      <c r="FB174" s="420"/>
      <c r="FC174" s="420"/>
      <c r="FD174" s="420">
        <f t="shared" si="196"/>
        <v>0</v>
      </c>
      <c r="FE174" s="420">
        <f t="shared" si="197"/>
        <v>0</v>
      </c>
      <c r="FF174" s="419"/>
      <c r="FG174" s="419"/>
      <c r="FH174" s="419"/>
      <c r="FI174" s="419">
        <f t="shared" si="198"/>
        <v>0</v>
      </c>
      <c r="FJ174" s="419">
        <f t="shared" si="199"/>
        <v>0</v>
      </c>
      <c r="FK174" s="419"/>
      <c r="FL174" s="419"/>
      <c r="FM174" s="419"/>
      <c r="FN174" s="420">
        <f t="shared" si="200"/>
        <v>0</v>
      </c>
      <c r="FO174" s="423">
        <f t="shared" si="201"/>
        <v>0</v>
      </c>
      <c r="FP174" s="431">
        <v>482698.87</v>
      </c>
      <c r="FQ174" s="431">
        <v>7580183.4699999997</v>
      </c>
      <c r="FR174" s="431">
        <v>43442.898300000001</v>
      </c>
      <c r="FS174" s="420">
        <f t="shared" si="202"/>
        <v>482698.87</v>
      </c>
      <c r="FT174" s="420">
        <f t="shared" si="203"/>
        <v>0</v>
      </c>
      <c r="FU174" s="419"/>
      <c r="FV174" s="419"/>
      <c r="FW174" s="419"/>
      <c r="FX174" s="420">
        <f t="shared" si="204"/>
        <v>0</v>
      </c>
      <c r="FY174" s="420">
        <f t="shared" si="205"/>
        <v>0</v>
      </c>
      <c r="FZ174" s="419"/>
      <c r="GA174" s="419"/>
      <c r="GB174" s="419"/>
      <c r="GC174" s="420">
        <f t="shared" si="206"/>
        <v>0</v>
      </c>
      <c r="GD174" s="420">
        <f t="shared" si="207"/>
        <v>0</v>
      </c>
      <c r="GE174" s="419"/>
      <c r="GF174" s="419"/>
      <c r="GG174" s="419"/>
      <c r="GH174" s="420">
        <f t="shared" si="208"/>
        <v>0</v>
      </c>
      <c r="GI174" s="423">
        <f t="shared" si="209"/>
        <v>0</v>
      </c>
      <c r="GJ174" s="419"/>
      <c r="GK174" s="419"/>
      <c r="GL174" s="419"/>
      <c r="GM174" s="420">
        <f t="shared" si="210"/>
        <v>0</v>
      </c>
      <c r="GN174" s="420">
        <f t="shared" si="211"/>
        <v>0</v>
      </c>
      <c r="GO174" s="419"/>
      <c r="GP174" s="419"/>
      <c r="GQ174" s="419"/>
      <c r="GR174" s="420">
        <f t="shared" si="216"/>
        <v>0</v>
      </c>
      <c r="GS174" s="423">
        <f t="shared" si="212"/>
        <v>0</v>
      </c>
      <c r="GT174" s="419"/>
      <c r="GU174" s="419"/>
      <c r="GV174" s="419"/>
      <c r="GW174" s="420">
        <f t="shared" si="213"/>
        <v>0</v>
      </c>
      <c r="GX174" s="420">
        <f t="shared" si="214"/>
        <v>0</v>
      </c>
    </row>
    <row r="175" spans="1:206" ht="15">
      <c r="A175" s="414"/>
      <c r="B175" s="415" t="s">
        <v>566</v>
      </c>
      <c r="C175" s="698"/>
      <c r="D175" s="707"/>
      <c r="E175" s="434" t="s">
        <v>125</v>
      </c>
      <c r="F175" s="417">
        <v>0.06</v>
      </c>
      <c r="G175" s="418">
        <f t="shared" si="173"/>
        <v>1772971.66</v>
      </c>
      <c r="H175" s="418">
        <f t="shared" si="174"/>
        <v>0</v>
      </c>
      <c r="I175" s="418">
        <f t="shared" si="174"/>
        <v>106378.3192</v>
      </c>
      <c r="J175" s="418">
        <f t="shared" si="175"/>
        <v>1772971.9866666701</v>
      </c>
      <c r="K175" s="418">
        <f t="shared" si="171"/>
        <v>1772971.9866666701</v>
      </c>
      <c r="L175" s="418">
        <f t="shared" si="172"/>
        <v>0.32666666666045802</v>
      </c>
      <c r="M175" s="424"/>
      <c r="N175" s="424"/>
      <c r="O175" s="424"/>
      <c r="P175" s="424"/>
      <c r="Q175" s="419"/>
      <c r="R175" s="419"/>
      <c r="S175" s="419"/>
      <c r="T175" s="420"/>
      <c r="U175" s="423"/>
      <c r="V175" s="420"/>
      <c r="W175" s="420"/>
      <c r="X175" s="419"/>
      <c r="Y175" s="419"/>
      <c r="Z175" s="423"/>
      <c r="AA175" s="423"/>
      <c r="AB175" s="419"/>
      <c r="AC175" s="423"/>
      <c r="AD175" s="420"/>
      <c r="AE175" s="423"/>
      <c r="AF175" s="444"/>
      <c r="AG175" s="419"/>
      <c r="AH175" s="420"/>
      <c r="AI175" s="420"/>
      <c r="AJ175" s="423"/>
      <c r="AK175" s="444"/>
      <c r="AL175" s="420"/>
      <c r="AM175" s="420"/>
      <c r="AN175" s="420"/>
      <c r="AO175" s="423"/>
      <c r="AP175" s="420"/>
      <c r="AQ175" s="419"/>
      <c r="AR175" s="420"/>
      <c r="AS175" s="420"/>
      <c r="AT175" s="420"/>
      <c r="AU175" s="420"/>
      <c r="AV175" s="420"/>
      <c r="AW175" s="420"/>
      <c r="AX175" s="426"/>
      <c r="AY175" s="420"/>
      <c r="AZ175" s="420"/>
      <c r="BA175" s="420"/>
      <c r="BB175" s="419"/>
      <c r="BC175" s="420"/>
      <c r="BD175" s="427"/>
      <c r="BE175" s="420"/>
      <c r="BF175" s="420"/>
      <c r="BG175" s="420"/>
      <c r="BH175" s="423"/>
      <c r="BI175" s="420"/>
      <c r="BJ175" s="420"/>
      <c r="BK175" s="420"/>
      <c r="BL175" s="420"/>
      <c r="BM175" s="420"/>
      <c r="BN175" s="420"/>
      <c r="BO175" s="419"/>
      <c r="BP175" s="428"/>
      <c r="BQ175" s="420"/>
      <c r="BR175" s="423"/>
      <c r="BS175" s="423"/>
      <c r="BT175" s="420"/>
      <c r="BU175" s="420"/>
      <c r="BV175" s="420"/>
      <c r="BW175" s="420"/>
      <c r="BX175" s="429"/>
      <c r="BY175" s="419"/>
      <c r="BZ175" s="419"/>
      <c r="CA175" s="419"/>
      <c r="CB175" s="420"/>
      <c r="CC175" s="430"/>
      <c r="CD175" s="419"/>
      <c r="CE175" s="419"/>
      <c r="CF175" s="419"/>
      <c r="CG175" s="420"/>
      <c r="CH175" s="423"/>
      <c r="CI175" s="432"/>
      <c r="CJ175" s="432"/>
      <c r="CK175" s="432"/>
      <c r="CL175" s="420"/>
      <c r="CM175" s="423"/>
      <c r="CN175" s="420"/>
      <c r="CO175" s="420"/>
      <c r="CP175" s="420"/>
      <c r="CQ175" s="432"/>
      <c r="CR175" s="432"/>
      <c r="CS175" s="420"/>
      <c r="CT175" s="420"/>
      <c r="CU175" s="420"/>
      <c r="CV175" s="420"/>
      <c r="CW175" s="420"/>
      <c r="CX175" s="419"/>
      <c r="CY175" s="419"/>
      <c r="CZ175" s="419"/>
      <c r="DA175" s="419"/>
      <c r="DB175" s="419"/>
      <c r="DC175" s="419"/>
      <c r="DD175" s="419"/>
      <c r="DE175" s="419"/>
      <c r="DF175" s="420"/>
      <c r="DG175" s="421"/>
      <c r="DH175" s="419"/>
      <c r="DI175" s="419"/>
      <c r="DJ175" s="419"/>
      <c r="DK175" s="420"/>
      <c r="DL175" s="422"/>
      <c r="DM175" s="420"/>
      <c r="DN175" s="420"/>
      <c r="DO175" s="420"/>
      <c r="DP175" s="420"/>
      <c r="DQ175" s="420"/>
      <c r="DR175" s="419"/>
      <c r="DS175" s="419"/>
      <c r="DT175" s="419"/>
      <c r="DU175" s="420"/>
      <c r="DV175" s="423"/>
      <c r="DW175" s="419"/>
      <c r="DX175" s="419"/>
      <c r="DY175" s="419"/>
      <c r="DZ175" s="420"/>
      <c r="EA175" s="423"/>
      <c r="EB175" s="419">
        <v>236438.32</v>
      </c>
      <c r="EC175" s="419"/>
      <c r="ED175" s="420">
        <v>14186.299199999999</v>
      </c>
      <c r="EE175" s="419">
        <v>236438.32</v>
      </c>
      <c r="EF175" s="420">
        <f t="shared" si="188"/>
        <v>0</v>
      </c>
      <c r="EG175" s="419">
        <v>314811.7</v>
      </c>
      <c r="EH175" s="419"/>
      <c r="EI175" s="419">
        <v>18888.7</v>
      </c>
      <c r="EJ175" s="420">
        <f t="shared" si="189"/>
        <v>314811.67</v>
      </c>
      <c r="EK175" s="420">
        <f t="shared" si="190"/>
        <v>-0.03</v>
      </c>
      <c r="EL175" s="419">
        <v>329438.48</v>
      </c>
      <c r="EN175" s="419">
        <v>19766.310000000001</v>
      </c>
      <c r="EO175" s="419">
        <f t="shared" si="191"/>
        <v>329438.5</v>
      </c>
      <c r="EP175" s="419">
        <f t="shared" si="192"/>
        <v>0.02</v>
      </c>
      <c r="EQ175" s="419">
        <v>36479.39</v>
      </c>
      <c r="ER175" s="419"/>
      <c r="ES175" s="419">
        <v>2188.7600000000002</v>
      </c>
      <c r="ET175" s="419">
        <f t="shared" si="193"/>
        <v>36479.33</v>
      </c>
      <c r="EU175" s="419">
        <f t="shared" si="194"/>
        <v>-0.06</v>
      </c>
      <c r="EV175" s="419">
        <v>166044.93</v>
      </c>
      <c r="EW175" s="419"/>
      <c r="EX175" s="419">
        <v>9962.7099999999991</v>
      </c>
      <c r="EY175" s="419">
        <f t="shared" si="195"/>
        <v>166045.17000000001</v>
      </c>
      <c r="EZ175" s="419">
        <f t="shared" si="215"/>
        <v>0.24</v>
      </c>
      <c r="FA175" s="420">
        <v>52632.72</v>
      </c>
      <c r="FB175" s="420"/>
      <c r="FC175" s="420">
        <v>3157.97</v>
      </c>
      <c r="FD175" s="420">
        <f t="shared" si="196"/>
        <v>52632.83</v>
      </c>
      <c r="FE175" s="420">
        <f t="shared" si="197"/>
        <v>0.11</v>
      </c>
      <c r="FF175" s="419">
        <v>82755.839999999997</v>
      </c>
      <c r="FG175" s="419"/>
      <c r="FH175" s="419">
        <v>4965.3599999999997</v>
      </c>
      <c r="FI175" s="419">
        <f t="shared" si="198"/>
        <v>82756</v>
      </c>
      <c r="FJ175" s="419">
        <f t="shared" si="199"/>
        <v>0.16</v>
      </c>
      <c r="FK175" s="419">
        <v>554370.28</v>
      </c>
      <c r="FL175" s="419"/>
      <c r="FM175" s="419">
        <v>33262.21</v>
      </c>
      <c r="FN175" s="420">
        <f t="shared" si="200"/>
        <v>554370.17000000004</v>
      </c>
      <c r="FO175" s="423">
        <f t="shared" si="201"/>
        <v>-0.11</v>
      </c>
      <c r="FP175" s="419"/>
      <c r="FQ175" s="419"/>
      <c r="FR175" s="419"/>
      <c r="FS175" s="420">
        <f t="shared" si="202"/>
        <v>0</v>
      </c>
      <c r="FT175" s="420">
        <f t="shared" si="203"/>
        <v>0</v>
      </c>
      <c r="FU175" s="419"/>
      <c r="FV175" s="419"/>
      <c r="FW175" s="419"/>
      <c r="FX175" s="420">
        <f t="shared" si="204"/>
        <v>0</v>
      </c>
      <c r="FY175" s="420">
        <f t="shared" si="205"/>
        <v>0</v>
      </c>
      <c r="FZ175" s="419"/>
      <c r="GA175" s="419"/>
      <c r="GB175" s="419"/>
      <c r="GC175" s="420">
        <f t="shared" si="206"/>
        <v>0</v>
      </c>
      <c r="GD175" s="420">
        <f t="shared" si="207"/>
        <v>0</v>
      </c>
      <c r="GE175" s="419"/>
      <c r="GF175" s="419"/>
      <c r="GG175" s="419"/>
      <c r="GH175" s="420">
        <f t="shared" si="208"/>
        <v>0</v>
      </c>
      <c r="GI175" s="423">
        <f t="shared" si="209"/>
        <v>0</v>
      </c>
      <c r="GJ175" s="419"/>
      <c r="GK175" s="419"/>
      <c r="GL175" s="419"/>
      <c r="GM175" s="420">
        <f t="shared" si="210"/>
        <v>0</v>
      </c>
      <c r="GN175" s="420">
        <f t="shared" si="211"/>
        <v>0</v>
      </c>
      <c r="GO175" s="419"/>
      <c r="GP175" s="419"/>
      <c r="GQ175" s="419"/>
      <c r="GR175" s="420">
        <f t="shared" si="216"/>
        <v>0</v>
      </c>
      <c r="GS175" s="423">
        <f t="shared" si="212"/>
        <v>0</v>
      </c>
      <c r="GT175" s="419"/>
      <c r="GU175" s="419"/>
      <c r="GV175" s="419"/>
      <c r="GW175" s="420">
        <f t="shared" si="213"/>
        <v>0</v>
      </c>
      <c r="GX175" s="420">
        <f t="shared" si="214"/>
        <v>0</v>
      </c>
    </row>
    <row r="176" spans="1:206" ht="15">
      <c r="A176" s="414"/>
      <c r="B176" s="415" t="s">
        <v>568</v>
      </c>
      <c r="C176" s="698"/>
      <c r="D176" s="704" t="s">
        <v>569</v>
      </c>
      <c r="E176" s="434" t="s">
        <v>123</v>
      </c>
      <c r="F176" s="417">
        <v>0.13</v>
      </c>
      <c r="G176" s="418">
        <f t="shared" si="173"/>
        <v>53217738.409999996</v>
      </c>
      <c r="H176" s="418">
        <f t="shared" si="174"/>
        <v>21467625.690000001</v>
      </c>
      <c r="I176" s="418">
        <f t="shared" si="174"/>
        <v>6918306.0099999998</v>
      </c>
      <c r="J176" s="418">
        <f t="shared" si="175"/>
        <v>53217738.538461499</v>
      </c>
      <c r="K176" s="418">
        <f t="shared" si="171"/>
        <v>31750112.848461501</v>
      </c>
      <c r="L176" s="418">
        <f t="shared" si="172"/>
        <v>0.128461539745331</v>
      </c>
      <c r="M176" s="424"/>
      <c r="N176" s="424"/>
      <c r="O176" s="424"/>
      <c r="P176" s="424"/>
      <c r="Q176" s="419"/>
      <c r="R176" s="419"/>
      <c r="S176" s="419"/>
      <c r="T176" s="420"/>
      <c r="U176" s="423"/>
      <c r="V176" s="420"/>
      <c r="W176" s="420"/>
      <c r="X176" s="419"/>
      <c r="Y176" s="419"/>
      <c r="Z176" s="423"/>
      <c r="AA176" s="423"/>
      <c r="AB176" s="419"/>
      <c r="AC176" s="423"/>
      <c r="AD176" s="420"/>
      <c r="AE176" s="423"/>
      <c r="AF176" s="444"/>
      <c r="AG176" s="419"/>
      <c r="AH176" s="420"/>
      <c r="AI176" s="420"/>
      <c r="AJ176" s="423"/>
      <c r="AK176" s="444"/>
      <c r="AL176" s="420"/>
      <c r="AM176" s="420"/>
      <c r="AN176" s="420"/>
      <c r="AO176" s="423"/>
      <c r="AP176" s="420"/>
      <c r="AQ176" s="419"/>
      <c r="AR176" s="420"/>
      <c r="AS176" s="420"/>
      <c r="AT176" s="420"/>
      <c r="AU176" s="420"/>
      <c r="AV176" s="420"/>
      <c r="AW176" s="420"/>
      <c r="AX176" s="426"/>
      <c r="AY176" s="420"/>
      <c r="AZ176" s="420"/>
      <c r="BA176" s="420"/>
      <c r="BB176" s="419"/>
      <c r="BC176" s="420"/>
      <c r="BD176" s="427"/>
      <c r="BE176" s="420"/>
      <c r="BF176" s="420"/>
      <c r="BG176" s="420"/>
      <c r="BH176" s="423"/>
      <c r="BI176" s="420"/>
      <c r="BJ176" s="420"/>
      <c r="BK176" s="420"/>
      <c r="BL176" s="420"/>
      <c r="BM176" s="420"/>
      <c r="BN176" s="420"/>
      <c r="BO176" s="419"/>
      <c r="BP176" s="428"/>
      <c r="BQ176" s="420"/>
      <c r="BR176" s="423"/>
      <c r="BS176" s="423"/>
      <c r="BT176" s="420"/>
      <c r="BU176" s="420"/>
      <c r="BV176" s="420"/>
      <c r="BW176" s="420"/>
      <c r="BX176" s="429"/>
      <c r="BY176" s="419"/>
      <c r="BZ176" s="419"/>
      <c r="CA176" s="419"/>
      <c r="CB176" s="420"/>
      <c r="CC176" s="430"/>
      <c r="CD176" s="419"/>
      <c r="CE176" s="419"/>
      <c r="CF176" s="419"/>
      <c r="CG176" s="420"/>
      <c r="CH176" s="423"/>
      <c r="CI176" s="432"/>
      <c r="CJ176" s="432"/>
      <c r="CK176" s="432"/>
      <c r="CL176" s="420"/>
      <c r="CM176" s="423"/>
      <c r="CN176" s="420"/>
      <c r="CO176" s="420"/>
      <c r="CP176" s="420"/>
      <c r="CQ176" s="432"/>
      <c r="CR176" s="432"/>
      <c r="CS176" s="420"/>
      <c r="CT176" s="420"/>
      <c r="CU176" s="420"/>
      <c r="CV176" s="420"/>
      <c r="CW176" s="420"/>
      <c r="CX176" s="419"/>
      <c r="CY176" s="419"/>
      <c r="CZ176" s="419"/>
      <c r="DA176" s="419"/>
      <c r="DB176" s="419"/>
      <c r="DC176" s="419"/>
      <c r="DD176" s="419"/>
      <c r="DE176" s="419"/>
      <c r="DF176" s="420"/>
      <c r="DG176" s="421"/>
      <c r="DH176" s="419"/>
      <c r="DI176" s="419"/>
      <c r="DJ176" s="419"/>
      <c r="DK176" s="420"/>
      <c r="DL176" s="422"/>
      <c r="DM176" s="420"/>
      <c r="DN176" s="420"/>
      <c r="DO176" s="420"/>
      <c r="DP176" s="420"/>
      <c r="DQ176" s="420"/>
      <c r="DR176" s="419"/>
      <c r="DS176" s="419"/>
      <c r="DT176" s="419"/>
      <c r="DU176" s="420"/>
      <c r="DV176" s="423"/>
      <c r="DW176" s="419"/>
      <c r="DX176" s="419"/>
      <c r="DY176" s="419"/>
      <c r="DZ176" s="420"/>
      <c r="EA176" s="423"/>
      <c r="EB176" s="419"/>
      <c r="EC176" s="419"/>
      <c r="ED176" s="420"/>
      <c r="EE176" s="419"/>
      <c r="EF176" s="420"/>
      <c r="EG176" s="419"/>
      <c r="EH176" s="419"/>
      <c r="EI176" s="419"/>
      <c r="EJ176" s="420"/>
      <c r="EK176" s="420"/>
      <c r="EL176" s="419"/>
      <c r="EM176" s="419"/>
      <c r="EN176" s="419"/>
      <c r="EO176" s="419">
        <f t="shared" si="191"/>
        <v>0</v>
      </c>
      <c r="EP176" s="419">
        <f t="shared" si="192"/>
        <v>0</v>
      </c>
      <c r="EQ176" s="419"/>
      <c r="ER176" s="419"/>
      <c r="ES176" s="419"/>
      <c r="ET176" s="419">
        <f t="shared" si="193"/>
        <v>0</v>
      </c>
      <c r="EU176" s="419">
        <f t="shared" si="194"/>
        <v>0</v>
      </c>
      <c r="EV176" s="455">
        <v>487216.65</v>
      </c>
      <c r="EW176" s="419"/>
      <c r="EX176" s="455">
        <v>63338.16</v>
      </c>
      <c r="EY176" s="419">
        <f t="shared" si="195"/>
        <v>487216.62</v>
      </c>
      <c r="EZ176" s="419">
        <f t="shared" si="215"/>
        <v>-0.03</v>
      </c>
      <c r="FA176" s="420"/>
      <c r="FB176" s="420"/>
      <c r="FC176" s="420"/>
      <c r="FD176" s="420">
        <f t="shared" si="196"/>
        <v>0</v>
      </c>
      <c r="FE176" s="420">
        <f t="shared" si="197"/>
        <v>0</v>
      </c>
      <c r="FF176" s="419"/>
      <c r="FG176" s="419"/>
      <c r="FH176" s="419"/>
      <c r="FI176" s="419">
        <f t="shared" si="198"/>
        <v>0</v>
      </c>
      <c r="FJ176" s="419">
        <f t="shared" si="199"/>
        <v>0</v>
      </c>
      <c r="FK176" s="419"/>
      <c r="FL176" s="419"/>
      <c r="FM176" s="419"/>
      <c r="FN176" s="420">
        <f t="shared" si="200"/>
        <v>0</v>
      </c>
      <c r="FO176" s="423">
        <f t="shared" si="201"/>
        <v>0</v>
      </c>
      <c r="FP176" s="419"/>
      <c r="FQ176" s="419"/>
      <c r="FR176" s="419"/>
      <c r="FS176" s="420">
        <f t="shared" si="202"/>
        <v>0</v>
      </c>
      <c r="FT176" s="420">
        <f t="shared" si="203"/>
        <v>0</v>
      </c>
      <c r="FU176" s="419">
        <v>3212199.29</v>
      </c>
      <c r="FV176" s="419"/>
      <c r="FW176" s="419">
        <v>417585.91</v>
      </c>
      <c r="FX176" s="420">
        <f t="shared" si="204"/>
        <v>3212199.31</v>
      </c>
      <c r="FY176" s="420">
        <f t="shared" si="205"/>
        <v>2.00000000186265E-2</v>
      </c>
      <c r="FZ176" s="419">
        <v>8569778.8499999996</v>
      </c>
      <c r="GA176" s="419">
        <v>3699415.94</v>
      </c>
      <c r="GB176" s="419">
        <v>1114071.26</v>
      </c>
      <c r="GC176" s="420">
        <f t="shared" si="206"/>
        <v>8569778.9199999999</v>
      </c>
      <c r="GD176" s="420">
        <f t="shared" si="207"/>
        <v>7.0000000298023196E-2</v>
      </c>
      <c r="GE176" s="419">
        <v>9198430.9000000004</v>
      </c>
      <c r="GF176" s="419"/>
      <c r="GG176" s="419">
        <v>1195796.02</v>
      </c>
      <c r="GH176" s="420">
        <f t="shared" si="208"/>
        <v>9198430.9230769202</v>
      </c>
      <c r="GI176" s="423">
        <f t="shared" si="209"/>
        <v>2.3076921701431299E-2</v>
      </c>
      <c r="GJ176" s="419">
        <v>31750112.719999999</v>
      </c>
      <c r="GK176" s="419">
        <v>17768209.75</v>
      </c>
      <c r="GL176" s="419">
        <v>4127514.66</v>
      </c>
      <c r="GM176" s="420">
        <f t="shared" si="210"/>
        <v>31750112.769230802</v>
      </c>
      <c r="GN176" s="420">
        <f t="shared" si="211"/>
        <v>4.9230769276618999E-2</v>
      </c>
      <c r="GO176" s="419"/>
      <c r="GP176" s="419"/>
      <c r="GQ176" s="419"/>
      <c r="GR176" s="420">
        <f t="shared" si="216"/>
        <v>0</v>
      </c>
      <c r="GS176" s="423">
        <f t="shared" si="212"/>
        <v>0</v>
      </c>
      <c r="GT176" s="419"/>
      <c r="GU176" s="419"/>
      <c r="GV176" s="419"/>
      <c r="GW176" s="420">
        <f t="shared" si="213"/>
        <v>0</v>
      </c>
      <c r="GX176" s="420">
        <f t="shared" si="214"/>
        <v>0</v>
      </c>
    </row>
    <row r="177" spans="1:206" ht="15">
      <c r="A177" s="414"/>
      <c r="B177" s="415" t="s">
        <v>568</v>
      </c>
      <c r="C177" s="698"/>
      <c r="D177" s="705"/>
      <c r="E177" s="434" t="s">
        <v>124</v>
      </c>
      <c r="F177" s="417">
        <v>0.09</v>
      </c>
      <c r="G177" s="418">
        <f t="shared" si="173"/>
        <v>64440914.18</v>
      </c>
      <c r="H177" s="418">
        <f t="shared" si="174"/>
        <v>31269278.280000001</v>
      </c>
      <c r="I177" s="418">
        <f t="shared" si="174"/>
        <v>5799682.2800000003</v>
      </c>
      <c r="J177" s="418">
        <f t="shared" si="175"/>
        <v>64440914.222222202</v>
      </c>
      <c r="K177" s="418">
        <f t="shared" si="171"/>
        <v>33171635.9422222</v>
      </c>
      <c r="L177" s="418">
        <f t="shared" si="172"/>
        <v>4.2222231626510599E-2</v>
      </c>
      <c r="M177" s="424"/>
      <c r="N177" s="424"/>
      <c r="O177" s="424"/>
      <c r="P177" s="424"/>
      <c r="Q177" s="419"/>
      <c r="R177" s="419"/>
      <c r="S177" s="419"/>
      <c r="T177" s="420"/>
      <c r="U177" s="423"/>
      <c r="V177" s="420"/>
      <c r="W177" s="420"/>
      <c r="X177" s="419"/>
      <c r="Y177" s="419"/>
      <c r="Z177" s="423"/>
      <c r="AA177" s="423"/>
      <c r="AB177" s="419"/>
      <c r="AC177" s="423"/>
      <c r="AD177" s="420"/>
      <c r="AE177" s="423"/>
      <c r="AF177" s="444"/>
      <c r="AG177" s="419"/>
      <c r="AH177" s="420"/>
      <c r="AI177" s="420"/>
      <c r="AJ177" s="423"/>
      <c r="AK177" s="444"/>
      <c r="AL177" s="420"/>
      <c r="AM177" s="420"/>
      <c r="AN177" s="420"/>
      <c r="AO177" s="423"/>
      <c r="AP177" s="420"/>
      <c r="AQ177" s="419"/>
      <c r="AR177" s="420"/>
      <c r="AS177" s="420"/>
      <c r="AT177" s="420"/>
      <c r="AU177" s="420"/>
      <c r="AV177" s="420"/>
      <c r="AW177" s="420"/>
      <c r="AX177" s="426"/>
      <c r="AY177" s="420"/>
      <c r="AZ177" s="420"/>
      <c r="BA177" s="420"/>
      <c r="BB177" s="419"/>
      <c r="BC177" s="420"/>
      <c r="BD177" s="427"/>
      <c r="BE177" s="420"/>
      <c r="BF177" s="420"/>
      <c r="BG177" s="420"/>
      <c r="BH177" s="423"/>
      <c r="BI177" s="420"/>
      <c r="BJ177" s="420"/>
      <c r="BK177" s="420"/>
      <c r="BL177" s="420"/>
      <c r="BM177" s="420"/>
      <c r="BN177" s="420"/>
      <c r="BO177" s="419"/>
      <c r="BP177" s="428"/>
      <c r="BQ177" s="420"/>
      <c r="BR177" s="423"/>
      <c r="BS177" s="423"/>
      <c r="BT177" s="420"/>
      <c r="BU177" s="420"/>
      <c r="BV177" s="420"/>
      <c r="BW177" s="420"/>
      <c r="BX177" s="429"/>
      <c r="BY177" s="419"/>
      <c r="BZ177" s="419"/>
      <c r="CA177" s="419"/>
      <c r="CB177" s="420"/>
      <c r="CC177" s="430"/>
      <c r="CD177" s="419"/>
      <c r="CE177" s="419"/>
      <c r="CF177" s="419"/>
      <c r="CG177" s="420"/>
      <c r="CH177" s="423"/>
      <c r="CI177" s="432"/>
      <c r="CJ177" s="432"/>
      <c r="CK177" s="432"/>
      <c r="CL177" s="420"/>
      <c r="CM177" s="423"/>
      <c r="CN177" s="420"/>
      <c r="CO177" s="420"/>
      <c r="CP177" s="420"/>
      <c r="CQ177" s="432"/>
      <c r="CR177" s="432"/>
      <c r="CS177" s="420"/>
      <c r="CT177" s="420"/>
      <c r="CU177" s="420"/>
      <c r="CV177" s="420"/>
      <c r="CW177" s="420"/>
      <c r="CX177" s="419"/>
      <c r="CY177" s="419"/>
      <c r="CZ177" s="419"/>
      <c r="DA177" s="419"/>
      <c r="DB177" s="419"/>
      <c r="DC177" s="419"/>
      <c r="DD177" s="419"/>
      <c r="DE177" s="419"/>
      <c r="DF177" s="420"/>
      <c r="DG177" s="421"/>
      <c r="DH177" s="419"/>
      <c r="DI177" s="419"/>
      <c r="DJ177" s="419"/>
      <c r="DK177" s="420"/>
      <c r="DL177" s="422"/>
      <c r="DM177" s="420"/>
      <c r="DN177" s="420"/>
      <c r="DO177" s="420"/>
      <c r="DP177" s="420"/>
      <c r="DQ177" s="420"/>
      <c r="DR177" s="419"/>
      <c r="DS177" s="419"/>
      <c r="DT177" s="419"/>
      <c r="DU177" s="420"/>
      <c r="DV177" s="423"/>
      <c r="DW177" s="419"/>
      <c r="DX177" s="419"/>
      <c r="DY177" s="419"/>
      <c r="DZ177" s="420"/>
      <c r="EA177" s="423"/>
      <c r="EB177" s="419"/>
      <c r="EC177" s="419"/>
      <c r="ED177" s="420"/>
      <c r="EE177" s="419"/>
      <c r="EF177" s="420"/>
      <c r="EG177" s="419"/>
      <c r="EH177" s="419"/>
      <c r="EI177" s="419"/>
      <c r="EJ177" s="420"/>
      <c r="EK177" s="420"/>
      <c r="EL177" s="420">
        <v>139320.39000000001</v>
      </c>
      <c r="EM177" s="419"/>
      <c r="EN177" s="419">
        <v>12538.84</v>
      </c>
      <c r="EO177" s="419">
        <f t="shared" si="191"/>
        <v>139320.44</v>
      </c>
      <c r="EP177" s="419">
        <f t="shared" si="192"/>
        <v>0.05</v>
      </c>
      <c r="EQ177" s="420"/>
      <c r="ER177" s="419"/>
      <c r="ES177" s="419"/>
      <c r="ET177" s="419">
        <f t="shared" si="193"/>
        <v>0</v>
      </c>
      <c r="EU177" s="419">
        <f t="shared" si="194"/>
        <v>0</v>
      </c>
      <c r="EV177" s="455">
        <v>278640.78000000003</v>
      </c>
      <c r="EW177" s="419"/>
      <c r="EX177" s="455">
        <v>25077.67</v>
      </c>
      <c r="EY177" s="419">
        <f t="shared" si="195"/>
        <v>278640.78000000003</v>
      </c>
      <c r="EZ177" s="419">
        <f t="shared" si="215"/>
        <v>0</v>
      </c>
      <c r="FA177" s="420"/>
      <c r="FB177" s="420"/>
      <c r="FC177" s="420"/>
      <c r="FD177" s="420">
        <f t="shared" si="196"/>
        <v>0</v>
      </c>
      <c r="FE177" s="420">
        <f t="shared" si="197"/>
        <v>0</v>
      </c>
      <c r="FF177" s="419">
        <v>2670995.98</v>
      </c>
      <c r="FG177" s="419"/>
      <c r="FH177" s="419">
        <v>240389.64</v>
      </c>
      <c r="FI177" s="419">
        <f t="shared" si="198"/>
        <v>2670996</v>
      </c>
      <c r="FJ177" s="419">
        <f t="shared" si="199"/>
        <v>0.02</v>
      </c>
      <c r="FK177" s="419">
        <v>8572357.6400000006</v>
      </c>
      <c r="FL177" s="419"/>
      <c r="FM177" s="419">
        <v>771512.18</v>
      </c>
      <c r="FN177" s="420">
        <f t="shared" si="200"/>
        <v>8572357.5600000005</v>
      </c>
      <c r="FO177" s="423">
        <f t="shared" si="201"/>
        <v>-0.08</v>
      </c>
      <c r="FP177" s="419">
        <v>9702914.5399999991</v>
      </c>
      <c r="FQ177" s="419">
        <v>0</v>
      </c>
      <c r="FR177" s="419">
        <v>873262.31</v>
      </c>
      <c r="FS177" s="420">
        <f t="shared" si="202"/>
        <v>9702914.5600000005</v>
      </c>
      <c r="FT177" s="420">
        <f t="shared" si="203"/>
        <v>2.00000014156103E-2</v>
      </c>
      <c r="FU177" s="419">
        <v>9905048.9499999993</v>
      </c>
      <c r="FV177" s="419"/>
      <c r="FW177" s="419">
        <v>891454.39</v>
      </c>
      <c r="FX177" s="420">
        <f t="shared" si="204"/>
        <v>9905048.7799999993</v>
      </c>
      <c r="FY177" s="420">
        <f t="shared" si="205"/>
        <v>-0.169999999925494</v>
      </c>
      <c r="FZ177" s="419">
        <v>6634515.6600000001</v>
      </c>
      <c r="GA177" s="419">
        <v>31269278.280000001</v>
      </c>
      <c r="GB177" s="419">
        <v>597106.43000000005</v>
      </c>
      <c r="GC177" s="420">
        <f t="shared" si="206"/>
        <v>6634515.8899999997</v>
      </c>
      <c r="GD177" s="420">
        <f t="shared" si="207"/>
        <v>0.22999999951571201</v>
      </c>
      <c r="GE177" s="419">
        <v>15658218.4</v>
      </c>
      <c r="GF177" s="419"/>
      <c r="GG177" s="419">
        <v>1409239.66</v>
      </c>
      <c r="GH177" s="420">
        <f t="shared" si="208"/>
        <v>15658218.444444399</v>
      </c>
      <c r="GI177" s="423">
        <f t="shared" si="209"/>
        <v>4.4444443657994298E-2</v>
      </c>
      <c r="GJ177" s="420">
        <v>10887662.949999999</v>
      </c>
      <c r="GK177" s="420"/>
      <c r="GL177" s="420">
        <v>979889.66</v>
      </c>
      <c r="GM177" s="420">
        <f t="shared" si="210"/>
        <v>10887662.888888899</v>
      </c>
      <c r="GN177" s="420">
        <f t="shared" si="211"/>
        <v>-6.1111109331250198E-2</v>
      </c>
      <c r="GO177" s="419"/>
      <c r="GP177" s="419"/>
      <c r="GQ177" s="419"/>
      <c r="GR177" s="420">
        <f t="shared" si="216"/>
        <v>0</v>
      </c>
      <c r="GS177" s="423">
        <f t="shared" si="212"/>
        <v>0</v>
      </c>
      <c r="GT177" s="419">
        <v>-8761.11</v>
      </c>
      <c r="GU177" s="419"/>
      <c r="GV177" s="419">
        <v>-788.5</v>
      </c>
      <c r="GW177" s="420">
        <f t="shared" si="213"/>
        <v>-8761.11</v>
      </c>
      <c r="GX177" s="420">
        <f t="shared" si="214"/>
        <v>0</v>
      </c>
    </row>
    <row r="178" spans="1:206" ht="15">
      <c r="A178" s="414"/>
      <c r="B178" s="415" t="s">
        <v>568</v>
      </c>
      <c r="C178" s="698"/>
      <c r="D178" s="707"/>
      <c r="E178" s="434" t="s">
        <v>125</v>
      </c>
      <c r="F178" s="417">
        <v>0.06</v>
      </c>
      <c r="G178" s="418">
        <f t="shared" si="173"/>
        <v>10419468.02</v>
      </c>
      <c r="H178" s="418">
        <f t="shared" si="174"/>
        <v>6631574.2599999998</v>
      </c>
      <c r="I178" s="418">
        <f t="shared" si="174"/>
        <v>625168.06000000006</v>
      </c>
      <c r="J178" s="418">
        <f t="shared" si="175"/>
        <v>10419467.6666667</v>
      </c>
      <c r="K178" s="418">
        <f t="shared" si="171"/>
        <v>3787893.40666667</v>
      </c>
      <c r="L178" s="418">
        <f t="shared" si="172"/>
        <v>-0.35333333164453501</v>
      </c>
      <c r="M178" s="424"/>
      <c r="N178" s="424"/>
      <c r="O178" s="424"/>
      <c r="P178" s="424"/>
      <c r="Q178" s="419"/>
      <c r="R178" s="419"/>
      <c r="S178" s="419"/>
      <c r="T178" s="420"/>
      <c r="U178" s="423"/>
      <c r="V178" s="420"/>
      <c r="W178" s="420"/>
      <c r="X178" s="419"/>
      <c r="Y178" s="419"/>
      <c r="Z178" s="423"/>
      <c r="AA178" s="423"/>
      <c r="AB178" s="419"/>
      <c r="AC178" s="423"/>
      <c r="AD178" s="420"/>
      <c r="AE178" s="423"/>
      <c r="AF178" s="444"/>
      <c r="AG178" s="419"/>
      <c r="AH178" s="420"/>
      <c r="AI178" s="420"/>
      <c r="AJ178" s="423"/>
      <c r="AK178" s="444"/>
      <c r="AL178" s="420"/>
      <c r="AM178" s="420"/>
      <c r="AN178" s="420"/>
      <c r="AO178" s="423"/>
      <c r="AP178" s="420"/>
      <c r="AQ178" s="419"/>
      <c r="AR178" s="420"/>
      <c r="AS178" s="420"/>
      <c r="AT178" s="420"/>
      <c r="AU178" s="420"/>
      <c r="AV178" s="420"/>
      <c r="AW178" s="420"/>
      <c r="AX178" s="426"/>
      <c r="AY178" s="420"/>
      <c r="AZ178" s="420"/>
      <c r="BA178" s="420"/>
      <c r="BB178" s="419"/>
      <c r="BC178" s="420"/>
      <c r="BD178" s="427"/>
      <c r="BE178" s="420"/>
      <c r="BF178" s="420"/>
      <c r="BG178" s="420"/>
      <c r="BH178" s="423"/>
      <c r="BI178" s="420"/>
      <c r="BJ178" s="420"/>
      <c r="BK178" s="420"/>
      <c r="BL178" s="420"/>
      <c r="BM178" s="420"/>
      <c r="BN178" s="420"/>
      <c r="BO178" s="419"/>
      <c r="BP178" s="428"/>
      <c r="BQ178" s="420"/>
      <c r="BR178" s="423"/>
      <c r="BS178" s="423"/>
      <c r="BT178" s="420"/>
      <c r="BU178" s="420"/>
      <c r="BV178" s="420"/>
      <c r="BW178" s="420"/>
      <c r="BX178" s="429"/>
      <c r="BY178" s="419"/>
      <c r="BZ178" s="419"/>
      <c r="CA178" s="419"/>
      <c r="CB178" s="420"/>
      <c r="CC178" s="430"/>
      <c r="CD178" s="419"/>
      <c r="CE178" s="419"/>
      <c r="CF178" s="419"/>
      <c r="CG178" s="420"/>
      <c r="CH178" s="423"/>
      <c r="CI178" s="432"/>
      <c r="CJ178" s="432"/>
      <c r="CK178" s="432"/>
      <c r="CL178" s="420"/>
      <c r="CM178" s="423"/>
      <c r="CN178" s="420"/>
      <c r="CO178" s="420"/>
      <c r="CP178" s="420"/>
      <c r="CQ178" s="432"/>
      <c r="CR178" s="432"/>
      <c r="CS178" s="420"/>
      <c r="CT178" s="420"/>
      <c r="CU178" s="420"/>
      <c r="CV178" s="420"/>
      <c r="CW178" s="420"/>
      <c r="CX178" s="419"/>
      <c r="CY178" s="419"/>
      <c r="CZ178" s="419"/>
      <c r="DA178" s="419"/>
      <c r="DB178" s="419"/>
      <c r="DC178" s="419"/>
      <c r="DD178" s="419"/>
      <c r="DE178" s="419"/>
      <c r="DF178" s="420"/>
      <c r="DG178" s="421"/>
      <c r="DH178" s="419"/>
      <c r="DI178" s="419"/>
      <c r="DJ178" s="419"/>
      <c r="DK178" s="420"/>
      <c r="DL178" s="422"/>
      <c r="DM178" s="420"/>
      <c r="DN178" s="420"/>
      <c r="DO178" s="420"/>
      <c r="DP178" s="420"/>
      <c r="DQ178" s="420"/>
      <c r="DR178" s="419"/>
      <c r="DS178" s="419"/>
      <c r="DT178" s="419"/>
      <c r="DU178" s="420"/>
      <c r="DV178" s="423"/>
      <c r="DW178" s="419"/>
      <c r="DX178" s="419"/>
      <c r="DY178" s="419"/>
      <c r="DZ178" s="420"/>
      <c r="EA178" s="423"/>
      <c r="EB178" s="419"/>
      <c r="EC178" s="419"/>
      <c r="ED178" s="420"/>
      <c r="EE178" s="419"/>
      <c r="EF178" s="420"/>
      <c r="EG178" s="419"/>
      <c r="EH178" s="419"/>
      <c r="EI178" s="419"/>
      <c r="EJ178" s="420"/>
      <c r="EK178" s="420"/>
      <c r="EL178" s="419">
        <v>1834353.99</v>
      </c>
      <c r="EN178" s="419">
        <v>110061.23</v>
      </c>
      <c r="EO178" s="419">
        <f t="shared" si="191"/>
        <v>1834353.83</v>
      </c>
      <c r="EP178" s="419">
        <f t="shared" si="192"/>
        <v>-0.16</v>
      </c>
      <c r="EQ178" s="419">
        <v>69884.94</v>
      </c>
      <c r="ER178" s="419"/>
      <c r="ES178" s="419">
        <v>4193.1000000000004</v>
      </c>
      <c r="ET178" s="419">
        <f t="shared" si="193"/>
        <v>69885</v>
      </c>
      <c r="EU178" s="419">
        <f t="shared" si="194"/>
        <v>0.06</v>
      </c>
      <c r="EV178" s="419">
        <v>225313.37</v>
      </c>
      <c r="EW178" s="419"/>
      <c r="EX178" s="419">
        <v>13518.8</v>
      </c>
      <c r="EY178" s="419">
        <f t="shared" si="195"/>
        <v>225313.33</v>
      </c>
      <c r="EZ178" s="419">
        <f t="shared" si="215"/>
        <v>-0.04</v>
      </c>
      <c r="FA178" s="420">
        <v>309745.67</v>
      </c>
      <c r="FB178" s="420"/>
      <c r="FC178" s="420">
        <v>18584.740000000002</v>
      </c>
      <c r="FD178" s="420">
        <f t="shared" si="196"/>
        <v>309745.67</v>
      </c>
      <c r="FE178" s="420">
        <f t="shared" si="197"/>
        <v>0</v>
      </c>
      <c r="FF178" s="419">
        <v>71253.8</v>
      </c>
      <c r="FG178" s="419"/>
      <c r="FH178" s="419">
        <v>4275.22</v>
      </c>
      <c r="FI178" s="419">
        <f t="shared" si="198"/>
        <v>71253.666666666701</v>
      </c>
      <c r="FJ178" s="419">
        <f t="shared" si="199"/>
        <v>-0.13</v>
      </c>
      <c r="FK178" s="419">
        <v>88849.97</v>
      </c>
      <c r="FL178" s="419"/>
      <c r="FM178" s="419">
        <v>5330.99</v>
      </c>
      <c r="FN178" s="420">
        <f t="shared" si="200"/>
        <v>88849.83</v>
      </c>
      <c r="FO178" s="423">
        <f t="shared" si="201"/>
        <v>-0.14000000000000001</v>
      </c>
      <c r="FP178" s="431">
        <v>732230.52</v>
      </c>
      <c r="FQ178" s="431">
        <v>0</v>
      </c>
      <c r="FR178" s="431">
        <v>43933.83</v>
      </c>
      <c r="FS178" s="420">
        <f t="shared" si="202"/>
        <v>732230.5</v>
      </c>
      <c r="FT178" s="420">
        <f t="shared" si="203"/>
        <v>-2.00000000186265E-2</v>
      </c>
      <c r="FU178" s="419">
        <v>612948.41</v>
      </c>
      <c r="FV178" s="419"/>
      <c r="FW178" s="419">
        <v>36776.910000000003</v>
      </c>
      <c r="FX178" s="420">
        <f t="shared" si="204"/>
        <v>612948.5</v>
      </c>
      <c r="FY178" s="420">
        <f t="shared" si="205"/>
        <v>8.9999999967403696E-2</v>
      </c>
      <c r="FZ178" s="419">
        <v>1437143.13</v>
      </c>
      <c r="GA178" s="419">
        <v>4220524.82</v>
      </c>
      <c r="GB178" s="419">
        <v>86228.59</v>
      </c>
      <c r="GC178" s="420">
        <f t="shared" si="206"/>
        <v>1437143.17</v>
      </c>
      <c r="GD178" s="420">
        <f t="shared" si="207"/>
        <v>4.0000000037252903E-2</v>
      </c>
      <c r="GE178" s="419">
        <v>1121496.08</v>
      </c>
      <c r="GF178" s="419"/>
      <c r="GG178" s="419">
        <v>67289.759999999995</v>
      </c>
      <c r="GH178" s="420">
        <f t="shared" si="208"/>
        <v>1121496</v>
      </c>
      <c r="GI178" s="423">
        <f t="shared" si="209"/>
        <v>-8.0000000074505806E-2</v>
      </c>
      <c r="GJ178" s="437">
        <v>3916248.14</v>
      </c>
      <c r="GK178" s="419">
        <v>2411049.44</v>
      </c>
      <c r="GL178" s="419">
        <v>234974.89</v>
      </c>
      <c r="GM178" s="420">
        <f t="shared" si="210"/>
        <v>3916248.1666666698</v>
      </c>
      <c r="GN178" s="420">
        <f t="shared" si="211"/>
        <v>2.6666666846722399E-2</v>
      </c>
      <c r="GO178" s="419"/>
      <c r="GP178" s="419"/>
      <c r="GQ178" s="419"/>
      <c r="GR178" s="420">
        <f t="shared" si="216"/>
        <v>0</v>
      </c>
      <c r="GS178" s="423">
        <f t="shared" si="212"/>
        <v>0</v>
      </c>
      <c r="GT178" s="419"/>
      <c r="GU178" s="419"/>
      <c r="GV178" s="419"/>
      <c r="GW178" s="420">
        <f t="shared" si="213"/>
        <v>0</v>
      </c>
      <c r="GX178" s="420">
        <f t="shared" si="214"/>
        <v>0</v>
      </c>
    </row>
    <row r="179" spans="1:206" ht="15">
      <c r="A179" s="414"/>
      <c r="B179" s="415" t="s">
        <v>568</v>
      </c>
      <c r="C179" s="698"/>
      <c r="D179" s="704" t="s">
        <v>570</v>
      </c>
      <c r="E179" s="434" t="s">
        <v>123</v>
      </c>
      <c r="F179" s="417">
        <v>0.13</v>
      </c>
      <c r="G179" s="418">
        <f t="shared" si="173"/>
        <v>0</v>
      </c>
      <c r="H179" s="418">
        <f t="shared" si="174"/>
        <v>0</v>
      </c>
      <c r="I179" s="418">
        <f t="shared" si="174"/>
        <v>0</v>
      </c>
      <c r="J179" s="418">
        <f t="shared" si="175"/>
        <v>0</v>
      </c>
      <c r="K179" s="418">
        <f t="shared" si="171"/>
        <v>0</v>
      </c>
      <c r="L179" s="418">
        <f t="shared" si="172"/>
        <v>0</v>
      </c>
      <c r="M179" s="424"/>
      <c r="N179" s="424"/>
      <c r="O179" s="424"/>
      <c r="P179" s="424"/>
      <c r="Q179" s="419"/>
      <c r="R179" s="419"/>
      <c r="S179" s="419"/>
      <c r="T179" s="420"/>
      <c r="U179" s="423"/>
      <c r="V179" s="420"/>
      <c r="W179" s="420"/>
      <c r="X179" s="419"/>
      <c r="Y179" s="419"/>
      <c r="Z179" s="423"/>
      <c r="AA179" s="423"/>
      <c r="AB179" s="419"/>
      <c r="AC179" s="423"/>
      <c r="AD179" s="420"/>
      <c r="AE179" s="423"/>
      <c r="AF179" s="444"/>
      <c r="AG179" s="419"/>
      <c r="AH179" s="420"/>
      <c r="AI179" s="420"/>
      <c r="AJ179" s="423"/>
      <c r="AK179" s="444"/>
      <c r="AL179" s="420"/>
      <c r="AM179" s="420"/>
      <c r="AN179" s="420"/>
      <c r="AO179" s="423"/>
      <c r="AP179" s="420"/>
      <c r="AQ179" s="419"/>
      <c r="AR179" s="420"/>
      <c r="AS179" s="420"/>
      <c r="AT179" s="420"/>
      <c r="AU179" s="420"/>
      <c r="AV179" s="420"/>
      <c r="AW179" s="420"/>
      <c r="AX179" s="426"/>
      <c r="AY179" s="420"/>
      <c r="AZ179" s="420"/>
      <c r="BA179" s="420"/>
      <c r="BB179" s="419"/>
      <c r="BC179" s="420"/>
      <c r="BD179" s="427"/>
      <c r="BE179" s="420"/>
      <c r="BF179" s="420"/>
      <c r="BG179" s="420"/>
      <c r="BH179" s="423"/>
      <c r="BI179" s="420"/>
      <c r="BJ179" s="420"/>
      <c r="BK179" s="420"/>
      <c r="BL179" s="420"/>
      <c r="BM179" s="420"/>
      <c r="BN179" s="420"/>
      <c r="BO179" s="419"/>
      <c r="BP179" s="428"/>
      <c r="BQ179" s="420"/>
      <c r="BR179" s="423"/>
      <c r="BS179" s="423"/>
      <c r="BT179" s="420"/>
      <c r="BU179" s="420"/>
      <c r="BV179" s="420"/>
      <c r="BW179" s="420"/>
      <c r="BX179" s="429"/>
      <c r="BY179" s="419"/>
      <c r="BZ179" s="419"/>
      <c r="CA179" s="419"/>
      <c r="CB179" s="420"/>
      <c r="CC179" s="430"/>
      <c r="CD179" s="419"/>
      <c r="CE179" s="419"/>
      <c r="CF179" s="419"/>
      <c r="CG179" s="420"/>
      <c r="CH179" s="423"/>
      <c r="CI179" s="432"/>
      <c r="CJ179" s="432"/>
      <c r="CK179" s="432"/>
      <c r="CL179" s="420"/>
      <c r="CM179" s="423"/>
      <c r="CN179" s="420"/>
      <c r="CO179" s="420"/>
      <c r="CP179" s="420"/>
      <c r="CQ179" s="432"/>
      <c r="CR179" s="432"/>
      <c r="CS179" s="420"/>
      <c r="CT179" s="420"/>
      <c r="CU179" s="420"/>
      <c r="CV179" s="420"/>
      <c r="CW179" s="420"/>
      <c r="CX179" s="419"/>
      <c r="CY179" s="419"/>
      <c r="CZ179" s="419"/>
      <c r="DA179" s="419"/>
      <c r="DB179" s="419"/>
      <c r="DC179" s="419"/>
      <c r="DD179" s="419"/>
      <c r="DE179" s="419"/>
      <c r="DF179" s="420"/>
      <c r="DG179" s="421"/>
      <c r="DH179" s="419"/>
      <c r="DI179" s="419"/>
      <c r="DJ179" s="419"/>
      <c r="DK179" s="420"/>
      <c r="DL179" s="422"/>
      <c r="DM179" s="420"/>
      <c r="DN179" s="420"/>
      <c r="DO179" s="420"/>
      <c r="DP179" s="420"/>
      <c r="DQ179" s="420"/>
      <c r="DR179" s="419"/>
      <c r="DS179" s="419"/>
      <c r="DT179" s="419"/>
      <c r="DU179" s="420"/>
      <c r="DV179" s="423"/>
      <c r="DW179" s="419"/>
      <c r="DX179" s="419"/>
      <c r="DY179" s="419"/>
      <c r="DZ179" s="420"/>
      <c r="EA179" s="423"/>
      <c r="EB179" s="419"/>
      <c r="EC179" s="419"/>
      <c r="ED179" s="420"/>
      <c r="EE179" s="419"/>
      <c r="EF179" s="420"/>
      <c r="EG179" s="419"/>
      <c r="EH179" s="419"/>
      <c r="EI179" s="419"/>
      <c r="EJ179" s="420"/>
      <c r="EK179" s="420"/>
      <c r="EL179" s="419"/>
      <c r="EM179" s="419"/>
      <c r="EN179" s="419"/>
      <c r="EO179" s="419">
        <f t="shared" si="191"/>
        <v>0</v>
      </c>
      <c r="EP179" s="419">
        <f t="shared" si="192"/>
        <v>0</v>
      </c>
      <c r="EQ179" s="419"/>
      <c r="ER179" s="419"/>
      <c r="ES179" s="419"/>
      <c r="ET179" s="419">
        <f t="shared" si="193"/>
        <v>0</v>
      </c>
      <c r="EU179" s="419">
        <f t="shared" si="194"/>
        <v>0</v>
      </c>
      <c r="EV179" s="419"/>
      <c r="EW179" s="419"/>
      <c r="EX179" s="419"/>
      <c r="EY179" s="419">
        <f t="shared" si="195"/>
        <v>0</v>
      </c>
      <c r="EZ179" s="419">
        <f t="shared" si="215"/>
        <v>0</v>
      </c>
      <c r="FA179" s="420"/>
      <c r="FB179" s="420"/>
      <c r="FC179" s="420"/>
      <c r="FD179" s="420">
        <f t="shared" si="196"/>
        <v>0</v>
      </c>
      <c r="FE179" s="420">
        <f t="shared" si="197"/>
        <v>0</v>
      </c>
      <c r="FF179" s="419"/>
      <c r="FG179" s="419"/>
      <c r="FH179" s="419"/>
      <c r="FI179" s="419">
        <f t="shared" si="198"/>
        <v>0</v>
      </c>
      <c r="FJ179" s="419">
        <f t="shared" si="199"/>
        <v>0</v>
      </c>
      <c r="FK179" s="419"/>
      <c r="FL179" s="419"/>
      <c r="FM179" s="419"/>
      <c r="FN179" s="420">
        <f t="shared" si="200"/>
        <v>0</v>
      </c>
      <c r="FO179" s="423">
        <f t="shared" si="201"/>
        <v>0</v>
      </c>
      <c r="FP179" s="419"/>
      <c r="FQ179" s="419"/>
      <c r="FR179" s="419"/>
      <c r="FS179" s="420">
        <f t="shared" si="202"/>
        <v>0</v>
      </c>
      <c r="FT179" s="420">
        <f t="shared" si="203"/>
        <v>0</v>
      </c>
      <c r="FU179" s="419"/>
      <c r="FV179" s="419"/>
      <c r="FW179" s="419"/>
      <c r="FX179" s="420">
        <f t="shared" si="204"/>
        <v>0</v>
      </c>
      <c r="FY179" s="420">
        <f t="shared" si="205"/>
        <v>0</v>
      </c>
      <c r="FZ179" s="419"/>
      <c r="GA179" s="419"/>
      <c r="GB179" s="419"/>
      <c r="GC179" s="420">
        <f t="shared" si="206"/>
        <v>0</v>
      </c>
      <c r="GD179" s="420">
        <f t="shared" si="207"/>
        <v>0</v>
      </c>
      <c r="GE179" s="419"/>
      <c r="GF179" s="419"/>
      <c r="GG179" s="419"/>
      <c r="GH179" s="420">
        <f t="shared" si="208"/>
        <v>0</v>
      </c>
      <c r="GI179" s="423">
        <f t="shared" si="209"/>
        <v>0</v>
      </c>
      <c r="GJ179" s="419"/>
      <c r="GK179" s="419"/>
      <c r="GL179" s="419"/>
      <c r="GM179" s="420">
        <f t="shared" si="210"/>
        <v>0</v>
      </c>
      <c r="GN179" s="420">
        <f t="shared" si="211"/>
        <v>0</v>
      </c>
      <c r="GO179" s="419"/>
      <c r="GP179" s="419"/>
      <c r="GQ179" s="419"/>
      <c r="GR179" s="420">
        <f t="shared" si="216"/>
        <v>0</v>
      </c>
      <c r="GS179" s="423">
        <f t="shared" si="212"/>
        <v>0</v>
      </c>
      <c r="GT179" s="419"/>
      <c r="GU179" s="419"/>
      <c r="GV179" s="419"/>
      <c r="GW179" s="420">
        <f t="shared" si="213"/>
        <v>0</v>
      </c>
      <c r="GX179" s="420">
        <f t="shared" si="214"/>
        <v>0</v>
      </c>
    </row>
    <row r="180" spans="1:206" ht="15">
      <c r="A180" s="414"/>
      <c r="B180" s="415" t="s">
        <v>568</v>
      </c>
      <c r="C180" s="698"/>
      <c r="D180" s="705"/>
      <c r="E180" s="434" t="s">
        <v>124</v>
      </c>
      <c r="F180" s="417">
        <v>0.09</v>
      </c>
      <c r="G180" s="418">
        <f t="shared" si="173"/>
        <v>0</v>
      </c>
      <c r="H180" s="418">
        <f t="shared" si="174"/>
        <v>0</v>
      </c>
      <c r="I180" s="418">
        <f t="shared" si="174"/>
        <v>0</v>
      </c>
      <c r="J180" s="418">
        <f t="shared" si="175"/>
        <v>0</v>
      </c>
      <c r="K180" s="418">
        <f t="shared" si="171"/>
        <v>0</v>
      </c>
      <c r="L180" s="418">
        <f t="shared" si="172"/>
        <v>0</v>
      </c>
      <c r="M180" s="424"/>
      <c r="N180" s="424"/>
      <c r="O180" s="424"/>
      <c r="P180" s="424"/>
      <c r="Q180" s="419"/>
      <c r="R180" s="419"/>
      <c r="S180" s="419"/>
      <c r="T180" s="420"/>
      <c r="U180" s="423"/>
      <c r="V180" s="420"/>
      <c r="W180" s="420"/>
      <c r="X180" s="419"/>
      <c r="Y180" s="419"/>
      <c r="Z180" s="423"/>
      <c r="AA180" s="423"/>
      <c r="AB180" s="419"/>
      <c r="AC180" s="423"/>
      <c r="AD180" s="420"/>
      <c r="AE180" s="423"/>
      <c r="AF180" s="444"/>
      <c r="AG180" s="419"/>
      <c r="AH180" s="420"/>
      <c r="AI180" s="420"/>
      <c r="AJ180" s="423"/>
      <c r="AK180" s="444"/>
      <c r="AL180" s="420"/>
      <c r="AM180" s="420"/>
      <c r="AN180" s="420"/>
      <c r="AO180" s="423"/>
      <c r="AP180" s="420"/>
      <c r="AQ180" s="419"/>
      <c r="AR180" s="420"/>
      <c r="AS180" s="420"/>
      <c r="AT180" s="420"/>
      <c r="AU180" s="420"/>
      <c r="AV180" s="420"/>
      <c r="AW180" s="420"/>
      <c r="AX180" s="426"/>
      <c r="AY180" s="420"/>
      <c r="AZ180" s="420"/>
      <c r="BA180" s="420"/>
      <c r="BB180" s="419"/>
      <c r="BC180" s="420"/>
      <c r="BD180" s="427"/>
      <c r="BE180" s="420"/>
      <c r="BF180" s="420"/>
      <c r="BG180" s="420"/>
      <c r="BH180" s="423"/>
      <c r="BI180" s="420"/>
      <c r="BJ180" s="420"/>
      <c r="BK180" s="420"/>
      <c r="BL180" s="420"/>
      <c r="BM180" s="420"/>
      <c r="BN180" s="420"/>
      <c r="BO180" s="419"/>
      <c r="BP180" s="428"/>
      <c r="BQ180" s="420"/>
      <c r="BR180" s="423"/>
      <c r="BS180" s="423"/>
      <c r="BT180" s="420"/>
      <c r="BU180" s="420"/>
      <c r="BV180" s="420"/>
      <c r="BW180" s="420"/>
      <c r="BX180" s="429"/>
      <c r="BY180" s="419"/>
      <c r="BZ180" s="419"/>
      <c r="CA180" s="419"/>
      <c r="CB180" s="420"/>
      <c r="CC180" s="430"/>
      <c r="CD180" s="419"/>
      <c r="CE180" s="419"/>
      <c r="CF180" s="419"/>
      <c r="CG180" s="420"/>
      <c r="CH180" s="423"/>
      <c r="CI180" s="432"/>
      <c r="CJ180" s="432"/>
      <c r="CK180" s="432"/>
      <c r="CL180" s="420"/>
      <c r="CM180" s="423"/>
      <c r="CN180" s="420"/>
      <c r="CO180" s="420"/>
      <c r="CP180" s="420"/>
      <c r="CQ180" s="432"/>
      <c r="CR180" s="432"/>
      <c r="CS180" s="420"/>
      <c r="CT180" s="420"/>
      <c r="CU180" s="420"/>
      <c r="CV180" s="420"/>
      <c r="CW180" s="420"/>
      <c r="CX180" s="419"/>
      <c r="CY180" s="419"/>
      <c r="CZ180" s="419"/>
      <c r="DA180" s="419"/>
      <c r="DB180" s="419"/>
      <c r="DC180" s="419"/>
      <c r="DD180" s="419"/>
      <c r="DE180" s="419"/>
      <c r="DF180" s="420"/>
      <c r="DG180" s="421"/>
      <c r="DH180" s="419"/>
      <c r="DI180" s="419"/>
      <c r="DJ180" s="419"/>
      <c r="DK180" s="420"/>
      <c r="DL180" s="422"/>
      <c r="DM180" s="420"/>
      <c r="DN180" s="420"/>
      <c r="DO180" s="420"/>
      <c r="DP180" s="420"/>
      <c r="DQ180" s="420"/>
      <c r="DR180" s="419"/>
      <c r="DS180" s="419"/>
      <c r="DT180" s="419"/>
      <c r="DU180" s="420"/>
      <c r="DV180" s="423"/>
      <c r="DW180" s="419"/>
      <c r="DX180" s="419"/>
      <c r="DY180" s="419"/>
      <c r="DZ180" s="420"/>
      <c r="EA180" s="423"/>
      <c r="EB180" s="419"/>
      <c r="EC180" s="419"/>
      <c r="ED180" s="420"/>
      <c r="EE180" s="419"/>
      <c r="EF180" s="420"/>
      <c r="EG180" s="419"/>
      <c r="EH180" s="419"/>
      <c r="EI180" s="419"/>
      <c r="EJ180" s="420"/>
      <c r="EK180" s="420"/>
      <c r="EL180" s="420"/>
      <c r="EM180" s="459"/>
      <c r="EN180" s="419"/>
      <c r="EO180" s="419">
        <f t="shared" si="191"/>
        <v>0</v>
      </c>
      <c r="EP180" s="419">
        <f t="shared" si="192"/>
        <v>0</v>
      </c>
      <c r="EQ180" s="419"/>
      <c r="ER180" s="419"/>
      <c r="ES180" s="419"/>
      <c r="ET180" s="419">
        <f t="shared" si="193"/>
        <v>0</v>
      </c>
      <c r="EU180" s="419">
        <f t="shared" si="194"/>
        <v>0</v>
      </c>
      <c r="EV180" s="419"/>
      <c r="EW180" s="419"/>
      <c r="EX180" s="419"/>
      <c r="EY180" s="419">
        <f t="shared" si="195"/>
        <v>0</v>
      </c>
      <c r="EZ180" s="419">
        <f t="shared" si="215"/>
        <v>0</v>
      </c>
      <c r="FA180" s="420"/>
      <c r="FB180" s="420"/>
      <c r="FC180" s="420"/>
      <c r="FD180" s="420">
        <f t="shared" si="196"/>
        <v>0</v>
      </c>
      <c r="FE180" s="420">
        <f t="shared" si="197"/>
        <v>0</v>
      </c>
      <c r="FF180" s="419"/>
      <c r="FG180" s="419"/>
      <c r="FH180" s="419"/>
      <c r="FI180" s="419">
        <f t="shared" si="198"/>
        <v>0</v>
      </c>
      <c r="FJ180" s="419">
        <f t="shared" si="199"/>
        <v>0</v>
      </c>
      <c r="FK180" s="419"/>
      <c r="FL180" s="419"/>
      <c r="FM180" s="419"/>
      <c r="FN180" s="420">
        <f t="shared" si="200"/>
        <v>0</v>
      </c>
      <c r="FO180" s="423">
        <f t="shared" si="201"/>
        <v>0</v>
      </c>
      <c r="FP180" s="419"/>
      <c r="FQ180" s="419"/>
      <c r="FR180" s="419"/>
      <c r="FS180" s="420">
        <f t="shared" si="202"/>
        <v>0</v>
      </c>
      <c r="FT180" s="420">
        <f t="shared" si="203"/>
        <v>0</v>
      </c>
      <c r="FU180" s="419"/>
      <c r="FV180" s="419"/>
      <c r="FW180" s="419"/>
      <c r="FX180" s="420">
        <f t="shared" si="204"/>
        <v>0</v>
      </c>
      <c r="FY180" s="420">
        <f t="shared" si="205"/>
        <v>0</v>
      </c>
      <c r="FZ180" s="419"/>
      <c r="GA180" s="419"/>
      <c r="GB180" s="419"/>
      <c r="GC180" s="420">
        <f t="shared" si="206"/>
        <v>0</v>
      </c>
      <c r="GD180" s="420">
        <f t="shared" si="207"/>
        <v>0</v>
      </c>
      <c r="GE180" s="419"/>
      <c r="GF180" s="419"/>
      <c r="GG180" s="419"/>
      <c r="GH180" s="420">
        <f t="shared" si="208"/>
        <v>0</v>
      </c>
      <c r="GI180" s="423">
        <f t="shared" si="209"/>
        <v>0</v>
      </c>
      <c r="GJ180" s="420"/>
      <c r="GK180" s="420"/>
      <c r="GL180" s="420"/>
      <c r="GM180" s="420">
        <f t="shared" si="210"/>
        <v>0</v>
      </c>
      <c r="GN180" s="420">
        <f t="shared" si="211"/>
        <v>0</v>
      </c>
      <c r="GO180" s="419"/>
      <c r="GP180" s="419"/>
      <c r="GQ180" s="419"/>
      <c r="GR180" s="420">
        <f t="shared" si="216"/>
        <v>0</v>
      </c>
      <c r="GS180" s="423">
        <f t="shared" si="212"/>
        <v>0</v>
      </c>
      <c r="GT180" s="419"/>
      <c r="GU180" s="419"/>
      <c r="GV180" s="419"/>
      <c r="GW180" s="420">
        <f t="shared" si="213"/>
        <v>0</v>
      </c>
      <c r="GX180" s="420">
        <f t="shared" si="214"/>
        <v>0</v>
      </c>
    </row>
    <row r="181" spans="1:206" ht="15">
      <c r="A181" s="414"/>
      <c r="B181" s="415" t="s">
        <v>568</v>
      </c>
      <c r="C181" s="698"/>
      <c r="D181" s="707"/>
      <c r="E181" s="434" t="s">
        <v>125</v>
      </c>
      <c r="F181" s="417">
        <v>0.06</v>
      </c>
      <c r="G181" s="418">
        <f t="shared" si="173"/>
        <v>275944.15000000002</v>
      </c>
      <c r="H181" s="418">
        <f t="shared" si="174"/>
        <v>0</v>
      </c>
      <c r="I181" s="418">
        <f t="shared" si="174"/>
        <v>16556.650000000001</v>
      </c>
      <c r="J181" s="418">
        <f t="shared" si="175"/>
        <v>275944.16666666698</v>
      </c>
      <c r="K181" s="418">
        <f t="shared" si="171"/>
        <v>275944.16666666698</v>
      </c>
      <c r="L181" s="418">
        <f t="shared" si="172"/>
        <v>1.6666666604578498E-2</v>
      </c>
      <c r="M181" s="424"/>
      <c r="N181" s="424"/>
      <c r="O181" s="424"/>
      <c r="P181" s="424"/>
      <c r="Q181" s="419"/>
      <c r="R181" s="419"/>
      <c r="S181" s="419"/>
      <c r="T181" s="420"/>
      <c r="U181" s="423"/>
      <c r="V181" s="420"/>
      <c r="W181" s="420"/>
      <c r="X181" s="419"/>
      <c r="Y181" s="419"/>
      <c r="Z181" s="423"/>
      <c r="AA181" s="423"/>
      <c r="AB181" s="419"/>
      <c r="AC181" s="423"/>
      <c r="AD181" s="420"/>
      <c r="AE181" s="423"/>
      <c r="AF181" s="444"/>
      <c r="AG181" s="419"/>
      <c r="AH181" s="420"/>
      <c r="AI181" s="420"/>
      <c r="AJ181" s="423"/>
      <c r="AK181" s="444"/>
      <c r="AL181" s="420"/>
      <c r="AM181" s="420"/>
      <c r="AN181" s="420"/>
      <c r="AO181" s="423"/>
      <c r="AP181" s="420"/>
      <c r="AQ181" s="419"/>
      <c r="AR181" s="420"/>
      <c r="AS181" s="420"/>
      <c r="AT181" s="420"/>
      <c r="AU181" s="420"/>
      <c r="AV181" s="420"/>
      <c r="AW181" s="420"/>
      <c r="AX181" s="426"/>
      <c r="AY181" s="420"/>
      <c r="AZ181" s="420"/>
      <c r="BA181" s="420"/>
      <c r="BB181" s="419"/>
      <c r="BC181" s="420"/>
      <c r="BD181" s="427"/>
      <c r="BE181" s="420"/>
      <c r="BF181" s="420"/>
      <c r="BG181" s="420"/>
      <c r="BH181" s="423"/>
      <c r="BI181" s="420"/>
      <c r="BJ181" s="420"/>
      <c r="BK181" s="420"/>
      <c r="BL181" s="420"/>
      <c r="BM181" s="420"/>
      <c r="BN181" s="420"/>
      <c r="BO181" s="419"/>
      <c r="BP181" s="428"/>
      <c r="BQ181" s="420"/>
      <c r="BR181" s="423"/>
      <c r="BS181" s="423"/>
      <c r="BT181" s="420"/>
      <c r="BU181" s="420"/>
      <c r="BV181" s="420"/>
      <c r="BW181" s="420"/>
      <c r="BX181" s="429"/>
      <c r="BY181" s="419"/>
      <c r="BZ181" s="419"/>
      <c r="CA181" s="419"/>
      <c r="CB181" s="420"/>
      <c r="CC181" s="430"/>
      <c r="CD181" s="419"/>
      <c r="CE181" s="419"/>
      <c r="CF181" s="419"/>
      <c r="CG181" s="420"/>
      <c r="CH181" s="423"/>
      <c r="CI181" s="432"/>
      <c r="CJ181" s="432"/>
      <c r="CK181" s="432"/>
      <c r="CL181" s="420"/>
      <c r="CM181" s="423"/>
      <c r="CN181" s="420"/>
      <c r="CO181" s="420"/>
      <c r="CP181" s="420"/>
      <c r="CQ181" s="432"/>
      <c r="CR181" s="432"/>
      <c r="CS181" s="420"/>
      <c r="CT181" s="420"/>
      <c r="CU181" s="420"/>
      <c r="CV181" s="420"/>
      <c r="CW181" s="420"/>
      <c r="CX181" s="419"/>
      <c r="CY181" s="419"/>
      <c r="CZ181" s="419"/>
      <c r="DA181" s="419"/>
      <c r="DB181" s="419"/>
      <c r="DC181" s="419"/>
      <c r="DD181" s="419"/>
      <c r="DE181" s="419"/>
      <c r="DF181" s="420"/>
      <c r="DG181" s="421"/>
      <c r="DH181" s="419"/>
      <c r="DI181" s="419"/>
      <c r="DJ181" s="419"/>
      <c r="DK181" s="420"/>
      <c r="DL181" s="422"/>
      <c r="DM181" s="420"/>
      <c r="DN181" s="420"/>
      <c r="DO181" s="420"/>
      <c r="DP181" s="420"/>
      <c r="DQ181" s="420"/>
      <c r="DR181" s="419"/>
      <c r="DS181" s="419"/>
      <c r="DT181" s="419"/>
      <c r="DU181" s="420"/>
      <c r="DV181" s="423"/>
      <c r="DW181" s="419"/>
      <c r="DX181" s="419"/>
      <c r="DY181" s="419"/>
      <c r="DZ181" s="420"/>
      <c r="EA181" s="423"/>
      <c r="EB181" s="419"/>
      <c r="EC181" s="419"/>
      <c r="ED181" s="420"/>
      <c r="EE181" s="419"/>
      <c r="EF181" s="420"/>
      <c r="EG181" s="419"/>
      <c r="EH181" s="419"/>
      <c r="EI181" s="419"/>
      <c r="EJ181" s="420"/>
      <c r="EK181" s="420"/>
      <c r="EL181" s="419">
        <v>224903.5</v>
      </c>
      <c r="EN181" s="419">
        <v>13494.21</v>
      </c>
      <c r="EO181" s="419">
        <f t="shared" si="191"/>
        <v>224903.5</v>
      </c>
      <c r="EP181" s="419">
        <f t="shared" si="192"/>
        <v>0</v>
      </c>
      <c r="EQ181" s="419"/>
      <c r="ER181" s="419"/>
      <c r="ES181" s="419"/>
      <c r="ET181" s="419">
        <f t="shared" si="193"/>
        <v>0</v>
      </c>
      <c r="EU181" s="419">
        <f t="shared" si="194"/>
        <v>0</v>
      </c>
      <c r="EV181" s="419">
        <v>23721.78</v>
      </c>
      <c r="EW181" s="419"/>
      <c r="EX181" s="419">
        <v>1423.31</v>
      </c>
      <c r="EY181" s="419">
        <f t="shared" si="195"/>
        <v>23721.83</v>
      </c>
      <c r="EZ181" s="419">
        <f t="shared" si="215"/>
        <v>0.05</v>
      </c>
      <c r="FA181" s="420">
        <v>27318.87</v>
      </c>
      <c r="FB181" s="420"/>
      <c r="FC181" s="420">
        <v>1639.13</v>
      </c>
      <c r="FD181" s="420">
        <f t="shared" si="196"/>
        <v>27318.83</v>
      </c>
      <c r="FE181" s="420">
        <f t="shared" si="197"/>
        <v>-0.04</v>
      </c>
      <c r="FF181" s="419"/>
      <c r="FG181" s="419"/>
      <c r="FH181" s="419"/>
      <c r="FI181" s="419">
        <f t="shared" si="198"/>
        <v>0</v>
      </c>
      <c r="FJ181" s="419">
        <f t="shared" si="199"/>
        <v>0</v>
      </c>
      <c r="FK181" s="419"/>
      <c r="FL181" s="419"/>
      <c r="FM181" s="419"/>
      <c r="FN181" s="420">
        <f t="shared" si="200"/>
        <v>0</v>
      </c>
      <c r="FO181" s="423">
        <f t="shared" si="201"/>
        <v>0</v>
      </c>
      <c r="FP181" s="419"/>
      <c r="FQ181" s="419"/>
      <c r="FR181" s="419"/>
      <c r="FS181" s="420">
        <f t="shared" si="202"/>
        <v>0</v>
      </c>
      <c r="FT181" s="420">
        <f t="shared" si="203"/>
        <v>0</v>
      </c>
      <c r="FU181" s="419"/>
      <c r="FV181" s="419"/>
      <c r="FW181" s="419"/>
      <c r="FX181" s="420">
        <f t="shared" si="204"/>
        <v>0</v>
      </c>
      <c r="FY181" s="420">
        <f t="shared" si="205"/>
        <v>0</v>
      </c>
      <c r="FZ181" s="419"/>
      <c r="GA181" s="419"/>
      <c r="GB181" s="419"/>
      <c r="GC181" s="420">
        <f t="shared" si="206"/>
        <v>0</v>
      </c>
      <c r="GD181" s="420">
        <f t="shared" si="207"/>
        <v>0</v>
      </c>
      <c r="GE181" s="419"/>
      <c r="GF181" s="419"/>
      <c r="GG181" s="419"/>
      <c r="GH181" s="420">
        <f t="shared" si="208"/>
        <v>0</v>
      </c>
      <c r="GI181" s="423">
        <f t="shared" si="209"/>
        <v>0</v>
      </c>
      <c r="GJ181" s="419"/>
      <c r="GK181" s="419"/>
      <c r="GL181" s="419"/>
      <c r="GM181" s="420">
        <f t="shared" si="210"/>
        <v>0</v>
      </c>
      <c r="GN181" s="420">
        <f t="shared" si="211"/>
        <v>0</v>
      </c>
      <c r="GO181" s="419"/>
      <c r="GP181" s="419"/>
      <c r="GQ181" s="419"/>
      <c r="GR181" s="420">
        <f t="shared" si="216"/>
        <v>0</v>
      </c>
      <c r="GS181" s="423">
        <f t="shared" si="212"/>
        <v>0</v>
      </c>
      <c r="GT181" s="419"/>
      <c r="GU181" s="419"/>
      <c r="GV181" s="419"/>
      <c r="GW181" s="420">
        <f t="shared" si="213"/>
        <v>0</v>
      </c>
      <c r="GX181" s="420">
        <f t="shared" si="214"/>
        <v>0</v>
      </c>
    </row>
    <row r="182" spans="1:206" ht="15">
      <c r="A182" s="414"/>
      <c r="B182" s="415" t="s">
        <v>571</v>
      </c>
      <c r="C182" s="698"/>
      <c r="D182" s="704" t="s">
        <v>572</v>
      </c>
      <c r="E182" s="434" t="s">
        <v>123</v>
      </c>
      <c r="F182" s="417">
        <v>0.13</v>
      </c>
      <c r="G182" s="418">
        <f t="shared" si="173"/>
        <v>17246394.949999999</v>
      </c>
      <c r="H182" s="418">
        <f t="shared" si="174"/>
        <v>17246394.960000001</v>
      </c>
      <c r="I182" s="418">
        <f t="shared" si="174"/>
        <v>2242031.34</v>
      </c>
      <c r="J182" s="418">
        <f t="shared" si="175"/>
        <v>17246394.923076902</v>
      </c>
      <c r="K182" s="418">
        <f t="shared" ref="K182:K265" si="217">I182/F182-H182</f>
        <v>-3.6923080682754503E-2</v>
      </c>
      <c r="L182" s="418">
        <f t="shared" ref="L182:L349" si="218">J182-G182</f>
        <v>-2.6923079043626799E-2</v>
      </c>
      <c r="M182" s="424"/>
      <c r="N182" s="424"/>
      <c r="O182" s="424"/>
      <c r="P182" s="424"/>
      <c r="Q182" s="419"/>
      <c r="R182" s="419"/>
      <c r="S182" s="419"/>
      <c r="T182" s="420"/>
      <c r="U182" s="423"/>
      <c r="V182" s="420"/>
      <c r="W182" s="420"/>
      <c r="X182" s="419"/>
      <c r="Y182" s="419"/>
      <c r="Z182" s="423"/>
      <c r="AA182" s="423"/>
      <c r="AB182" s="419"/>
      <c r="AC182" s="423"/>
      <c r="AD182" s="420"/>
      <c r="AE182" s="423"/>
      <c r="AF182" s="444"/>
      <c r="AG182" s="419"/>
      <c r="AH182" s="420"/>
      <c r="AI182" s="420"/>
      <c r="AJ182" s="423"/>
      <c r="AK182" s="444"/>
      <c r="AL182" s="420"/>
      <c r="AM182" s="420"/>
      <c r="AN182" s="420"/>
      <c r="AO182" s="423"/>
      <c r="AP182" s="420"/>
      <c r="AQ182" s="419"/>
      <c r="AR182" s="420"/>
      <c r="AS182" s="420"/>
      <c r="AT182" s="420"/>
      <c r="AU182" s="420"/>
      <c r="AV182" s="420"/>
      <c r="AW182" s="420"/>
      <c r="AX182" s="426"/>
      <c r="AY182" s="420"/>
      <c r="AZ182" s="420"/>
      <c r="BA182" s="420"/>
      <c r="BB182" s="419"/>
      <c r="BC182" s="420"/>
      <c r="BD182" s="427"/>
      <c r="BE182" s="420"/>
      <c r="BF182" s="420"/>
      <c r="BG182" s="420"/>
      <c r="BH182" s="423"/>
      <c r="BI182" s="420"/>
      <c r="BJ182" s="420"/>
      <c r="BK182" s="420"/>
      <c r="BL182" s="420"/>
      <c r="BM182" s="420"/>
      <c r="BN182" s="420"/>
      <c r="BO182" s="419"/>
      <c r="BP182" s="428"/>
      <c r="BQ182" s="420"/>
      <c r="BR182" s="423"/>
      <c r="BS182" s="423"/>
      <c r="BT182" s="420"/>
      <c r="BU182" s="420"/>
      <c r="BV182" s="420"/>
      <c r="BW182" s="420"/>
      <c r="BX182" s="429"/>
      <c r="BY182" s="419"/>
      <c r="BZ182" s="419"/>
      <c r="CA182" s="419"/>
      <c r="CB182" s="420"/>
      <c r="CC182" s="430"/>
      <c r="CD182" s="419"/>
      <c r="CE182" s="419"/>
      <c r="CF182" s="419"/>
      <c r="CG182" s="420"/>
      <c r="CH182" s="423"/>
      <c r="CI182" s="432"/>
      <c r="CJ182" s="432"/>
      <c r="CK182" s="432"/>
      <c r="CL182" s="420"/>
      <c r="CM182" s="423"/>
      <c r="CN182" s="420"/>
      <c r="CO182" s="420"/>
      <c r="CP182" s="420"/>
      <c r="CQ182" s="432"/>
      <c r="CR182" s="432"/>
      <c r="CS182" s="420"/>
      <c r="CT182" s="420"/>
      <c r="CU182" s="420"/>
      <c r="CV182" s="420"/>
      <c r="CW182" s="420"/>
      <c r="CX182" s="419"/>
      <c r="CY182" s="419"/>
      <c r="CZ182" s="419"/>
      <c r="DA182" s="419"/>
      <c r="DB182" s="419"/>
      <c r="DC182" s="419"/>
      <c r="DD182" s="419"/>
      <c r="DE182" s="419"/>
      <c r="DF182" s="420"/>
      <c r="DG182" s="421"/>
      <c r="DH182" s="419"/>
      <c r="DI182" s="419"/>
      <c r="DJ182" s="419"/>
      <c r="DK182" s="420"/>
      <c r="DL182" s="422"/>
      <c r="DM182" s="420"/>
      <c r="DN182" s="420"/>
      <c r="DO182" s="420"/>
      <c r="DP182" s="420"/>
      <c r="DQ182" s="420"/>
      <c r="DR182" s="419"/>
      <c r="DS182" s="419"/>
      <c r="DT182" s="419"/>
      <c r="DU182" s="420"/>
      <c r="DV182" s="423"/>
      <c r="DW182" s="419"/>
      <c r="DX182" s="419"/>
      <c r="DY182" s="419"/>
      <c r="DZ182" s="420"/>
      <c r="EA182" s="423"/>
      <c r="EB182" s="419"/>
      <c r="EC182" s="419"/>
      <c r="ED182" s="420"/>
      <c r="EE182" s="419"/>
      <c r="EF182" s="420"/>
      <c r="EG182" s="419"/>
      <c r="EH182" s="419"/>
      <c r="EI182" s="419"/>
      <c r="EJ182" s="420"/>
      <c r="EK182" s="420"/>
      <c r="EL182" s="419"/>
      <c r="EM182" s="419"/>
      <c r="EN182" s="419"/>
      <c r="EO182" s="419">
        <f t="shared" si="191"/>
        <v>0</v>
      </c>
      <c r="EP182" s="419">
        <f t="shared" si="192"/>
        <v>0</v>
      </c>
      <c r="EQ182" s="419"/>
      <c r="ER182" s="419"/>
      <c r="ES182" s="419"/>
      <c r="ET182" s="419">
        <f t="shared" si="193"/>
        <v>0</v>
      </c>
      <c r="EU182" s="419">
        <f t="shared" si="194"/>
        <v>0</v>
      </c>
      <c r="EV182" s="419"/>
      <c r="EW182" s="419"/>
      <c r="EX182" s="419"/>
      <c r="EY182" s="419">
        <f t="shared" si="195"/>
        <v>0</v>
      </c>
      <c r="EZ182" s="419">
        <f t="shared" si="215"/>
        <v>0</v>
      </c>
      <c r="FA182" s="420">
        <v>740612.15</v>
      </c>
      <c r="FB182" s="420"/>
      <c r="FC182" s="420">
        <v>96279.58</v>
      </c>
      <c r="FD182" s="420">
        <f t="shared" si="196"/>
        <v>740612.15</v>
      </c>
      <c r="FE182" s="420">
        <f t="shared" si="197"/>
        <v>0</v>
      </c>
      <c r="FF182" s="419"/>
      <c r="FG182" s="419"/>
      <c r="FH182" s="419"/>
      <c r="FI182" s="419">
        <f t="shared" si="198"/>
        <v>0</v>
      </c>
      <c r="FJ182" s="419">
        <f t="shared" si="199"/>
        <v>0</v>
      </c>
      <c r="FK182" s="419">
        <v>1457954.22</v>
      </c>
      <c r="FL182" s="419"/>
      <c r="FM182" s="419">
        <v>189534.04</v>
      </c>
      <c r="FN182" s="420">
        <f t="shared" si="200"/>
        <v>1457954.15</v>
      </c>
      <c r="FO182" s="423">
        <f t="shared" si="201"/>
        <v>-7.0000000000000007E-2</v>
      </c>
      <c r="FP182" s="431">
        <v>3192920.34</v>
      </c>
      <c r="FQ182" s="431">
        <v>5285552.84</v>
      </c>
      <c r="FR182" s="431">
        <v>415079.65</v>
      </c>
      <c r="FS182" s="420">
        <f t="shared" si="202"/>
        <v>3192920.38</v>
      </c>
      <c r="FT182" s="420">
        <f t="shared" si="203"/>
        <v>4.0000000037252903E-2</v>
      </c>
      <c r="FU182" s="419">
        <v>11269557.539999999</v>
      </c>
      <c r="FV182" s="419"/>
      <c r="FW182" s="419">
        <v>1465042.48</v>
      </c>
      <c r="FX182" s="420">
        <f t="shared" si="204"/>
        <v>11269557.539999999</v>
      </c>
      <c r="FY182" s="420">
        <f t="shared" si="205"/>
        <v>0</v>
      </c>
      <c r="FZ182" s="419"/>
      <c r="GA182" s="420">
        <v>11375491.42</v>
      </c>
      <c r="GB182" s="419"/>
      <c r="GC182" s="420">
        <f t="shared" si="206"/>
        <v>0</v>
      </c>
      <c r="GD182" s="420">
        <f t="shared" si="207"/>
        <v>0</v>
      </c>
      <c r="GE182" s="419">
        <v>585350.69999999995</v>
      </c>
      <c r="GF182" s="419">
        <v>585350.69999999995</v>
      </c>
      <c r="GG182" s="419">
        <v>76095.59</v>
      </c>
      <c r="GH182" s="420">
        <f t="shared" si="208"/>
        <v>585350.69230769202</v>
      </c>
      <c r="GI182" s="423">
        <f t="shared" si="209"/>
        <v>-7.6923076994717104E-3</v>
      </c>
      <c r="GJ182" s="419"/>
      <c r="GK182" s="419"/>
      <c r="GL182" s="419"/>
      <c r="GM182" s="420">
        <f t="shared" si="210"/>
        <v>0</v>
      </c>
      <c r="GN182" s="420">
        <f t="shared" si="211"/>
        <v>0</v>
      </c>
      <c r="GO182" s="419"/>
      <c r="GP182" s="419"/>
      <c r="GQ182" s="419"/>
      <c r="GR182" s="420">
        <f t="shared" si="216"/>
        <v>0</v>
      </c>
      <c r="GS182" s="423">
        <f t="shared" si="212"/>
        <v>0</v>
      </c>
      <c r="GT182" s="419"/>
      <c r="GU182" s="419"/>
      <c r="GV182" s="419"/>
      <c r="GW182" s="420">
        <f t="shared" si="213"/>
        <v>0</v>
      </c>
      <c r="GX182" s="420">
        <f t="shared" si="214"/>
        <v>0</v>
      </c>
    </row>
    <row r="183" spans="1:206" ht="15">
      <c r="A183" s="414"/>
      <c r="B183" s="415" t="s">
        <v>571</v>
      </c>
      <c r="C183" s="698"/>
      <c r="D183" s="705"/>
      <c r="E183" s="434" t="s">
        <v>124</v>
      </c>
      <c r="F183" s="417">
        <v>0.09</v>
      </c>
      <c r="G183" s="418">
        <f t="shared" si="173"/>
        <v>31047521.34</v>
      </c>
      <c r="H183" s="418">
        <f t="shared" si="174"/>
        <v>31047521.23</v>
      </c>
      <c r="I183" s="418">
        <f t="shared" si="174"/>
        <v>2794276.83</v>
      </c>
      <c r="J183" s="418">
        <f t="shared" si="175"/>
        <v>31047520.333333299</v>
      </c>
      <c r="K183" s="418">
        <f t="shared" si="217"/>
        <v>-0.89666666463017497</v>
      </c>
      <c r="L183" s="418">
        <f t="shared" si="218"/>
        <v>-1.00666666403413</v>
      </c>
      <c r="M183" s="424"/>
      <c r="N183" s="424"/>
      <c r="O183" s="424"/>
      <c r="P183" s="424"/>
      <c r="Q183" s="419"/>
      <c r="R183" s="419"/>
      <c r="S183" s="419"/>
      <c r="T183" s="420"/>
      <c r="U183" s="423"/>
      <c r="V183" s="420"/>
      <c r="W183" s="420"/>
      <c r="X183" s="419"/>
      <c r="Y183" s="419"/>
      <c r="Z183" s="423"/>
      <c r="AA183" s="423"/>
      <c r="AB183" s="419"/>
      <c r="AC183" s="423"/>
      <c r="AD183" s="420"/>
      <c r="AE183" s="423"/>
      <c r="AF183" s="444"/>
      <c r="AG183" s="419"/>
      <c r="AH183" s="420"/>
      <c r="AI183" s="420"/>
      <c r="AJ183" s="423"/>
      <c r="AK183" s="444"/>
      <c r="AL183" s="420"/>
      <c r="AM183" s="420"/>
      <c r="AN183" s="420"/>
      <c r="AO183" s="423"/>
      <c r="AP183" s="420"/>
      <c r="AQ183" s="419"/>
      <c r="AR183" s="420"/>
      <c r="AS183" s="420"/>
      <c r="AT183" s="420"/>
      <c r="AU183" s="420"/>
      <c r="AV183" s="420"/>
      <c r="AW183" s="420"/>
      <c r="AX183" s="426"/>
      <c r="AY183" s="420"/>
      <c r="AZ183" s="420"/>
      <c r="BA183" s="420"/>
      <c r="BB183" s="419"/>
      <c r="BC183" s="420"/>
      <c r="BD183" s="427"/>
      <c r="BE183" s="420"/>
      <c r="BF183" s="420"/>
      <c r="BG183" s="420"/>
      <c r="BH183" s="423"/>
      <c r="BI183" s="420"/>
      <c r="BJ183" s="420"/>
      <c r="BK183" s="420"/>
      <c r="BL183" s="420"/>
      <c r="BM183" s="420"/>
      <c r="BN183" s="420"/>
      <c r="BO183" s="419"/>
      <c r="BP183" s="428"/>
      <c r="BQ183" s="420"/>
      <c r="BR183" s="423"/>
      <c r="BS183" s="423"/>
      <c r="BT183" s="420"/>
      <c r="BU183" s="420"/>
      <c r="BV183" s="420"/>
      <c r="BW183" s="420"/>
      <c r="BX183" s="429"/>
      <c r="BY183" s="419"/>
      <c r="BZ183" s="419"/>
      <c r="CA183" s="419"/>
      <c r="CB183" s="420"/>
      <c r="CC183" s="430"/>
      <c r="CD183" s="419"/>
      <c r="CE183" s="419"/>
      <c r="CF183" s="419"/>
      <c r="CG183" s="420"/>
      <c r="CH183" s="423"/>
      <c r="CI183" s="432"/>
      <c r="CJ183" s="432"/>
      <c r="CK183" s="432"/>
      <c r="CL183" s="420"/>
      <c r="CM183" s="423"/>
      <c r="CN183" s="420"/>
      <c r="CO183" s="420"/>
      <c r="CP183" s="420"/>
      <c r="CQ183" s="432"/>
      <c r="CR183" s="432"/>
      <c r="CS183" s="420"/>
      <c r="CT183" s="420"/>
      <c r="CU183" s="420"/>
      <c r="CV183" s="420"/>
      <c r="CW183" s="420"/>
      <c r="CX183" s="419"/>
      <c r="CY183" s="419"/>
      <c r="CZ183" s="419"/>
      <c r="DA183" s="419"/>
      <c r="DB183" s="419"/>
      <c r="DC183" s="419"/>
      <c r="DD183" s="419"/>
      <c r="DE183" s="419"/>
      <c r="DF183" s="420"/>
      <c r="DG183" s="421"/>
      <c r="DH183" s="419"/>
      <c r="DI183" s="419"/>
      <c r="DJ183" s="419"/>
      <c r="DK183" s="420"/>
      <c r="DL183" s="422"/>
      <c r="DM183" s="420"/>
      <c r="DN183" s="420"/>
      <c r="DO183" s="420"/>
      <c r="DP183" s="420"/>
      <c r="DQ183" s="420"/>
      <c r="DR183" s="419"/>
      <c r="DS183" s="419"/>
      <c r="DT183" s="419"/>
      <c r="DU183" s="420"/>
      <c r="DV183" s="423"/>
      <c r="DW183" s="419"/>
      <c r="DX183" s="419"/>
      <c r="DY183" s="419"/>
      <c r="DZ183" s="420"/>
      <c r="EA183" s="423"/>
      <c r="EB183" s="419"/>
      <c r="EC183" s="419"/>
      <c r="ED183" s="420"/>
      <c r="EE183" s="419"/>
      <c r="EF183" s="420"/>
      <c r="EG183" s="419"/>
      <c r="EH183" s="419"/>
      <c r="EI183" s="419"/>
      <c r="EJ183" s="420"/>
      <c r="EK183" s="420"/>
      <c r="EL183" s="419"/>
      <c r="EM183" s="459"/>
      <c r="EN183" s="419"/>
      <c r="EO183" s="419">
        <f t="shared" si="191"/>
        <v>0</v>
      </c>
      <c r="EP183" s="419">
        <f t="shared" si="192"/>
        <v>0</v>
      </c>
      <c r="EQ183" s="419"/>
      <c r="ER183" s="419"/>
      <c r="ES183" s="419"/>
      <c r="ET183" s="419">
        <f t="shared" si="193"/>
        <v>0</v>
      </c>
      <c r="EU183" s="419">
        <f t="shared" si="194"/>
        <v>0</v>
      </c>
      <c r="EV183" s="419"/>
      <c r="EW183" s="419"/>
      <c r="EX183" s="419"/>
      <c r="EY183" s="419">
        <f t="shared" si="195"/>
        <v>0</v>
      </c>
      <c r="EZ183" s="419">
        <f t="shared" si="215"/>
        <v>0</v>
      </c>
      <c r="FA183" s="420">
        <v>2347502.7000000002</v>
      </c>
      <c r="FB183" s="420"/>
      <c r="FC183" s="420">
        <v>211275.24</v>
      </c>
      <c r="FD183" s="420">
        <f t="shared" si="196"/>
        <v>2347502.67</v>
      </c>
      <c r="FE183" s="420">
        <f t="shared" si="197"/>
        <v>-0.03</v>
      </c>
      <c r="FF183" s="419">
        <v>3734134.22</v>
      </c>
      <c r="FG183" s="419"/>
      <c r="FH183" s="419">
        <v>336072.07</v>
      </c>
      <c r="FI183" s="419">
        <f t="shared" si="198"/>
        <v>3734134.1111111101</v>
      </c>
      <c r="FJ183" s="419">
        <f t="shared" si="199"/>
        <v>-0.11</v>
      </c>
      <c r="FK183" s="419"/>
      <c r="FL183" s="419">
        <v>6081636.9100000001</v>
      </c>
      <c r="FM183" s="419"/>
      <c r="FN183" s="420">
        <f t="shared" si="200"/>
        <v>0</v>
      </c>
      <c r="FO183" s="423">
        <f t="shared" si="201"/>
        <v>0</v>
      </c>
      <c r="FP183" s="431">
        <v>3998921.7</v>
      </c>
      <c r="FQ183" s="431">
        <v>0</v>
      </c>
      <c r="FR183" s="431">
        <v>359902.96</v>
      </c>
      <c r="FS183" s="420">
        <f t="shared" si="202"/>
        <v>3998921.78</v>
      </c>
      <c r="FT183" s="420">
        <f t="shared" si="203"/>
        <v>7.9999999608844505E-2</v>
      </c>
      <c r="FU183" s="419">
        <v>797865.34</v>
      </c>
      <c r="FV183" s="419"/>
      <c r="FW183" s="419">
        <v>71807.88</v>
      </c>
      <c r="FX183" s="420">
        <f t="shared" si="204"/>
        <v>797865.33</v>
      </c>
      <c r="FY183" s="420">
        <f t="shared" si="205"/>
        <v>-1.00000000093132E-2</v>
      </c>
      <c r="FZ183" s="419">
        <v>326891.40999999997</v>
      </c>
      <c r="GA183" s="419">
        <v>4796787.05</v>
      </c>
      <c r="GB183" s="419">
        <v>29420.23</v>
      </c>
      <c r="GC183" s="420">
        <f t="shared" si="206"/>
        <v>326891.44</v>
      </c>
      <c r="GD183" s="420">
        <f t="shared" si="207"/>
        <v>3.0000000027939702E-2</v>
      </c>
      <c r="GE183" s="419">
        <v>19842205.969999999</v>
      </c>
      <c r="GF183" s="419">
        <v>20169097.27</v>
      </c>
      <c r="GG183" s="419">
        <v>1785798.45</v>
      </c>
      <c r="GH183" s="420">
        <f t="shared" si="208"/>
        <v>19842205</v>
      </c>
      <c r="GI183" s="423">
        <f t="shared" si="209"/>
        <v>-0.96999999880790699</v>
      </c>
      <c r="GJ183" s="419"/>
      <c r="GK183" s="419"/>
      <c r="GL183" s="419"/>
      <c r="GM183" s="420">
        <f t="shared" si="210"/>
        <v>0</v>
      </c>
      <c r="GN183" s="420">
        <f t="shared" si="211"/>
        <v>0</v>
      </c>
      <c r="GO183" s="419"/>
      <c r="GP183" s="419"/>
      <c r="GQ183" s="419"/>
      <c r="GR183" s="420">
        <f t="shared" si="216"/>
        <v>0</v>
      </c>
      <c r="GS183" s="423">
        <f t="shared" si="212"/>
        <v>0</v>
      </c>
      <c r="GT183" s="419"/>
      <c r="GU183" s="419"/>
      <c r="GV183" s="419"/>
      <c r="GW183" s="420">
        <f t="shared" si="213"/>
        <v>0</v>
      </c>
      <c r="GX183" s="420">
        <f t="shared" si="214"/>
        <v>0</v>
      </c>
    </row>
    <row r="184" spans="1:206" ht="15">
      <c r="A184" s="414"/>
      <c r="B184" s="415" t="s">
        <v>571</v>
      </c>
      <c r="C184" s="698"/>
      <c r="D184" s="707"/>
      <c r="E184" s="434" t="s">
        <v>125</v>
      </c>
      <c r="F184" s="417">
        <v>0.06</v>
      </c>
      <c r="G184" s="418">
        <f t="shared" si="173"/>
        <v>3137389.19</v>
      </c>
      <c r="H184" s="418">
        <f t="shared" si="174"/>
        <v>3137389.19</v>
      </c>
      <c r="I184" s="418">
        <f t="shared" si="174"/>
        <v>188243.36</v>
      </c>
      <c r="J184" s="418">
        <f t="shared" si="175"/>
        <v>3137389.3333333302</v>
      </c>
      <c r="K184" s="418">
        <f t="shared" si="217"/>
        <v>0.14333333401009399</v>
      </c>
      <c r="L184" s="418">
        <f t="shared" si="218"/>
        <v>0.14333333354443301</v>
      </c>
      <c r="M184" s="424"/>
      <c r="N184" s="424"/>
      <c r="O184" s="424"/>
      <c r="P184" s="424"/>
      <c r="Q184" s="419"/>
      <c r="R184" s="419"/>
      <c r="S184" s="419"/>
      <c r="T184" s="420"/>
      <c r="U184" s="423"/>
      <c r="V184" s="420"/>
      <c r="W184" s="420"/>
      <c r="X184" s="419"/>
      <c r="Y184" s="419"/>
      <c r="Z184" s="423"/>
      <c r="AA184" s="423"/>
      <c r="AB184" s="419"/>
      <c r="AC184" s="423"/>
      <c r="AD184" s="420"/>
      <c r="AE184" s="423"/>
      <c r="AF184" s="444"/>
      <c r="AG184" s="419"/>
      <c r="AH184" s="420"/>
      <c r="AI184" s="420"/>
      <c r="AJ184" s="423"/>
      <c r="AK184" s="444"/>
      <c r="AL184" s="420"/>
      <c r="AM184" s="420"/>
      <c r="AN184" s="420"/>
      <c r="AO184" s="423"/>
      <c r="AP184" s="420"/>
      <c r="AQ184" s="419"/>
      <c r="AR184" s="420"/>
      <c r="AS184" s="420"/>
      <c r="AT184" s="420"/>
      <c r="AU184" s="420"/>
      <c r="AV184" s="420"/>
      <c r="AW184" s="420"/>
      <c r="AX184" s="426"/>
      <c r="AY184" s="420"/>
      <c r="AZ184" s="420"/>
      <c r="BA184" s="420"/>
      <c r="BB184" s="419"/>
      <c r="BC184" s="420"/>
      <c r="BD184" s="427"/>
      <c r="BE184" s="420"/>
      <c r="BF184" s="420"/>
      <c r="BG184" s="420"/>
      <c r="BH184" s="423"/>
      <c r="BI184" s="420"/>
      <c r="BJ184" s="420"/>
      <c r="BK184" s="420"/>
      <c r="BL184" s="420"/>
      <c r="BM184" s="420"/>
      <c r="BN184" s="420"/>
      <c r="BO184" s="419"/>
      <c r="BP184" s="428"/>
      <c r="BQ184" s="420"/>
      <c r="BR184" s="423"/>
      <c r="BS184" s="423"/>
      <c r="BT184" s="420"/>
      <c r="BU184" s="420"/>
      <c r="BV184" s="420"/>
      <c r="BW184" s="420"/>
      <c r="BX184" s="429"/>
      <c r="BY184" s="419"/>
      <c r="BZ184" s="419"/>
      <c r="CA184" s="419"/>
      <c r="CB184" s="420"/>
      <c r="CC184" s="430"/>
      <c r="CD184" s="419"/>
      <c r="CE184" s="419"/>
      <c r="CF184" s="419"/>
      <c r="CG184" s="420"/>
      <c r="CH184" s="423"/>
      <c r="CI184" s="432"/>
      <c r="CJ184" s="432"/>
      <c r="CK184" s="432"/>
      <c r="CL184" s="420"/>
      <c r="CM184" s="423"/>
      <c r="CN184" s="420"/>
      <c r="CO184" s="420"/>
      <c r="CP184" s="420"/>
      <c r="CQ184" s="432"/>
      <c r="CR184" s="432"/>
      <c r="CS184" s="420"/>
      <c r="CT184" s="420"/>
      <c r="CU184" s="420"/>
      <c r="CV184" s="420"/>
      <c r="CW184" s="420"/>
      <c r="CX184" s="419"/>
      <c r="CY184" s="419"/>
      <c r="CZ184" s="419"/>
      <c r="DA184" s="419"/>
      <c r="DB184" s="419"/>
      <c r="DC184" s="419"/>
      <c r="DD184" s="419"/>
      <c r="DE184" s="419"/>
      <c r="DF184" s="420"/>
      <c r="DG184" s="421"/>
      <c r="DH184" s="419"/>
      <c r="DI184" s="419"/>
      <c r="DJ184" s="419"/>
      <c r="DK184" s="420"/>
      <c r="DL184" s="422"/>
      <c r="DM184" s="420"/>
      <c r="DN184" s="420"/>
      <c r="DO184" s="420"/>
      <c r="DP184" s="420"/>
      <c r="DQ184" s="420"/>
      <c r="DR184" s="419"/>
      <c r="DS184" s="419"/>
      <c r="DT184" s="419"/>
      <c r="DU184" s="420"/>
      <c r="DV184" s="423"/>
      <c r="DW184" s="419"/>
      <c r="DX184" s="419"/>
      <c r="DY184" s="419"/>
      <c r="DZ184" s="420"/>
      <c r="EA184" s="423"/>
      <c r="EB184" s="419"/>
      <c r="EC184" s="419"/>
      <c r="ED184" s="420"/>
      <c r="EE184" s="419"/>
      <c r="EF184" s="420"/>
      <c r="EG184" s="419"/>
      <c r="EH184" s="419"/>
      <c r="EI184" s="419"/>
      <c r="EJ184" s="420"/>
      <c r="EK184" s="420"/>
      <c r="EL184" s="419">
        <v>140469.9</v>
      </c>
      <c r="EN184" s="419">
        <v>8428.19</v>
      </c>
      <c r="EO184" s="419">
        <f t="shared" si="191"/>
        <v>140469.82999999999</v>
      </c>
      <c r="EP184" s="419">
        <f t="shared" si="192"/>
        <v>-7.0000000000000007E-2</v>
      </c>
      <c r="EQ184" s="419">
        <v>9964.31</v>
      </c>
      <c r="ER184" s="419"/>
      <c r="ES184" s="419">
        <v>597.86</v>
      </c>
      <c r="ET184" s="419">
        <f t="shared" si="193"/>
        <v>9964.33</v>
      </c>
      <c r="EU184" s="419">
        <f t="shared" si="194"/>
        <v>0.02</v>
      </c>
      <c r="EV184" s="419">
        <v>10523.29</v>
      </c>
      <c r="EW184" s="419"/>
      <c r="EX184" s="419">
        <v>631.4</v>
      </c>
      <c r="EY184" s="419">
        <f t="shared" si="195"/>
        <v>10523.33</v>
      </c>
      <c r="EZ184" s="419">
        <f t="shared" si="215"/>
        <v>0.04</v>
      </c>
      <c r="FA184" s="420">
        <v>190774.84</v>
      </c>
      <c r="FB184" s="420"/>
      <c r="FC184" s="420">
        <v>11446.49</v>
      </c>
      <c r="FD184" s="420">
        <f t="shared" si="196"/>
        <v>190774.83</v>
      </c>
      <c r="FE184" s="420">
        <f t="shared" si="197"/>
        <v>-0.01</v>
      </c>
      <c r="FF184" s="419">
        <v>248671.86</v>
      </c>
      <c r="FG184" s="419"/>
      <c r="FH184" s="419">
        <v>14920.32</v>
      </c>
      <c r="FI184" s="419">
        <f t="shared" si="198"/>
        <v>248672</v>
      </c>
      <c r="FJ184" s="419">
        <f t="shared" si="199"/>
        <v>0.14000000000000001</v>
      </c>
      <c r="FK184" s="419">
        <v>368461.7</v>
      </c>
      <c r="FL184" s="419"/>
      <c r="FM184" s="419">
        <v>22107.7</v>
      </c>
      <c r="FN184" s="420">
        <f t="shared" si="200"/>
        <v>368461.67</v>
      </c>
      <c r="FO184" s="423">
        <f t="shared" si="201"/>
        <v>-0.03</v>
      </c>
      <c r="FP184" s="431">
        <v>42047.48</v>
      </c>
      <c r="FQ184" s="431">
        <v>0</v>
      </c>
      <c r="FR184" s="431">
        <v>2522.85</v>
      </c>
      <c r="FS184" s="420">
        <f t="shared" si="202"/>
        <v>42047.5</v>
      </c>
      <c r="FT184" s="420">
        <f t="shared" si="203"/>
        <v>1.9999999996798599E-2</v>
      </c>
      <c r="FU184" s="419">
        <v>49438.55</v>
      </c>
      <c r="FV184" s="419"/>
      <c r="FW184" s="419">
        <v>2966.32</v>
      </c>
      <c r="FX184" s="420">
        <f t="shared" si="204"/>
        <v>49438.67</v>
      </c>
      <c r="FY184" s="420">
        <f t="shared" si="205"/>
        <v>0.119999999995343</v>
      </c>
      <c r="FZ184" s="419">
        <v>43441.96</v>
      </c>
      <c r="GA184" s="419">
        <v>1060351.94</v>
      </c>
      <c r="GB184" s="419">
        <v>2606.52</v>
      </c>
      <c r="GC184" s="420">
        <f t="shared" si="206"/>
        <v>43442</v>
      </c>
      <c r="GD184" s="420">
        <f t="shared" si="207"/>
        <v>4.0000000000873101E-2</v>
      </c>
      <c r="GE184" s="419">
        <v>2033595.3</v>
      </c>
      <c r="GF184" s="419">
        <v>2078230.2</v>
      </c>
      <c r="GG184" s="419">
        <v>122015.71</v>
      </c>
      <c r="GH184" s="420">
        <f t="shared" si="208"/>
        <v>2033595.16666667</v>
      </c>
      <c r="GI184" s="423">
        <f t="shared" si="209"/>
        <v>-0.133333333302289</v>
      </c>
      <c r="GJ184" s="419"/>
      <c r="GK184" s="419">
        <v>-1192.95</v>
      </c>
      <c r="GL184" s="419"/>
      <c r="GM184" s="420">
        <f t="shared" si="210"/>
        <v>0</v>
      </c>
      <c r="GN184" s="420">
        <f t="shared" si="211"/>
        <v>0</v>
      </c>
      <c r="GO184" s="419"/>
      <c r="GP184" s="419"/>
      <c r="GQ184" s="419"/>
      <c r="GR184" s="420">
        <f t="shared" si="216"/>
        <v>0</v>
      </c>
      <c r="GS184" s="423">
        <f t="shared" si="212"/>
        <v>0</v>
      </c>
      <c r="GT184" s="419"/>
      <c r="GU184" s="419"/>
      <c r="GV184" s="419"/>
      <c r="GW184" s="420">
        <f t="shared" si="213"/>
        <v>0</v>
      </c>
      <c r="GX184" s="420">
        <f t="shared" si="214"/>
        <v>0</v>
      </c>
    </row>
    <row r="185" spans="1:206" ht="13.5" customHeight="1">
      <c r="A185" s="414"/>
      <c r="B185" s="415" t="s">
        <v>573</v>
      </c>
      <c r="C185" s="698"/>
      <c r="D185" s="704" t="s">
        <v>574</v>
      </c>
      <c r="E185" s="434" t="s">
        <v>123</v>
      </c>
      <c r="F185" s="417">
        <v>0.13</v>
      </c>
      <c r="G185" s="418">
        <f t="shared" si="173"/>
        <v>0</v>
      </c>
      <c r="H185" s="418">
        <f t="shared" si="174"/>
        <v>0</v>
      </c>
      <c r="I185" s="418">
        <f t="shared" si="174"/>
        <v>0</v>
      </c>
      <c r="J185" s="418">
        <f t="shared" si="175"/>
        <v>0</v>
      </c>
      <c r="K185" s="418">
        <f t="shared" si="217"/>
        <v>0</v>
      </c>
      <c r="L185" s="418">
        <f t="shared" si="218"/>
        <v>0</v>
      </c>
      <c r="M185" s="424"/>
      <c r="N185" s="424"/>
      <c r="O185" s="424"/>
      <c r="P185" s="424"/>
      <c r="Q185" s="419"/>
      <c r="R185" s="419"/>
      <c r="S185" s="419"/>
      <c r="T185" s="420"/>
      <c r="U185" s="423"/>
      <c r="V185" s="420"/>
      <c r="W185" s="420"/>
      <c r="X185" s="419"/>
      <c r="Y185" s="419"/>
      <c r="Z185" s="423"/>
      <c r="AA185" s="423"/>
      <c r="AB185" s="419"/>
      <c r="AC185" s="423"/>
      <c r="AD185" s="420"/>
      <c r="AE185" s="423"/>
      <c r="AF185" s="444"/>
      <c r="AG185" s="419"/>
      <c r="AH185" s="420"/>
      <c r="AI185" s="420"/>
      <c r="AJ185" s="423"/>
      <c r="AK185" s="444"/>
      <c r="AL185" s="420"/>
      <c r="AM185" s="420"/>
      <c r="AN185" s="420"/>
      <c r="AO185" s="423"/>
      <c r="AP185" s="420"/>
      <c r="AQ185" s="419"/>
      <c r="AR185" s="420"/>
      <c r="AS185" s="420"/>
      <c r="AT185" s="420"/>
      <c r="AU185" s="420"/>
      <c r="AV185" s="420"/>
      <c r="AW185" s="420"/>
      <c r="AX185" s="426"/>
      <c r="AY185" s="420"/>
      <c r="AZ185" s="420"/>
      <c r="BA185" s="420"/>
      <c r="BB185" s="419"/>
      <c r="BC185" s="420"/>
      <c r="BD185" s="427"/>
      <c r="BE185" s="420"/>
      <c r="BF185" s="420"/>
      <c r="BG185" s="420"/>
      <c r="BH185" s="423"/>
      <c r="BI185" s="420"/>
      <c r="BJ185" s="420"/>
      <c r="BK185" s="420"/>
      <c r="BL185" s="420"/>
      <c r="BM185" s="420"/>
      <c r="BN185" s="420"/>
      <c r="BO185" s="419"/>
      <c r="BP185" s="428"/>
      <c r="BQ185" s="420"/>
      <c r="BR185" s="423"/>
      <c r="BS185" s="423"/>
      <c r="BT185" s="420"/>
      <c r="BU185" s="420"/>
      <c r="BV185" s="420"/>
      <c r="BW185" s="420"/>
      <c r="BX185" s="429"/>
      <c r="BY185" s="419"/>
      <c r="BZ185" s="419"/>
      <c r="CA185" s="419"/>
      <c r="CB185" s="420"/>
      <c r="CC185" s="430"/>
      <c r="CD185" s="419"/>
      <c r="CE185" s="419"/>
      <c r="CF185" s="419"/>
      <c r="CG185" s="420"/>
      <c r="CH185" s="423"/>
      <c r="CI185" s="432"/>
      <c r="CJ185" s="432"/>
      <c r="CK185" s="432"/>
      <c r="CL185" s="420"/>
      <c r="CM185" s="423"/>
      <c r="CN185" s="420"/>
      <c r="CO185" s="420"/>
      <c r="CP185" s="420"/>
      <c r="CQ185" s="432"/>
      <c r="CR185" s="432"/>
      <c r="CS185" s="420"/>
      <c r="CT185" s="420"/>
      <c r="CU185" s="420"/>
      <c r="CV185" s="420"/>
      <c r="CW185" s="420"/>
      <c r="CX185" s="419"/>
      <c r="CY185" s="419"/>
      <c r="CZ185" s="419"/>
      <c r="DA185" s="419"/>
      <c r="DB185" s="419"/>
      <c r="DC185" s="419"/>
      <c r="DD185" s="419"/>
      <c r="DE185" s="419"/>
      <c r="DF185" s="420"/>
      <c r="DG185" s="421"/>
      <c r="DH185" s="419"/>
      <c r="DI185" s="419"/>
      <c r="DJ185" s="419"/>
      <c r="DK185" s="420"/>
      <c r="DL185" s="422"/>
      <c r="DM185" s="420"/>
      <c r="DN185" s="420"/>
      <c r="DO185" s="420"/>
      <c r="DP185" s="420"/>
      <c r="DQ185" s="420"/>
      <c r="DR185" s="419"/>
      <c r="DS185" s="419"/>
      <c r="DT185" s="419"/>
      <c r="DU185" s="420"/>
      <c r="DV185" s="423"/>
      <c r="DW185" s="419"/>
      <c r="DX185" s="419"/>
      <c r="DY185" s="419"/>
      <c r="DZ185" s="420"/>
      <c r="EA185" s="423"/>
      <c r="EB185" s="419"/>
      <c r="EC185" s="419"/>
      <c r="ED185" s="420"/>
      <c r="EE185" s="419"/>
      <c r="EF185" s="420"/>
      <c r="EG185" s="419"/>
      <c r="EH185" s="419"/>
      <c r="EI185" s="419"/>
      <c r="EJ185" s="420"/>
      <c r="EK185" s="420"/>
      <c r="EL185" s="419"/>
      <c r="EM185" s="419"/>
      <c r="EN185" s="419"/>
      <c r="EO185" s="419"/>
      <c r="EP185" s="419"/>
      <c r="EQ185" s="419"/>
      <c r="ER185" s="419"/>
      <c r="ES185" s="419"/>
      <c r="ET185" s="419"/>
      <c r="EU185" s="419"/>
      <c r="EV185" s="419"/>
      <c r="EW185" s="419"/>
      <c r="EX185" s="419"/>
      <c r="EY185" s="419">
        <f t="shared" si="195"/>
        <v>0</v>
      </c>
      <c r="EZ185" s="419">
        <f t="shared" si="215"/>
        <v>0</v>
      </c>
      <c r="FA185" s="420"/>
      <c r="FB185" s="420"/>
      <c r="FC185" s="420"/>
      <c r="FD185" s="420">
        <f t="shared" si="196"/>
        <v>0</v>
      </c>
      <c r="FE185" s="420">
        <f t="shared" si="197"/>
        <v>0</v>
      </c>
      <c r="FF185" s="419"/>
      <c r="FG185" s="419"/>
      <c r="FH185" s="419"/>
      <c r="FI185" s="419">
        <f t="shared" si="198"/>
        <v>0</v>
      </c>
      <c r="FJ185" s="419">
        <f t="shared" si="199"/>
        <v>0</v>
      </c>
      <c r="FK185" s="419"/>
      <c r="FL185" s="419"/>
      <c r="FM185" s="419"/>
      <c r="FN185" s="420">
        <f t="shared" si="200"/>
        <v>0</v>
      </c>
      <c r="FO185" s="423">
        <f t="shared" si="201"/>
        <v>0</v>
      </c>
      <c r="FP185" s="419"/>
      <c r="FQ185" s="419"/>
      <c r="FR185" s="419"/>
      <c r="FS185" s="420">
        <f t="shared" si="202"/>
        <v>0</v>
      </c>
      <c r="FT185" s="420">
        <f t="shared" si="203"/>
        <v>0</v>
      </c>
      <c r="FU185" s="419"/>
      <c r="FV185" s="419"/>
      <c r="FW185" s="419"/>
      <c r="FX185" s="420">
        <f t="shared" si="204"/>
        <v>0</v>
      </c>
      <c r="FY185" s="420">
        <f t="shared" si="205"/>
        <v>0</v>
      </c>
      <c r="FZ185" s="419"/>
      <c r="GA185" s="419"/>
      <c r="GB185" s="419"/>
      <c r="GC185" s="420">
        <f t="shared" si="206"/>
        <v>0</v>
      </c>
      <c r="GD185" s="420">
        <f t="shared" si="207"/>
        <v>0</v>
      </c>
      <c r="GE185" s="419"/>
      <c r="GF185" s="419"/>
      <c r="GG185" s="419"/>
      <c r="GH185" s="420">
        <f t="shared" si="208"/>
        <v>0</v>
      </c>
      <c r="GI185" s="423">
        <f t="shared" si="209"/>
        <v>0</v>
      </c>
      <c r="GJ185" s="419"/>
      <c r="GK185" s="419"/>
      <c r="GL185" s="419"/>
      <c r="GM185" s="420">
        <f t="shared" si="210"/>
        <v>0</v>
      </c>
      <c r="GN185" s="420">
        <f t="shared" si="211"/>
        <v>0</v>
      </c>
      <c r="GO185" s="419"/>
      <c r="GP185" s="419"/>
      <c r="GQ185" s="419"/>
      <c r="GR185" s="420">
        <f t="shared" si="216"/>
        <v>0</v>
      </c>
      <c r="GS185" s="423">
        <f t="shared" si="212"/>
        <v>0</v>
      </c>
      <c r="GT185" s="419"/>
      <c r="GU185" s="419"/>
      <c r="GV185" s="419"/>
      <c r="GW185" s="420">
        <f t="shared" si="213"/>
        <v>0</v>
      </c>
      <c r="GX185" s="420">
        <f t="shared" si="214"/>
        <v>0</v>
      </c>
    </row>
    <row r="186" spans="1:206" ht="15">
      <c r="A186" s="414"/>
      <c r="B186" s="415" t="s">
        <v>573</v>
      </c>
      <c r="C186" s="698"/>
      <c r="D186" s="705"/>
      <c r="E186" s="434" t="s">
        <v>124</v>
      </c>
      <c r="F186" s="417">
        <v>0.09</v>
      </c>
      <c r="G186" s="418">
        <f t="shared" si="173"/>
        <v>0</v>
      </c>
      <c r="H186" s="418">
        <f t="shared" si="174"/>
        <v>0</v>
      </c>
      <c r="I186" s="418">
        <f t="shared" si="174"/>
        <v>0</v>
      </c>
      <c r="J186" s="418">
        <f t="shared" si="175"/>
        <v>0</v>
      </c>
      <c r="K186" s="418">
        <f t="shared" si="217"/>
        <v>0</v>
      </c>
      <c r="L186" s="418">
        <f t="shared" si="218"/>
        <v>0</v>
      </c>
      <c r="M186" s="424"/>
      <c r="N186" s="424"/>
      <c r="O186" s="424"/>
      <c r="P186" s="424"/>
      <c r="Q186" s="419"/>
      <c r="R186" s="419"/>
      <c r="S186" s="419"/>
      <c r="T186" s="420"/>
      <c r="U186" s="423"/>
      <c r="V186" s="420"/>
      <c r="W186" s="420"/>
      <c r="X186" s="419"/>
      <c r="Y186" s="419"/>
      <c r="Z186" s="423"/>
      <c r="AA186" s="423"/>
      <c r="AB186" s="419"/>
      <c r="AC186" s="423"/>
      <c r="AD186" s="420"/>
      <c r="AE186" s="423"/>
      <c r="AF186" s="444"/>
      <c r="AG186" s="419"/>
      <c r="AH186" s="420"/>
      <c r="AI186" s="420"/>
      <c r="AJ186" s="423"/>
      <c r="AK186" s="444"/>
      <c r="AL186" s="420"/>
      <c r="AM186" s="420"/>
      <c r="AN186" s="420"/>
      <c r="AO186" s="423"/>
      <c r="AP186" s="420"/>
      <c r="AQ186" s="419"/>
      <c r="AR186" s="420"/>
      <c r="AS186" s="420"/>
      <c r="AT186" s="420"/>
      <c r="AU186" s="420"/>
      <c r="AV186" s="420"/>
      <c r="AW186" s="420"/>
      <c r="AX186" s="426"/>
      <c r="AY186" s="420"/>
      <c r="AZ186" s="420"/>
      <c r="BA186" s="420"/>
      <c r="BB186" s="419"/>
      <c r="BC186" s="420"/>
      <c r="BD186" s="427"/>
      <c r="BE186" s="420"/>
      <c r="BF186" s="420"/>
      <c r="BG186" s="420"/>
      <c r="BH186" s="423"/>
      <c r="BI186" s="420"/>
      <c r="BJ186" s="420"/>
      <c r="BK186" s="420"/>
      <c r="BL186" s="420"/>
      <c r="BM186" s="420"/>
      <c r="BN186" s="420"/>
      <c r="BO186" s="419"/>
      <c r="BP186" s="428"/>
      <c r="BQ186" s="420"/>
      <c r="BR186" s="423"/>
      <c r="BS186" s="423"/>
      <c r="BT186" s="420"/>
      <c r="BU186" s="420"/>
      <c r="BV186" s="420"/>
      <c r="BW186" s="420"/>
      <c r="BX186" s="429"/>
      <c r="BY186" s="419"/>
      <c r="BZ186" s="419"/>
      <c r="CA186" s="419"/>
      <c r="CB186" s="420"/>
      <c r="CC186" s="430"/>
      <c r="CD186" s="419"/>
      <c r="CE186" s="419"/>
      <c r="CF186" s="419"/>
      <c r="CG186" s="420"/>
      <c r="CH186" s="423"/>
      <c r="CI186" s="432"/>
      <c r="CJ186" s="432"/>
      <c r="CK186" s="432"/>
      <c r="CL186" s="420"/>
      <c r="CM186" s="423"/>
      <c r="CN186" s="420"/>
      <c r="CO186" s="420"/>
      <c r="CP186" s="420"/>
      <c r="CQ186" s="432"/>
      <c r="CR186" s="432"/>
      <c r="CS186" s="420"/>
      <c r="CT186" s="420"/>
      <c r="CU186" s="420"/>
      <c r="CV186" s="420"/>
      <c r="CW186" s="420"/>
      <c r="CX186" s="419"/>
      <c r="CY186" s="419"/>
      <c r="CZ186" s="419"/>
      <c r="DA186" s="419"/>
      <c r="DB186" s="419"/>
      <c r="DC186" s="419"/>
      <c r="DD186" s="419"/>
      <c r="DE186" s="419"/>
      <c r="DF186" s="420"/>
      <c r="DG186" s="421"/>
      <c r="DH186" s="419"/>
      <c r="DI186" s="419"/>
      <c r="DJ186" s="419"/>
      <c r="DK186" s="420"/>
      <c r="DL186" s="422"/>
      <c r="DM186" s="420"/>
      <c r="DN186" s="420"/>
      <c r="DO186" s="420"/>
      <c r="DP186" s="420"/>
      <c r="DQ186" s="420"/>
      <c r="DR186" s="419"/>
      <c r="DS186" s="419"/>
      <c r="DT186" s="419"/>
      <c r="DU186" s="420"/>
      <c r="DV186" s="423"/>
      <c r="DW186" s="419"/>
      <c r="DX186" s="419"/>
      <c r="DY186" s="419"/>
      <c r="DZ186" s="420"/>
      <c r="EA186" s="423"/>
      <c r="EB186" s="419"/>
      <c r="EC186" s="419"/>
      <c r="ED186" s="420"/>
      <c r="EE186" s="419"/>
      <c r="EF186" s="420"/>
      <c r="EG186" s="419"/>
      <c r="EH186" s="419"/>
      <c r="EI186" s="419"/>
      <c r="EJ186" s="420"/>
      <c r="EK186" s="420"/>
      <c r="EL186" s="419"/>
      <c r="EN186" s="419"/>
      <c r="EO186" s="419"/>
      <c r="EP186" s="419"/>
      <c r="EQ186" s="419"/>
      <c r="ER186" s="419"/>
      <c r="ES186" s="419"/>
      <c r="ET186" s="419"/>
      <c r="EU186" s="419"/>
      <c r="EV186" s="419"/>
      <c r="EW186" s="419"/>
      <c r="EX186" s="419"/>
      <c r="EY186" s="419">
        <f t="shared" si="195"/>
        <v>0</v>
      </c>
      <c r="EZ186" s="419">
        <f t="shared" si="215"/>
        <v>0</v>
      </c>
      <c r="FA186" s="420"/>
      <c r="FB186" s="420"/>
      <c r="FC186" s="420"/>
      <c r="FD186" s="420">
        <f t="shared" si="196"/>
        <v>0</v>
      </c>
      <c r="FE186" s="420">
        <f t="shared" si="197"/>
        <v>0</v>
      </c>
      <c r="FF186" s="419"/>
      <c r="FG186" s="419"/>
      <c r="FH186" s="419"/>
      <c r="FI186" s="419">
        <f t="shared" si="198"/>
        <v>0</v>
      </c>
      <c r="FJ186" s="419">
        <f t="shared" si="199"/>
        <v>0</v>
      </c>
      <c r="FK186" s="419"/>
      <c r="FL186" s="419"/>
      <c r="FM186" s="419"/>
      <c r="FN186" s="420">
        <f t="shared" si="200"/>
        <v>0</v>
      </c>
      <c r="FO186" s="423">
        <f t="shared" si="201"/>
        <v>0</v>
      </c>
      <c r="FP186" s="419"/>
      <c r="FQ186" s="419"/>
      <c r="FR186" s="419"/>
      <c r="FS186" s="420">
        <f t="shared" si="202"/>
        <v>0</v>
      </c>
      <c r="FT186" s="420">
        <f t="shared" si="203"/>
        <v>0</v>
      </c>
      <c r="FU186" s="419"/>
      <c r="FV186" s="419"/>
      <c r="FW186" s="419"/>
      <c r="FX186" s="420">
        <f t="shared" si="204"/>
        <v>0</v>
      </c>
      <c r="FY186" s="420">
        <f t="shared" si="205"/>
        <v>0</v>
      </c>
      <c r="FZ186" s="419"/>
      <c r="GA186" s="419"/>
      <c r="GB186" s="419"/>
      <c r="GC186" s="420">
        <f t="shared" si="206"/>
        <v>0</v>
      </c>
      <c r="GD186" s="420">
        <f t="shared" si="207"/>
        <v>0</v>
      </c>
      <c r="GE186" s="419"/>
      <c r="GF186" s="419"/>
      <c r="GG186" s="419"/>
      <c r="GH186" s="420">
        <f t="shared" si="208"/>
        <v>0</v>
      </c>
      <c r="GI186" s="423">
        <f t="shared" si="209"/>
        <v>0</v>
      </c>
      <c r="GJ186" s="419"/>
      <c r="GK186" s="419"/>
      <c r="GL186" s="419"/>
      <c r="GM186" s="420">
        <f t="shared" si="210"/>
        <v>0</v>
      </c>
      <c r="GN186" s="420">
        <f t="shared" si="211"/>
        <v>0</v>
      </c>
      <c r="GO186" s="419"/>
      <c r="GP186" s="419"/>
      <c r="GQ186" s="419"/>
      <c r="GR186" s="420">
        <f t="shared" si="216"/>
        <v>0</v>
      </c>
      <c r="GS186" s="423">
        <f t="shared" si="212"/>
        <v>0</v>
      </c>
      <c r="GT186" s="419"/>
      <c r="GU186" s="419"/>
      <c r="GV186" s="419"/>
      <c r="GW186" s="420">
        <f t="shared" si="213"/>
        <v>0</v>
      </c>
      <c r="GX186" s="420">
        <f t="shared" si="214"/>
        <v>0</v>
      </c>
    </row>
    <row r="187" spans="1:206" ht="15">
      <c r="A187" s="414"/>
      <c r="B187" s="415" t="s">
        <v>573</v>
      </c>
      <c r="C187" s="698"/>
      <c r="D187" s="707"/>
      <c r="E187" s="434" t="s">
        <v>125</v>
      </c>
      <c r="F187" s="417">
        <v>0.06</v>
      </c>
      <c r="G187" s="418">
        <f t="shared" si="173"/>
        <v>73502.39</v>
      </c>
      <c r="H187" s="418">
        <f t="shared" si="174"/>
        <v>0</v>
      </c>
      <c r="I187" s="418">
        <f t="shared" si="174"/>
        <v>4410.1400000000003</v>
      </c>
      <c r="J187" s="418">
        <f t="shared" si="175"/>
        <v>73502.333333333299</v>
      </c>
      <c r="K187" s="418">
        <f t="shared" si="217"/>
        <v>73502.333333333299</v>
      </c>
      <c r="L187" s="418">
        <f t="shared" si="218"/>
        <v>-5.6666666656383299E-2</v>
      </c>
      <c r="M187" s="424"/>
      <c r="N187" s="424"/>
      <c r="O187" s="424"/>
      <c r="P187" s="424"/>
      <c r="Q187" s="419"/>
      <c r="R187" s="419"/>
      <c r="S187" s="419"/>
      <c r="T187" s="420"/>
      <c r="U187" s="423"/>
      <c r="V187" s="420"/>
      <c r="W187" s="420"/>
      <c r="X187" s="419"/>
      <c r="Y187" s="419"/>
      <c r="Z187" s="423"/>
      <c r="AA187" s="423"/>
      <c r="AB187" s="419"/>
      <c r="AC187" s="423"/>
      <c r="AD187" s="420"/>
      <c r="AE187" s="423"/>
      <c r="AF187" s="444"/>
      <c r="AG187" s="419"/>
      <c r="AH187" s="420"/>
      <c r="AI187" s="420"/>
      <c r="AJ187" s="423"/>
      <c r="AK187" s="444"/>
      <c r="AL187" s="420"/>
      <c r="AM187" s="420"/>
      <c r="AN187" s="420"/>
      <c r="AO187" s="423"/>
      <c r="AP187" s="420"/>
      <c r="AQ187" s="419"/>
      <c r="AR187" s="420"/>
      <c r="AS187" s="420"/>
      <c r="AT187" s="420"/>
      <c r="AU187" s="420"/>
      <c r="AV187" s="420"/>
      <c r="AW187" s="420"/>
      <c r="AX187" s="426"/>
      <c r="AY187" s="420"/>
      <c r="AZ187" s="420"/>
      <c r="BA187" s="420"/>
      <c r="BB187" s="419"/>
      <c r="BC187" s="420"/>
      <c r="BD187" s="427"/>
      <c r="BE187" s="420"/>
      <c r="BF187" s="420"/>
      <c r="BG187" s="420"/>
      <c r="BH187" s="423"/>
      <c r="BI187" s="420"/>
      <c r="BJ187" s="420"/>
      <c r="BK187" s="420"/>
      <c r="BL187" s="420"/>
      <c r="BM187" s="420"/>
      <c r="BN187" s="420"/>
      <c r="BO187" s="419"/>
      <c r="BP187" s="428"/>
      <c r="BQ187" s="420"/>
      <c r="BR187" s="423"/>
      <c r="BS187" s="423"/>
      <c r="BT187" s="420"/>
      <c r="BU187" s="420"/>
      <c r="BV187" s="420"/>
      <c r="BW187" s="420"/>
      <c r="BX187" s="429"/>
      <c r="BY187" s="419"/>
      <c r="BZ187" s="419"/>
      <c r="CA187" s="419"/>
      <c r="CB187" s="420"/>
      <c r="CC187" s="430"/>
      <c r="CD187" s="419"/>
      <c r="CE187" s="419"/>
      <c r="CF187" s="419"/>
      <c r="CG187" s="420"/>
      <c r="CH187" s="423"/>
      <c r="CI187" s="432"/>
      <c r="CJ187" s="432"/>
      <c r="CK187" s="432"/>
      <c r="CL187" s="420"/>
      <c r="CM187" s="423"/>
      <c r="CN187" s="420"/>
      <c r="CO187" s="420"/>
      <c r="CP187" s="420"/>
      <c r="CQ187" s="432"/>
      <c r="CR187" s="432"/>
      <c r="CS187" s="420"/>
      <c r="CT187" s="420"/>
      <c r="CU187" s="420"/>
      <c r="CV187" s="420"/>
      <c r="CW187" s="420"/>
      <c r="CX187" s="419"/>
      <c r="CY187" s="419"/>
      <c r="CZ187" s="419"/>
      <c r="DA187" s="419"/>
      <c r="DB187" s="419"/>
      <c r="DC187" s="419"/>
      <c r="DD187" s="419"/>
      <c r="DE187" s="419"/>
      <c r="DF187" s="420"/>
      <c r="DG187" s="421"/>
      <c r="DH187" s="419"/>
      <c r="DI187" s="419"/>
      <c r="DJ187" s="419"/>
      <c r="DK187" s="420"/>
      <c r="DL187" s="422"/>
      <c r="DM187" s="420"/>
      <c r="DN187" s="420"/>
      <c r="DO187" s="420"/>
      <c r="DP187" s="420"/>
      <c r="DQ187" s="420"/>
      <c r="DR187" s="419"/>
      <c r="DS187" s="419"/>
      <c r="DT187" s="419"/>
      <c r="DU187" s="420"/>
      <c r="DV187" s="423"/>
      <c r="DW187" s="419"/>
      <c r="DX187" s="419"/>
      <c r="DY187" s="419"/>
      <c r="DZ187" s="420"/>
      <c r="EA187" s="423"/>
      <c r="EB187" s="419"/>
      <c r="EC187" s="419"/>
      <c r="ED187" s="420"/>
      <c r="EE187" s="419"/>
      <c r="EF187" s="420"/>
      <c r="EG187" s="419"/>
      <c r="EH187" s="419"/>
      <c r="EI187" s="419"/>
      <c r="EJ187" s="420"/>
      <c r="EK187" s="420"/>
      <c r="EL187" s="419"/>
      <c r="EN187" s="419"/>
      <c r="EO187" s="419"/>
      <c r="EP187" s="419"/>
      <c r="EQ187" s="419"/>
      <c r="ER187" s="419"/>
      <c r="ES187" s="419"/>
      <c r="ET187" s="419"/>
      <c r="EU187" s="419"/>
      <c r="EV187" s="419">
        <v>46183.519999999997</v>
      </c>
      <c r="EW187" s="419"/>
      <c r="EX187" s="419">
        <v>2771.01</v>
      </c>
      <c r="EY187" s="419">
        <f t="shared" si="195"/>
        <v>46183.5</v>
      </c>
      <c r="EZ187" s="419">
        <f t="shared" si="215"/>
        <v>-0.02</v>
      </c>
      <c r="FA187" s="420">
        <v>27318.87</v>
      </c>
      <c r="FB187" s="420"/>
      <c r="FC187" s="420">
        <v>1639.13</v>
      </c>
      <c r="FD187" s="420">
        <f t="shared" si="196"/>
        <v>27318.83</v>
      </c>
      <c r="FE187" s="420">
        <f t="shared" si="197"/>
        <v>-0.04</v>
      </c>
      <c r="FF187" s="419"/>
      <c r="FG187" s="419"/>
      <c r="FH187" s="419"/>
      <c r="FI187" s="419">
        <f t="shared" si="198"/>
        <v>0</v>
      </c>
      <c r="FJ187" s="419">
        <f t="shared" si="199"/>
        <v>0</v>
      </c>
      <c r="FK187" s="419"/>
      <c r="FL187" s="419"/>
      <c r="FM187" s="419"/>
      <c r="FN187" s="420">
        <f t="shared" si="200"/>
        <v>0</v>
      </c>
      <c r="FO187" s="423">
        <f t="shared" si="201"/>
        <v>0</v>
      </c>
      <c r="FP187" s="419"/>
      <c r="FQ187" s="419"/>
      <c r="FR187" s="419"/>
      <c r="FS187" s="420">
        <f t="shared" si="202"/>
        <v>0</v>
      </c>
      <c r="FT187" s="420">
        <f t="shared" si="203"/>
        <v>0</v>
      </c>
      <c r="FU187" s="419"/>
      <c r="FV187" s="419"/>
      <c r="FW187" s="419"/>
      <c r="FX187" s="420">
        <f t="shared" si="204"/>
        <v>0</v>
      </c>
      <c r="FY187" s="420">
        <f t="shared" si="205"/>
        <v>0</v>
      </c>
      <c r="FZ187" s="419"/>
      <c r="GA187" s="419"/>
      <c r="GB187" s="419"/>
      <c r="GC187" s="420">
        <f t="shared" si="206"/>
        <v>0</v>
      </c>
      <c r="GD187" s="420">
        <f t="shared" si="207"/>
        <v>0</v>
      </c>
      <c r="GE187" s="419"/>
      <c r="GF187" s="419"/>
      <c r="GG187" s="419"/>
      <c r="GH187" s="420">
        <f t="shared" si="208"/>
        <v>0</v>
      </c>
      <c r="GI187" s="423">
        <f t="shared" si="209"/>
        <v>0</v>
      </c>
      <c r="GJ187" s="419"/>
      <c r="GK187" s="419"/>
      <c r="GL187" s="419"/>
      <c r="GM187" s="420">
        <f t="shared" si="210"/>
        <v>0</v>
      </c>
      <c r="GN187" s="420">
        <f t="shared" si="211"/>
        <v>0</v>
      </c>
      <c r="GO187" s="419"/>
      <c r="GP187" s="419"/>
      <c r="GQ187" s="419"/>
      <c r="GR187" s="420">
        <f t="shared" si="216"/>
        <v>0</v>
      </c>
      <c r="GS187" s="423">
        <f t="shared" si="212"/>
        <v>0</v>
      </c>
      <c r="GT187" s="419"/>
      <c r="GU187" s="419"/>
      <c r="GV187" s="419"/>
      <c r="GW187" s="420">
        <f t="shared" si="213"/>
        <v>0</v>
      </c>
      <c r="GX187" s="420">
        <f t="shared" si="214"/>
        <v>0</v>
      </c>
    </row>
    <row r="188" spans="1:206" ht="15">
      <c r="A188" s="414"/>
      <c r="B188" s="415" t="s">
        <v>573</v>
      </c>
      <c r="C188" s="698"/>
      <c r="D188" s="704" t="s">
        <v>575</v>
      </c>
      <c r="E188" s="434" t="s">
        <v>123</v>
      </c>
      <c r="F188" s="417">
        <v>0.13</v>
      </c>
      <c r="G188" s="418">
        <f t="shared" si="173"/>
        <v>2070455.55</v>
      </c>
      <c r="H188" s="418">
        <f t="shared" si="174"/>
        <v>94021046.689999998</v>
      </c>
      <c r="I188" s="418">
        <f t="shared" si="174"/>
        <v>269159.21999999997</v>
      </c>
      <c r="J188" s="418">
        <f t="shared" si="175"/>
        <v>2070455.5384615399</v>
      </c>
      <c r="K188" s="418">
        <f t="shared" si="217"/>
        <v>-91950591.151538506</v>
      </c>
      <c r="L188" s="418">
        <f t="shared" si="218"/>
        <v>-1.15384617820382E-2</v>
      </c>
      <c r="M188" s="424"/>
      <c r="N188" s="424"/>
      <c r="O188" s="424"/>
      <c r="P188" s="424"/>
      <c r="Q188" s="419"/>
      <c r="R188" s="419"/>
      <c r="S188" s="419"/>
      <c r="T188" s="420"/>
      <c r="U188" s="423"/>
      <c r="V188" s="420"/>
      <c r="W188" s="420"/>
      <c r="X188" s="419"/>
      <c r="Y188" s="419"/>
      <c r="Z188" s="423"/>
      <c r="AA188" s="423"/>
      <c r="AB188" s="419"/>
      <c r="AC188" s="423"/>
      <c r="AD188" s="420"/>
      <c r="AE188" s="423"/>
      <c r="AF188" s="444"/>
      <c r="AG188" s="419"/>
      <c r="AH188" s="420"/>
      <c r="AI188" s="420"/>
      <c r="AJ188" s="423"/>
      <c r="AK188" s="444"/>
      <c r="AL188" s="420"/>
      <c r="AM188" s="420"/>
      <c r="AN188" s="420"/>
      <c r="AO188" s="423"/>
      <c r="AP188" s="420"/>
      <c r="AQ188" s="419"/>
      <c r="AR188" s="420"/>
      <c r="AS188" s="420"/>
      <c r="AT188" s="420"/>
      <c r="AU188" s="420"/>
      <c r="AV188" s="420"/>
      <c r="AW188" s="420"/>
      <c r="AX188" s="426"/>
      <c r="AY188" s="420"/>
      <c r="AZ188" s="420"/>
      <c r="BA188" s="420"/>
      <c r="BB188" s="419"/>
      <c r="BC188" s="420"/>
      <c r="BD188" s="427"/>
      <c r="BE188" s="420"/>
      <c r="BF188" s="420"/>
      <c r="BG188" s="420"/>
      <c r="BH188" s="423"/>
      <c r="BI188" s="420"/>
      <c r="BJ188" s="420"/>
      <c r="BK188" s="420"/>
      <c r="BL188" s="420"/>
      <c r="BM188" s="420"/>
      <c r="BN188" s="420"/>
      <c r="BO188" s="419"/>
      <c r="BP188" s="428"/>
      <c r="BQ188" s="420"/>
      <c r="BR188" s="423"/>
      <c r="BS188" s="423"/>
      <c r="BT188" s="420"/>
      <c r="BU188" s="420"/>
      <c r="BV188" s="420"/>
      <c r="BW188" s="420"/>
      <c r="BX188" s="429"/>
      <c r="BY188" s="419"/>
      <c r="BZ188" s="419"/>
      <c r="CA188" s="419"/>
      <c r="CB188" s="420"/>
      <c r="CC188" s="430"/>
      <c r="CD188" s="419"/>
      <c r="CE188" s="419"/>
      <c r="CF188" s="419"/>
      <c r="CG188" s="420"/>
      <c r="CH188" s="423"/>
      <c r="CI188" s="432"/>
      <c r="CJ188" s="432"/>
      <c r="CK188" s="432"/>
      <c r="CL188" s="420"/>
      <c r="CM188" s="423"/>
      <c r="CN188" s="420"/>
      <c r="CO188" s="420"/>
      <c r="CP188" s="420"/>
      <c r="CQ188" s="432"/>
      <c r="CR188" s="432"/>
      <c r="CS188" s="420"/>
      <c r="CT188" s="420"/>
      <c r="CU188" s="420"/>
      <c r="CV188" s="420"/>
      <c r="CW188" s="420"/>
      <c r="CX188" s="419"/>
      <c r="CY188" s="419"/>
      <c r="CZ188" s="419"/>
      <c r="DA188" s="419"/>
      <c r="DB188" s="419"/>
      <c r="DC188" s="419"/>
      <c r="DD188" s="419"/>
      <c r="DE188" s="419"/>
      <c r="DF188" s="420"/>
      <c r="DG188" s="421"/>
      <c r="DH188" s="419"/>
      <c r="DI188" s="419"/>
      <c r="DJ188" s="419"/>
      <c r="DK188" s="420"/>
      <c r="DL188" s="422"/>
      <c r="DM188" s="420"/>
      <c r="DN188" s="420"/>
      <c r="DO188" s="420"/>
      <c r="DP188" s="420"/>
      <c r="DQ188" s="420"/>
      <c r="DR188" s="419"/>
      <c r="DS188" s="419"/>
      <c r="DT188" s="419"/>
      <c r="DU188" s="420"/>
      <c r="DV188" s="423"/>
      <c r="DW188" s="419"/>
      <c r="DX188" s="419"/>
      <c r="DY188" s="419"/>
      <c r="DZ188" s="420"/>
      <c r="EA188" s="423"/>
      <c r="EB188" s="419"/>
      <c r="EC188" s="419"/>
      <c r="ED188" s="420"/>
      <c r="EE188" s="419"/>
      <c r="EF188" s="420"/>
      <c r="EG188" s="419"/>
      <c r="EH188" s="419"/>
      <c r="EI188" s="419"/>
      <c r="EJ188" s="420"/>
      <c r="EK188" s="420"/>
      <c r="EL188" s="419"/>
      <c r="EM188" s="419"/>
      <c r="EN188" s="419"/>
      <c r="EO188" s="419"/>
      <c r="EP188" s="419"/>
      <c r="EQ188" s="419"/>
      <c r="ER188" s="419"/>
      <c r="ES188" s="419"/>
      <c r="ET188" s="419"/>
      <c r="EU188" s="419"/>
      <c r="EV188" s="419"/>
      <c r="EW188" s="419"/>
      <c r="EX188" s="419"/>
      <c r="EY188" s="419">
        <f t="shared" si="195"/>
        <v>0</v>
      </c>
      <c r="EZ188" s="419">
        <f t="shared" si="215"/>
        <v>0</v>
      </c>
      <c r="FA188" s="420"/>
      <c r="FB188" s="420"/>
      <c r="FC188" s="420"/>
      <c r="FD188" s="420">
        <f t="shared" si="196"/>
        <v>0</v>
      </c>
      <c r="FE188" s="420">
        <f t="shared" si="197"/>
        <v>0</v>
      </c>
      <c r="FF188" s="419"/>
      <c r="FG188" s="419"/>
      <c r="FH188" s="419"/>
      <c r="FI188" s="419">
        <f t="shared" si="198"/>
        <v>0</v>
      </c>
      <c r="FJ188" s="419">
        <f t="shared" si="199"/>
        <v>0</v>
      </c>
      <c r="FK188" s="419"/>
      <c r="FL188" s="419"/>
      <c r="FM188" s="419"/>
      <c r="FN188" s="420">
        <f t="shared" si="200"/>
        <v>0</v>
      </c>
      <c r="FO188" s="423">
        <f t="shared" si="201"/>
        <v>0</v>
      </c>
      <c r="FP188" s="419"/>
      <c r="FQ188" s="419"/>
      <c r="FR188" s="419"/>
      <c r="FS188" s="420">
        <f t="shared" si="202"/>
        <v>0</v>
      </c>
      <c r="FT188" s="420">
        <f t="shared" si="203"/>
        <v>0</v>
      </c>
      <c r="FU188" s="419"/>
      <c r="FV188" s="419"/>
      <c r="FW188" s="419"/>
      <c r="FX188" s="420">
        <f t="shared" si="204"/>
        <v>0</v>
      </c>
      <c r="FY188" s="420">
        <f t="shared" si="205"/>
        <v>0</v>
      </c>
      <c r="FZ188" s="419"/>
      <c r="GA188" s="419"/>
      <c r="GB188" s="419"/>
      <c r="GC188" s="420">
        <f t="shared" si="206"/>
        <v>0</v>
      </c>
      <c r="GD188" s="420">
        <f t="shared" si="207"/>
        <v>0</v>
      </c>
      <c r="GE188" s="419">
        <v>63495.57</v>
      </c>
      <c r="GF188" s="419"/>
      <c r="GG188" s="419">
        <v>8254.42</v>
      </c>
      <c r="GH188" s="420">
        <f t="shared" si="208"/>
        <v>63495.538461538497</v>
      </c>
      <c r="GI188" s="423">
        <f t="shared" si="209"/>
        <v>-3.1538461538730203E-2</v>
      </c>
      <c r="GJ188" s="419">
        <v>2006959.98</v>
      </c>
      <c r="GK188" s="419"/>
      <c r="GL188" s="419">
        <v>260904.8</v>
      </c>
      <c r="GM188" s="420">
        <f t="shared" si="210"/>
        <v>2006960</v>
      </c>
      <c r="GN188" s="420">
        <f t="shared" si="211"/>
        <v>1.9999999785795801E-2</v>
      </c>
      <c r="GO188" s="419"/>
      <c r="GP188" s="420">
        <v>94021046.689999998</v>
      </c>
      <c r="GQ188" s="419"/>
      <c r="GR188" s="420">
        <f t="shared" si="216"/>
        <v>0</v>
      </c>
      <c r="GS188" s="423">
        <f t="shared" si="212"/>
        <v>0</v>
      </c>
      <c r="GT188" s="419"/>
      <c r="GU188" s="419"/>
      <c r="GV188" s="419"/>
      <c r="GW188" s="420">
        <f t="shared" si="213"/>
        <v>0</v>
      </c>
      <c r="GX188" s="420">
        <f t="shared" si="214"/>
        <v>0</v>
      </c>
    </row>
    <row r="189" spans="1:206" ht="15">
      <c r="A189" s="414"/>
      <c r="B189" s="415" t="s">
        <v>573</v>
      </c>
      <c r="C189" s="698"/>
      <c r="D189" s="705"/>
      <c r="E189" s="434" t="s">
        <v>124</v>
      </c>
      <c r="F189" s="417">
        <v>0.09</v>
      </c>
      <c r="G189" s="418">
        <f t="shared" si="173"/>
        <v>8431089.5700000003</v>
      </c>
      <c r="H189" s="418">
        <f t="shared" si="174"/>
        <v>32618230.16</v>
      </c>
      <c r="I189" s="418">
        <f t="shared" si="174"/>
        <v>758798.08</v>
      </c>
      <c r="J189" s="418">
        <f t="shared" si="175"/>
        <v>8431089.7777777798</v>
      </c>
      <c r="K189" s="418">
        <f t="shared" si="217"/>
        <v>-24187140.382222202</v>
      </c>
      <c r="L189" s="418">
        <f t="shared" si="218"/>
        <v>0.20777777954936</v>
      </c>
      <c r="M189" s="424"/>
      <c r="N189" s="424"/>
      <c r="O189" s="424"/>
      <c r="P189" s="424"/>
      <c r="Q189" s="419"/>
      <c r="R189" s="419"/>
      <c r="S189" s="419"/>
      <c r="T189" s="420"/>
      <c r="U189" s="423"/>
      <c r="V189" s="420"/>
      <c r="W189" s="420"/>
      <c r="X189" s="419"/>
      <c r="Y189" s="419"/>
      <c r="Z189" s="423"/>
      <c r="AA189" s="423"/>
      <c r="AB189" s="419"/>
      <c r="AC189" s="423"/>
      <c r="AD189" s="420"/>
      <c r="AE189" s="423"/>
      <c r="AF189" s="444"/>
      <c r="AG189" s="419"/>
      <c r="AH189" s="420"/>
      <c r="AI189" s="420"/>
      <c r="AJ189" s="423"/>
      <c r="AK189" s="444"/>
      <c r="AL189" s="420"/>
      <c r="AM189" s="420"/>
      <c r="AN189" s="420"/>
      <c r="AO189" s="423"/>
      <c r="AP189" s="420"/>
      <c r="AQ189" s="419"/>
      <c r="AR189" s="420"/>
      <c r="AS189" s="420"/>
      <c r="AT189" s="420"/>
      <c r="AU189" s="420"/>
      <c r="AV189" s="420"/>
      <c r="AW189" s="420"/>
      <c r="AX189" s="426"/>
      <c r="AY189" s="420"/>
      <c r="AZ189" s="420"/>
      <c r="BA189" s="420"/>
      <c r="BB189" s="419"/>
      <c r="BC189" s="420"/>
      <c r="BD189" s="427"/>
      <c r="BE189" s="420"/>
      <c r="BF189" s="420"/>
      <c r="BG189" s="420"/>
      <c r="BH189" s="423"/>
      <c r="BI189" s="420"/>
      <c r="BJ189" s="420"/>
      <c r="BK189" s="420"/>
      <c r="BL189" s="420"/>
      <c r="BM189" s="420"/>
      <c r="BN189" s="420"/>
      <c r="BO189" s="419"/>
      <c r="BP189" s="428"/>
      <c r="BQ189" s="420"/>
      <c r="BR189" s="423"/>
      <c r="BS189" s="423"/>
      <c r="BT189" s="420"/>
      <c r="BU189" s="420"/>
      <c r="BV189" s="420"/>
      <c r="BW189" s="420"/>
      <c r="BX189" s="429"/>
      <c r="BY189" s="419"/>
      <c r="BZ189" s="419"/>
      <c r="CA189" s="419"/>
      <c r="CB189" s="420"/>
      <c r="CC189" s="430"/>
      <c r="CD189" s="419"/>
      <c r="CE189" s="419"/>
      <c r="CF189" s="419"/>
      <c r="CG189" s="420"/>
      <c r="CH189" s="423"/>
      <c r="CI189" s="432"/>
      <c r="CJ189" s="432"/>
      <c r="CK189" s="432"/>
      <c r="CL189" s="420"/>
      <c r="CM189" s="423"/>
      <c r="CN189" s="420"/>
      <c r="CO189" s="420"/>
      <c r="CP189" s="420"/>
      <c r="CQ189" s="432"/>
      <c r="CR189" s="432"/>
      <c r="CS189" s="420"/>
      <c r="CT189" s="420"/>
      <c r="CU189" s="420"/>
      <c r="CV189" s="420"/>
      <c r="CW189" s="420"/>
      <c r="CX189" s="419"/>
      <c r="CY189" s="419"/>
      <c r="CZ189" s="419"/>
      <c r="DA189" s="419"/>
      <c r="DB189" s="419"/>
      <c r="DC189" s="419"/>
      <c r="DD189" s="419"/>
      <c r="DE189" s="419"/>
      <c r="DF189" s="420"/>
      <c r="DG189" s="421"/>
      <c r="DH189" s="419"/>
      <c r="DI189" s="419"/>
      <c r="DJ189" s="419"/>
      <c r="DK189" s="420"/>
      <c r="DL189" s="422"/>
      <c r="DM189" s="420"/>
      <c r="DN189" s="420"/>
      <c r="DO189" s="420"/>
      <c r="DP189" s="420"/>
      <c r="DQ189" s="420"/>
      <c r="DR189" s="419"/>
      <c r="DS189" s="419"/>
      <c r="DT189" s="419"/>
      <c r="DU189" s="420"/>
      <c r="DV189" s="423"/>
      <c r="DW189" s="419"/>
      <c r="DX189" s="419"/>
      <c r="DY189" s="419"/>
      <c r="DZ189" s="420"/>
      <c r="EA189" s="423"/>
      <c r="EB189" s="419"/>
      <c r="EC189" s="419"/>
      <c r="ED189" s="420"/>
      <c r="EE189" s="419"/>
      <c r="EF189" s="420"/>
      <c r="EG189" s="419"/>
      <c r="EH189" s="419"/>
      <c r="EI189" s="419"/>
      <c r="EJ189" s="420"/>
      <c r="EK189" s="420"/>
      <c r="EL189" s="419"/>
      <c r="EN189" s="419"/>
      <c r="EO189" s="419"/>
      <c r="EP189" s="419"/>
      <c r="EQ189" s="419"/>
      <c r="ER189" s="419"/>
      <c r="ES189" s="419"/>
      <c r="ET189" s="419"/>
      <c r="EU189" s="419"/>
      <c r="EV189" s="419"/>
      <c r="EW189" s="419"/>
      <c r="EX189" s="419"/>
      <c r="EY189" s="419">
        <f t="shared" si="195"/>
        <v>0</v>
      </c>
      <c r="EZ189" s="419">
        <f t="shared" si="215"/>
        <v>0</v>
      </c>
      <c r="FA189" s="420"/>
      <c r="FB189" s="420"/>
      <c r="FC189" s="420"/>
      <c r="FD189" s="420">
        <f t="shared" si="196"/>
        <v>0</v>
      </c>
      <c r="FE189" s="420">
        <f t="shared" si="197"/>
        <v>0</v>
      </c>
      <c r="FF189" s="419"/>
      <c r="FG189" s="419"/>
      <c r="FH189" s="419"/>
      <c r="FI189" s="419">
        <f t="shared" si="198"/>
        <v>0</v>
      </c>
      <c r="FJ189" s="419">
        <f t="shared" si="199"/>
        <v>0</v>
      </c>
      <c r="FK189" s="419"/>
      <c r="FL189" s="419"/>
      <c r="FM189" s="419"/>
      <c r="FN189" s="420">
        <f t="shared" si="200"/>
        <v>0</v>
      </c>
      <c r="FO189" s="423">
        <f t="shared" si="201"/>
        <v>0</v>
      </c>
      <c r="FP189" s="431">
        <v>188073.4</v>
      </c>
      <c r="FQ189" s="431">
        <v>0</v>
      </c>
      <c r="FR189" s="431">
        <v>16926.61</v>
      </c>
      <c r="FS189" s="420">
        <f t="shared" si="202"/>
        <v>188073.44</v>
      </c>
      <c r="FT189" s="420">
        <f t="shared" si="203"/>
        <v>4.00000000081491E-2</v>
      </c>
      <c r="FU189" s="419">
        <v>1619044.08</v>
      </c>
      <c r="FV189" s="419"/>
      <c r="FW189" s="419">
        <v>145713.97</v>
      </c>
      <c r="FX189" s="420">
        <f t="shared" si="204"/>
        <v>1619044.11</v>
      </c>
      <c r="FY189" s="420">
        <f t="shared" si="205"/>
        <v>3.0000000027939702E-2</v>
      </c>
      <c r="FZ189" s="419">
        <v>1959423.05</v>
      </c>
      <c r="GA189" s="419"/>
      <c r="GB189" s="419">
        <v>176348.07</v>
      </c>
      <c r="GC189" s="420">
        <f t="shared" si="206"/>
        <v>1959423</v>
      </c>
      <c r="GD189" s="420">
        <f t="shared" si="207"/>
        <v>-5.0000000046566101E-2</v>
      </c>
      <c r="GE189" s="419">
        <v>149271.85</v>
      </c>
      <c r="GF189" s="419"/>
      <c r="GG189" s="419">
        <v>13434.47</v>
      </c>
      <c r="GH189" s="420">
        <f t="shared" si="208"/>
        <v>149271.88888888899</v>
      </c>
      <c r="GI189" s="423">
        <f t="shared" si="209"/>
        <v>3.8888888870133101E-2</v>
      </c>
      <c r="GJ189" s="419">
        <v>2495996.9500000002</v>
      </c>
      <c r="GK189" s="419"/>
      <c r="GL189" s="419">
        <v>224639.73</v>
      </c>
      <c r="GM189" s="420">
        <f t="shared" si="210"/>
        <v>2495997</v>
      </c>
      <c r="GN189" s="420">
        <f t="shared" si="211"/>
        <v>4.9999999813735499E-2</v>
      </c>
      <c r="GO189" s="419">
        <v>1985246.26</v>
      </c>
      <c r="GP189" s="420">
        <v>32618230.16</v>
      </c>
      <c r="GQ189" s="419">
        <v>178672.17</v>
      </c>
      <c r="GR189" s="420">
        <f t="shared" si="216"/>
        <v>1985246.33333333</v>
      </c>
      <c r="GS189" s="423">
        <f t="shared" si="212"/>
        <v>7.3333333479240495E-2</v>
      </c>
      <c r="GT189" s="419">
        <v>34033.980000000003</v>
      </c>
      <c r="GU189" s="419"/>
      <c r="GV189" s="419">
        <v>3063.06</v>
      </c>
      <c r="GW189" s="420">
        <f t="shared" si="213"/>
        <v>34034</v>
      </c>
      <c r="GX189" s="420">
        <f t="shared" si="214"/>
        <v>1.9999999996798599E-2</v>
      </c>
    </row>
    <row r="190" spans="1:206" ht="15">
      <c r="A190" s="414"/>
      <c r="B190" s="415" t="s">
        <v>573</v>
      </c>
      <c r="C190" s="698"/>
      <c r="D190" s="707"/>
      <c r="E190" s="434" t="s">
        <v>125</v>
      </c>
      <c r="F190" s="417">
        <v>0.06</v>
      </c>
      <c r="G190" s="418">
        <f t="shared" si="173"/>
        <v>6267891.8499999996</v>
      </c>
      <c r="H190" s="418">
        <f t="shared" si="174"/>
        <v>6730367.75</v>
      </c>
      <c r="I190" s="418">
        <f t="shared" si="174"/>
        <v>376073.53</v>
      </c>
      <c r="J190" s="418">
        <f t="shared" si="175"/>
        <v>6267892.1666666698</v>
      </c>
      <c r="K190" s="418">
        <f t="shared" si="217"/>
        <v>-462475.583333335</v>
      </c>
      <c r="L190" s="418">
        <f t="shared" si="218"/>
        <v>0.316666664555669</v>
      </c>
      <c r="M190" s="424"/>
      <c r="N190" s="424"/>
      <c r="O190" s="424"/>
      <c r="P190" s="424"/>
      <c r="Q190" s="419"/>
      <c r="R190" s="419"/>
      <c r="S190" s="419"/>
      <c r="T190" s="420"/>
      <c r="U190" s="423"/>
      <c r="V190" s="420"/>
      <c r="W190" s="420"/>
      <c r="X190" s="419"/>
      <c r="Y190" s="419"/>
      <c r="Z190" s="423"/>
      <c r="AA190" s="423"/>
      <c r="AB190" s="419"/>
      <c r="AC190" s="423"/>
      <c r="AD190" s="420"/>
      <c r="AE190" s="423"/>
      <c r="AF190" s="444"/>
      <c r="AG190" s="419"/>
      <c r="AH190" s="420"/>
      <c r="AI190" s="420"/>
      <c r="AJ190" s="423"/>
      <c r="AK190" s="444"/>
      <c r="AL190" s="420"/>
      <c r="AM190" s="420"/>
      <c r="AN190" s="420"/>
      <c r="AO190" s="423"/>
      <c r="AP190" s="420"/>
      <c r="AQ190" s="419"/>
      <c r="AR190" s="420"/>
      <c r="AS190" s="420"/>
      <c r="AT190" s="420"/>
      <c r="AU190" s="420"/>
      <c r="AV190" s="420"/>
      <c r="AW190" s="420"/>
      <c r="AX190" s="426"/>
      <c r="AY190" s="420"/>
      <c r="AZ190" s="420"/>
      <c r="BA190" s="420"/>
      <c r="BB190" s="419"/>
      <c r="BC190" s="420"/>
      <c r="BD190" s="427"/>
      <c r="BE190" s="420"/>
      <c r="BF190" s="420"/>
      <c r="BG190" s="420"/>
      <c r="BH190" s="423"/>
      <c r="BI190" s="420"/>
      <c r="BJ190" s="420"/>
      <c r="BK190" s="420"/>
      <c r="BL190" s="420"/>
      <c r="BM190" s="420"/>
      <c r="BN190" s="420"/>
      <c r="BO190" s="419"/>
      <c r="BP190" s="428"/>
      <c r="BQ190" s="420"/>
      <c r="BR190" s="423"/>
      <c r="BS190" s="423"/>
      <c r="BT190" s="420"/>
      <c r="BU190" s="420"/>
      <c r="BV190" s="420"/>
      <c r="BW190" s="420"/>
      <c r="BX190" s="429"/>
      <c r="BY190" s="419"/>
      <c r="BZ190" s="419"/>
      <c r="CA190" s="419"/>
      <c r="CB190" s="420"/>
      <c r="CC190" s="430"/>
      <c r="CD190" s="419"/>
      <c r="CE190" s="419"/>
      <c r="CF190" s="419"/>
      <c r="CG190" s="420"/>
      <c r="CH190" s="423"/>
      <c r="CI190" s="432"/>
      <c r="CJ190" s="432"/>
      <c r="CK190" s="432"/>
      <c r="CL190" s="420"/>
      <c r="CM190" s="423"/>
      <c r="CN190" s="420"/>
      <c r="CO190" s="420"/>
      <c r="CP190" s="420"/>
      <c r="CQ190" s="432"/>
      <c r="CR190" s="432"/>
      <c r="CS190" s="420"/>
      <c r="CT190" s="420"/>
      <c r="CU190" s="420"/>
      <c r="CV190" s="420"/>
      <c r="CW190" s="420"/>
      <c r="CX190" s="419"/>
      <c r="CY190" s="419"/>
      <c r="CZ190" s="419"/>
      <c r="DA190" s="419"/>
      <c r="DB190" s="419"/>
      <c r="DC190" s="419"/>
      <c r="DD190" s="419"/>
      <c r="DE190" s="419"/>
      <c r="DF190" s="420"/>
      <c r="DG190" s="421"/>
      <c r="DH190" s="419"/>
      <c r="DI190" s="419"/>
      <c r="DJ190" s="419"/>
      <c r="DK190" s="420"/>
      <c r="DL190" s="422"/>
      <c r="DM190" s="420"/>
      <c r="DN190" s="420"/>
      <c r="DO190" s="420"/>
      <c r="DP190" s="420"/>
      <c r="DQ190" s="420"/>
      <c r="DR190" s="419"/>
      <c r="DS190" s="419"/>
      <c r="DT190" s="419"/>
      <c r="DU190" s="420"/>
      <c r="DV190" s="423"/>
      <c r="DW190" s="419"/>
      <c r="DX190" s="419"/>
      <c r="DY190" s="419"/>
      <c r="DZ190" s="420"/>
      <c r="EA190" s="423"/>
      <c r="EB190" s="419"/>
      <c r="EC190" s="419"/>
      <c r="ED190" s="420"/>
      <c r="EE190" s="419"/>
      <c r="EF190" s="420"/>
      <c r="EG190" s="419"/>
      <c r="EH190" s="419"/>
      <c r="EI190" s="419"/>
      <c r="EJ190" s="420"/>
      <c r="EK190" s="420"/>
      <c r="EL190" s="419"/>
      <c r="EN190" s="419"/>
      <c r="EO190" s="419"/>
      <c r="EP190" s="419"/>
      <c r="EQ190" s="419"/>
      <c r="ER190" s="419"/>
      <c r="ES190" s="419"/>
      <c r="ET190" s="419"/>
      <c r="EU190" s="419"/>
      <c r="EV190" s="419">
        <v>1813378.05</v>
      </c>
      <c r="EW190" s="419"/>
      <c r="EX190" s="419">
        <v>108802.68</v>
      </c>
      <c r="EY190" s="419">
        <f t="shared" si="195"/>
        <v>1813378</v>
      </c>
      <c r="EZ190" s="419">
        <f t="shared" si="215"/>
        <v>-0.05</v>
      </c>
      <c r="FA190" s="420">
        <v>317196.15000000002</v>
      </c>
      <c r="FB190" s="420"/>
      <c r="FC190" s="420">
        <v>19031.77</v>
      </c>
      <c r="FD190" s="420">
        <f t="shared" si="196"/>
        <v>317196.17</v>
      </c>
      <c r="FE190" s="420">
        <f t="shared" si="197"/>
        <v>0.02</v>
      </c>
      <c r="FF190" s="419">
        <v>294690.14</v>
      </c>
      <c r="FG190" s="419"/>
      <c r="FH190" s="419">
        <v>17681.41</v>
      </c>
      <c r="FI190" s="419">
        <f t="shared" si="198"/>
        <v>294690.16666666698</v>
      </c>
      <c r="FJ190" s="419">
        <f t="shared" si="199"/>
        <v>0.03</v>
      </c>
      <c r="FK190" s="419">
        <v>1079056.6100000001</v>
      </c>
      <c r="FL190" s="419"/>
      <c r="FM190" s="419">
        <v>64743.4</v>
      </c>
      <c r="FN190" s="420">
        <f t="shared" si="200"/>
        <v>1079056.67</v>
      </c>
      <c r="FO190" s="423">
        <f t="shared" si="201"/>
        <v>0.06</v>
      </c>
      <c r="FP190" s="431">
        <v>556627.38</v>
      </c>
      <c r="FQ190" s="431">
        <v>0</v>
      </c>
      <c r="FR190" s="431">
        <v>33397.65</v>
      </c>
      <c r="FS190" s="420">
        <f t="shared" si="202"/>
        <v>556627.5</v>
      </c>
      <c r="FT190" s="420">
        <f t="shared" si="203"/>
        <v>0.119999999995343</v>
      </c>
      <c r="FU190" s="423">
        <v>97688.77</v>
      </c>
      <c r="FV190" s="419"/>
      <c r="FW190" s="423">
        <v>5861.33</v>
      </c>
      <c r="FX190" s="420">
        <f t="shared" si="204"/>
        <v>97688.83</v>
      </c>
      <c r="FY190" s="420">
        <f t="shared" si="205"/>
        <v>5.9999999997671701E-2</v>
      </c>
      <c r="FZ190" s="419">
        <v>33964.230000000003</v>
      </c>
      <c r="GA190" s="419"/>
      <c r="GB190" s="419">
        <v>2037.86</v>
      </c>
      <c r="GC190" s="420">
        <f t="shared" si="206"/>
        <v>33964.33</v>
      </c>
      <c r="GD190" s="420">
        <f t="shared" si="207"/>
        <v>9.9999999998544795E-2</v>
      </c>
      <c r="GE190" s="419">
        <v>940606.25</v>
      </c>
      <c r="GF190" s="419"/>
      <c r="GG190" s="419">
        <v>56436.38</v>
      </c>
      <c r="GH190" s="420">
        <f t="shared" si="208"/>
        <v>940606.33333333302</v>
      </c>
      <c r="GI190" s="423">
        <f t="shared" si="209"/>
        <v>8.3333333372138399E-2</v>
      </c>
      <c r="GJ190" s="437">
        <v>419840</v>
      </c>
      <c r="GK190" s="419"/>
      <c r="GL190" s="419">
        <v>25190.39</v>
      </c>
      <c r="GM190" s="420">
        <f t="shared" si="210"/>
        <v>419839.83333333302</v>
      </c>
      <c r="GN190" s="420">
        <f t="shared" si="211"/>
        <v>-0.166666666686069</v>
      </c>
      <c r="GO190" s="419">
        <v>164548.74</v>
      </c>
      <c r="GP190" s="419">
        <v>6556311.1500000004</v>
      </c>
      <c r="GQ190" s="419">
        <v>9872.93</v>
      </c>
      <c r="GR190" s="420">
        <f t="shared" si="216"/>
        <v>164548.83333333299</v>
      </c>
      <c r="GS190" s="423">
        <f t="shared" si="212"/>
        <v>9.3333333352347794E-2</v>
      </c>
      <c r="GT190" s="419">
        <v>550295.53</v>
      </c>
      <c r="GU190" s="419">
        <v>174056.6</v>
      </c>
      <c r="GV190" s="419">
        <v>33017.730000000003</v>
      </c>
      <c r="GW190" s="420">
        <f t="shared" si="213"/>
        <v>550295.5</v>
      </c>
      <c r="GX190" s="420">
        <f t="shared" si="214"/>
        <v>-3.0000000027939702E-2</v>
      </c>
    </row>
    <row r="191" spans="1:206" ht="15">
      <c r="A191" s="414"/>
      <c r="B191" s="415" t="s">
        <v>576</v>
      </c>
      <c r="C191" s="698"/>
      <c r="D191" s="704" t="s">
        <v>577</v>
      </c>
      <c r="E191" s="434" t="s">
        <v>123</v>
      </c>
      <c r="F191" s="417">
        <v>0.13</v>
      </c>
      <c r="G191" s="418">
        <f t="shared" si="173"/>
        <v>0</v>
      </c>
      <c r="H191" s="418">
        <f t="shared" si="174"/>
        <v>0</v>
      </c>
      <c r="I191" s="418">
        <f t="shared" si="174"/>
        <v>0</v>
      </c>
      <c r="J191" s="418">
        <f t="shared" si="175"/>
        <v>0</v>
      </c>
      <c r="K191" s="418">
        <f t="shared" si="217"/>
        <v>0</v>
      </c>
      <c r="L191" s="418">
        <f t="shared" si="218"/>
        <v>0</v>
      </c>
      <c r="M191" s="424"/>
      <c r="N191" s="424"/>
      <c r="O191" s="424"/>
      <c r="P191" s="424"/>
      <c r="Q191" s="419"/>
      <c r="R191" s="419"/>
      <c r="S191" s="419"/>
      <c r="T191" s="420"/>
      <c r="U191" s="423"/>
      <c r="V191" s="420"/>
      <c r="W191" s="420"/>
      <c r="X191" s="419"/>
      <c r="Y191" s="419"/>
      <c r="Z191" s="423"/>
      <c r="AA191" s="423"/>
      <c r="AB191" s="419"/>
      <c r="AC191" s="423"/>
      <c r="AD191" s="420"/>
      <c r="AE191" s="423"/>
      <c r="AF191" s="444"/>
      <c r="AG191" s="419"/>
      <c r="AH191" s="420"/>
      <c r="AI191" s="420"/>
      <c r="AJ191" s="423"/>
      <c r="AK191" s="444"/>
      <c r="AL191" s="420"/>
      <c r="AM191" s="420"/>
      <c r="AN191" s="420"/>
      <c r="AO191" s="423"/>
      <c r="AP191" s="420"/>
      <c r="AQ191" s="419"/>
      <c r="AR191" s="420"/>
      <c r="AS191" s="420"/>
      <c r="AT191" s="420"/>
      <c r="AU191" s="420"/>
      <c r="AV191" s="420"/>
      <c r="AW191" s="420"/>
      <c r="AX191" s="426"/>
      <c r="AY191" s="420"/>
      <c r="AZ191" s="420"/>
      <c r="BA191" s="420"/>
      <c r="BB191" s="419"/>
      <c r="BC191" s="420"/>
      <c r="BD191" s="427"/>
      <c r="BE191" s="420"/>
      <c r="BF191" s="420"/>
      <c r="BG191" s="420"/>
      <c r="BH191" s="423"/>
      <c r="BI191" s="420"/>
      <c r="BJ191" s="420"/>
      <c r="BK191" s="420"/>
      <c r="BL191" s="420"/>
      <c r="BM191" s="420"/>
      <c r="BN191" s="420"/>
      <c r="BO191" s="419"/>
      <c r="BP191" s="428"/>
      <c r="BQ191" s="420"/>
      <c r="BR191" s="423"/>
      <c r="BS191" s="423"/>
      <c r="BT191" s="420"/>
      <c r="BU191" s="420"/>
      <c r="BV191" s="420"/>
      <c r="BW191" s="420"/>
      <c r="BX191" s="429"/>
      <c r="BY191" s="419"/>
      <c r="BZ191" s="419"/>
      <c r="CA191" s="419"/>
      <c r="CB191" s="420"/>
      <c r="CC191" s="430"/>
      <c r="CD191" s="419"/>
      <c r="CE191" s="419"/>
      <c r="CF191" s="419"/>
      <c r="CG191" s="420"/>
      <c r="CH191" s="423"/>
      <c r="CI191" s="432"/>
      <c r="CJ191" s="432"/>
      <c r="CK191" s="432"/>
      <c r="CL191" s="420"/>
      <c r="CM191" s="423"/>
      <c r="CN191" s="420"/>
      <c r="CO191" s="420"/>
      <c r="CP191" s="420"/>
      <c r="CQ191" s="432"/>
      <c r="CR191" s="432"/>
      <c r="CS191" s="420"/>
      <c r="CT191" s="420"/>
      <c r="CU191" s="420"/>
      <c r="CV191" s="420"/>
      <c r="CW191" s="420"/>
      <c r="CX191" s="419"/>
      <c r="CY191" s="419"/>
      <c r="CZ191" s="419"/>
      <c r="DA191" s="419"/>
      <c r="DB191" s="419"/>
      <c r="DC191" s="419"/>
      <c r="DD191" s="419"/>
      <c r="DE191" s="419"/>
      <c r="DF191" s="420"/>
      <c r="DG191" s="421"/>
      <c r="DH191" s="419"/>
      <c r="DI191" s="419"/>
      <c r="DJ191" s="419"/>
      <c r="DK191" s="420"/>
      <c r="DL191" s="422"/>
      <c r="DM191" s="420"/>
      <c r="DN191" s="420"/>
      <c r="DO191" s="420"/>
      <c r="DP191" s="420"/>
      <c r="DQ191" s="420"/>
      <c r="DR191" s="419"/>
      <c r="DS191" s="419"/>
      <c r="DT191" s="419"/>
      <c r="DU191" s="420"/>
      <c r="DV191" s="423"/>
      <c r="DW191" s="419"/>
      <c r="DX191" s="419"/>
      <c r="DY191" s="419"/>
      <c r="DZ191" s="420"/>
      <c r="EA191" s="423"/>
      <c r="EB191" s="419"/>
      <c r="EC191" s="419"/>
      <c r="ED191" s="420"/>
      <c r="EE191" s="419"/>
      <c r="EF191" s="420"/>
      <c r="EG191" s="419"/>
      <c r="EH191" s="419"/>
      <c r="EI191" s="419"/>
      <c r="EJ191" s="420"/>
      <c r="EK191" s="420"/>
      <c r="EL191" s="419"/>
      <c r="EM191" s="419"/>
      <c r="EN191" s="419"/>
      <c r="EO191" s="419"/>
      <c r="EP191" s="419"/>
      <c r="EQ191" s="419"/>
      <c r="ER191" s="419"/>
      <c r="ES191" s="419"/>
      <c r="ET191" s="419"/>
      <c r="EU191" s="419"/>
      <c r="EV191" s="419"/>
      <c r="EW191" s="419"/>
      <c r="EX191" s="419"/>
      <c r="EY191" s="419">
        <f t="shared" si="195"/>
        <v>0</v>
      </c>
      <c r="EZ191" s="419">
        <f t="shared" si="215"/>
        <v>0</v>
      </c>
      <c r="FA191" s="420"/>
      <c r="FB191" s="420"/>
      <c r="FC191" s="420"/>
      <c r="FD191" s="420">
        <f t="shared" si="196"/>
        <v>0</v>
      </c>
      <c r="FE191" s="420">
        <f t="shared" si="197"/>
        <v>0</v>
      </c>
      <c r="FF191" s="419"/>
      <c r="FG191" s="419"/>
      <c r="FH191" s="419"/>
      <c r="FI191" s="419">
        <f t="shared" si="198"/>
        <v>0</v>
      </c>
      <c r="FJ191" s="419">
        <f t="shared" si="199"/>
        <v>0</v>
      </c>
      <c r="FK191" s="419"/>
      <c r="FL191" s="419"/>
      <c r="FM191" s="419"/>
      <c r="FN191" s="420">
        <f t="shared" si="200"/>
        <v>0</v>
      </c>
      <c r="FO191" s="423">
        <f t="shared" si="201"/>
        <v>0</v>
      </c>
      <c r="FP191" s="419"/>
      <c r="FQ191" s="419"/>
      <c r="FR191" s="419"/>
      <c r="FS191" s="420">
        <f t="shared" si="202"/>
        <v>0</v>
      </c>
      <c r="FT191" s="420">
        <f t="shared" si="203"/>
        <v>0</v>
      </c>
      <c r="FU191" s="419"/>
      <c r="FV191" s="419"/>
      <c r="FW191" s="419"/>
      <c r="FX191" s="420">
        <f t="shared" si="204"/>
        <v>0</v>
      </c>
      <c r="FY191" s="420">
        <f t="shared" si="205"/>
        <v>0</v>
      </c>
      <c r="FZ191" s="419"/>
      <c r="GA191" s="419"/>
      <c r="GB191" s="419"/>
      <c r="GC191" s="420">
        <f t="shared" si="206"/>
        <v>0</v>
      </c>
      <c r="GD191" s="420">
        <f t="shared" si="207"/>
        <v>0</v>
      </c>
      <c r="GE191" s="419"/>
      <c r="GF191" s="419"/>
      <c r="GG191" s="419"/>
      <c r="GH191" s="420">
        <f t="shared" si="208"/>
        <v>0</v>
      </c>
      <c r="GI191" s="423">
        <f t="shared" si="209"/>
        <v>0</v>
      </c>
      <c r="GJ191" s="419"/>
      <c r="GK191" s="419"/>
      <c r="GL191" s="419"/>
      <c r="GM191" s="420">
        <f t="shared" si="210"/>
        <v>0</v>
      </c>
      <c r="GN191" s="420">
        <f t="shared" si="211"/>
        <v>0</v>
      </c>
      <c r="GO191" s="419"/>
      <c r="GP191" s="419"/>
      <c r="GQ191" s="419"/>
      <c r="GR191" s="420">
        <f t="shared" si="216"/>
        <v>0</v>
      </c>
      <c r="GS191" s="423">
        <f t="shared" si="212"/>
        <v>0</v>
      </c>
      <c r="GT191" s="419"/>
      <c r="GU191" s="419"/>
      <c r="GV191" s="419"/>
      <c r="GW191" s="420">
        <f t="shared" si="213"/>
        <v>0</v>
      </c>
      <c r="GX191" s="420">
        <f t="shared" si="214"/>
        <v>0</v>
      </c>
    </row>
    <row r="192" spans="1:206" ht="15">
      <c r="A192" s="414"/>
      <c r="B192" s="415" t="s">
        <v>576</v>
      </c>
      <c r="C192" s="698"/>
      <c r="D192" s="705"/>
      <c r="E192" s="434" t="s">
        <v>124</v>
      </c>
      <c r="F192" s="417">
        <v>0.09</v>
      </c>
      <c r="G192" s="418">
        <f t="shared" si="173"/>
        <v>0</v>
      </c>
      <c r="H192" s="418">
        <f t="shared" si="174"/>
        <v>0</v>
      </c>
      <c r="I192" s="418">
        <f t="shared" si="174"/>
        <v>0</v>
      </c>
      <c r="J192" s="418">
        <f t="shared" si="175"/>
        <v>0</v>
      </c>
      <c r="K192" s="418">
        <f t="shared" si="217"/>
        <v>0</v>
      </c>
      <c r="L192" s="418">
        <f t="shared" si="218"/>
        <v>0</v>
      </c>
      <c r="M192" s="424"/>
      <c r="N192" s="424"/>
      <c r="O192" s="424"/>
      <c r="P192" s="424"/>
      <c r="Q192" s="419"/>
      <c r="R192" s="419"/>
      <c r="S192" s="419"/>
      <c r="T192" s="420"/>
      <c r="U192" s="423"/>
      <c r="V192" s="420"/>
      <c r="W192" s="420"/>
      <c r="X192" s="419"/>
      <c r="Y192" s="419"/>
      <c r="Z192" s="423"/>
      <c r="AA192" s="423"/>
      <c r="AB192" s="419"/>
      <c r="AC192" s="423"/>
      <c r="AD192" s="420"/>
      <c r="AE192" s="423"/>
      <c r="AF192" s="444"/>
      <c r="AG192" s="419"/>
      <c r="AH192" s="420"/>
      <c r="AI192" s="420"/>
      <c r="AJ192" s="423"/>
      <c r="AK192" s="444"/>
      <c r="AL192" s="420"/>
      <c r="AM192" s="420"/>
      <c r="AN192" s="420"/>
      <c r="AO192" s="423"/>
      <c r="AP192" s="420"/>
      <c r="AQ192" s="419"/>
      <c r="AR192" s="420"/>
      <c r="AS192" s="420"/>
      <c r="AT192" s="420"/>
      <c r="AU192" s="420"/>
      <c r="AV192" s="420"/>
      <c r="AW192" s="420"/>
      <c r="AX192" s="426"/>
      <c r="AY192" s="420"/>
      <c r="AZ192" s="420"/>
      <c r="BA192" s="420"/>
      <c r="BB192" s="419"/>
      <c r="BC192" s="420"/>
      <c r="BD192" s="427"/>
      <c r="BE192" s="420"/>
      <c r="BF192" s="420"/>
      <c r="BG192" s="420"/>
      <c r="BH192" s="423"/>
      <c r="BI192" s="420"/>
      <c r="BJ192" s="420"/>
      <c r="BK192" s="420"/>
      <c r="BL192" s="420"/>
      <c r="BM192" s="420"/>
      <c r="BN192" s="420"/>
      <c r="BO192" s="419"/>
      <c r="BP192" s="428"/>
      <c r="BQ192" s="420"/>
      <c r="BR192" s="423"/>
      <c r="BS192" s="423"/>
      <c r="BT192" s="420"/>
      <c r="BU192" s="420"/>
      <c r="BV192" s="420"/>
      <c r="BW192" s="420"/>
      <c r="BX192" s="429"/>
      <c r="BY192" s="419"/>
      <c r="BZ192" s="419"/>
      <c r="CA192" s="419"/>
      <c r="CB192" s="420"/>
      <c r="CC192" s="430"/>
      <c r="CD192" s="419"/>
      <c r="CE192" s="419"/>
      <c r="CF192" s="419"/>
      <c r="CG192" s="420"/>
      <c r="CH192" s="423"/>
      <c r="CI192" s="432"/>
      <c r="CJ192" s="432"/>
      <c r="CK192" s="432"/>
      <c r="CL192" s="420"/>
      <c r="CM192" s="423"/>
      <c r="CN192" s="420"/>
      <c r="CO192" s="420"/>
      <c r="CP192" s="420"/>
      <c r="CQ192" s="432"/>
      <c r="CR192" s="432"/>
      <c r="CS192" s="420"/>
      <c r="CT192" s="420"/>
      <c r="CU192" s="420"/>
      <c r="CV192" s="420"/>
      <c r="CW192" s="420"/>
      <c r="CX192" s="419"/>
      <c r="CY192" s="419"/>
      <c r="CZ192" s="419"/>
      <c r="DA192" s="419"/>
      <c r="DB192" s="419"/>
      <c r="DC192" s="419"/>
      <c r="DD192" s="419"/>
      <c r="DE192" s="419"/>
      <c r="DF192" s="420"/>
      <c r="DG192" s="421"/>
      <c r="DH192" s="419"/>
      <c r="DI192" s="419"/>
      <c r="DJ192" s="419"/>
      <c r="DK192" s="420"/>
      <c r="DL192" s="422"/>
      <c r="DM192" s="420"/>
      <c r="DN192" s="420"/>
      <c r="DO192" s="420"/>
      <c r="DP192" s="420"/>
      <c r="DQ192" s="420"/>
      <c r="DR192" s="419"/>
      <c r="DS192" s="419"/>
      <c r="DT192" s="419"/>
      <c r="DU192" s="420"/>
      <c r="DV192" s="423"/>
      <c r="DW192" s="419"/>
      <c r="DX192" s="419"/>
      <c r="DY192" s="419"/>
      <c r="DZ192" s="420"/>
      <c r="EA192" s="423"/>
      <c r="EB192" s="419"/>
      <c r="EC192" s="419"/>
      <c r="ED192" s="420"/>
      <c r="EE192" s="419"/>
      <c r="EF192" s="420"/>
      <c r="EG192" s="419"/>
      <c r="EH192" s="419"/>
      <c r="EI192" s="419"/>
      <c r="EJ192" s="420"/>
      <c r="EK192" s="420"/>
      <c r="EL192" s="419"/>
      <c r="EN192" s="419"/>
      <c r="EO192" s="419"/>
      <c r="EP192" s="419"/>
      <c r="EQ192" s="419"/>
      <c r="ER192" s="419"/>
      <c r="ES192" s="419"/>
      <c r="ET192" s="419"/>
      <c r="EU192" s="419"/>
      <c r="EV192" s="419"/>
      <c r="EW192" s="419"/>
      <c r="EX192" s="419"/>
      <c r="EY192" s="419">
        <f t="shared" si="195"/>
        <v>0</v>
      </c>
      <c r="EZ192" s="419">
        <f t="shared" si="215"/>
        <v>0</v>
      </c>
      <c r="FA192" s="420"/>
      <c r="FB192" s="420"/>
      <c r="FC192" s="420"/>
      <c r="FD192" s="420">
        <f t="shared" si="196"/>
        <v>0</v>
      </c>
      <c r="FE192" s="420">
        <f t="shared" si="197"/>
        <v>0</v>
      </c>
      <c r="FF192" s="419"/>
      <c r="FG192" s="419"/>
      <c r="FH192" s="419"/>
      <c r="FI192" s="419">
        <f t="shared" si="198"/>
        <v>0</v>
      </c>
      <c r="FJ192" s="419">
        <f t="shared" si="199"/>
        <v>0</v>
      </c>
      <c r="FK192" s="419"/>
      <c r="FL192" s="419"/>
      <c r="FM192" s="419"/>
      <c r="FN192" s="420">
        <f t="shared" si="200"/>
        <v>0</v>
      </c>
      <c r="FO192" s="423">
        <f t="shared" si="201"/>
        <v>0</v>
      </c>
      <c r="FP192" s="419"/>
      <c r="FQ192" s="419"/>
      <c r="FR192" s="419"/>
      <c r="FS192" s="420">
        <f t="shared" si="202"/>
        <v>0</v>
      </c>
      <c r="FT192" s="420">
        <f t="shared" si="203"/>
        <v>0</v>
      </c>
      <c r="FU192" s="419"/>
      <c r="FV192" s="419"/>
      <c r="FW192" s="419"/>
      <c r="FX192" s="420">
        <f t="shared" si="204"/>
        <v>0</v>
      </c>
      <c r="FY192" s="420">
        <f t="shared" si="205"/>
        <v>0</v>
      </c>
      <c r="FZ192" s="419"/>
      <c r="GA192" s="419"/>
      <c r="GB192" s="419"/>
      <c r="GC192" s="420">
        <f t="shared" si="206"/>
        <v>0</v>
      </c>
      <c r="GD192" s="420">
        <f t="shared" si="207"/>
        <v>0</v>
      </c>
      <c r="GE192" s="419"/>
      <c r="GF192" s="419"/>
      <c r="GG192" s="419"/>
      <c r="GH192" s="420">
        <f t="shared" si="208"/>
        <v>0</v>
      </c>
      <c r="GI192" s="423">
        <f t="shared" si="209"/>
        <v>0</v>
      </c>
      <c r="GJ192" s="419"/>
      <c r="GK192" s="419"/>
      <c r="GL192" s="419"/>
      <c r="GM192" s="420">
        <f t="shared" si="210"/>
        <v>0</v>
      </c>
      <c r="GN192" s="420">
        <f t="shared" si="211"/>
        <v>0</v>
      </c>
      <c r="GO192" s="419"/>
      <c r="GP192" s="419"/>
      <c r="GQ192" s="419"/>
      <c r="GR192" s="420">
        <f t="shared" si="216"/>
        <v>0</v>
      </c>
      <c r="GS192" s="423">
        <f t="shared" si="212"/>
        <v>0</v>
      </c>
      <c r="GT192" s="419"/>
      <c r="GU192" s="419"/>
      <c r="GV192" s="419"/>
      <c r="GW192" s="420">
        <f t="shared" si="213"/>
        <v>0</v>
      </c>
      <c r="GX192" s="420">
        <f t="shared" si="214"/>
        <v>0</v>
      </c>
    </row>
    <row r="193" spans="1:206" ht="15">
      <c r="A193" s="414"/>
      <c r="B193" s="415" t="s">
        <v>576</v>
      </c>
      <c r="C193" s="698"/>
      <c r="D193" s="707"/>
      <c r="E193" s="434" t="s">
        <v>125</v>
      </c>
      <c r="F193" s="417">
        <v>0.06</v>
      </c>
      <c r="G193" s="418">
        <f t="shared" si="173"/>
        <v>73502.39</v>
      </c>
      <c r="H193" s="418">
        <f t="shared" si="174"/>
        <v>0</v>
      </c>
      <c r="I193" s="418">
        <f t="shared" si="174"/>
        <v>4410.1400000000003</v>
      </c>
      <c r="J193" s="418">
        <f t="shared" si="175"/>
        <v>73502.333333333299</v>
      </c>
      <c r="K193" s="418">
        <f t="shared" si="217"/>
        <v>73502.333333333299</v>
      </c>
      <c r="L193" s="418">
        <f t="shared" si="218"/>
        <v>-5.6666666656383299E-2</v>
      </c>
      <c r="M193" s="424"/>
      <c r="N193" s="424"/>
      <c r="O193" s="424"/>
      <c r="P193" s="424"/>
      <c r="Q193" s="419"/>
      <c r="R193" s="419"/>
      <c r="S193" s="419"/>
      <c r="T193" s="420"/>
      <c r="U193" s="423"/>
      <c r="V193" s="420"/>
      <c r="W193" s="420"/>
      <c r="X193" s="419"/>
      <c r="Y193" s="419"/>
      <c r="Z193" s="423"/>
      <c r="AA193" s="423"/>
      <c r="AB193" s="419"/>
      <c r="AC193" s="423"/>
      <c r="AD193" s="420"/>
      <c r="AE193" s="423"/>
      <c r="AF193" s="444"/>
      <c r="AG193" s="419"/>
      <c r="AH193" s="420"/>
      <c r="AI193" s="420"/>
      <c r="AJ193" s="423"/>
      <c r="AK193" s="444"/>
      <c r="AL193" s="420"/>
      <c r="AM193" s="420"/>
      <c r="AN193" s="420"/>
      <c r="AO193" s="423"/>
      <c r="AP193" s="420"/>
      <c r="AQ193" s="419"/>
      <c r="AR193" s="420"/>
      <c r="AS193" s="420"/>
      <c r="AT193" s="420"/>
      <c r="AU193" s="420"/>
      <c r="AV193" s="420"/>
      <c r="AW193" s="420"/>
      <c r="AX193" s="426"/>
      <c r="AY193" s="420"/>
      <c r="AZ193" s="420"/>
      <c r="BA193" s="420"/>
      <c r="BB193" s="419"/>
      <c r="BC193" s="420"/>
      <c r="BD193" s="427"/>
      <c r="BE193" s="420"/>
      <c r="BF193" s="420"/>
      <c r="BG193" s="420"/>
      <c r="BH193" s="423"/>
      <c r="BI193" s="420"/>
      <c r="BJ193" s="420"/>
      <c r="BK193" s="420"/>
      <c r="BL193" s="420"/>
      <c r="BM193" s="420"/>
      <c r="BN193" s="420"/>
      <c r="BO193" s="419"/>
      <c r="BP193" s="428"/>
      <c r="BQ193" s="420"/>
      <c r="BR193" s="423"/>
      <c r="BS193" s="423"/>
      <c r="BT193" s="420"/>
      <c r="BU193" s="420"/>
      <c r="BV193" s="420"/>
      <c r="BW193" s="420"/>
      <c r="BX193" s="429"/>
      <c r="BY193" s="419"/>
      <c r="BZ193" s="419"/>
      <c r="CA193" s="419"/>
      <c r="CB193" s="420"/>
      <c r="CC193" s="430"/>
      <c r="CD193" s="419"/>
      <c r="CE193" s="419"/>
      <c r="CF193" s="419"/>
      <c r="CG193" s="420"/>
      <c r="CH193" s="423"/>
      <c r="CI193" s="432"/>
      <c r="CJ193" s="432"/>
      <c r="CK193" s="432"/>
      <c r="CL193" s="420"/>
      <c r="CM193" s="423"/>
      <c r="CN193" s="420"/>
      <c r="CO193" s="420"/>
      <c r="CP193" s="420"/>
      <c r="CQ193" s="432"/>
      <c r="CR193" s="432"/>
      <c r="CS193" s="420"/>
      <c r="CT193" s="420"/>
      <c r="CU193" s="420"/>
      <c r="CV193" s="420"/>
      <c r="CW193" s="420"/>
      <c r="CX193" s="419"/>
      <c r="CY193" s="419"/>
      <c r="CZ193" s="419"/>
      <c r="DA193" s="419"/>
      <c r="DB193" s="419"/>
      <c r="DC193" s="419"/>
      <c r="DD193" s="419"/>
      <c r="DE193" s="419"/>
      <c r="DF193" s="420"/>
      <c r="DG193" s="421"/>
      <c r="DH193" s="419"/>
      <c r="DI193" s="419"/>
      <c r="DJ193" s="419"/>
      <c r="DK193" s="420"/>
      <c r="DL193" s="422"/>
      <c r="DM193" s="420"/>
      <c r="DN193" s="420"/>
      <c r="DO193" s="420"/>
      <c r="DP193" s="420"/>
      <c r="DQ193" s="420"/>
      <c r="DR193" s="419"/>
      <c r="DS193" s="419"/>
      <c r="DT193" s="419"/>
      <c r="DU193" s="420"/>
      <c r="DV193" s="423"/>
      <c r="DW193" s="419"/>
      <c r="DX193" s="419"/>
      <c r="DY193" s="419"/>
      <c r="DZ193" s="420"/>
      <c r="EA193" s="423"/>
      <c r="EB193" s="419"/>
      <c r="EC193" s="419"/>
      <c r="ED193" s="420"/>
      <c r="EE193" s="419"/>
      <c r="EF193" s="420"/>
      <c r="EG193" s="419"/>
      <c r="EH193" s="419"/>
      <c r="EI193" s="419"/>
      <c r="EJ193" s="420"/>
      <c r="EK193" s="420"/>
      <c r="EL193" s="419"/>
      <c r="EN193" s="419"/>
      <c r="EO193" s="419"/>
      <c r="EP193" s="419"/>
      <c r="EQ193" s="419"/>
      <c r="ER193" s="419"/>
      <c r="ES193" s="419"/>
      <c r="ET193" s="419"/>
      <c r="EU193" s="419"/>
      <c r="EV193" s="419">
        <v>46183.519999999997</v>
      </c>
      <c r="EW193" s="419"/>
      <c r="EX193" s="419">
        <v>2771.01</v>
      </c>
      <c r="EY193" s="419">
        <f t="shared" si="195"/>
        <v>46183.5</v>
      </c>
      <c r="EZ193" s="419">
        <f t="shared" si="215"/>
        <v>-0.02</v>
      </c>
      <c r="FA193" s="420">
        <v>27318.87</v>
      </c>
      <c r="FB193" s="420"/>
      <c r="FC193" s="420">
        <v>1639.13</v>
      </c>
      <c r="FD193" s="420">
        <f t="shared" si="196"/>
        <v>27318.83</v>
      </c>
      <c r="FE193" s="420">
        <f t="shared" si="197"/>
        <v>-0.04</v>
      </c>
      <c r="FF193" s="419"/>
      <c r="FG193" s="419"/>
      <c r="FH193" s="419"/>
      <c r="FI193" s="419">
        <f t="shared" si="198"/>
        <v>0</v>
      </c>
      <c r="FJ193" s="419">
        <f t="shared" si="199"/>
        <v>0</v>
      </c>
      <c r="FK193" s="419"/>
      <c r="FL193" s="419"/>
      <c r="FM193" s="419"/>
      <c r="FN193" s="420">
        <f t="shared" si="200"/>
        <v>0</v>
      </c>
      <c r="FO193" s="423">
        <f t="shared" si="201"/>
        <v>0</v>
      </c>
      <c r="FP193" s="419"/>
      <c r="FQ193" s="419"/>
      <c r="FR193" s="419"/>
      <c r="FS193" s="420">
        <f t="shared" si="202"/>
        <v>0</v>
      </c>
      <c r="FT193" s="420">
        <f t="shared" si="203"/>
        <v>0</v>
      </c>
      <c r="FU193" s="419"/>
      <c r="FV193" s="419"/>
      <c r="FW193" s="419"/>
      <c r="FX193" s="420">
        <f t="shared" si="204"/>
        <v>0</v>
      </c>
      <c r="FY193" s="420">
        <f t="shared" si="205"/>
        <v>0</v>
      </c>
      <c r="FZ193" s="419"/>
      <c r="GA193" s="419"/>
      <c r="GB193" s="419"/>
      <c r="GC193" s="420">
        <f t="shared" si="206"/>
        <v>0</v>
      </c>
      <c r="GD193" s="420">
        <f t="shared" si="207"/>
        <v>0</v>
      </c>
      <c r="GE193" s="419"/>
      <c r="GF193" s="419"/>
      <c r="GG193" s="419"/>
      <c r="GH193" s="420">
        <f t="shared" si="208"/>
        <v>0</v>
      </c>
      <c r="GI193" s="423">
        <f t="shared" si="209"/>
        <v>0</v>
      </c>
      <c r="GJ193" s="419"/>
      <c r="GK193" s="419"/>
      <c r="GL193" s="419"/>
      <c r="GM193" s="420">
        <f t="shared" si="210"/>
        <v>0</v>
      </c>
      <c r="GN193" s="420">
        <f t="shared" si="211"/>
        <v>0</v>
      </c>
      <c r="GO193" s="419"/>
      <c r="GP193" s="419"/>
      <c r="GQ193" s="419"/>
      <c r="GR193" s="420">
        <f t="shared" si="216"/>
        <v>0</v>
      </c>
      <c r="GS193" s="423">
        <f t="shared" si="212"/>
        <v>0</v>
      </c>
      <c r="GT193" s="419"/>
      <c r="GU193" s="419"/>
      <c r="GV193" s="419"/>
      <c r="GW193" s="420">
        <f t="shared" si="213"/>
        <v>0</v>
      </c>
      <c r="GX193" s="420">
        <f t="shared" si="214"/>
        <v>0</v>
      </c>
    </row>
    <row r="194" spans="1:206" ht="15">
      <c r="A194" s="414"/>
      <c r="B194" s="415" t="s">
        <v>576</v>
      </c>
      <c r="C194" s="698"/>
      <c r="D194" s="704" t="s">
        <v>578</v>
      </c>
      <c r="E194" s="434" t="s">
        <v>123</v>
      </c>
      <c r="F194" s="417">
        <v>0.13</v>
      </c>
      <c r="G194" s="418">
        <f t="shared" si="173"/>
        <v>2292690.0499999998</v>
      </c>
      <c r="H194" s="418">
        <f t="shared" si="174"/>
        <v>0</v>
      </c>
      <c r="I194" s="418">
        <f t="shared" si="174"/>
        <v>298049.71000000002</v>
      </c>
      <c r="J194" s="418">
        <f t="shared" si="175"/>
        <v>2292690.0769230798</v>
      </c>
      <c r="K194" s="418">
        <f t="shared" si="217"/>
        <v>2292690.0769230798</v>
      </c>
      <c r="L194" s="418">
        <f t="shared" si="218"/>
        <v>2.69230767153203E-2</v>
      </c>
      <c r="M194" s="424"/>
      <c r="N194" s="424"/>
      <c r="O194" s="424"/>
      <c r="P194" s="424"/>
      <c r="Q194" s="419"/>
      <c r="R194" s="419"/>
      <c r="S194" s="419"/>
      <c r="T194" s="420"/>
      <c r="U194" s="423"/>
      <c r="V194" s="420"/>
      <c r="W194" s="420"/>
      <c r="X194" s="419"/>
      <c r="Y194" s="419"/>
      <c r="Z194" s="423"/>
      <c r="AA194" s="423"/>
      <c r="AB194" s="419"/>
      <c r="AC194" s="423"/>
      <c r="AD194" s="420"/>
      <c r="AE194" s="423"/>
      <c r="AF194" s="444"/>
      <c r="AG194" s="419"/>
      <c r="AH194" s="420"/>
      <c r="AI194" s="420"/>
      <c r="AJ194" s="423"/>
      <c r="AK194" s="444"/>
      <c r="AL194" s="420"/>
      <c r="AM194" s="420"/>
      <c r="AN194" s="420"/>
      <c r="AO194" s="423"/>
      <c r="AP194" s="420"/>
      <c r="AQ194" s="419"/>
      <c r="AR194" s="420"/>
      <c r="AS194" s="420"/>
      <c r="AT194" s="420"/>
      <c r="AU194" s="420"/>
      <c r="AV194" s="420"/>
      <c r="AW194" s="420"/>
      <c r="AX194" s="426"/>
      <c r="AY194" s="420"/>
      <c r="AZ194" s="420"/>
      <c r="BA194" s="420"/>
      <c r="BB194" s="419"/>
      <c r="BC194" s="420"/>
      <c r="BD194" s="427"/>
      <c r="BE194" s="420"/>
      <c r="BF194" s="420"/>
      <c r="BG194" s="420"/>
      <c r="BH194" s="423"/>
      <c r="BI194" s="420"/>
      <c r="BJ194" s="420"/>
      <c r="BK194" s="420"/>
      <c r="BL194" s="420"/>
      <c r="BM194" s="420"/>
      <c r="BN194" s="420"/>
      <c r="BO194" s="419"/>
      <c r="BP194" s="428"/>
      <c r="BQ194" s="420"/>
      <c r="BR194" s="423"/>
      <c r="BS194" s="423"/>
      <c r="BT194" s="420"/>
      <c r="BU194" s="420"/>
      <c r="BV194" s="420"/>
      <c r="BW194" s="420"/>
      <c r="BX194" s="429"/>
      <c r="BY194" s="419"/>
      <c r="BZ194" s="419"/>
      <c r="CA194" s="419"/>
      <c r="CB194" s="420"/>
      <c r="CC194" s="430"/>
      <c r="CD194" s="419"/>
      <c r="CE194" s="419"/>
      <c r="CF194" s="419"/>
      <c r="CG194" s="420"/>
      <c r="CH194" s="423"/>
      <c r="CI194" s="432"/>
      <c r="CJ194" s="432"/>
      <c r="CK194" s="432"/>
      <c r="CL194" s="420"/>
      <c r="CM194" s="423"/>
      <c r="CN194" s="420"/>
      <c r="CO194" s="420"/>
      <c r="CP194" s="420"/>
      <c r="CQ194" s="432"/>
      <c r="CR194" s="432"/>
      <c r="CS194" s="420"/>
      <c r="CT194" s="420"/>
      <c r="CU194" s="420"/>
      <c r="CV194" s="420"/>
      <c r="CW194" s="420"/>
      <c r="CX194" s="419"/>
      <c r="CY194" s="419"/>
      <c r="CZ194" s="419"/>
      <c r="DA194" s="419"/>
      <c r="DB194" s="419"/>
      <c r="DC194" s="419"/>
      <c r="DD194" s="419"/>
      <c r="DE194" s="419"/>
      <c r="DF194" s="420"/>
      <c r="DG194" s="421"/>
      <c r="DH194" s="419"/>
      <c r="DI194" s="419"/>
      <c r="DJ194" s="419"/>
      <c r="DK194" s="420"/>
      <c r="DL194" s="422"/>
      <c r="DM194" s="420"/>
      <c r="DN194" s="420"/>
      <c r="DO194" s="420"/>
      <c r="DP194" s="420"/>
      <c r="DQ194" s="420"/>
      <c r="DR194" s="419"/>
      <c r="DS194" s="419"/>
      <c r="DT194" s="419"/>
      <c r="DU194" s="420"/>
      <c r="DV194" s="423"/>
      <c r="DW194" s="419"/>
      <c r="DX194" s="419"/>
      <c r="DY194" s="419"/>
      <c r="DZ194" s="420"/>
      <c r="EA194" s="423"/>
      <c r="EB194" s="419"/>
      <c r="EC194" s="419"/>
      <c r="ED194" s="420"/>
      <c r="EE194" s="419"/>
      <c r="EF194" s="420"/>
      <c r="EG194" s="419"/>
      <c r="EH194" s="419"/>
      <c r="EI194" s="419"/>
      <c r="EJ194" s="420"/>
      <c r="EK194" s="420"/>
      <c r="EL194" s="419"/>
      <c r="EM194" s="419"/>
      <c r="EN194" s="419"/>
      <c r="EO194" s="419"/>
      <c r="EP194" s="419"/>
      <c r="EQ194" s="419"/>
      <c r="ER194" s="419"/>
      <c r="ES194" s="419"/>
      <c r="ET194" s="419"/>
      <c r="EU194" s="419"/>
      <c r="EV194" s="455">
        <v>11131.5</v>
      </c>
      <c r="EW194" s="419"/>
      <c r="EX194" s="455">
        <v>1447.1</v>
      </c>
      <c r="EY194" s="419">
        <f t="shared" si="195"/>
        <v>11131.54</v>
      </c>
      <c r="EZ194" s="419">
        <f t="shared" si="215"/>
        <v>0.04</v>
      </c>
      <c r="FA194" s="420">
        <v>-11131.5</v>
      </c>
      <c r="FB194" s="420"/>
      <c r="FC194" s="420">
        <v>-1447.1</v>
      </c>
      <c r="FD194" s="420">
        <f t="shared" si="196"/>
        <v>-11131.54</v>
      </c>
      <c r="FE194" s="420">
        <f t="shared" si="197"/>
        <v>-0.04</v>
      </c>
      <c r="FF194" s="419"/>
      <c r="FG194" s="419"/>
      <c r="FH194" s="419"/>
      <c r="FI194" s="419">
        <f t="shared" si="198"/>
        <v>0</v>
      </c>
      <c r="FJ194" s="419">
        <f t="shared" si="199"/>
        <v>0</v>
      </c>
      <c r="FK194" s="419"/>
      <c r="FL194" s="419"/>
      <c r="FM194" s="419"/>
      <c r="FN194" s="420">
        <f t="shared" si="200"/>
        <v>0</v>
      </c>
      <c r="FO194" s="423">
        <f t="shared" si="201"/>
        <v>0</v>
      </c>
      <c r="FP194" s="419"/>
      <c r="FQ194" s="419"/>
      <c r="FR194" s="419"/>
      <c r="FS194" s="420">
        <f t="shared" si="202"/>
        <v>0</v>
      </c>
      <c r="FT194" s="420">
        <f t="shared" si="203"/>
        <v>0</v>
      </c>
      <c r="FU194" s="419"/>
      <c r="FV194" s="419"/>
      <c r="FW194" s="419"/>
      <c r="FX194" s="420">
        <f t="shared" si="204"/>
        <v>0</v>
      </c>
      <c r="FY194" s="420">
        <f t="shared" si="205"/>
        <v>0</v>
      </c>
      <c r="FZ194" s="419"/>
      <c r="GA194" s="419"/>
      <c r="GB194" s="419"/>
      <c r="GC194" s="420">
        <f t="shared" si="206"/>
        <v>0</v>
      </c>
      <c r="GD194" s="420">
        <f t="shared" si="207"/>
        <v>0</v>
      </c>
      <c r="GE194" s="419">
        <v>63495.57</v>
      </c>
      <c r="GF194" s="419"/>
      <c r="GG194" s="419">
        <v>8254.42</v>
      </c>
      <c r="GH194" s="420">
        <f t="shared" si="208"/>
        <v>63495.538461538497</v>
      </c>
      <c r="GI194" s="423">
        <f t="shared" si="209"/>
        <v>-3.1538461538730203E-2</v>
      </c>
      <c r="GJ194" s="419">
        <v>2006959.98</v>
      </c>
      <c r="GK194" s="419"/>
      <c r="GL194" s="419">
        <v>260904.8</v>
      </c>
      <c r="GM194" s="420">
        <f t="shared" si="210"/>
        <v>2006960</v>
      </c>
      <c r="GN194" s="420">
        <f t="shared" si="211"/>
        <v>1.9999999785795801E-2</v>
      </c>
      <c r="GO194" s="419">
        <v>222234.5</v>
      </c>
      <c r="GP194" s="419"/>
      <c r="GQ194" s="419">
        <v>28890.49</v>
      </c>
      <c r="GR194" s="420">
        <f t="shared" si="216"/>
        <v>222234.538461538</v>
      </c>
      <c r="GS194" s="423">
        <f t="shared" si="212"/>
        <v>3.8461538468254702E-2</v>
      </c>
      <c r="GT194" s="419"/>
      <c r="GU194" s="419"/>
      <c r="GV194" s="419"/>
      <c r="GW194" s="420">
        <f t="shared" si="213"/>
        <v>0</v>
      </c>
      <c r="GX194" s="420">
        <f t="shared" si="214"/>
        <v>0</v>
      </c>
    </row>
    <row r="195" spans="1:206" ht="15">
      <c r="A195" s="414"/>
      <c r="B195" s="415" t="s">
        <v>576</v>
      </c>
      <c r="C195" s="698"/>
      <c r="D195" s="705"/>
      <c r="E195" s="434" t="s">
        <v>124</v>
      </c>
      <c r="F195" s="417">
        <v>0.09</v>
      </c>
      <c r="G195" s="418">
        <f t="shared" si="173"/>
        <v>29603134.800000001</v>
      </c>
      <c r="H195" s="418">
        <f t="shared" si="174"/>
        <v>0</v>
      </c>
      <c r="I195" s="418">
        <f t="shared" si="174"/>
        <v>2664282.13</v>
      </c>
      <c r="J195" s="418">
        <f t="shared" si="175"/>
        <v>29603134.777777798</v>
      </c>
      <c r="K195" s="418">
        <f t="shared" si="217"/>
        <v>29603134.777777798</v>
      </c>
      <c r="L195" s="418">
        <f t="shared" si="218"/>
        <v>-2.2222220897674599E-2</v>
      </c>
      <c r="M195" s="424"/>
      <c r="N195" s="424"/>
      <c r="O195" s="424"/>
      <c r="P195" s="424"/>
      <c r="Q195" s="419"/>
      <c r="R195" s="419"/>
      <c r="S195" s="419"/>
      <c r="T195" s="420"/>
      <c r="U195" s="423"/>
      <c r="V195" s="420"/>
      <c r="W195" s="420"/>
      <c r="X195" s="419"/>
      <c r="Y195" s="419"/>
      <c r="Z195" s="423"/>
      <c r="AA195" s="423"/>
      <c r="AB195" s="419"/>
      <c r="AC195" s="423"/>
      <c r="AD195" s="420"/>
      <c r="AE195" s="423"/>
      <c r="AF195" s="444"/>
      <c r="AG195" s="419"/>
      <c r="AH195" s="420"/>
      <c r="AI195" s="420"/>
      <c r="AJ195" s="423"/>
      <c r="AK195" s="444"/>
      <c r="AL195" s="420"/>
      <c r="AM195" s="420"/>
      <c r="AN195" s="420"/>
      <c r="AO195" s="423"/>
      <c r="AP195" s="420"/>
      <c r="AQ195" s="419"/>
      <c r="AR195" s="420"/>
      <c r="AS195" s="420"/>
      <c r="AT195" s="420"/>
      <c r="AU195" s="420"/>
      <c r="AV195" s="420"/>
      <c r="AW195" s="420"/>
      <c r="AX195" s="426"/>
      <c r="AY195" s="420"/>
      <c r="AZ195" s="420"/>
      <c r="BA195" s="420"/>
      <c r="BB195" s="419"/>
      <c r="BC195" s="420"/>
      <c r="BD195" s="427"/>
      <c r="BE195" s="420"/>
      <c r="BF195" s="420"/>
      <c r="BG195" s="420"/>
      <c r="BH195" s="423"/>
      <c r="BI195" s="420"/>
      <c r="BJ195" s="420"/>
      <c r="BK195" s="420"/>
      <c r="BL195" s="420"/>
      <c r="BM195" s="420"/>
      <c r="BN195" s="420"/>
      <c r="BO195" s="419"/>
      <c r="BP195" s="428"/>
      <c r="BQ195" s="420"/>
      <c r="BR195" s="423"/>
      <c r="BS195" s="423"/>
      <c r="BT195" s="420"/>
      <c r="BU195" s="420"/>
      <c r="BV195" s="420"/>
      <c r="BW195" s="420"/>
      <c r="BX195" s="429"/>
      <c r="BY195" s="419"/>
      <c r="BZ195" s="419"/>
      <c r="CA195" s="419"/>
      <c r="CB195" s="420"/>
      <c r="CC195" s="430"/>
      <c r="CD195" s="419"/>
      <c r="CE195" s="419"/>
      <c r="CF195" s="419"/>
      <c r="CG195" s="420"/>
      <c r="CH195" s="423"/>
      <c r="CI195" s="432"/>
      <c r="CJ195" s="432"/>
      <c r="CK195" s="432"/>
      <c r="CL195" s="420"/>
      <c r="CM195" s="423"/>
      <c r="CN195" s="420"/>
      <c r="CO195" s="420"/>
      <c r="CP195" s="420"/>
      <c r="CQ195" s="432"/>
      <c r="CR195" s="432"/>
      <c r="CS195" s="420"/>
      <c r="CT195" s="420"/>
      <c r="CU195" s="420"/>
      <c r="CV195" s="420"/>
      <c r="CW195" s="420"/>
      <c r="CX195" s="419"/>
      <c r="CY195" s="419"/>
      <c r="CZ195" s="419"/>
      <c r="DA195" s="419"/>
      <c r="DB195" s="419"/>
      <c r="DC195" s="419"/>
      <c r="DD195" s="419"/>
      <c r="DE195" s="419"/>
      <c r="DF195" s="420"/>
      <c r="DG195" s="421"/>
      <c r="DH195" s="419"/>
      <c r="DI195" s="419"/>
      <c r="DJ195" s="419"/>
      <c r="DK195" s="420"/>
      <c r="DL195" s="422"/>
      <c r="DM195" s="420"/>
      <c r="DN195" s="420"/>
      <c r="DO195" s="420"/>
      <c r="DP195" s="420"/>
      <c r="DQ195" s="420"/>
      <c r="DR195" s="419"/>
      <c r="DS195" s="419"/>
      <c r="DT195" s="419"/>
      <c r="DU195" s="420"/>
      <c r="DV195" s="423"/>
      <c r="DW195" s="419"/>
      <c r="DX195" s="419"/>
      <c r="DY195" s="419"/>
      <c r="DZ195" s="420"/>
      <c r="EA195" s="423"/>
      <c r="EB195" s="419"/>
      <c r="EC195" s="419"/>
      <c r="ED195" s="420"/>
      <c r="EE195" s="419"/>
      <c r="EF195" s="420"/>
      <c r="EG195" s="419"/>
      <c r="EH195" s="419"/>
      <c r="EI195" s="419"/>
      <c r="EJ195" s="420"/>
      <c r="EK195" s="420"/>
      <c r="EL195" s="419"/>
      <c r="EN195" s="419"/>
      <c r="EO195" s="419"/>
      <c r="EP195" s="419"/>
      <c r="EQ195" s="419"/>
      <c r="ER195" s="419"/>
      <c r="ES195" s="419"/>
      <c r="ET195" s="419"/>
      <c r="EU195" s="419"/>
      <c r="EV195" s="419"/>
      <c r="EW195" s="419"/>
      <c r="EX195" s="419"/>
      <c r="EY195" s="419">
        <f t="shared" si="195"/>
        <v>0</v>
      </c>
      <c r="EZ195" s="419">
        <f t="shared" si="215"/>
        <v>0</v>
      </c>
      <c r="FA195" s="420"/>
      <c r="FB195" s="420"/>
      <c r="FC195" s="420"/>
      <c r="FD195" s="420">
        <f t="shared" si="196"/>
        <v>0</v>
      </c>
      <c r="FE195" s="420">
        <f t="shared" si="197"/>
        <v>0</v>
      </c>
      <c r="FF195" s="419"/>
      <c r="FG195" s="419"/>
      <c r="FH195" s="419"/>
      <c r="FI195" s="419">
        <f t="shared" si="198"/>
        <v>0</v>
      </c>
      <c r="FJ195" s="419">
        <f t="shared" si="199"/>
        <v>0</v>
      </c>
      <c r="FK195" s="419"/>
      <c r="FL195" s="419"/>
      <c r="FM195" s="419"/>
      <c r="FN195" s="420">
        <f t="shared" si="200"/>
        <v>0</v>
      </c>
      <c r="FO195" s="423">
        <f t="shared" si="201"/>
        <v>0</v>
      </c>
      <c r="FP195" s="431">
        <v>2368137.4300000002</v>
      </c>
      <c r="FQ195" s="431">
        <v>0</v>
      </c>
      <c r="FR195" s="431">
        <v>213132.37</v>
      </c>
      <c r="FS195" s="420">
        <f t="shared" si="202"/>
        <v>2368137.44</v>
      </c>
      <c r="FT195" s="420">
        <f t="shared" si="203"/>
        <v>9.9999997764825804E-3</v>
      </c>
      <c r="FU195" s="419">
        <v>497572.82</v>
      </c>
      <c r="FV195" s="419"/>
      <c r="FW195" s="419">
        <v>44781.55</v>
      </c>
      <c r="FX195" s="420">
        <f t="shared" si="204"/>
        <v>497572.78</v>
      </c>
      <c r="FY195" s="420">
        <f t="shared" si="205"/>
        <v>-3.99999999790452E-2</v>
      </c>
      <c r="FZ195" s="419">
        <v>9211614.7200000007</v>
      </c>
      <c r="GA195" s="419"/>
      <c r="GB195" s="419">
        <v>829045.32</v>
      </c>
      <c r="GC195" s="420">
        <f t="shared" si="206"/>
        <v>9211614.6699999999</v>
      </c>
      <c r="GD195" s="420">
        <f t="shared" si="207"/>
        <v>-5.0000000745058101E-2</v>
      </c>
      <c r="GE195" s="419">
        <v>2982922.37</v>
      </c>
      <c r="GF195" s="419"/>
      <c r="GG195" s="419">
        <v>268463.02</v>
      </c>
      <c r="GH195" s="420">
        <f t="shared" si="208"/>
        <v>2982922.4444444398</v>
      </c>
      <c r="GI195" s="423">
        <f t="shared" si="209"/>
        <v>7.4444444850087194E-2</v>
      </c>
      <c r="GJ195" s="419">
        <v>8309665.6399999997</v>
      </c>
      <c r="GK195" s="419"/>
      <c r="GL195" s="419">
        <v>747869.91</v>
      </c>
      <c r="GM195" s="420">
        <f t="shared" si="210"/>
        <v>8309665.6666666698</v>
      </c>
      <c r="GN195" s="420">
        <f t="shared" si="211"/>
        <v>2.66666673123837E-2</v>
      </c>
      <c r="GO195" s="419">
        <v>6323979.0999999996</v>
      </c>
      <c r="GP195" s="419"/>
      <c r="GQ195" s="419">
        <v>569158.12</v>
      </c>
      <c r="GR195" s="420">
        <f t="shared" si="216"/>
        <v>6323979.1111111101</v>
      </c>
      <c r="GS195" s="423">
        <f t="shared" si="212"/>
        <v>1.11111113801599E-2</v>
      </c>
      <c r="GT195" s="419">
        <v>-90757.28</v>
      </c>
      <c r="GU195" s="419"/>
      <c r="GV195" s="419">
        <v>-8168.16</v>
      </c>
      <c r="GW195" s="420">
        <f t="shared" si="213"/>
        <v>-90757.33</v>
      </c>
      <c r="GX195" s="420">
        <f t="shared" si="214"/>
        <v>-5.0000000002910397E-2</v>
      </c>
    </row>
    <row r="196" spans="1:206" ht="15">
      <c r="A196" s="414"/>
      <c r="B196" s="415" t="s">
        <v>576</v>
      </c>
      <c r="C196" s="698"/>
      <c r="D196" s="707"/>
      <c r="E196" s="434" t="s">
        <v>125</v>
      </c>
      <c r="F196" s="417">
        <v>0.06</v>
      </c>
      <c r="G196" s="418">
        <f t="shared" ref="G196:G259" si="219">SUM(M196,P196:Q196,V196,AA196,AF196,AK196,AP196,AU196,AZ196,BE196,BJ196,BO196,BT196,BY196,CD196,CI196,CN196,CS196,CX196,DC196,DH196,DM196,DR196,DW196,EB196,EG196,EL196,EQ196,EV196,FA196,FF196,FK196,FP196,FU196,FZ196,GE196,GJ196,GO196,GT196)</f>
        <v>6874315.8799999999</v>
      </c>
      <c r="H196" s="418">
        <f t="shared" ref="H196:I259" si="220">SUM(N196,R196,W196,AB196,AG196,AL196,AQ196,AV196,BA196,BF196,BK196,BP196,BU196,BZ196,CE196,CJ196,CO196,CT196,CY196,DD196,DI196,DN196,DS196,DX196,EC196,EH196,EM196,ER196,EW196,FB196,FG196,FL196,FQ196,FV196,GA196,GF196,GK196,GP196,GU196)</f>
        <v>0</v>
      </c>
      <c r="I196" s="418">
        <f t="shared" si="220"/>
        <v>412458.98</v>
      </c>
      <c r="J196" s="418">
        <f t="shared" ref="J196:J276" si="221">I196/F196</f>
        <v>6874316.3333333302</v>
      </c>
      <c r="K196" s="418">
        <f t="shared" si="217"/>
        <v>6874316.3333333302</v>
      </c>
      <c r="L196" s="418">
        <f t="shared" si="218"/>
        <v>0.45333333313465102</v>
      </c>
      <c r="M196" s="424"/>
      <c r="N196" s="424"/>
      <c r="O196" s="424"/>
      <c r="P196" s="424"/>
      <c r="Q196" s="419"/>
      <c r="R196" s="419"/>
      <c r="S196" s="419"/>
      <c r="T196" s="420"/>
      <c r="U196" s="423"/>
      <c r="V196" s="420"/>
      <c r="W196" s="420"/>
      <c r="X196" s="419"/>
      <c r="Y196" s="419"/>
      <c r="Z196" s="423"/>
      <c r="AA196" s="423"/>
      <c r="AB196" s="419"/>
      <c r="AC196" s="423"/>
      <c r="AD196" s="420"/>
      <c r="AE196" s="423"/>
      <c r="AF196" s="444"/>
      <c r="AG196" s="419"/>
      <c r="AH196" s="420"/>
      <c r="AI196" s="420"/>
      <c r="AJ196" s="423"/>
      <c r="AK196" s="444"/>
      <c r="AL196" s="420"/>
      <c r="AM196" s="420"/>
      <c r="AN196" s="420"/>
      <c r="AO196" s="423"/>
      <c r="AP196" s="420"/>
      <c r="AQ196" s="419"/>
      <c r="AR196" s="420"/>
      <c r="AS196" s="420"/>
      <c r="AT196" s="420"/>
      <c r="AU196" s="420"/>
      <c r="AV196" s="420"/>
      <c r="AW196" s="420"/>
      <c r="AX196" s="426"/>
      <c r="AY196" s="420"/>
      <c r="AZ196" s="420"/>
      <c r="BA196" s="420"/>
      <c r="BB196" s="419"/>
      <c r="BC196" s="420"/>
      <c r="BD196" s="427"/>
      <c r="BE196" s="420"/>
      <c r="BF196" s="420"/>
      <c r="BG196" s="420"/>
      <c r="BH196" s="423"/>
      <c r="BI196" s="420"/>
      <c r="BJ196" s="420"/>
      <c r="BK196" s="420"/>
      <c r="BL196" s="420"/>
      <c r="BM196" s="420"/>
      <c r="BN196" s="420"/>
      <c r="BO196" s="419"/>
      <c r="BP196" s="428"/>
      <c r="BQ196" s="420"/>
      <c r="BR196" s="423"/>
      <c r="BS196" s="423"/>
      <c r="BT196" s="420"/>
      <c r="BU196" s="420"/>
      <c r="BV196" s="420"/>
      <c r="BW196" s="420"/>
      <c r="BX196" s="429"/>
      <c r="BY196" s="419"/>
      <c r="BZ196" s="419"/>
      <c r="CA196" s="419"/>
      <c r="CB196" s="420"/>
      <c r="CC196" s="430"/>
      <c r="CD196" s="419"/>
      <c r="CE196" s="419"/>
      <c r="CF196" s="419"/>
      <c r="CG196" s="420"/>
      <c r="CH196" s="423"/>
      <c r="CI196" s="432"/>
      <c r="CJ196" s="432"/>
      <c r="CK196" s="432"/>
      <c r="CL196" s="420"/>
      <c r="CM196" s="423"/>
      <c r="CN196" s="420"/>
      <c r="CO196" s="420"/>
      <c r="CP196" s="420"/>
      <c r="CQ196" s="432"/>
      <c r="CR196" s="432"/>
      <c r="CS196" s="420"/>
      <c r="CT196" s="420"/>
      <c r="CU196" s="420"/>
      <c r="CV196" s="420"/>
      <c r="CW196" s="420"/>
      <c r="CX196" s="419"/>
      <c r="CY196" s="419"/>
      <c r="CZ196" s="419"/>
      <c r="DA196" s="419"/>
      <c r="DB196" s="419"/>
      <c r="DC196" s="419"/>
      <c r="DD196" s="419"/>
      <c r="DE196" s="419"/>
      <c r="DF196" s="420"/>
      <c r="DG196" s="421"/>
      <c r="DH196" s="419"/>
      <c r="DI196" s="419"/>
      <c r="DJ196" s="419"/>
      <c r="DK196" s="420"/>
      <c r="DL196" s="422"/>
      <c r="DM196" s="420"/>
      <c r="DN196" s="420"/>
      <c r="DO196" s="420"/>
      <c r="DP196" s="420"/>
      <c r="DQ196" s="420"/>
      <c r="DR196" s="419"/>
      <c r="DS196" s="419"/>
      <c r="DT196" s="419"/>
      <c r="DU196" s="420"/>
      <c r="DV196" s="423"/>
      <c r="DW196" s="419"/>
      <c r="DX196" s="419"/>
      <c r="DY196" s="419"/>
      <c r="DZ196" s="420"/>
      <c r="EA196" s="423"/>
      <c r="EB196" s="419"/>
      <c r="EC196" s="419"/>
      <c r="ED196" s="420"/>
      <c r="EE196" s="419"/>
      <c r="EF196" s="420"/>
      <c r="EG196" s="419"/>
      <c r="EH196" s="419"/>
      <c r="EI196" s="419"/>
      <c r="EJ196" s="420"/>
      <c r="EK196" s="420"/>
      <c r="EL196" s="419"/>
      <c r="EN196" s="419"/>
      <c r="EO196" s="419"/>
      <c r="EP196" s="419"/>
      <c r="EQ196" s="419"/>
      <c r="ER196" s="419"/>
      <c r="ES196" s="419"/>
      <c r="ET196" s="419"/>
      <c r="EU196" s="419"/>
      <c r="EV196" s="419">
        <v>2018506.05</v>
      </c>
      <c r="EW196" s="419"/>
      <c r="EX196" s="419">
        <v>121110.37</v>
      </c>
      <c r="EY196" s="419">
        <f t="shared" ref="EY196:EY349" si="222">ROUND(EX196/F196,2)</f>
        <v>2018506.17</v>
      </c>
      <c r="EZ196" s="419">
        <f t="shared" si="215"/>
        <v>0.12</v>
      </c>
      <c r="FA196" s="420">
        <v>292984.98</v>
      </c>
      <c r="FB196" s="420"/>
      <c r="FC196" s="420">
        <v>17579.099999999999</v>
      </c>
      <c r="FD196" s="420">
        <f t="shared" ref="FD196:FD349" si="223">ROUND(FC196/F196,2)</f>
        <v>292985</v>
      </c>
      <c r="FE196" s="420">
        <f t="shared" ref="FE196:FE349" si="224">ROUND(FD196-FA196,2)</f>
        <v>0.02</v>
      </c>
      <c r="FF196" s="419">
        <v>350136.86</v>
      </c>
      <c r="FG196" s="419"/>
      <c r="FH196" s="419">
        <v>21008.2</v>
      </c>
      <c r="FI196" s="419">
        <f t="shared" ref="FI196:FI349" si="225">FH196/F196</f>
        <v>350136.66666666698</v>
      </c>
      <c r="FJ196" s="419">
        <f t="shared" ref="FJ196:FJ349" si="226">ROUND(FI196-FF196,2)</f>
        <v>-0.19</v>
      </c>
      <c r="FK196" s="419">
        <v>895523.6</v>
      </c>
      <c r="FL196" s="419"/>
      <c r="FM196" s="419">
        <v>53731.42</v>
      </c>
      <c r="FN196" s="420">
        <f t="shared" ref="FN196:FN347" si="227">ROUND(FM196/F196,2)</f>
        <v>895523.67</v>
      </c>
      <c r="FO196" s="423">
        <f t="shared" ref="FO196:FO347" si="228">ROUND(FN196-FK196,2)</f>
        <v>7.0000000000000007E-2</v>
      </c>
      <c r="FP196" s="431">
        <v>339759.31</v>
      </c>
      <c r="FQ196" s="431">
        <v>0</v>
      </c>
      <c r="FR196" s="431">
        <v>20385.560000000001</v>
      </c>
      <c r="FS196" s="420">
        <f t="shared" ref="FS196:FS282" si="229">ROUND(FR196/F196,2)</f>
        <v>339759.33</v>
      </c>
      <c r="FT196" s="420">
        <f t="shared" ref="FT196:FT282" si="230">FS196-FP196</f>
        <v>2.00000000186265E-2</v>
      </c>
      <c r="FU196" s="419">
        <v>773415.23</v>
      </c>
      <c r="FV196" s="419"/>
      <c r="FW196" s="419">
        <v>46404.92</v>
      </c>
      <c r="FX196" s="420">
        <f t="shared" ref="FX196:FX279" si="231">ROUND(FW196/F196,2)</f>
        <v>773415.33</v>
      </c>
      <c r="FY196" s="420">
        <f t="shared" ref="FY196:FY279" si="232">FX196-FU196</f>
        <v>9.9999999976716894E-2</v>
      </c>
      <c r="FZ196" s="419">
        <v>140910.53</v>
      </c>
      <c r="GA196" s="419"/>
      <c r="GB196" s="419">
        <v>8454.64</v>
      </c>
      <c r="GC196" s="420">
        <f t="shared" ref="GC196:GC276" si="233">ROUND(GB196/F196,2)</f>
        <v>140910.67000000001</v>
      </c>
      <c r="GD196" s="420">
        <f t="shared" ref="GD196:GD276" si="234">GC196-FZ196</f>
        <v>0.14000000001397001</v>
      </c>
      <c r="GE196" s="419">
        <v>551523.07999999996</v>
      </c>
      <c r="GF196" s="419"/>
      <c r="GG196" s="419">
        <v>33091.39</v>
      </c>
      <c r="GH196" s="420">
        <f t="shared" ref="GH196:GH283" si="235">GG196/F196</f>
        <v>551523.16666666698</v>
      </c>
      <c r="GI196" s="423">
        <f t="shared" ref="GI196:GI283" si="236">GH196-GE196</f>
        <v>8.6666666669771103E-2</v>
      </c>
      <c r="GJ196" s="437">
        <v>747549.9</v>
      </c>
      <c r="GK196" s="419"/>
      <c r="GL196" s="419">
        <v>44852.99</v>
      </c>
      <c r="GM196" s="420">
        <f t="shared" ref="GM196:GM280" si="237">GL196/F196</f>
        <v>747549.83333333302</v>
      </c>
      <c r="GN196" s="420">
        <f t="shared" ref="GN196:GN280" si="238">GM196-GJ196</f>
        <v>-6.6666666651144596E-2</v>
      </c>
      <c r="GO196" s="419">
        <v>160874.21</v>
      </c>
      <c r="GP196" s="419"/>
      <c r="GQ196" s="419">
        <v>9652.4599999999991</v>
      </c>
      <c r="GR196" s="420">
        <f t="shared" si="216"/>
        <v>160874.33333333299</v>
      </c>
      <c r="GS196" s="423">
        <f t="shared" ref="GS196:GS259" si="239">GR196-GO196</f>
        <v>0.12333333332208</v>
      </c>
      <c r="GT196" s="419">
        <v>603132.13</v>
      </c>
      <c r="GU196" s="419"/>
      <c r="GV196" s="419">
        <v>36187.93</v>
      </c>
      <c r="GW196" s="420">
        <f t="shared" ref="GW196:GW259" si="240">ROUND(GV196/F196,2)</f>
        <v>603132.17000000004</v>
      </c>
      <c r="GX196" s="420">
        <f t="shared" ref="GX196:GX259" si="241">GW196-GT196</f>
        <v>4.0000000037252903E-2</v>
      </c>
    </row>
    <row r="197" spans="1:206" ht="15">
      <c r="A197" s="414"/>
      <c r="B197" s="415" t="s">
        <v>579</v>
      </c>
      <c r="C197" s="698"/>
      <c r="D197" s="704" t="s">
        <v>132</v>
      </c>
      <c r="E197" s="434" t="s">
        <v>123</v>
      </c>
      <c r="F197" s="417">
        <v>0.13</v>
      </c>
      <c r="G197" s="418">
        <f t="shared" si="219"/>
        <v>22302651.559999999</v>
      </c>
      <c r="H197" s="418">
        <f t="shared" si="220"/>
        <v>0</v>
      </c>
      <c r="I197" s="418">
        <f t="shared" si="220"/>
        <v>2899344.71</v>
      </c>
      <c r="J197" s="418">
        <f t="shared" si="221"/>
        <v>22302651.615384601</v>
      </c>
      <c r="K197" s="418">
        <f t="shared" si="217"/>
        <v>22302651.615384601</v>
      </c>
      <c r="L197" s="418">
        <f t="shared" si="218"/>
        <v>5.5384613573551199E-2</v>
      </c>
      <c r="M197" s="424"/>
      <c r="N197" s="424"/>
      <c r="O197" s="424"/>
      <c r="P197" s="424"/>
      <c r="Q197" s="419"/>
      <c r="R197" s="419"/>
      <c r="S197" s="419"/>
      <c r="T197" s="420"/>
      <c r="U197" s="423"/>
      <c r="V197" s="420"/>
      <c r="W197" s="420"/>
      <c r="X197" s="419"/>
      <c r="Y197" s="419"/>
      <c r="Z197" s="423"/>
      <c r="AA197" s="423"/>
      <c r="AB197" s="419"/>
      <c r="AC197" s="423"/>
      <c r="AD197" s="420"/>
      <c r="AE197" s="423"/>
      <c r="AF197" s="444"/>
      <c r="AG197" s="419"/>
      <c r="AH197" s="420"/>
      <c r="AI197" s="420"/>
      <c r="AJ197" s="423"/>
      <c r="AK197" s="444"/>
      <c r="AL197" s="420"/>
      <c r="AM197" s="420"/>
      <c r="AN197" s="420"/>
      <c r="AO197" s="423"/>
      <c r="AP197" s="420"/>
      <c r="AQ197" s="419"/>
      <c r="AR197" s="420"/>
      <c r="AS197" s="420"/>
      <c r="AT197" s="420"/>
      <c r="AU197" s="420"/>
      <c r="AV197" s="420"/>
      <c r="AW197" s="420"/>
      <c r="AX197" s="426"/>
      <c r="AY197" s="420"/>
      <c r="AZ197" s="420"/>
      <c r="BA197" s="420"/>
      <c r="BB197" s="419"/>
      <c r="BC197" s="420"/>
      <c r="BD197" s="427"/>
      <c r="BE197" s="420"/>
      <c r="BF197" s="420"/>
      <c r="BG197" s="420"/>
      <c r="BH197" s="423"/>
      <c r="BI197" s="420"/>
      <c r="BJ197" s="420"/>
      <c r="BK197" s="420"/>
      <c r="BL197" s="420"/>
      <c r="BM197" s="420"/>
      <c r="BN197" s="420"/>
      <c r="BO197" s="419"/>
      <c r="BP197" s="428"/>
      <c r="BQ197" s="420"/>
      <c r="BR197" s="423"/>
      <c r="BS197" s="423"/>
      <c r="BT197" s="420"/>
      <c r="BU197" s="420"/>
      <c r="BV197" s="420"/>
      <c r="BW197" s="420"/>
      <c r="BX197" s="429"/>
      <c r="BY197" s="419"/>
      <c r="BZ197" s="419"/>
      <c r="CA197" s="419"/>
      <c r="CB197" s="420"/>
      <c r="CC197" s="430"/>
      <c r="CD197" s="419"/>
      <c r="CE197" s="419"/>
      <c r="CF197" s="419"/>
      <c r="CG197" s="420"/>
      <c r="CH197" s="423"/>
      <c r="CI197" s="432"/>
      <c r="CJ197" s="432"/>
      <c r="CK197" s="432"/>
      <c r="CL197" s="420"/>
      <c r="CM197" s="423"/>
      <c r="CN197" s="420"/>
      <c r="CO197" s="420"/>
      <c r="CP197" s="420"/>
      <c r="CQ197" s="432"/>
      <c r="CR197" s="432"/>
      <c r="CS197" s="420"/>
      <c r="CT197" s="420"/>
      <c r="CU197" s="420"/>
      <c r="CV197" s="420"/>
      <c r="CW197" s="420"/>
      <c r="CX197" s="419"/>
      <c r="CY197" s="419"/>
      <c r="CZ197" s="419"/>
      <c r="DA197" s="419"/>
      <c r="DB197" s="419"/>
      <c r="DC197" s="419"/>
      <c r="DD197" s="419"/>
      <c r="DE197" s="419"/>
      <c r="DF197" s="420"/>
      <c r="DG197" s="421"/>
      <c r="DH197" s="419"/>
      <c r="DI197" s="419"/>
      <c r="DJ197" s="419"/>
      <c r="DK197" s="420"/>
      <c r="DL197" s="422"/>
      <c r="DM197" s="420"/>
      <c r="DN197" s="420"/>
      <c r="DO197" s="420"/>
      <c r="DP197" s="420"/>
      <c r="DQ197" s="420"/>
      <c r="DR197" s="419"/>
      <c r="DS197" s="419"/>
      <c r="DT197" s="419"/>
      <c r="DU197" s="420"/>
      <c r="DV197" s="423"/>
      <c r="DW197" s="419"/>
      <c r="DX197" s="419"/>
      <c r="DY197" s="419"/>
      <c r="DZ197" s="420"/>
      <c r="EA197" s="423"/>
      <c r="EB197" s="419"/>
      <c r="EC197" s="419"/>
      <c r="ED197" s="420"/>
      <c r="EE197" s="419"/>
      <c r="EF197" s="420"/>
      <c r="EG197" s="419"/>
      <c r="EH197" s="419"/>
      <c r="EI197" s="419"/>
      <c r="EJ197" s="420"/>
      <c r="EK197" s="420"/>
      <c r="EL197" s="419"/>
      <c r="EM197" s="419"/>
      <c r="EN197" s="419"/>
      <c r="EO197" s="419"/>
      <c r="EP197" s="419"/>
      <c r="EQ197" s="419"/>
      <c r="ER197" s="419"/>
      <c r="ES197" s="419"/>
      <c r="ET197" s="419"/>
      <c r="EU197" s="419"/>
      <c r="EV197" s="419"/>
      <c r="EW197" s="419"/>
      <c r="EX197" s="419"/>
      <c r="EY197" s="419">
        <f t="shared" si="222"/>
        <v>0</v>
      </c>
      <c r="EZ197" s="419">
        <f t="shared" ref="EZ197:EZ349" si="242">ROUND(EY197-EV197,2)</f>
        <v>0</v>
      </c>
      <c r="FA197" s="420"/>
      <c r="FB197" s="420"/>
      <c r="FC197" s="420"/>
      <c r="FD197" s="420">
        <f t="shared" si="223"/>
        <v>0</v>
      </c>
      <c r="FE197" s="420">
        <f t="shared" si="224"/>
        <v>0</v>
      </c>
      <c r="FF197" s="419"/>
      <c r="FG197" s="419"/>
      <c r="FH197" s="419"/>
      <c r="FI197" s="419">
        <f t="shared" si="225"/>
        <v>0</v>
      </c>
      <c r="FJ197" s="419">
        <f t="shared" si="226"/>
        <v>0</v>
      </c>
      <c r="FK197" s="419"/>
      <c r="FL197" s="419"/>
      <c r="FM197" s="419"/>
      <c r="FN197" s="420">
        <f t="shared" si="227"/>
        <v>0</v>
      </c>
      <c r="FO197" s="423">
        <f t="shared" si="228"/>
        <v>0</v>
      </c>
      <c r="FP197" s="419"/>
      <c r="FQ197" s="419"/>
      <c r="FR197" s="419"/>
      <c r="FS197" s="420">
        <f t="shared" si="229"/>
        <v>0</v>
      </c>
      <c r="FT197" s="420">
        <f t="shared" si="230"/>
        <v>0</v>
      </c>
      <c r="FU197" s="419"/>
      <c r="FV197" s="419"/>
      <c r="FW197" s="419"/>
      <c r="FX197" s="420">
        <f t="shared" si="231"/>
        <v>0</v>
      </c>
      <c r="FY197" s="420">
        <f t="shared" si="232"/>
        <v>0</v>
      </c>
      <c r="FZ197" s="419">
        <v>5632964.5999999996</v>
      </c>
      <c r="GA197" s="419"/>
      <c r="GB197" s="419">
        <v>732285.4</v>
      </c>
      <c r="GC197" s="420">
        <f t="shared" si="233"/>
        <v>5632964.6200000001</v>
      </c>
      <c r="GD197" s="420">
        <f t="shared" si="234"/>
        <v>2.0000000484287701E-2</v>
      </c>
      <c r="GE197" s="419"/>
      <c r="GF197" s="419"/>
      <c r="GG197" s="419"/>
      <c r="GH197" s="420">
        <f t="shared" si="235"/>
        <v>0</v>
      </c>
      <c r="GI197" s="423">
        <f t="shared" si="236"/>
        <v>0</v>
      </c>
      <c r="GJ197" s="419">
        <v>16669686.960000001</v>
      </c>
      <c r="GK197" s="419"/>
      <c r="GL197" s="419">
        <v>2167059.31</v>
      </c>
      <c r="GM197" s="420">
        <f t="shared" si="237"/>
        <v>16669687</v>
      </c>
      <c r="GN197" s="420">
        <f t="shared" si="238"/>
        <v>3.9999999105930301E-2</v>
      </c>
      <c r="GO197" s="419"/>
      <c r="GP197" s="419"/>
      <c r="GQ197" s="419"/>
      <c r="GR197" s="420">
        <f t="shared" ref="GR197:GR260" si="243">GQ197/F197</f>
        <v>0</v>
      </c>
      <c r="GS197" s="423">
        <f t="shared" si="239"/>
        <v>0</v>
      </c>
      <c r="GT197" s="419"/>
      <c r="GU197" s="419"/>
      <c r="GV197" s="419"/>
      <c r="GW197" s="420">
        <f t="shared" si="240"/>
        <v>0</v>
      </c>
      <c r="GX197" s="420">
        <f t="shared" si="241"/>
        <v>0</v>
      </c>
    </row>
    <row r="198" spans="1:206" ht="15">
      <c r="A198" s="414"/>
      <c r="B198" s="415" t="s">
        <v>579</v>
      </c>
      <c r="C198" s="698"/>
      <c r="D198" s="705"/>
      <c r="E198" s="434" t="s">
        <v>124</v>
      </c>
      <c r="F198" s="417">
        <v>0.09</v>
      </c>
      <c r="G198" s="418">
        <f t="shared" si="219"/>
        <v>73006093.159999996</v>
      </c>
      <c r="H198" s="418">
        <f t="shared" si="220"/>
        <v>0</v>
      </c>
      <c r="I198" s="418">
        <f t="shared" si="220"/>
        <v>6570548.3899999997</v>
      </c>
      <c r="J198" s="418">
        <f t="shared" si="221"/>
        <v>73006093.222222194</v>
      </c>
      <c r="K198" s="418">
        <f t="shared" si="217"/>
        <v>73006093.222222194</v>
      </c>
      <c r="L198" s="418">
        <f t="shared" si="218"/>
        <v>6.22222274541855E-2</v>
      </c>
      <c r="M198" s="424"/>
      <c r="N198" s="424"/>
      <c r="O198" s="424"/>
      <c r="P198" s="424"/>
      <c r="Q198" s="419"/>
      <c r="R198" s="419"/>
      <c r="S198" s="419"/>
      <c r="T198" s="420"/>
      <c r="U198" s="423"/>
      <c r="V198" s="420"/>
      <c r="W198" s="420"/>
      <c r="X198" s="419"/>
      <c r="Y198" s="419"/>
      <c r="Z198" s="423"/>
      <c r="AA198" s="423"/>
      <c r="AB198" s="419"/>
      <c r="AC198" s="423"/>
      <c r="AD198" s="420"/>
      <c r="AE198" s="423"/>
      <c r="AF198" s="444"/>
      <c r="AG198" s="419"/>
      <c r="AH198" s="420"/>
      <c r="AI198" s="420"/>
      <c r="AJ198" s="423"/>
      <c r="AK198" s="444"/>
      <c r="AL198" s="420"/>
      <c r="AM198" s="420"/>
      <c r="AN198" s="420"/>
      <c r="AO198" s="423"/>
      <c r="AP198" s="420"/>
      <c r="AQ198" s="419"/>
      <c r="AR198" s="420"/>
      <c r="AS198" s="420"/>
      <c r="AT198" s="420"/>
      <c r="AU198" s="420"/>
      <c r="AV198" s="420"/>
      <c r="AW198" s="420"/>
      <c r="AX198" s="426"/>
      <c r="AY198" s="420"/>
      <c r="AZ198" s="420"/>
      <c r="BA198" s="420"/>
      <c r="BB198" s="419"/>
      <c r="BC198" s="420"/>
      <c r="BD198" s="427"/>
      <c r="BE198" s="420"/>
      <c r="BF198" s="420"/>
      <c r="BG198" s="420"/>
      <c r="BH198" s="423"/>
      <c r="BI198" s="420"/>
      <c r="BJ198" s="420"/>
      <c r="BK198" s="420"/>
      <c r="BL198" s="420"/>
      <c r="BM198" s="420"/>
      <c r="BN198" s="420"/>
      <c r="BO198" s="419"/>
      <c r="BP198" s="428"/>
      <c r="BQ198" s="420"/>
      <c r="BR198" s="423"/>
      <c r="BS198" s="423"/>
      <c r="BT198" s="420"/>
      <c r="BU198" s="420"/>
      <c r="BV198" s="420"/>
      <c r="BW198" s="420"/>
      <c r="BX198" s="429"/>
      <c r="BY198" s="419"/>
      <c r="BZ198" s="419"/>
      <c r="CA198" s="419"/>
      <c r="CB198" s="420"/>
      <c r="CC198" s="430"/>
      <c r="CD198" s="419"/>
      <c r="CE198" s="419"/>
      <c r="CF198" s="419"/>
      <c r="CG198" s="420"/>
      <c r="CH198" s="423"/>
      <c r="CI198" s="432"/>
      <c r="CJ198" s="432"/>
      <c r="CK198" s="432"/>
      <c r="CL198" s="420"/>
      <c r="CM198" s="423"/>
      <c r="CN198" s="420"/>
      <c r="CO198" s="420"/>
      <c r="CP198" s="420"/>
      <c r="CQ198" s="432"/>
      <c r="CR198" s="432"/>
      <c r="CS198" s="420"/>
      <c r="CT198" s="420"/>
      <c r="CU198" s="420"/>
      <c r="CV198" s="420"/>
      <c r="CW198" s="420"/>
      <c r="CX198" s="419"/>
      <c r="CY198" s="419"/>
      <c r="CZ198" s="419"/>
      <c r="DA198" s="419"/>
      <c r="DB198" s="419"/>
      <c r="DC198" s="419"/>
      <c r="DD198" s="419"/>
      <c r="DE198" s="419"/>
      <c r="DF198" s="420"/>
      <c r="DG198" s="421"/>
      <c r="DH198" s="419"/>
      <c r="DI198" s="419"/>
      <c r="DJ198" s="419"/>
      <c r="DK198" s="420"/>
      <c r="DL198" s="422"/>
      <c r="DM198" s="420"/>
      <c r="DN198" s="420"/>
      <c r="DO198" s="420"/>
      <c r="DP198" s="420"/>
      <c r="DQ198" s="420"/>
      <c r="DR198" s="419"/>
      <c r="DS198" s="419"/>
      <c r="DT198" s="419"/>
      <c r="DU198" s="420"/>
      <c r="DV198" s="423"/>
      <c r="DW198" s="419"/>
      <c r="DX198" s="419"/>
      <c r="DY198" s="419"/>
      <c r="DZ198" s="420"/>
      <c r="EA198" s="423"/>
      <c r="EB198" s="419"/>
      <c r="EC198" s="419"/>
      <c r="ED198" s="420"/>
      <c r="EE198" s="419"/>
      <c r="EF198" s="420"/>
      <c r="EG198" s="419"/>
      <c r="EH198" s="419"/>
      <c r="EI198" s="419"/>
      <c r="EJ198" s="420"/>
      <c r="EK198" s="420"/>
      <c r="EL198" s="419"/>
      <c r="EN198" s="419"/>
      <c r="EO198" s="419"/>
      <c r="EP198" s="419"/>
      <c r="EQ198" s="419"/>
      <c r="ER198" s="419"/>
      <c r="ES198" s="419"/>
      <c r="ET198" s="419"/>
      <c r="EU198" s="419"/>
      <c r="EV198" s="419"/>
      <c r="EW198" s="419"/>
      <c r="EX198" s="419"/>
      <c r="EY198" s="419">
        <f t="shared" si="222"/>
        <v>0</v>
      </c>
      <c r="EZ198" s="419">
        <f t="shared" si="242"/>
        <v>0</v>
      </c>
      <c r="FA198" s="420"/>
      <c r="FB198" s="420"/>
      <c r="FC198" s="420"/>
      <c r="FD198" s="420">
        <f t="shared" si="223"/>
        <v>0</v>
      </c>
      <c r="FE198" s="420">
        <f t="shared" si="224"/>
        <v>0</v>
      </c>
      <c r="FF198" s="419"/>
      <c r="FG198" s="419"/>
      <c r="FH198" s="419"/>
      <c r="FI198" s="419">
        <f t="shared" si="225"/>
        <v>0</v>
      </c>
      <c r="FJ198" s="419">
        <f t="shared" si="226"/>
        <v>0</v>
      </c>
      <c r="FK198" s="419"/>
      <c r="FL198" s="419"/>
      <c r="FM198" s="419"/>
      <c r="FN198" s="420">
        <f t="shared" si="227"/>
        <v>0</v>
      </c>
      <c r="FO198" s="423">
        <f t="shared" si="228"/>
        <v>0</v>
      </c>
      <c r="FP198" s="431">
        <v>5312136.5199999996</v>
      </c>
      <c r="FQ198" s="431">
        <v>0</v>
      </c>
      <c r="FR198" s="431">
        <v>478092.29</v>
      </c>
      <c r="FS198" s="420">
        <f t="shared" si="229"/>
        <v>5312136.5599999996</v>
      </c>
      <c r="FT198" s="420">
        <f t="shared" si="230"/>
        <v>4.0000000037252903E-2</v>
      </c>
      <c r="FU198" s="419">
        <v>11165189.18</v>
      </c>
      <c r="FV198" s="419"/>
      <c r="FW198" s="419">
        <v>1004867.03</v>
      </c>
      <c r="FX198" s="420">
        <f t="shared" si="231"/>
        <v>11165189.220000001</v>
      </c>
      <c r="FY198" s="420">
        <f t="shared" si="232"/>
        <v>4.0000000968575498E-2</v>
      </c>
      <c r="FZ198" s="419">
        <v>15724688.390000001</v>
      </c>
      <c r="GA198" s="419"/>
      <c r="GB198" s="419">
        <v>1415221.95</v>
      </c>
      <c r="GC198" s="420">
        <f t="shared" si="233"/>
        <v>15724688.33</v>
      </c>
      <c r="GD198" s="420">
        <f t="shared" si="234"/>
        <v>-6.00000005215406E-2</v>
      </c>
      <c r="GE198" s="419">
        <v>11380930.470000001</v>
      </c>
      <c r="GF198" s="419"/>
      <c r="GG198" s="419">
        <v>1024283.74</v>
      </c>
      <c r="GH198" s="420">
        <f t="shared" si="235"/>
        <v>11380930.444444399</v>
      </c>
      <c r="GI198" s="423">
        <f t="shared" si="236"/>
        <v>-2.5555556640028999E-2</v>
      </c>
      <c r="GJ198" s="419">
        <v>14009241.66</v>
      </c>
      <c r="GK198" s="419"/>
      <c r="GL198" s="419">
        <v>1260831.74</v>
      </c>
      <c r="GM198" s="420">
        <f t="shared" si="237"/>
        <v>14009241.555555601</v>
      </c>
      <c r="GN198" s="420">
        <f t="shared" si="238"/>
        <v>-0.104444444179535</v>
      </c>
      <c r="GO198" s="419">
        <v>14920214.289999999</v>
      </c>
      <c r="GP198" s="419"/>
      <c r="GQ198" s="419">
        <v>1342819.3</v>
      </c>
      <c r="GR198" s="420">
        <f t="shared" si="243"/>
        <v>14920214.444444399</v>
      </c>
      <c r="GS198" s="423">
        <f t="shared" si="239"/>
        <v>0.15444444678723801</v>
      </c>
      <c r="GT198" s="419">
        <v>493692.65</v>
      </c>
      <c r="GU198" s="419"/>
      <c r="GV198" s="419">
        <v>44432.34</v>
      </c>
      <c r="GW198" s="420">
        <f t="shared" si="240"/>
        <v>493692.67</v>
      </c>
      <c r="GX198" s="420">
        <f t="shared" si="241"/>
        <v>1.9999999960418801E-2</v>
      </c>
    </row>
    <row r="199" spans="1:206" ht="15">
      <c r="A199" s="414"/>
      <c r="B199" s="415" t="s">
        <v>579</v>
      </c>
      <c r="C199" s="698"/>
      <c r="D199" s="707"/>
      <c r="E199" s="434" t="s">
        <v>125</v>
      </c>
      <c r="F199" s="417">
        <v>0.06</v>
      </c>
      <c r="G199" s="418">
        <f t="shared" si="219"/>
        <v>11252440.140000001</v>
      </c>
      <c r="H199" s="418">
        <f t="shared" si="220"/>
        <v>0</v>
      </c>
      <c r="I199" s="418">
        <f t="shared" si="220"/>
        <v>675146.42</v>
      </c>
      <c r="J199" s="418">
        <f t="shared" si="221"/>
        <v>11252440.3333333</v>
      </c>
      <c r="K199" s="418">
        <f t="shared" si="217"/>
        <v>11252440.3333333</v>
      </c>
      <c r="L199" s="418">
        <f t="shared" si="218"/>
        <v>0.19333333149552301</v>
      </c>
      <c r="M199" s="424"/>
      <c r="N199" s="424"/>
      <c r="O199" s="424"/>
      <c r="P199" s="424"/>
      <c r="Q199" s="419"/>
      <c r="R199" s="419"/>
      <c r="S199" s="419"/>
      <c r="T199" s="420"/>
      <c r="U199" s="423"/>
      <c r="V199" s="420"/>
      <c r="W199" s="420"/>
      <c r="X199" s="419"/>
      <c r="Y199" s="419"/>
      <c r="Z199" s="423"/>
      <c r="AA199" s="423"/>
      <c r="AB199" s="419"/>
      <c r="AC199" s="423"/>
      <c r="AD199" s="420"/>
      <c r="AE199" s="423"/>
      <c r="AF199" s="444"/>
      <c r="AG199" s="419"/>
      <c r="AH199" s="420"/>
      <c r="AI199" s="420"/>
      <c r="AJ199" s="423"/>
      <c r="AK199" s="444"/>
      <c r="AL199" s="420"/>
      <c r="AM199" s="420"/>
      <c r="AN199" s="420"/>
      <c r="AO199" s="423"/>
      <c r="AP199" s="420"/>
      <c r="AQ199" s="419"/>
      <c r="AR199" s="420"/>
      <c r="AS199" s="420"/>
      <c r="AT199" s="420"/>
      <c r="AU199" s="420"/>
      <c r="AV199" s="420"/>
      <c r="AW199" s="420"/>
      <c r="AX199" s="426"/>
      <c r="AY199" s="420"/>
      <c r="AZ199" s="420"/>
      <c r="BA199" s="420"/>
      <c r="BB199" s="419"/>
      <c r="BC199" s="420"/>
      <c r="BD199" s="427"/>
      <c r="BE199" s="420"/>
      <c r="BF199" s="420"/>
      <c r="BG199" s="420"/>
      <c r="BH199" s="423"/>
      <c r="BI199" s="420"/>
      <c r="BJ199" s="420"/>
      <c r="BK199" s="420"/>
      <c r="BL199" s="420"/>
      <c r="BM199" s="420"/>
      <c r="BN199" s="420"/>
      <c r="BO199" s="419"/>
      <c r="BP199" s="428"/>
      <c r="BQ199" s="420"/>
      <c r="BR199" s="423"/>
      <c r="BS199" s="423"/>
      <c r="BT199" s="420"/>
      <c r="BU199" s="420"/>
      <c r="BV199" s="420"/>
      <c r="BW199" s="420"/>
      <c r="BX199" s="429"/>
      <c r="BY199" s="419"/>
      <c r="BZ199" s="419"/>
      <c r="CA199" s="419"/>
      <c r="CB199" s="420"/>
      <c r="CC199" s="430"/>
      <c r="CD199" s="419"/>
      <c r="CE199" s="419"/>
      <c r="CF199" s="419"/>
      <c r="CG199" s="420"/>
      <c r="CH199" s="423"/>
      <c r="CI199" s="432"/>
      <c r="CJ199" s="432"/>
      <c r="CK199" s="432"/>
      <c r="CL199" s="420"/>
      <c r="CM199" s="423"/>
      <c r="CN199" s="420"/>
      <c r="CO199" s="420"/>
      <c r="CP199" s="420"/>
      <c r="CQ199" s="432"/>
      <c r="CR199" s="432"/>
      <c r="CS199" s="420"/>
      <c r="CT199" s="420"/>
      <c r="CU199" s="420"/>
      <c r="CV199" s="420"/>
      <c r="CW199" s="420"/>
      <c r="CX199" s="419"/>
      <c r="CY199" s="419"/>
      <c r="CZ199" s="419"/>
      <c r="DA199" s="419"/>
      <c r="DB199" s="419"/>
      <c r="DC199" s="419"/>
      <c r="DD199" s="419"/>
      <c r="DE199" s="419"/>
      <c r="DF199" s="420"/>
      <c r="DG199" s="421"/>
      <c r="DH199" s="419"/>
      <c r="DI199" s="419"/>
      <c r="DJ199" s="419"/>
      <c r="DK199" s="420"/>
      <c r="DL199" s="422"/>
      <c r="DM199" s="420"/>
      <c r="DN199" s="420"/>
      <c r="DO199" s="420"/>
      <c r="DP199" s="420"/>
      <c r="DQ199" s="420"/>
      <c r="DR199" s="419"/>
      <c r="DS199" s="419"/>
      <c r="DT199" s="419"/>
      <c r="DU199" s="420"/>
      <c r="DV199" s="423"/>
      <c r="DW199" s="419"/>
      <c r="DX199" s="419"/>
      <c r="DY199" s="419"/>
      <c r="DZ199" s="420"/>
      <c r="EA199" s="423"/>
      <c r="EB199" s="419"/>
      <c r="EC199" s="419"/>
      <c r="ED199" s="420"/>
      <c r="EE199" s="419"/>
      <c r="EF199" s="420"/>
      <c r="EG199" s="419"/>
      <c r="EH199" s="419"/>
      <c r="EI199" s="419"/>
      <c r="EJ199" s="420"/>
      <c r="EK199" s="420"/>
      <c r="EL199" s="419"/>
      <c r="EN199" s="419"/>
      <c r="EO199" s="419"/>
      <c r="EP199" s="419"/>
      <c r="EQ199" s="419"/>
      <c r="ER199" s="419"/>
      <c r="ES199" s="419"/>
      <c r="ET199" s="419"/>
      <c r="EU199" s="419"/>
      <c r="EV199" s="419">
        <v>2007398.53</v>
      </c>
      <c r="EW199" s="419"/>
      <c r="EX199" s="419">
        <v>120443.91</v>
      </c>
      <c r="EY199" s="419">
        <f t="shared" si="222"/>
        <v>2007398.5</v>
      </c>
      <c r="EZ199" s="419">
        <f t="shared" si="242"/>
        <v>-0.03</v>
      </c>
      <c r="FA199" s="420">
        <v>17811.169999999998</v>
      </c>
      <c r="FB199" s="420"/>
      <c r="FC199" s="420">
        <v>1068.67</v>
      </c>
      <c r="FD199" s="420">
        <f t="shared" si="223"/>
        <v>17811.169999999998</v>
      </c>
      <c r="FE199" s="420">
        <f t="shared" si="224"/>
        <v>0</v>
      </c>
      <c r="FF199" s="419">
        <v>193360.32</v>
      </c>
      <c r="FG199" s="419"/>
      <c r="FH199" s="419">
        <v>11601.62</v>
      </c>
      <c r="FI199" s="419">
        <f t="shared" si="225"/>
        <v>193360.33333333299</v>
      </c>
      <c r="FJ199" s="419">
        <f t="shared" si="226"/>
        <v>0.01</v>
      </c>
      <c r="FK199" s="419">
        <v>2770142.55</v>
      </c>
      <c r="FL199" s="419"/>
      <c r="FM199" s="419">
        <v>166208.54999999999</v>
      </c>
      <c r="FN199" s="420">
        <f t="shared" si="227"/>
        <v>2770142.5</v>
      </c>
      <c r="FO199" s="423">
        <f t="shared" si="228"/>
        <v>-0.05</v>
      </c>
      <c r="FP199" s="431">
        <v>1436304.3</v>
      </c>
      <c r="FQ199" s="431">
        <v>0</v>
      </c>
      <c r="FR199" s="431">
        <v>86178.26</v>
      </c>
      <c r="FS199" s="420">
        <f t="shared" si="229"/>
        <v>1436304.33</v>
      </c>
      <c r="FT199" s="420">
        <f t="shared" si="230"/>
        <v>3.0000000027939702E-2</v>
      </c>
      <c r="FU199" s="419">
        <v>1595561.66</v>
      </c>
      <c r="FV199" s="419"/>
      <c r="FW199" s="419">
        <v>95733.7</v>
      </c>
      <c r="FX199" s="420">
        <f t="shared" si="231"/>
        <v>1595561.67</v>
      </c>
      <c r="FY199" s="420">
        <f t="shared" si="232"/>
        <v>1.00000000093132E-2</v>
      </c>
      <c r="FZ199" s="419">
        <v>382248.25</v>
      </c>
      <c r="GA199" s="419"/>
      <c r="GB199" s="419">
        <v>22934.9</v>
      </c>
      <c r="GC199" s="420">
        <f t="shared" si="233"/>
        <v>382248.33</v>
      </c>
      <c r="GD199" s="420">
        <f t="shared" si="234"/>
        <v>8.0000000016298103E-2</v>
      </c>
      <c r="GE199" s="419">
        <v>1870969.69</v>
      </c>
      <c r="GF199" s="419"/>
      <c r="GG199" s="419">
        <v>112258.18</v>
      </c>
      <c r="GH199" s="420">
        <f t="shared" si="235"/>
        <v>1870969.66666667</v>
      </c>
      <c r="GI199" s="423">
        <f t="shared" si="236"/>
        <v>-2.3333333432674401E-2</v>
      </c>
      <c r="GJ199" s="437">
        <v>63978.74</v>
      </c>
      <c r="GK199" s="419"/>
      <c r="GL199" s="419">
        <v>3838.72</v>
      </c>
      <c r="GM199" s="420">
        <f t="shared" si="237"/>
        <v>63978.666666666701</v>
      </c>
      <c r="GN199" s="420">
        <f t="shared" si="238"/>
        <v>-7.3333333333721398E-2</v>
      </c>
      <c r="GO199" s="419">
        <v>668883.96</v>
      </c>
      <c r="GP199" s="419"/>
      <c r="GQ199" s="419">
        <v>40133.050000000003</v>
      </c>
      <c r="GR199" s="420">
        <f t="shared" si="243"/>
        <v>668884.16666666698</v>
      </c>
      <c r="GS199" s="423">
        <f t="shared" si="239"/>
        <v>0.20666666678153001</v>
      </c>
      <c r="GT199" s="419">
        <v>245780.97</v>
      </c>
      <c r="GU199" s="419"/>
      <c r="GV199" s="419">
        <v>14746.86</v>
      </c>
      <c r="GW199" s="420">
        <f t="shared" si="240"/>
        <v>245781</v>
      </c>
      <c r="GX199" s="420">
        <f t="shared" si="241"/>
        <v>2.9999999998835802E-2</v>
      </c>
    </row>
    <row r="200" spans="1:206" ht="15">
      <c r="A200" s="414"/>
      <c r="B200" s="415" t="s">
        <v>134</v>
      </c>
      <c r="C200" s="698"/>
      <c r="D200" s="704" t="s">
        <v>135</v>
      </c>
      <c r="E200" s="434" t="s">
        <v>123</v>
      </c>
      <c r="F200" s="417">
        <v>0.13</v>
      </c>
      <c r="G200" s="418">
        <f t="shared" si="219"/>
        <v>9836350.7799999993</v>
      </c>
      <c r="H200" s="418">
        <f t="shared" si="220"/>
        <v>0</v>
      </c>
      <c r="I200" s="418">
        <f t="shared" si="220"/>
        <v>1278725.6100000001</v>
      </c>
      <c r="J200" s="418">
        <f t="shared" si="221"/>
        <v>9836350.8461538497</v>
      </c>
      <c r="K200" s="418">
        <f t="shared" si="217"/>
        <v>9836350.8461538497</v>
      </c>
      <c r="L200" s="418">
        <f t="shared" si="218"/>
        <v>6.6153844818472904E-2</v>
      </c>
      <c r="M200" s="424"/>
      <c r="N200" s="424"/>
      <c r="O200" s="424"/>
      <c r="P200" s="424"/>
      <c r="Q200" s="419"/>
      <c r="R200" s="419"/>
      <c r="S200" s="419"/>
      <c r="T200" s="420"/>
      <c r="U200" s="423"/>
      <c r="V200" s="420"/>
      <c r="W200" s="420"/>
      <c r="X200" s="419"/>
      <c r="Y200" s="419"/>
      <c r="Z200" s="423"/>
      <c r="AA200" s="423"/>
      <c r="AB200" s="419"/>
      <c r="AC200" s="423"/>
      <c r="AD200" s="420"/>
      <c r="AE200" s="423"/>
      <c r="AF200" s="444"/>
      <c r="AG200" s="419"/>
      <c r="AH200" s="420"/>
      <c r="AI200" s="420"/>
      <c r="AJ200" s="423"/>
      <c r="AK200" s="444"/>
      <c r="AL200" s="420"/>
      <c r="AM200" s="420"/>
      <c r="AN200" s="420"/>
      <c r="AO200" s="423"/>
      <c r="AP200" s="420"/>
      <c r="AQ200" s="419"/>
      <c r="AR200" s="420"/>
      <c r="AS200" s="420"/>
      <c r="AT200" s="420"/>
      <c r="AU200" s="420"/>
      <c r="AV200" s="420"/>
      <c r="AW200" s="420"/>
      <c r="AX200" s="426"/>
      <c r="AY200" s="420"/>
      <c r="AZ200" s="420"/>
      <c r="BA200" s="420"/>
      <c r="BB200" s="419"/>
      <c r="BC200" s="420"/>
      <c r="BD200" s="427"/>
      <c r="BE200" s="420"/>
      <c r="BF200" s="420"/>
      <c r="BG200" s="420"/>
      <c r="BH200" s="423"/>
      <c r="BI200" s="420"/>
      <c r="BJ200" s="420"/>
      <c r="BK200" s="420"/>
      <c r="BL200" s="420"/>
      <c r="BM200" s="420"/>
      <c r="BN200" s="420"/>
      <c r="BO200" s="419"/>
      <c r="BP200" s="428"/>
      <c r="BQ200" s="420"/>
      <c r="BR200" s="423"/>
      <c r="BS200" s="423"/>
      <c r="BT200" s="420"/>
      <c r="BU200" s="420"/>
      <c r="BV200" s="420"/>
      <c r="BW200" s="420"/>
      <c r="BX200" s="429"/>
      <c r="BY200" s="419"/>
      <c r="BZ200" s="419"/>
      <c r="CA200" s="419"/>
      <c r="CB200" s="420"/>
      <c r="CC200" s="430"/>
      <c r="CD200" s="419"/>
      <c r="CE200" s="419"/>
      <c r="CF200" s="419"/>
      <c r="CG200" s="420"/>
      <c r="CH200" s="423"/>
      <c r="CI200" s="432"/>
      <c r="CJ200" s="432"/>
      <c r="CK200" s="432"/>
      <c r="CL200" s="420"/>
      <c r="CM200" s="423"/>
      <c r="CN200" s="420"/>
      <c r="CO200" s="420"/>
      <c r="CP200" s="420"/>
      <c r="CQ200" s="432"/>
      <c r="CR200" s="432"/>
      <c r="CS200" s="420"/>
      <c r="CT200" s="420"/>
      <c r="CU200" s="420"/>
      <c r="CV200" s="420"/>
      <c r="CW200" s="420"/>
      <c r="CX200" s="419"/>
      <c r="CY200" s="419"/>
      <c r="CZ200" s="419"/>
      <c r="DA200" s="419"/>
      <c r="DB200" s="419"/>
      <c r="DC200" s="419"/>
      <c r="DD200" s="419"/>
      <c r="DE200" s="419"/>
      <c r="DF200" s="420"/>
      <c r="DG200" s="421"/>
      <c r="DH200" s="419"/>
      <c r="DI200" s="419"/>
      <c r="DJ200" s="419"/>
      <c r="DK200" s="420"/>
      <c r="DL200" s="422"/>
      <c r="DM200" s="420"/>
      <c r="DN200" s="420"/>
      <c r="DO200" s="420"/>
      <c r="DP200" s="420"/>
      <c r="DQ200" s="420"/>
      <c r="DR200" s="419"/>
      <c r="DS200" s="419"/>
      <c r="DT200" s="419"/>
      <c r="DU200" s="420"/>
      <c r="DV200" s="423"/>
      <c r="DW200" s="419"/>
      <c r="DX200" s="419"/>
      <c r="DY200" s="419"/>
      <c r="DZ200" s="420"/>
      <c r="EA200" s="423"/>
      <c r="EB200" s="419"/>
      <c r="EC200" s="419"/>
      <c r="ED200" s="420"/>
      <c r="EE200" s="419"/>
      <c r="EF200" s="420"/>
      <c r="EG200" s="419"/>
      <c r="EH200" s="419"/>
      <c r="EI200" s="419"/>
      <c r="EJ200" s="420"/>
      <c r="EK200" s="420"/>
      <c r="EL200" s="419"/>
      <c r="EM200" s="419"/>
      <c r="EN200" s="419"/>
      <c r="EO200" s="419"/>
      <c r="EP200" s="419"/>
      <c r="EQ200" s="419"/>
      <c r="ER200" s="419"/>
      <c r="ES200" s="419"/>
      <c r="ET200" s="419"/>
      <c r="EU200" s="419"/>
      <c r="EV200" s="419"/>
      <c r="EW200" s="419"/>
      <c r="EX200" s="419"/>
      <c r="EY200" s="419">
        <f t="shared" si="222"/>
        <v>0</v>
      </c>
      <c r="EZ200" s="419">
        <f t="shared" si="242"/>
        <v>0</v>
      </c>
      <c r="FA200" s="420"/>
      <c r="FB200" s="420"/>
      <c r="FC200" s="420"/>
      <c r="FD200" s="420">
        <f t="shared" si="223"/>
        <v>0</v>
      </c>
      <c r="FE200" s="420">
        <f t="shared" si="224"/>
        <v>0</v>
      </c>
      <c r="FF200" s="419"/>
      <c r="FG200" s="419"/>
      <c r="FH200" s="419"/>
      <c r="FI200" s="419">
        <f t="shared" si="225"/>
        <v>0</v>
      </c>
      <c r="FJ200" s="419">
        <f t="shared" si="226"/>
        <v>0</v>
      </c>
      <c r="FK200" s="419"/>
      <c r="FL200" s="419"/>
      <c r="FM200" s="419"/>
      <c r="FN200" s="420">
        <f t="shared" si="227"/>
        <v>0</v>
      </c>
      <c r="FO200" s="423">
        <f t="shared" si="228"/>
        <v>0</v>
      </c>
      <c r="FP200" s="419"/>
      <c r="FQ200" s="419"/>
      <c r="FR200" s="419"/>
      <c r="FS200" s="420">
        <f t="shared" si="229"/>
        <v>0</v>
      </c>
      <c r="FT200" s="420">
        <f t="shared" si="230"/>
        <v>0</v>
      </c>
      <c r="FU200" s="419">
        <v>4449225.66</v>
      </c>
      <c r="FV200" s="419"/>
      <c r="FW200" s="419">
        <v>578399.34</v>
      </c>
      <c r="FX200" s="420">
        <f t="shared" si="231"/>
        <v>4449225.6900000004</v>
      </c>
      <c r="FY200" s="420">
        <f t="shared" si="232"/>
        <v>3.00000002607703E-2</v>
      </c>
      <c r="FZ200" s="419">
        <v>484202.74</v>
      </c>
      <c r="GA200" s="419"/>
      <c r="GB200" s="419">
        <v>62946.36</v>
      </c>
      <c r="GC200" s="420">
        <f t="shared" si="233"/>
        <v>484202.77</v>
      </c>
      <c r="GD200" s="420">
        <f t="shared" si="234"/>
        <v>3.0000000027939702E-2</v>
      </c>
      <c r="GE200" s="419"/>
      <c r="GF200" s="419"/>
      <c r="GG200" s="419"/>
      <c r="GH200" s="420">
        <f t="shared" si="235"/>
        <v>0</v>
      </c>
      <c r="GI200" s="423">
        <f t="shared" si="236"/>
        <v>0</v>
      </c>
      <c r="GJ200" s="419">
        <v>1168587.08</v>
      </c>
      <c r="GK200" s="419"/>
      <c r="GL200" s="419">
        <v>151916.32</v>
      </c>
      <c r="GM200" s="420">
        <f t="shared" si="237"/>
        <v>1168587.07692308</v>
      </c>
      <c r="GN200" s="420">
        <f t="shared" si="238"/>
        <v>-3.0769230797886801E-3</v>
      </c>
      <c r="GO200" s="419">
        <v>3734335.3</v>
      </c>
      <c r="GP200" s="419"/>
      <c r="GQ200" s="419">
        <v>485463.59</v>
      </c>
      <c r="GR200" s="420">
        <f t="shared" si="243"/>
        <v>3734335.3076923098</v>
      </c>
      <c r="GS200" s="423">
        <f t="shared" si="239"/>
        <v>7.6923081651330003E-3</v>
      </c>
      <c r="GT200" s="419"/>
      <c r="GU200" s="419"/>
      <c r="GV200" s="419"/>
      <c r="GW200" s="420">
        <f t="shared" si="240"/>
        <v>0</v>
      </c>
      <c r="GX200" s="420">
        <f t="shared" si="241"/>
        <v>0</v>
      </c>
    </row>
    <row r="201" spans="1:206" ht="15">
      <c r="A201" s="414"/>
      <c r="B201" s="415" t="s">
        <v>134</v>
      </c>
      <c r="C201" s="698"/>
      <c r="D201" s="705"/>
      <c r="E201" s="434" t="s">
        <v>124</v>
      </c>
      <c r="F201" s="417">
        <v>0.09</v>
      </c>
      <c r="G201" s="418">
        <f t="shared" si="219"/>
        <v>28914450.719999999</v>
      </c>
      <c r="H201" s="418">
        <f t="shared" si="220"/>
        <v>0</v>
      </c>
      <c r="I201" s="418">
        <f t="shared" si="220"/>
        <v>2602300.58</v>
      </c>
      <c r="J201" s="418">
        <f t="shared" si="221"/>
        <v>28914450.888888899</v>
      </c>
      <c r="K201" s="418">
        <f t="shared" si="217"/>
        <v>28914450.888888899</v>
      </c>
      <c r="L201" s="418">
        <f t="shared" si="218"/>
        <v>0.168888885527849</v>
      </c>
      <c r="M201" s="424"/>
      <c r="N201" s="424"/>
      <c r="O201" s="424"/>
      <c r="P201" s="424"/>
      <c r="Q201" s="419"/>
      <c r="R201" s="419"/>
      <c r="S201" s="419"/>
      <c r="T201" s="420"/>
      <c r="U201" s="423"/>
      <c r="V201" s="420"/>
      <c r="W201" s="420"/>
      <c r="X201" s="419"/>
      <c r="Y201" s="419"/>
      <c r="Z201" s="423"/>
      <c r="AA201" s="423"/>
      <c r="AB201" s="419"/>
      <c r="AC201" s="423"/>
      <c r="AD201" s="420"/>
      <c r="AE201" s="423"/>
      <c r="AF201" s="444"/>
      <c r="AG201" s="419"/>
      <c r="AH201" s="420"/>
      <c r="AI201" s="420"/>
      <c r="AJ201" s="423"/>
      <c r="AK201" s="444"/>
      <c r="AL201" s="420"/>
      <c r="AM201" s="420"/>
      <c r="AN201" s="420"/>
      <c r="AO201" s="423"/>
      <c r="AP201" s="420"/>
      <c r="AQ201" s="419"/>
      <c r="AR201" s="420"/>
      <c r="AS201" s="420"/>
      <c r="AT201" s="420"/>
      <c r="AU201" s="420"/>
      <c r="AV201" s="420"/>
      <c r="AW201" s="420"/>
      <c r="AX201" s="426"/>
      <c r="AY201" s="420"/>
      <c r="AZ201" s="420"/>
      <c r="BA201" s="420"/>
      <c r="BB201" s="419"/>
      <c r="BC201" s="420"/>
      <c r="BD201" s="427"/>
      <c r="BE201" s="420"/>
      <c r="BF201" s="420"/>
      <c r="BG201" s="420"/>
      <c r="BH201" s="423"/>
      <c r="BI201" s="420"/>
      <c r="BJ201" s="420"/>
      <c r="BK201" s="420"/>
      <c r="BL201" s="420"/>
      <c r="BM201" s="420"/>
      <c r="BN201" s="420"/>
      <c r="BO201" s="419"/>
      <c r="BP201" s="428"/>
      <c r="BQ201" s="420"/>
      <c r="BR201" s="423"/>
      <c r="BS201" s="423"/>
      <c r="BT201" s="420"/>
      <c r="BU201" s="420"/>
      <c r="BV201" s="420"/>
      <c r="BW201" s="420"/>
      <c r="BX201" s="429"/>
      <c r="BY201" s="419"/>
      <c r="BZ201" s="419"/>
      <c r="CA201" s="419"/>
      <c r="CB201" s="420"/>
      <c r="CC201" s="430"/>
      <c r="CD201" s="419"/>
      <c r="CE201" s="419"/>
      <c r="CF201" s="419"/>
      <c r="CG201" s="420"/>
      <c r="CH201" s="423"/>
      <c r="CI201" s="432"/>
      <c r="CJ201" s="432"/>
      <c r="CK201" s="432"/>
      <c r="CL201" s="420"/>
      <c r="CM201" s="423"/>
      <c r="CN201" s="420"/>
      <c r="CO201" s="420"/>
      <c r="CP201" s="420"/>
      <c r="CQ201" s="432"/>
      <c r="CR201" s="432"/>
      <c r="CS201" s="420"/>
      <c r="CT201" s="420"/>
      <c r="CU201" s="420"/>
      <c r="CV201" s="420"/>
      <c r="CW201" s="420"/>
      <c r="CX201" s="419"/>
      <c r="CY201" s="419"/>
      <c r="CZ201" s="419"/>
      <c r="DA201" s="419"/>
      <c r="DB201" s="419"/>
      <c r="DC201" s="419"/>
      <c r="DD201" s="419"/>
      <c r="DE201" s="419"/>
      <c r="DF201" s="420"/>
      <c r="DG201" s="421"/>
      <c r="DH201" s="419"/>
      <c r="DI201" s="419"/>
      <c r="DJ201" s="419"/>
      <c r="DK201" s="420"/>
      <c r="DL201" s="422"/>
      <c r="DM201" s="420"/>
      <c r="DN201" s="420"/>
      <c r="DO201" s="420"/>
      <c r="DP201" s="420"/>
      <c r="DQ201" s="420"/>
      <c r="DR201" s="419"/>
      <c r="DS201" s="419"/>
      <c r="DT201" s="419"/>
      <c r="DU201" s="420"/>
      <c r="DV201" s="423"/>
      <c r="DW201" s="419"/>
      <c r="DX201" s="419"/>
      <c r="DY201" s="419"/>
      <c r="DZ201" s="420"/>
      <c r="EA201" s="423"/>
      <c r="EB201" s="419"/>
      <c r="EC201" s="419"/>
      <c r="ED201" s="420"/>
      <c r="EE201" s="419"/>
      <c r="EF201" s="420"/>
      <c r="EG201" s="419"/>
      <c r="EH201" s="419"/>
      <c r="EI201" s="419"/>
      <c r="EJ201" s="420"/>
      <c r="EK201" s="420"/>
      <c r="EL201" s="419"/>
      <c r="EN201" s="419"/>
      <c r="EO201" s="419"/>
      <c r="EP201" s="419"/>
      <c r="EQ201" s="419"/>
      <c r="ER201" s="419"/>
      <c r="ES201" s="419"/>
      <c r="ET201" s="419"/>
      <c r="EU201" s="419"/>
      <c r="EV201" s="419"/>
      <c r="EW201" s="419"/>
      <c r="EX201" s="419"/>
      <c r="EY201" s="419">
        <f t="shared" si="222"/>
        <v>0</v>
      </c>
      <c r="EZ201" s="419">
        <f t="shared" si="242"/>
        <v>0</v>
      </c>
      <c r="FA201" s="420"/>
      <c r="FB201" s="420"/>
      <c r="FC201" s="420"/>
      <c r="FD201" s="420">
        <f t="shared" si="223"/>
        <v>0</v>
      </c>
      <c r="FE201" s="420">
        <f t="shared" si="224"/>
        <v>0</v>
      </c>
      <c r="FF201" s="419"/>
      <c r="FG201" s="419"/>
      <c r="FH201" s="419"/>
      <c r="FI201" s="419">
        <f t="shared" si="225"/>
        <v>0</v>
      </c>
      <c r="FJ201" s="419">
        <f t="shared" si="226"/>
        <v>0</v>
      </c>
      <c r="FK201" s="419"/>
      <c r="FL201" s="419"/>
      <c r="FM201" s="419"/>
      <c r="FN201" s="420">
        <f t="shared" si="227"/>
        <v>0</v>
      </c>
      <c r="FO201" s="423">
        <f t="shared" si="228"/>
        <v>0</v>
      </c>
      <c r="FP201" s="431">
        <v>3215699.62</v>
      </c>
      <c r="FQ201" s="431">
        <v>0</v>
      </c>
      <c r="FR201" s="431">
        <v>289412.96999999997</v>
      </c>
      <c r="FS201" s="420">
        <f t="shared" si="229"/>
        <v>3215699.67</v>
      </c>
      <c r="FT201" s="420">
        <f t="shared" si="230"/>
        <v>4.9999999813735499E-2</v>
      </c>
      <c r="FU201" s="419">
        <v>8616056.75</v>
      </c>
      <c r="FV201" s="419"/>
      <c r="FW201" s="419">
        <v>775445.11</v>
      </c>
      <c r="FX201" s="420">
        <f t="shared" si="231"/>
        <v>8616056.7799999993</v>
      </c>
      <c r="FY201" s="420">
        <f t="shared" si="232"/>
        <v>2.9999999329447701E-2</v>
      </c>
      <c r="FZ201" s="419">
        <v>9216570.2100000009</v>
      </c>
      <c r="GA201" s="419"/>
      <c r="GB201" s="419">
        <v>829491.32</v>
      </c>
      <c r="GC201" s="420">
        <f t="shared" si="233"/>
        <v>9216570.2200000007</v>
      </c>
      <c r="GD201" s="420">
        <f t="shared" si="234"/>
        <v>9.9999997764825804E-3</v>
      </c>
      <c r="GE201" s="419">
        <v>6373500.04</v>
      </c>
      <c r="GF201" s="419"/>
      <c r="GG201" s="419">
        <v>573615</v>
      </c>
      <c r="GH201" s="420">
        <f t="shared" si="235"/>
        <v>6373500</v>
      </c>
      <c r="GI201" s="423">
        <f t="shared" si="236"/>
        <v>-4.0000000037252903E-2</v>
      </c>
      <c r="GJ201" s="420">
        <v>634686.77</v>
      </c>
      <c r="GK201" s="420"/>
      <c r="GL201" s="420">
        <v>57121.82</v>
      </c>
      <c r="GM201" s="420">
        <f t="shared" si="237"/>
        <v>634686.88888888899</v>
      </c>
      <c r="GN201" s="420">
        <f t="shared" si="238"/>
        <v>0.118888888857327</v>
      </c>
      <c r="GO201" s="419">
        <v>857937.33</v>
      </c>
      <c r="GP201" s="419"/>
      <c r="GQ201" s="419">
        <v>77214.36</v>
      </c>
      <c r="GR201" s="420">
        <f t="shared" si="243"/>
        <v>857937.33333333302</v>
      </c>
      <c r="GS201" s="423">
        <f t="shared" si="239"/>
        <v>3.3333334140479599E-3</v>
      </c>
      <c r="GT201" s="419"/>
      <c r="GU201" s="419"/>
      <c r="GV201" s="419"/>
      <c r="GW201" s="420">
        <f t="shared" si="240"/>
        <v>0</v>
      </c>
      <c r="GX201" s="420">
        <f t="shared" si="241"/>
        <v>0</v>
      </c>
    </row>
    <row r="202" spans="1:206" ht="15">
      <c r="A202" s="414"/>
      <c r="B202" s="415" t="s">
        <v>134</v>
      </c>
      <c r="C202" s="698"/>
      <c r="D202" s="707"/>
      <c r="E202" s="434" t="s">
        <v>125</v>
      </c>
      <c r="F202" s="417">
        <v>0.06</v>
      </c>
      <c r="G202" s="418">
        <f t="shared" si="219"/>
        <v>7725760.6699999999</v>
      </c>
      <c r="H202" s="418">
        <f t="shared" si="220"/>
        <v>0</v>
      </c>
      <c r="I202" s="418">
        <f t="shared" si="220"/>
        <v>463545.63</v>
      </c>
      <c r="J202" s="418">
        <f t="shared" si="221"/>
        <v>7725760.5</v>
      </c>
      <c r="K202" s="418">
        <f t="shared" si="217"/>
        <v>7725760.5</v>
      </c>
      <c r="L202" s="418">
        <f t="shared" si="218"/>
        <v>-0.169999999925494</v>
      </c>
      <c r="M202" s="424"/>
      <c r="N202" s="424"/>
      <c r="O202" s="424"/>
      <c r="P202" s="424"/>
      <c r="Q202" s="419"/>
      <c r="R202" s="419"/>
      <c r="S202" s="419"/>
      <c r="T202" s="420"/>
      <c r="U202" s="423"/>
      <c r="V202" s="420"/>
      <c r="W202" s="420"/>
      <c r="X202" s="419"/>
      <c r="Y202" s="419"/>
      <c r="Z202" s="423"/>
      <c r="AA202" s="423"/>
      <c r="AB202" s="419"/>
      <c r="AC202" s="423"/>
      <c r="AD202" s="420"/>
      <c r="AE202" s="423"/>
      <c r="AF202" s="444"/>
      <c r="AG202" s="419"/>
      <c r="AH202" s="420"/>
      <c r="AI202" s="420"/>
      <c r="AJ202" s="423"/>
      <c r="AK202" s="444"/>
      <c r="AL202" s="420"/>
      <c r="AM202" s="420"/>
      <c r="AN202" s="420"/>
      <c r="AO202" s="423"/>
      <c r="AP202" s="420"/>
      <c r="AQ202" s="419"/>
      <c r="AR202" s="420"/>
      <c r="AS202" s="420"/>
      <c r="AT202" s="420"/>
      <c r="AU202" s="420"/>
      <c r="AV202" s="420"/>
      <c r="AW202" s="420"/>
      <c r="AX202" s="426"/>
      <c r="AY202" s="420"/>
      <c r="AZ202" s="420"/>
      <c r="BA202" s="420"/>
      <c r="BB202" s="419"/>
      <c r="BC202" s="420"/>
      <c r="BD202" s="427"/>
      <c r="BE202" s="420"/>
      <c r="BF202" s="420"/>
      <c r="BG202" s="420"/>
      <c r="BH202" s="423"/>
      <c r="BI202" s="420"/>
      <c r="BJ202" s="420"/>
      <c r="BK202" s="420"/>
      <c r="BL202" s="420"/>
      <c r="BM202" s="420"/>
      <c r="BN202" s="420"/>
      <c r="BO202" s="419"/>
      <c r="BP202" s="428"/>
      <c r="BQ202" s="420"/>
      <c r="BR202" s="423"/>
      <c r="BS202" s="423"/>
      <c r="BT202" s="420"/>
      <c r="BU202" s="420"/>
      <c r="BV202" s="420"/>
      <c r="BW202" s="420"/>
      <c r="BX202" s="429"/>
      <c r="BY202" s="419"/>
      <c r="BZ202" s="419"/>
      <c r="CA202" s="419"/>
      <c r="CB202" s="420"/>
      <c r="CC202" s="430"/>
      <c r="CD202" s="419"/>
      <c r="CE202" s="419"/>
      <c r="CF202" s="419"/>
      <c r="CG202" s="420"/>
      <c r="CH202" s="423"/>
      <c r="CI202" s="432"/>
      <c r="CJ202" s="432"/>
      <c r="CK202" s="432"/>
      <c r="CL202" s="420"/>
      <c r="CM202" s="423"/>
      <c r="CN202" s="420"/>
      <c r="CO202" s="420"/>
      <c r="CP202" s="420"/>
      <c r="CQ202" s="432"/>
      <c r="CR202" s="432"/>
      <c r="CS202" s="420"/>
      <c r="CT202" s="420"/>
      <c r="CU202" s="420"/>
      <c r="CV202" s="420"/>
      <c r="CW202" s="420"/>
      <c r="CX202" s="419"/>
      <c r="CY202" s="419"/>
      <c r="CZ202" s="419"/>
      <c r="DA202" s="419"/>
      <c r="DB202" s="419"/>
      <c r="DC202" s="419"/>
      <c r="DD202" s="419"/>
      <c r="DE202" s="419"/>
      <c r="DF202" s="420"/>
      <c r="DG202" s="421"/>
      <c r="DH202" s="419"/>
      <c r="DI202" s="419"/>
      <c r="DJ202" s="419"/>
      <c r="DK202" s="420"/>
      <c r="DL202" s="422"/>
      <c r="DM202" s="420"/>
      <c r="DN202" s="420"/>
      <c r="DO202" s="420"/>
      <c r="DP202" s="420"/>
      <c r="DQ202" s="420"/>
      <c r="DR202" s="419"/>
      <c r="DS202" s="419"/>
      <c r="DT202" s="419"/>
      <c r="DU202" s="420"/>
      <c r="DV202" s="423"/>
      <c r="DW202" s="419"/>
      <c r="DX202" s="419"/>
      <c r="DY202" s="419"/>
      <c r="DZ202" s="420"/>
      <c r="EA202" s="423"/>
      <c r="EB202" s="419"/>
      <c r="EC202" s="419"/>
      <c r="ED202" s="420"/>
      <c r="EE202" s="419"/>
      <c r="EF202" s="420"/>
      <c r="EG202" s="419"/>
      <c r="EH202" s="419"/>
      <c r="EI202" s="419"/>
      <c r="EJ202" s="420"/>
      <c r="EK202" s="420"/>
      <c r="EL202" s="419"/>
      <c r="EN202" s="419"/>
      <c r="EO202" s="419"/>
      <c r="EP202" s="419"/>
      <c r="EQ202" s="419"/>
      <c r="ER202" s="419"/>
      <c r="ES202" s="419"/>
      <c r="ET202" s="419"/>
      <c r="EU202" s="419"/>
      <c r="EV202" s="419">
        <v>352472.4</v>
      </c>
      <c r="EW202" s="419"/>
      <c r="EX202" s="419">
        <v>21148.35</v>
      </c>
      <c r="EY202" s="419">
        <f t="shared" si="222"/>
        <v>352472.5</v>
      </c>
      <c r="EZ202" s="419">
        <f t="shared" si="242"/>
        <v>0.1</v>
      </c>
      <c r="FA202" s="420">
        <v>421325.06</v>
      </c>
      <c r="FB202" s="420"/>
      <c r="FC202" s="420">
        <v>25279.51</v>
      </c>
      <c r="FD202" s="420">
        <f t="shared" si="223"/>
        <v>421325.17</v>
      </c>
      <c r="FE202" s="420">
        <f t="shared" si="224"/>
        <v>0.11</v>
      </c>
      <c r="FF202" s="419">
        <v>273731.53999999998</v>
      </c>
      <c r="FG202" s="419"/>
      <c r="FH202" s="419">
        <v>16423.89</v>
      </c>
      <c r="FI202" s="419">
        <f t="shared" si="225"/>
        <v>273731.5</v>
      </c>
      <c r="FJ202" s="419">
        <f t="shared" si="226"/>
        <v>-0.04</v>
      </c>
      <c r="FK202" s="419">
        <v>464951.09</v>
      </c>
      <c r="FL202" s="419"/>
      <c r="FM202" s="419">
        <v>27897.06</v>
      </c>
      <c r="FN202" s="420">
        <f t="shared" si="227"/>
        <v>464951</v>
      </c>
      <c r="FO202" s="423">
        <f t="shared" si="228"/>
        <v>-0.09</v>
      </c>
      <c r="FP202" s="431">
        <v>62316.84</v>
      </c>
      <c r="FQ202" s="431">
        <v>0</v>
      </c>
      <c r="FR202" s="431">
        <v>3739.01</v>
      </c>
      <c r="FS202" s="420">
        <f t="shared" si="229"/>
        <v>62316.83</v>
      </c>
      <c r="FT202" s="420">
        <f t="shared" si="230"/>
        <v>-9.9999999947613105E-3</v>
      </c>
      <c r="FU202" s="423">
        <v>453573.01</v>
      </c>
      <c r="FV202" s="419"/>
      <c r="FW202" s="423">
        <v>27214.39</v>
      </c>
      <c r="FX202" s="420">
        <f t="shared" si="231"/>
        <v>453573.17</v>
      </c>
      <c r="FY202" s="420">
        <f t="shared" si="232"/>
        <v>0.15999999997438899</v>
      </c>
      <c r="FZ202" s="419">
        <v>881816.64</v>
      </c>
      <c r="GA202" s="419"/>
      <c r="GB202" s="419">
        <v>52909</v>
      </c>
      <c r="GC202" s="420">
        <f t="shared" si="233"/>
        <v>881816.67</v>
      </c>
      <c r="GD202" s="420">
        <f t="shared" si="234"/>
        <v>3.0000000027939702E-2</v>
      </c>
      <c r="GE202" s="419">
        <v>1427079.33</v>
      </c>
      <c r="GF202" s="419"/>
      <c r="GG202" s="419">
        <v>85624.75</v>
      </c>
      <c r="GH202" s="420">
        <f t="shared" si="235"/>
        <v>1427079.16666667</v>
      </c>
      <c r="GI202" s="423">
        <f t="shared" si="236"/>
        <v>-0.16333333333022901</v>
      </c>
      <c r="GJ202" s="437">
        <v>220623.41</v>
      </c>
      <c r="GK202" s="419"/>
      <c r="GL202" s="419">
        <v>13237.4</v>
      </c>
      <c r="GM202" s="420">
        <f t="shared" si="237"/>
        <v>220623.33333333299</v>
      </c>
      <c r="GN202" s="420">
        <f t="shared" si="238"/>
        <v>-7.6666666660457794E-2</v>
      </c>
      <c r="GO202" s="419">
        <v>3167871.35</v>
      </c>
      <c r="GP202" s="419"/>
      <c r="GQ202" s="419">
        <v>190072.27</v>
      </c>
      <c r="GR202" s="420">
        <f t="shared" si="243"/>
        <v>3167871.1666666698</v>
      </c>
      <c r="GS202" s="423">
        <f t="shared" si="239"/>
        <v>-0.18333333358168599</v>
      </c>
      <c r="GT202" s="419"/>
      <c r="GU202" s="419"/>
      <c r="GV202" s="419"/>
      <c r="GW202" s="420">
        <f t="shared" si="240"/>
        <v>0</v>
      </c>
      <c r="GX202" s="420">
        <f t="shared" si="241"/>
        <v>0</v>
      </c>
    </row>
    <row r="203" spans="1:206" ht="15">
      <c r="A203" s="414"/>
      <c r="B203" s="415" t="s">
        <v>530</v>
      </c>
      <c r="C203" s="698"/>
      <c r="D203" s="704" t="s">
        <v>580</v>
      </c>
      <c r="E203" s="460" t="s">
        <v>123</v>
      </c>
      <c r="F203" s="461">
        <v>0.13</v>
      </c>
      <c r="G203" s="418">
        <f t="shared" si="219"/>
        <v>0</v>
      </c>
      <c r="H203" s="418">
        <f t="shared" si="220"/>
        <v>0</v>
      </c>
      <c r="I203" s="418">
        <f t="shared" si="220"/>
        <v>0</v>
      </c>
      <c r="J203" s="418">
        <f t="shared" si="221"/>
        <v>0</v>
      </c>
      <c r="K203" s="418">
        <f t="shared" si="217"/>
        <v>0</v>
      </c>
      <c r="L203" s="418">
        <f t="shared" si="218"/>
        <v>0</v>
      </c>
      <c r="M203" s="424"/>
      <c r="N203" s="424"/>
      <c r="O203" s="424"/>
      <c r="P203" s="424"/>
      <c r="Q203" s="419"/>
      <c r="R203" s="419"/>
      <c r="S203" s="419"/>
      <c r="T203" s="437"/>
      <c r="U203" s="423"/>
      <c r="V203" s="437"/>
      <c r="W203" s="437"/>
      <c r="X203" s="419"/>
      <c r="Y203" s="419"/>
      <c r="Z203" s="423"/>
      <c r="AA203" s="423"/>
      <c r="AB203" s="419"/>
      <c r="AC203" s="423"/>
      <c r="AD203" s="437"/>
      <c r="AE203" s="423"/>
      <c r="AF203" s="444"/>
      <c r="AG203" s="419"/>
      <c r="AH203" s="437"/>
      <c r="AI203" s="437"/>
      <c r="AJ203" s="423"/>
      <c r="AK203" s="444"/>
      <c r="AL203" s="437"/>
      <c r="AM203" s="437"/>
      <c r="AN203" s="437"/>
      <c r="AO203" s="423"/>
      <c r="AP203" s="437"/>
      <c r="AQ203" s="419"/>
      <c r="AR203" s="437"/>
      <c r="AS203" s="437"/>
      <c r="AT203" s="437"/>
      <c r="AU203" s="437"/>
      <c r="AV203" s="437"/>
      <c r="AW203" s="437"/>
      <c r="AX203" s="462"/>
      <c r="AY203" s="437"/>
      <c r="AZ203" s="437"/>
      <c r="BA203" s="437"/>
      <c r="BB203" s="419"/>
      <c r="BC203" s="437"/>
      <c r="BD203" s="427"/>
      <c r="BE203" s="437"/>
      <c r="BF203" s="437"/>
      <c r="BG203" s="437"/>
      <c r="BH203" s="423"/>
      <c r="BI203" s="437"/>
      <c r="BJ203" s="437"/>
      <c r="BK203" s="437"/>
      <c r="BL203" s="437"/>
      <c r="BM203" s="437"/>
      <c r="BN203" s="437"/>
      <c r="BO203" s="419"/>
      <c r="BP203" s="428"/>
      <c r="BQ203" s="437"/>
      <c r="BR203" s="423"/>
      <c r="BS203" s="423"/>
      <c r="BT203" s="437"/>
      <c r="BU203" s="437"/>
      <c r="BV203" s="437"/>
      <c r="BW203" s="437"/>
      <c r="BX203" s="463"/>
      <c r="BY203" s="419"/>
      <c r="BZ203" s="419"/>
      <c r="CA203" s="419"/>
      <c r="CB203" s="437"/>
      <c r="CC203" s="464"/>
      <c r="CD203" s="419"/>
      <c r="CE203" s="419"/>
      <c r="CF203" s="419"/>
      <c r="CG203" s="437"/>
      <c r="CH203" s="423"/>
      <c r="CI203" s="465"/>
      <c r="CJ203" s="465"/>
      <c r="CK203" s="465"/>
      <c r="CL203" s="437"/>
      <c r="CM203" s="423"/>
      <c r="CN203" s="437"/>
      <c r="CO203" s="437"/>
      <c r="CP203" s="437"/>
      <c r="CQ203" s="465"/>
      <c r="CR203" s="465"/>
      <c r="CS203" s="437"/>
      <c r="CT203" s="437"/>
      <c r="CU203" s="437"/>
      <c r="CV203" s="437"/>
      <c r="CW203" s="437"/>
      <c r="CX203" s="419"/>
      <c r="CY203" s="419"/>
      <c r="CZ203" s="419"/>
      <c r="DA203" s="419"/>
      <c r="DB203" s="419"/>
      <c r="DC203" s="419"/>
      <c r="DD203" s="419"/>
      <c r="DE203" s="419"/>
      <c r="DF203" s="420"/>
      <c r="DG203" s="421"/>
      <c r="DH203" s="419"/>
      <c r="DI203" s="419"/>
      <c r="DJ203" s="419"/>
      <c r="DK203" s="437"/>
      <c r="DL203" s="466"/>
      <c r="DM203" s="437"/>
      <c r="DN203" s="437"/>
      <c r="DO203" s="437"/>
      <c r="DP203" s="437"/>
      <c r="DQ203" s="437"/>
      <c r="DR203" s="419"/>
      <c r="DS203" s="419"/>
      <c r="DT203" s="419"/>
      <c r="DU203" s="437"/>
      <c r="DV203" s="423"/>
      <c r="DW203" s="419"/>
      <c r="DX203" s="419"/>
      <c r="DY203" s="419"/>
      <c r="DZ203" s="437"/>
      <c r="EA203" s="423"/>
      <c r="EB203" s="419"/>
      <c r="EC203" s="419"/>
      <c r="ED203" s="437"/>
      <c r="EE203" s="419"/>
      <c r="EF203" s="437"/>
      <c r="EG203" s="419"/>
      <c r="EH203" s="419"/>
      <c r="EI203" s="419"/>
      <c r="EJ203" s="437"/>
      <c r="EK203" s="437"/>
      <c r="EL203" s="419"/>
      <c r="EM203" s="419"/>
      <c r="EN203" s="419"/>
      <c r="EO203" s="419"/>
      <c r="EP203" s="419"/>
      <c r="EQ203" s="419"/>
      <c r="ER203" s="419"/>
      <c r="ES203" s="419"/>
      <c r="ET203" s="419"/>
      <c r="EU203" s="419"/>
      <c r="EV203" s="419"/>
      <c r="EW203" s="419"/>
      <c r="EX203" s="419"/>
      <c r="EY203" s="419">
        <f t="shared" si="222"/>
        <v>0</v>
      </c>
      <c r="EZ203" s="419">
        <f t="shared" si="242"/>
        <v>0</v>
      </c>
      <c r="FA203" s="437"/>
      <c r="FB203" s="437"/>
      <c r="FC203" s="437"/>
      <c r="FD203" s="437">
        <f t="shared" si="223"/>
        <v>0</v>
      </c>
      <c r="FE203" s="437">
        <f t="shared" si="224"/>
        <v>0</v>
      </c>
      <c r="FF203" s="419"/>
      <c r="FG203" s="419"/>
      <c r="FH203" s="419"/>
      <c r="FI203" s="419">
        <f t="shared" si="225"/>
        <v>0</v>
      </c>
      <c r="FJ203" s="419">
        <f t="shared" si="226"/>
        <v>0</v>
      </c>
      <c r="FK203" s="419"/>
      <c r="FL203" s="419"/>
      <c r="FM203" s="419"/>
      <c r="FN203" s="420">
        <f t="shared" si="227"/>
        <v>0</v>
      </c>
      <c r="FO203" s="423">
        <f t="shared" si="228"/>
        <v>0</v>
      </c>
      <c r="FP203" s="419"/>
      <c r="FQ203" s="419"/>
      <c r="FR203" s="419"/>
      <c r="FS203" s="420">
        <f t="shared" si="229"/>
        <v>0</v>
      </c>
      <c r="FT203" s="420">
        <f t="shared" si="230"/>
        <v>0</v>
      </c>
      <c r="FU203" s="419"/>
      <c r="FV203" s="419"/>
      <c r="FW203" s="419"/>
      <c r="FX203" s="420">
        <f t="shared" si="231"/>
        <v>0</v>
      </c>
      <c r="FY203" s="420">
        <f t="shared" si="232"/>
        <v>0</v>
      </c>
      <c r="FZ203" s="419"/>
      <c r="GA203" s="419"/>
      <c r="GB203" s="419"/>
      <c r="GC203" s="420">
        <f t="shared" si="233"/>
        <v>0</v>
      </c>
      <c r="GD203" s="420">
        <f t="shared" si="234"/>
        <v>0</v>
      </c>
      <c r="GE203" s="419"/>
      <c r="GF203" s="419"/>
      <c r="GG203" s="419"/>
      <c r="GH203" s="420">
        <f t="shared" si="235"/>
        <v>0</v>
      </c>
      <c r="GI203" s="423">
        <f t="shared" si="236"/>
        <v>0</v>
      </c>
      <c r="GJ203" s="419"/>
      <c r="GK203" s="419"/>
      <c r="GL203" s="419"/>
      <c r="GM203" s="420">
        <f t="shared" si="237"/>
        <v>0</v>
      </c>
      <c r="GN203" s="420">
        <f t="shared" si="238"/>
        <v>0</v>
      </c>
      <c r="GO203" s="419"/>
      <c r="GP203" s="419"/>
      <c r="GQ203" s="419"/>
      <c r="GR203" s="420">
        <f t="shared" si="243"/>
        <v>0</v>
      </c>
      <c r="GS203" s="423">
        <f t="shared" si="239"/>
        <v>0</v>
      </c>
      <c r="GT203" s="419"/>
      <c r="GU203" s="419"/>
      <c r="GV203" s="419"/>
      <c r="GW203" s="420">
        <f t="shared" si="240"/>
        <v>0</v>
      </c>
      <c r="GX203" s="420">
        <f t="shared" si="241"/>
        <v>0</v>
      </c>
    </row>
    <row r="204" spans="1:206" ht="15">
      <c r="A204" s="414"/>
      <c r="B204" s="415" t="s">
        <v>530</v>
      </c>
      <c r="C204" s="698"/>
      <c r="D204" s="705"/>
      <c r="E204" s="434" t="s">
        <v>124</v>
      </c>
      <c r="F204" s="417">
        <v>0.09</v>
      </c>
      <c r="G204" s="418">
        <f t="shared" si="219"/>
        <v>0</v>
      </c>
      <c r="H204" s="418">
        <f t="shared" si="220"/>
        <v>0</v>
      </c>
      <c r="I204" s="418">
        <f t="shared" si="220"/>
        <v>0</v>
      </c>
      <c r="J204" s="418">
        <f t="shared" si="221"/>
        <v>0</v>
      </c>
      <c r="K204" s="418">
        <f t="shared" si="217"/>
        <v>0</v>
      </c>
      <c r="L204" s="418">
        <f t="shared" si="218"/>
        <v>0</v>
      </c>
      <c r="M204" s="424"/>
      <c r="N204" s="424"/>
      <c r="O204" s="424"/>
      <c r="P204" s="424"/>
      <c r="Q204" s="419"/>
      <c r="R204" s="419"/>
      <c r="S204" s="419"/>
      <c r="T204" s="420"/>
      <c r="U204" s="423"/>
      <c r="V204" s="420"/>
      <c r="W204" s="420"/>
      <c r="X204" s="419"/>
      <c r="Y204" s="419"/>
      <c r="Z204" s="423"/>
      <c r="AA204" s="423"/>
      <c r="AB204" s="419"/>
      <c r="AC204" s="423"/>
      <c r="AD204" s="420"/>
      <c r="AE204" s="423"/>
      <c r="AF204" s="444"/>
      <c r="AG204" s="419"/>
      <c r="AH204" s="420"/>
      <c r="AI204" s="420"/>
      <c r="AJ204" s="423"/>
      <c r="AK204" s="444"/>
      <c r="AL204" s="420"/>
      <c r="AM204" s="420"/>
      <c r="AN204" s="420"/>
      <c r="AO204" s="423"/>
      <c r="AP204" s="420"/>
      <c r="AQ204" s="419"/>
      <c r="AR204" s="420"/>
      <c r="AS204" s="420"/>
      <c r="AT204" s="420"/>
      <c r="AU204" s="420"/>
      <c r="AV204" s="420"/>
      <c r="AW204" s="420"/>
      <c r="AX204" s="426"/>
      <c r="AY204" s="420"/>
      <c r="AZ204" s="420"/>
      <c r="BA204" s="420"/>
      <c r="BB204" s="419"/>
      <c r="BC204" s="420"/>
      <c r="BD204" s="427"/>
      <c r="BE204" s="420"/>
      <c r="BF204" s="420"/>
      <c r="BG204" s="420"/>
      <c r="BH204" s="423"/>
      <c r="BI204" s="420"/>
      <c r="BJ204" s="420"/>
      <c r="BK204" s="420"/>
      <c r="BL204" s="420"/>
      <c r="BM204" s="420"/>
      <c r="BN204" s="420"/>
      <c r="BO204" s="419"/>
      <c r="BP204" s="428"/>
      <c r="BQ204" s="420"/>
      <c r="BR204" s="423"/>
      <c r="BS204" s="423"/>
      <c r="BT204" s="420"/>
      <c r="BU204" s="420"/>
      <c r="BV204" s="420"/>
      <c r="BW204" s="420"/>
      <c r="BX204" s="429"/>
      <c r="BY204" s="419"/>
      <c r="BZ204" s="419"/>
      <c r="CA204" s="419"/>
      <c r="CB204" s="420"/>
      <c r="CC204" s="430"/>
      <c r="CD204" s="419"/>
      <c r="CE204" s="419"/>
      <c r="CF204" s="419"/>
      <c r="CG204" s="420"/>
      <c r="CH204" s="423"/>
      <c r="CI204" s="432"/>
      <c r="CJ204" s="432"/>
      <c r="CK204" s="432"/>
      <c r="CL204" s="420"/>
      <c r="CM204" s="423"/>
      <c r="CN204" s="420"/>
      <c r="CO204" s="420"/>
      <c r="CP204" s="420"/>
      <c r="CQ204" s="432"/>
      <c r="CR204" s="432"/>
      <c r="CS204" s="420"/>
      <c r="CT204" s="420"/>
      <c r="CU204" s="420"/>
      <c r="CV204" s="420"/>
      <c r="CW204" s="420"/>
      <c r="CX204" s="419"/>
      <c r="CY204" s="419"/>
      <c r="CZ204" s="419"/>
      <c r="DA204" s="419"/>
      <c r="DB204" s="419"/>
      <c r="DC204" s="419"/>
      <c r="DD204" s="419"/>
      <c r="DE204" s="419"/>
      <c r="DF204" s="420"/>
      <c r="DG204" s="421"/>
      <c r="DH204" s="419"/>
      <c r="DI204" s="419"/>
      <c r="DJ204" s="419"/>
      <c r="DK204" s="420"/>
      <c r="DL204" s="422"/>
      <c r="DM204" s="420"/>
      <c r="DN204" s="420"/>
      <c r="DO204" s="420"/>
      <c r="DP204" s="420"/>
      <c r="DQ204" s="420"/>
      <c r="DR204" s="419"/>
      <c r="DS204" s="419"/>
      <c r="DT204" s="419"/>
      <c r="DU204" s="420"/>
      <c r="DV204" s="423"/>
      <c r="DW204" s="419"/>
      <c r="DX204" s="419"/>
      <c r="DY204" s="419"/>
      <c r="DZ204" s="420"/>
      <c r="EA204" s="423"/>
      <c r="EB204" s="419"/>
      <c r="EC204" s="419"/>
      <c r="ED204" s="420"/>
      <c r="EE204" s="419"/>
      <c r="EF204" s="420"/>
      <c r="EG204" s="419"/>
      <c r="EH204" s="419"/>
      <c r="EI204" s="419"/>
      <c r="EJ204" s="420"/>
      <c r="EK204" s="420"/>
      <c r="EL204" s="419"/>
      <c r="EN204" s="419"/>
      <c r="EO204" s="419"/>
      <c r="EP204" s="419"/>
      <c r="EQ204" s="419"/>
      <c r="ER204" s="419"/>
      <c r="ES204" s="419"/>
      <c r="ET204" s="419"/>
      <c r="EU204" s="419"/>
      <c r="EV204" s="419"/>
      <c r="EW204" s="419"/>
      <c r="EX204" s="419"/>
      <c r="EY204" s="419">
        <f t="shared" si="222"/>
        <v>0</v>
      </c>
      <c r="EZ204" s="419">
        <f t="shared" si="242"/>
        <v>0</v>
      </c>
      <c r="FA204" s="420"/>
      <c r="FB204" s="420"/>
      <c r="FC204" s="420"/>
      <c r="FD204" s="420">
        <f t="shared" si="223"/>
        <v>0</v>
      </c>
      <c r="FE204" s="420">
        <f t="shared" si="224"/>
        <v>0</v>
      </c>
      <c r="FF204" s="419"/>
      <c r="FG204" s="419"/>
      <c r="FH204" s="419"/>
      <c r="FI204" s="419">
        <f t="shared" si="225"/>
        <v>0</v>
      </c>
      <c r="FJ204" s="419">
        <f t="shared" si="226"/>
        <v>0</v>
      </c>
      <c r="FK204" s="419"/>
      <c r="FL204" s="419"/>
      <c r="FM204" s="419"/>
      <c r="FN204" s="420">
        <f t="shared" si="227"/>
        <v>0</v>
      </c>
      <c r="FO204" s="423">
        <f t="shared" si="228"/>
        <v>0</v>
      </c>
      <c r="FP204" s="419"/>
      <c r="FQ204" s="419"/>
      <c r="FR204" s="419"/>
      <c r="FS204" s="420">
        <f t="shared" si="229"/>
        <v>0</v>
      </c>
      <c r="FT204" s="420">
        <f t="shared" si="230"/>
        <v>0</v>
      </c>
      <c r="FU204" s="419"/>
      <c r="FV204" s="419"/>
      <c r="FW204" s="419"/>
      <c r="FX204" s="420">
        <f t="shared" si="231"/>
        <v>0</v>
      </c>
      <c r="FY204" s="420">
        <f t="shared" si="232"/>
        <v>0</v>
      </c>
      <c r="FZ204" s="419"/>
      <c r="GA204" s="419"/>
      <c r="GB204" s="419"/>
      <c r="GC204" s="420">
        <f t="shared" si="233"/>
        <v>0</v>
      </c>
      <c r="GD204" s="420">
        <f t="shared" si="234"/>
        <v>0</v>
      </c>
      <c r="GE204" s="419"/>
      <c r="GF204" s="419"/>
      <c r="GG204" s="419"/>
      <c r="GH204" s="420">
        <f t="shared" si="235"/>
        <v>0</v>
      </c>
      <c r="GI204" s="423">
        <f t="shared" si="236"/>
        <v>0</v>
      </c>
      <c r="GJ204" s="419"/>
      <c r="GK204" s="419"/>
      <c r="GL204" s="419"/>
      <c r="GM204" s="420">
        <f t="shared" si="237"/>
        <v>0</v>
      </c>
      <c r="GN204" s="420">
        <f t="shared" si="238"/>
        <v>0</v>
      </c>
      <c r="GO204" s="419"/>
      <c r="GP204" s="419"/>
      <c r="GQ204" s="419"/>
      <c r="GR204" s="420">
        <f t="shared" si="243"/>
        <v>0</v>
      </c>
      <c r="GS204" s="423">
        <f t="shared" si="239"/>
        <v>0</v>
      </c>
      <c r="GT204" s="419"/>
      <c r="GU204" s="419"/>
      <c r="GV204" s="419"/>
      <c r="GW204" s="420">
        <f t="shared" si="240"/>
        <v>0</v>
      </c>
      <c r="GX204" s="420">
        <f t="shared" si="241"/>
        <v>0</v>
      </c>
    </row>
    <row r="205" spans="1:206" ht="15">
      <c r="A205" s="414"/>
      <c r="B205" s="415" t="s">
        <v>530</v>
      </c>
      <c r="C205" s="698"/>
      <c r="D205" s="707"/>
      <c r="E205" s="434" t="s">
        <v>125</v>
      </c>
      <c r="F205" s="417">
        <v>0.06</v>
      </c>
      <c r="G205" s="418">
        <f t="shared" si="219"/>
        <v>0</v>
      </c>
      <c r="H205" s="418">
        <f t="shared" si="220"/>
        <v>0</v>
      </c>
      <c r="I205" s="418">
        <f t="shared" si="220"/>
        <v>0</v>
      </c>
      <c r="J205" s="418">
        <f t="shared" si="221"/>
        <v>0</v>
      </c>
      <c r="K205" s="418">
        <f t="shared" si="217"/>
        <v>0</v>
      </c>
      <c r="L205" s="418">
        <f t="shared" si="218"/>
        <v>0</v>
      </c>
      <c r="M205" s="424"/>
      <c r="N205" s="424"/>
      <c r="O205" s="424"/>
      <c r="P205" s="424"/>
      <c r="Q205" s="419"/>
      <c r="R205" s="419"/>
      <c r="S205" s="419"/>
      <c r="T205" s="420"/>
      <c r="U205" s="423"/>
      <c r="V205" s="420"/>
      <c r="W205" s="420"/>
      <c r="X205" s="419"/>
      <c r="Y205" s="419"/>
      <c r="Z205" s="423"/>
      <c r="AA205" s="423"/>
      <c r="AB205" s="419"/>
      <c r="AC205" s="423"/>
      <c r="AD205" s="420"/>
      <c r="AE205" s="423"/>
      <c r="AF205" s="444"/>
      <c r="AG205" s="419"/>
      <c r="AH205" s="420"/>
      <c r="AI205" s="420"/>
      <c r="AJ205" s="423"/>
      <c r="AK205" s="444"/>
      <c r="AL205" s="420"/>
      <c r="AM205" s="420"/>
      <c r="AN205" s="420"/>
      <c r="AO205" s="423"/>
      <c r="AP205" s="420"/>
      <c r="AQ205" s="419"/>
      <c r="AR205" s="420"/>
      <c r="AS205" s="420"/>
      <c r="AT205" s="420"/>
      <c r="AU205" s="420"/>
      <c r="AV205" s="420"/>
      <c r="AW205" s="420"/>
      <c r="AX205" s="426"/>
      <c r="AY205" s="420"/>
      <c r="AZ205" s="420"/>
      <c r="BA205" s="420"/>
      <c r="BB205" s="419"/>
      <c r="BC205" s="420"/>
      <c r="BD205" s="427"/>
      <c r="BE205" s="420"/>
      <c r="BF205" s="420"/>
      <c r="BG205" s="420"/>
      <c r="BH205" s="423"/>
      <c r="BI205" s="420"/>
      <c r="BJ205" s="420"/>
      <c r="BK205" s="420"/>
      <c r="BL205" s="420"/>
      <c r="BM205" s="420"/>
      <c r="BN205" s="420"/>
      <c r="BO205" s="419"/>
      <c r="BP205" s="428"/>
      <c r="BQ205" s="420"/>
      <c r="BR205" s="423"/>
      <c r="BS205" s="423"/>
      <c r="BT205" s="420"/>
      <c r="BU205" s="420"/>
      <c r="BV205" s="420"/>
      <c r="BW205" s="420"/>
      <c r="BX205" s="429"/>
      <c r="BY205" s="419"/>
      <c r="BZ205" s="419"/>
      <c r="CA205" s="419"/>
      <c r="CB205" s="420"/>
      <c r="CC205" s="430"/>
      <c r="CD205" s="419"/>
      <c r="CE205" s="419"/>
      <c r="CF205" s="419"/>
      <c r="CG205" s="420"/>
      <c r="CH205" s="423"/>
      <c r="CI205" s="432"/>
      <c r="CJ205" s="432"/>
      <c r="CK205" s="432"/>
      <c r="CL205" s="420"/>
      <c r="CM205" s="423"/>
      <c r="CN205" s="420"/>
      <c r="CO205" s="420"/>
      <c r="CP205" s="420"/>
      <c r="CQ205" s="432"/>
      <c r="CR205" s="432"/>
      <c r="CS205" s="420"/>
      <c r="CT205" s="420"/>
      <c r="CU205" s="420"/>
      <c r="CV205" s="420"/>
      <c r="CW205" s="420"/>
      <c r="CX205" s="419"/>
      <c r="CY205" s="419"/>
      <c r="CZ205" s="419"/>
      <c r="DA205" s="419"/>
      <c r="DB205" s="419"/>
      <c r="DC205" s="419"/>
      <c r="DD205" s="419"/>
      <c r="DE205" s="419"/>
      <c r="DF205" s="420"/>
      <c r="DG205" s="421"/>
      <c r="DH205" s="419"/>
      <c r="DI205" s="419"/>
      <c r="DJ205" s="419"/>
      <c r="DK205" s="420"/>
      <c r="DL205" s="422"/>
      <c r="DM205" s="420"/>
      <c r="DN205" s="420"/>
      <c r="DO205" s="420"/>
      <c r="DP205" s="420"/>
      <c r="DQ205" s="420"/>
      <c r="DR205" s="419"/>
      <c r="DS205" s="419"/>
      <c r="DT205" s="419"/>
      <c r="DU205" s="420"/>
      <c r="DV205" s="423"/>
      <c r="DW205" s="419"/>
      <c r="DX205" s="419"/>
      <c r="DY205" s="419"/>
      <c r="DZ205" s="420"/>
      <c r="EA205" s="423"/>
      <c r="EB205" s="419"/>
      <c r="EC205" s="419"/>
      <c r="ED205" s="420"/>
      <c r="EE205" s="419"/>
      <c r="EF205" s="420"/>
      <c r="EG205" s="419"/>
      <c r="EH205" s="419"/>
      <c r="EI205" s="419"/>
      <c r="EJ205" s="420"/>
      <c r="EK205" s="420"/>
      <c r="EL205" s="419"/>
      <c r="EN205" s="419"/>
      <c r="EO205" s="419"/>
      <c r="EP205" s="419"/>
      <c r="EQ205" s="419"/>
      <c r="ER205" s="419"/>
      <c r="ES205" s="419"/>
      <c r="ET205" s="419"/>
      <c r="EU205" s="419"/>
      <c r="EV205" s="419"/>
      <c r="EW205" s="419"/>
      <c r="EX205" s="419"/>
      <c r="EY205" s="419">
        <f t="shared" si="222"/>
        <v>0</v>
      </c>
      <c r="EZ205" s="419">
        <f t="shared" si="242"/>
        <v>0</v>
      </c>
      <c r="FA205" s="420"/>
      <c r="FB205" s="420"/>
      <c r="FC205" s="420"/>
      <c r="FD205" s="420">
        <f t="shared" si="223"/>
        <v>0</v>
      </c>
      <c r="FE205" s="420">
        <f t="shared" si="224"/>
        <v>0</v>
      </c>
      <c r="FF205" s="419"/>
      <c r="FG205" s="419"/>
      <c r="FH205" s="419"/>
      <c r="FI205" s="419">
        <f t="shared" si="225"/>
        <v>0</v>
      </c>
      <c r="FJ205" s="419">
        <f t="shared" si="226"/>
        <v>0</v>
      </c>
      <c r="FK205" s="419"/>
      <c r="FL205" s="419"/>
      <c r="FM205" s="419"/>
      <c r="FN205" s="420">
        <f t="shared" si="227"/>
        <v>0</v>
      </c>
      <c r="FO205" s="423">
        <f t="shared" si="228"/>
        <v>0</v>
      </c>
      <c r="FP205" s="419"/>
      <c r="FQ205" s="419"/>
      <c r="FR205" s="419"/>
      <c r="FS205" s="420">
        <f t="shared" si="229"/>
        <v>0</v>
      </c>
      <c r="FT205" s="420">
        <f t="shared" si="230"/>
        <v>0</v>
      </c>
      <c r="FU205" s="419"/>
      <c r="FV205" s="419"/>
      <c r="FW205" s="419"/>
      <c r="FX205" s="420">
        <f t="shared" si="231"/>
        <v>0</v>
      </c>
      <c r="FY205" s="420">
        <f t="shared" si="232"/>
        <v>0</v>
      </c>
      <c r="FZ205" s="419"/>
      <c r="GA205" s="419"/>
      <c r="GB205" s="419"/>
      <c r="GC205" s="420">
        <f t="shared" si="233"/>
        <v>0</v>
      </c>
      <c r="GD205" s="420">
        <f t="shared" si="234"/>
        <v>0</v>
      </c>
      <c r="GE205" s="419"/>
      <c r="GF205" s="419"/>
      <c r="GG205" s="419"/>
      <c r="GH205" s="420">
        <f t="shared" si="235"/>
        <v>0</v>
      </c>
      <c r="GI205" s="423">
        <f t="shared" si="236"/>
        <v>0</v>
      </c>
      <c r="GJ205" s="419"/>
      <c r="GK205" s="419"/>
      <c r="GL205" s="419"/>
      <c r="GM205" s="420">
        <f t="shared" si="237"/>
        <v>0</v>
      </c>
      <c r="GN205" s="420">
        <f t="shared" si="238"/>
        <v>0</v>
      </c>
      <c r="GO205" s="419"/>
      <c r="GP205" s="419"/>
      <c r="GQ205" s="419"/>
      <c r="GR205" s="420">
        <f t="shared" si="243"/>
        <v>0</v>
      </c>
      <c r="GS205" s="423">
        <f t="shared" si="239"/>
        <v>0</v>
      </c>
      <c r="GT205" s="419"/>
      <c r="GU205" s="419"/>
      <c r="GV205" s="419"/>
      <c r="GW205" s="420">
        <f t="shared" si="240"/>
        <v>0</v>
      </c>
      <c r="GX205" s="420">
        <f t="shared" si="241"/>
        <v>0</v>
      </c>
    </row>
    <row r="206" spans="1:206" ht="15">
      <c r="A206" s="414"/>
      <c r="B206" s="415" t="s">
        <v>581</v>
      </c>
      <c r="C206" s="698"/>
      <c r="D206" s="704" t="s">
        <v>133</v>
      </c>
      <c r="E206" s="434" t="s">
        <v>123</v>
      </c>
      <c r="F206" s="417">
        <v>0.13</v>
      </c>
      <c r="G206" s="418">
        <f t="shared" si="219"/>
        <v>3490424.3</v>
      </c>
      <c r="H206" s="418">
        <f t="shared" si="220"/>
        <v>0</v>
      </c>
      <c r="I206" s="418">
        <f t="shared" si="220"/>
        <v>453755.16</v>
      </c>
      <c r="J206" s="418">
        <f t="shared" si="221"/>
        <v>3490424.3076923098</v>
      </c>
      <c r="K206" s="418">
        <f t="shared" si="217"/>
        <v>3490424.3076923098</v>
      </c>
      <c r="L206" s="418">
        <f t="shared" si="218"/>
        <v>7.6923076994717104E-3</v>
      </c>
      <c r="M206" s="424"/>
      <c r="N206" s="424"/>
      <c r="O206" s="424"/>
      <c r="P206" s="424"/>
      <c r="Q206" s="419"/>
      <c r="R206" s="419"/>
      <c r="S206" s="419"/>
      <c r="T206" s="420"/>
      <c r="U206" s="423"/>
      <c r="V206" s="420"/>
      <c r="W206" s="420"/>
      <c r="X206" s="419"/>
      <c r="Y206" s="419"/>
      <c r="Z206" s="423"/>
      <c r="AA206" s="423"/>
      <c r="AB206" s="419"/>
      <c r="AC206" s="423"/>
      <c r="AD206" s="420"/>
      <c r="AE206" s="423"/>
      <c r="AF206" s="444"/>
      <c r="AG206" s="419"/>
      <c r="AH206" s="420"/>
      <c r="AI206" s="420"/>
      <c r="AJ206" s="423"/>
      <c r="AK206" s="444"/>
      <c r="AL206" s="420"/>
      <c r="AM206" s="420"/>
      <c r="AN206" s="420"/>
      <c r="AO206" s="423"/>
      <c r="AP206" s="420"/>
      <c r="AQ206" s="419"/>
      <c r="AR206" s="420"/>
      <c r="AS206" s="420"/>
      <c r="AT206" s="420"/>
      <c r="AU206" s="420"/>
      <c r="AV206" s="420"/>
      <c r="AW206" s="420"/>
      <c r="AX206" s="426"/>
      <c r="AY206" s="420"/>
      <c r="AZ206" s="420"/>
      <c r="BA206" s="420"/>
      <c r="BB206" s="419"/>
      <c r="BC206" s="420"/>
      <c r="BD206" s="427"/>
      <c r="BE206" s="420"/>
      <c r="BF206" s="420"/>
      <c r="BG206" s="420"/>
      <c r="BH206" s="423"/>
      <c r="BI206" s="420"/>
      <c r="BJ206" s="420"/>
      <c r="BK206" s="420"/>
      <c r="BL206" s="420"/>
      <c r="BM206" s="420"/>
      <c r="BN206" s="420"/>
      <c r="BO206" s="419"/>
      <c r="BP206" s="428"/>
      <c r="BQ206" s="420"/>
      <c r="BR206" s="423"/>
      <c r="BS206" s="423"/>
      <c r="BT206" s="420"/>
      <c r="BU206" s="420"/>
      <c r="BV206" s="420"/>
      <c r="BW206" s="420"/>
      <c r="BX206" s="429"/>
      <c r="BY206" s="419"/>
      <c r="BZ206" s="419"/>
      <c r="CA206" s="419"/>
      <c r="CB206" s="420"/>
      <c r="CC206" s="430"/>
      <c r="CD206" s="419"/>
      <c r="CE206" s="419"/>
      <c r="CF206" s="419"/>
      <c r="CG206" s="420"/>
      <c r="CH206" s="423"/>
      <c r="CI206" s="432"/>
      <c r="CJ206" s="432"/>
      <c r="CK206" s="432"/>
      <c r="CL206" s="420"/>
      <c r="CM206" s="423"/>
      <c r="CN206" s="420"/>
      <c r="CO206" s="420"/>
      <c r="CP206" s="420"/>
      <c r="CQ206" s="432"/>
      <c r="CR206" s="432"/>
      <c r="CS206" s="420"/>
      <c r="CT206" s="420"/>
      <c r="CU206" s="420"/>
      <c r="CV206" s="420"/>
      <c r="CW206" s="420"/>
      <c r="CX206" s="419"/>
      <c r="CY206" s="419"/>
      <c r="CZ206" s="419"/>
      <c r="DA206" s="419"/>
      <c r="DB206" s="419"/>
      <c r="DC206" s="419"/>
      <c r="DD206" s="419"/>
      <c r="DE206" s="419"/>
      <c r="DF206" s="420"/>
      <c r="DG206" s="421"/>
      <c r="DH206" s="419"/>
      <c r="DI206" s="419"/>
      <c r="DJ206" s="419"/>
      <c r="DK206" s="420"/>
      <c r="DL206" s="422"/>
      <c r="DM206" s="420"/>
      <c r="DN206" s="420"/>
      <c r="DO206" s="420"/>
      <c r="DP206" s="420"/>
      <c r="DQ206" s="420"/>
      <c r="DR206" s="419"/>
      <c r="DS206" s="419"/>
      <c r="DT206" s="419"/>
      <c r="DU206" s="420"/>
      <c r="DV206" s="423"/>
      <c r="DW206" s="419"/>
      <c r="DX206" s="419"/>
      <c r="DY206" s="419"/>
      <c r="DZ206" s="420"/>
      <c r="EA206" s="423"/>
      <c r="EB206" s="419"/>
      <c r="EC206" s="419"/>
      <c r="ED206" s="420"/>
      <c r="EE206" s="419"/>
      <c r="EF206" s="420"/>
      <c r="EG206" s="419"/>
      <c r="EH206" s="419"/>
      <c r="EI206" s="419"/>
      <c r="EJ206" s="420"/>
      <c r="EK206" s="420"/>
      <c r="EL206" s="419"/>
      <c r="EM206" s="419"/>
      <c r="EN206" s="419"/>
      <c r="EO206" s="419"/>
      <c r="EP206" s="419"/>
      <c r="EQ206" s="419"/>
      <c r="ER206" s="419"/>
      <c r="ES206" s="419"/>
      <c r="ET206" s="419"/>
      <c r="EU206" s="419"/>
      <c r="EV206" s="419"/>
      <c r="EW206" s="419"/>
      <c r="EX206" s="419"/>
      <c r="EY206" s="419">
        <f t="shared" si="222"/>
        <v>0</v>
      </c>
      <c r="EZ206" s="419">
        <f t="shared" si="242"/>
        <v>0</v>
      </c>
      <c r="FA206" s="420"/>
      <c r="FB206" s="420"/>
      <c r="FC206" s="420"/>
      <c r="FD206" s="420">
        <f t="shared" si="223"/>
        <v>0</v>
      </c>
      <c r="FE206" s="420">
        <f t="shared" si="224"/>
        <v>0</v>
      </c>
      <c r="FF206" s="419"/>
      <c r="FG206" s="419"/>
      <c r="FH206" s="419"/>
      <c r="FI206" s="419">
        <f t="shared" si="225"/>
        <v>0</v>
      </c>
      <c r="FJ206" s="419">
        <f t="shared" si="226"/>
        <v>0</v>
      </c>
      <c r="FK206" s="419"/>
      <c r="FL206" s="419"/>
      <c r="FM206" s="419"/>
      <c r="FN206" s="420">
        <f t="shared" si="227"/>
        <v>0</v>
      </c>
      <c r="FO206" s="423">
        <f t="shared" si="228"/>
        <v>0</v>
      </c>
      <c r="FP206" s="419"/>
      <c r="FQ206" s="419"/>
      <c r="FR206" s="419"/>
      <c r="FS206" s="420">
        <f t="shared" si="229"/>
        <v>0</v>
      </c>
      <c r="FT206" s="420">
        <f t="shared" si="230"/>
        <v>0</v>
      </c>
      <c r="FU206" s="419">
        <v>3490424.3</v>
      </c>
      <c r="FV206" s="419"/>
      <c r="FW206" s="419">
        <v>453755.16</v>
      </c>
      <c r="FX206" s="420">
        <f t="shared" si="231"/>
        <v>3490424.31</v>
      </c>
      <c r="FY206" s="420">
        <f t="shared" si="232"/>
        <v>1.0000000242143901E-2</v>
      </c>
      <c r="FZ206" s="419"/>
      <c r="GA206" s="419"/>
      <c r="GB206" s="419"/>
      <c r="GC206" s="420">
        <f t="shared" si="233"/>
        <v>0</v>
      </c>
      <c r="GD206" s="420">
        <f t="shared" si="234"/>
        <v>0</v>
      </c>
      <c r="GE206" s="419"/>
      <c r="GF206" s="419"/>
      <c r="GG206" s="419"/>
      <c r="GH206" s="420">
        <f t="shared" si="235"/>
        <v>0</v>
      </c>
      <c r="GI206" s="423">
        <f t="shared" si="236"/>
        <v>0</v>
      </c>
      <c r="GJ206" s="419"/>
      <c r="GK206" s="419"/>
      <c r="GL206" s="419"/>
      <c r="GM206" s="420">
        <f t="shared" si="237"/>
        <v>0</v>
      </c>
      <c r="GN206" s="420">
        <f t="shared" si="238"/>
        <v>0</v>
      </c>
      <c r="GO206" s="419"/>
      <c r="GP206" s="419"/>
      <c r="GQ206" s="419"/>
      <c r="GR206" s="420">
        <f t="shared" si="243"/>
        <v>0</v>
      </c>
      <c r="GS206" s="423">
        <f t="shared" si="239"/>
        <v>0</v>
      </c>
      <c r="GT206" s="419"/>
      <c r="GU206" s="419"/>
      <c r="GV206" s="419"/>
      <c r="GW206" s="420">
        <f t="shared" si="240"/>
        <v>0</v>
      </c>
      <c r="GX206" s="420">
        <f t="shared" si="241"/>
        <v>0</v>
      </c>
    </row>
    <row r="207" spans="1:206" ht="15">
      <c r="A207" s="414"/>
      <c r="B207" s="415" t="s">
        <v>581</v>
      </c>
      <c r="C207" s="698"/>
      <c r="D207" s="705"/>
      <c r="E207" s="434" t="s">
        <v>124</v>
      </c>
      <c r="F207" s="417">
        <v>0.09</v>
      </c>
      <c r="G207" s="418">
        <f t="shared" si="219"/>
        <v>39007863.119999997</v>
      </c>
      <c r="H207" s="418">
        <f t="shared" si="220"/>
        <v>0</v>
      </c>
      <c r="I207" s="418">
        <f t="shared" si="220"/>
        <v>3510707.69</v>
      </c>
      <c r="J207" s="418">
        <f t="shared" si="221"/>
        <v>39007863.222222202</v>
      </c>
      <c r="K207" s="418">
        <f t="shared" si="217"/>
        <v>39007863.222222202</v>
      </c>
      <c r="L207" s="418">
        <f t="shared" si="218"/>
        <v>0.102222219109535</v>
      </c>
      <c r="M207" s="424"/>
      <c r="N207" s="424"/>
      <c r="O207" s="424"/>
      <c r="P207" s="424"/>
      <c r="Q207" s="419"/>
      <c r="R207" s="419"/>
      <c r="S207" s="419"/>
      <c r="T207" s="420"/>
      <c r="U207" s="423"/>
      <c r="V207" s="420"/>
      <c r="W207" s="420"/>
      <c r="X207" s="419"/>
      <c r="Y207" s="419"/>
      <c r="Z207" s="423"/>
      <c r="AA207" s="423"/>
      <c r="AB207" s="419"/>
      <c r="AC207" s="423"/>
      <c r="AD207" s="420"/>
      <c r="AE207" s="423"/>
      <c r="AF207" s="444"/>
      <c r="AG207" s="419"/>
      <c r="AH207" s="420"/>
      <c r="AI207" s="420"/>
      <c r="AJ207" s="423"/>
      <c r="AK207" s="444"/>
      <c r="AL207" s="420"/>
      <c r="AM207" s="420"/>
      <c r="AN207" s="420"/>
      <c r="AO207" s="423"/>
      <c r="AP207" s="420"/>
      <c r="AQ207" s="419"/>
      <c r="AR207" s="420"/>
      <c r="AS207" s="420"/>
      <c r="AT207" s="420"/>
      <c r="AU207" s="420"/>
      <c r="AV207" s="420"/>
      <c r="AW207" s="420"/>
      <c r="AX207" s="426"/>
      <c r="AY207" s="420"/>
      <c r="AZ207" s="420"/>
      <c r="BA207" s="420"/>
      <c r="BB207" s="419"/>
      <c r="BC207" s="420"/>
      <c r="BD207" s="427"/>
      <c r="BE207" s="420"/>
      <c r="BF207" s="420"/>
      <c r="BG207" s="420"/>
      <c r="BH207" s="423"/>
      <c r="BI207" s="420"/>
      <c r="BJ207" s="420"/>
      <c r="BK207" s="420"/>
      <c r="BL207" s="420"/>
      <c r="BM207" s="420"/>
      <c r="BN207" s="420"/>
      <c r="BO207" s="419"/>
      <c r="BP207" s="428"/>
      <c r="BQ207" s="420"/>
      <c r="BR207" s="423"/>
      <c r="BS207" s="423"/>
      <c r="BT207" s="420"/>
      <c r="BU207" s="420"/>
      <c r="BV207" s="420"/>
      <c r="BW207" s="420"/>
      <c r="BX207" s="429"/>
      <c r="BY207" s="419"/>
      <c r="BZ207" s="419"/>
      <c r="CA207" s="419"/>
      <c r="CB207" s="420"/>
      <c r="CC207" s="430"/>
      <c r="CD207" s="419"/>
      <c r="CE207" s="419"/>
      <c r="CF207" s="419"/>
      <c r="CG207" s="420"/>
      <c r="CH207" s="423"/>
      <c r="CI207" s="432"/>
      <c r="CJ207" s="432"/>
      <c r="CK207" s="432"/>
      <c r="CL207" s="420"/>
      <c r="CM207" s="423"/>
      <c r="CN207" s="420"/>
      <c r="CO207" s="420"/>
      <c r="CP207" s="420"/>
      <c r="CQ207" s="432"/>
      <c r="CR207" s="432"/>
      <c r="CS207" s="420"/>
      <c r="CT207" s="420"/>
      <c r="CU207" s="420"/>
      <c r="CV207" s="420"/>
      <c r="CW207" s="420"/>
      <c r="CX207" s="419"/>
      <c r="CY207" s="419"/>
      <c r="CZ207" s="419"/>
      <c r="DA207" s="419"/>
      <c r="DB207" s="419"/>
      <c r="DC207" s="419"/>
      <c r="DD207" s="419"/>
      <c r="DE207" s="419"/>
      <c r="DF207" s="420"/>
      <c r="DG207" s="421"/>
      <c r="DH207" s="419"/>
      <c r="DI207" s="419"/>
      <c r="DJ207" s="419"/>
      <c r="DK207" s="420"/>
      <c r="DL207" s="422"/>
      <c r="DM207" s="420"/>
      <c r="DN207" s="420"/>
      <c r="DO207" s="420"/>
      <c r="DP207" s="420"/>
      <c r="DQ207" s="420"/>
      <c r="DR207" s="419"/>
      <c r="DS207" s="419"/>
      <c r="DT207" s="419"/>
      <c r="DU207" s="420"/>
      <c r="DV207" s="423"/>
      <c r="DW207" s="419"/>
      <c r="DX207" s="419"/>
      <c r="DY207" s="419"/>
      <c r="DZ207" s="420"/>
      <c r="EA207" s="423"/>
      <c r="EB207" s="419"/>
      <c r="EC207" s="419"/>
      <c r="ED207" s="420"/>
      <c r="EE207" s="419"/>
      <c r="EF207" s="420"/>
      <c r="EG207" s="419"/>
      <c r="EH207" s="419"/>
      <c r="EI207" s="419"/>
      <c r="EJ207" s="420"/>
      <c r="EK207" s="420"/>
      <c r="EL207" s="419"/>
      <c r="EN207" s="419"/>
      <c r="EO207" s="419"/>
      <c r="EP207" s="419"/>
      <c r="EQ207" s="419"/>
      <c r="ER207" s="419"/>
      <c r="ES207" s="419"/>
      <c r="ET207" s="419"/>
      <c r="EU207" s="419"/>
      <c r="EV207" s="419"/>
      <c r="EW207" s="419"/>
      <c r="EX207" s="419"/>
      <c r="EY207" s="419">
        <f t="shared" si="222"/>
        <v>0</v>
      </c>
      <c r="EZ207" s="419">
        <f t="shared" si="242"/>
        <v>0</v>
      </c>
      <c r="FA207" s="420"/>
      <c r="FB207" s="420"/>
      <c r="FC207" s="420"/>
      <c r="FD207" s="420">
        <f t="shared" si="223"/>
        <v>0</v>
      </c>
      <c r="FE207" s="420">
        <f t="shared" si="224"/>
        <v>0</v>
      </c>
      <c r="FF207" s="419">
        <v>757803</v>
      </c>
      <c r="FG207" s="419"/>
      <c r="FH207" s="419">
        <v>68202.28</v>
      </c>
      <c r="FI207" s="419">
        <f t="shared" si="225"/>
        <v>757803.11111111101</v>
      </c>
      <c r="FJ207" s="419">
        <f t="shared" si="226"/>
        <v>0.11</v>
      </c>
      <c r="FK207" s="419">
        <v>4045548.76</v>
      </c>
      <c r="FL207" s="419"/>
      <c r="FM207" s="419">
        <v>364099.39</v>
      </c>
      <c r="FN207" s="420">
        <f t="shared" si="227"/>
        <v>4045548.78</v>
      </c>
      <c r="FO207" s="423">
        <f t="shared" si="228"/>
        <v>0.02</v>
      </c>
      <c r="FP207" s="431">
        <v>3815502.2</v>
      </c>
      <c r="FQ207" s="431">
        <v>0</v>
      </c>
      <c r="FR207" s="431">
        <v>343395.19</v>
      </c>
      <c r="FS207" s="420">
        <f t="shared" si="229"/>
        <v>3815502.11</v>
      </c>
      <c r="FT207" s="420">
        <f t="shared" si="230"/>
        <v>-9.0000000316649703E-2</v>
      </c>
      <c r="FU207" s="447">
        <v>9212386.8000000007</v>
      </c>
      <c r="FV207" s="419"/>
      <c r="FW207" s="447">
        <v>829114.81</v>
      </c>
      <c r="FX207" s="420">
        <f t="shared" si="231"/>
        <v>9212386.7799999993</v>
      </c>
      <c r="FY207" s="420">
        <f t="shared" si="232"/>
        <v>-2.00000014156103E-2</v>
      </c>
      <c r="FZ207" s="419">
        <v>3651426.64</v>
      </c>
      <c r="GA207" s="419"/>
      <c r="GB207" s="419">
        <v>328628.40000000002</v>
      </c>
      <c r="GC207" s="420">
        <f t="shared" si="233"/>
        <v>3651426.67</v>
      </c>
      <c r="GD207" s="420">
        <f t="shared" si="234"/>
        <v>2.9999999795108999E-2</v>
      </c>
      <c r="GE207" s="419">
        <v>558276.71</v>
      </c>
      <c r="GF207" s="419"/>
      <c r="GG207" s="419">
        <v>50244.9</v>
      </c>
      <c r="GH207" s="420">
        <f t="shared" si="235"/>
        <v>558276.66666666698</v>
      </c>
      <c r="GI207" s="423">
        <f t="shared" si="236"/>
        <v>-4.3333333218470202E-2</v>
      </c>
      <c r="GJ207" s="420">
        <v>4124815.91</v>
      </c>
      <c r="GK207" s="420"/>
      <c r="GL207" s="420">
        <v>371233.44</v>
      </c>
      <c r="GM207" s="420">
        <f t="shared" si="237"/>
        <v>4124816</v>
      </c>
      <c r="GN207" s="420">
        <f t="shared" si="238"/>
        <v>8.9999999850988402E-2</v>
      </c>
      <c r="GO207" s="419">
        <v>12251141.810000001</v>
      </c>
      <c r="GP207" s="419"/>
      <c r="GQ207" s="419">
        <v>1102602.77</v>
      </c>
      <c r="GR207" s="420">
        <f t="shared" si="243"/>
        <v>12251141.888888899</v>
      </c>
      <c r="GS207" s="423">
        <f t="shared" si="239"/>
        <v>7.8888889402151094E-2</v>
      </c>
      <c r="GT207" s="419">
        <v>590961.29</v>
      </c>
      <c r="GU207" s="419"/>
      <c r="GV207" s="419">
        <v>53186.51</v>
      </c>
      <c r="GW207" s="420">
        <f t="shared" si="240"/>
        <v>590961.22</v>
      </c>
      <c r="GX207" s="420">
        <f t="shared" si="241"/>
        <v>-7.0000000065192594E-2</v>
      </c>
    </row>
    <row r="208" spans="1:206" ht="15">
      <c r="A208" s="414"/>
      <c r="B208" s="415" t="s">
        <v>581</v>
      </c>
      <c r="C208" s="698"/>
      <c r="D208" s="707"/>
      <c r="E208" s="434" t="s">
        <v>125</v>
      </c>
      <c r="F208" s="417">
        <v>0.06</v>
      </c>
      <c r="G208" s="418">
        <f t="shared" si="219"/>
        <v>12219713.359999999</v>
      </c>
      <c r="H208" s="418">
        <f t="shared" si="220"/>
        <v>0</v>
      </c>
      <c r="I208" s="418">
        <f t="shared" si="220"/>
        <v>733182.8</v>
      </c>
      <c r="J208" s="418">
        <f t="shared" si="221"/>
        <v>12219713.3333333</v>
      </c>
      <c r="K208" s="418">
        <f t="shared" si="217"/>
        <v>12219713.3333333</v>
      </c>
      <c r="L208" s="418">
        <f t="shared" si="218"/>
        <v>-2.66666673123837E-2</v>
      </c>
      <c r="M208" s="424"/>
      <c r="N208" s="424"/>
      <c r="O208" s="424"/>
      <c r="P208" s="424"/>
      <c r="Q208" s="419"/>
      <c r="R208" s="419"/>
      <c r="S208" s="419"/>
      <c r="T208" s="420"/>
      <c r="U208" s="423"/>
      <c r="V208" s="420"/>
      <c r="W208" s="420"/>
      <c r="X208" s="419"/>
      <c r="Y208" s="419"/>
      <c r="Z208" s="423"/>
      <c r="AA208" s="423"/>
      <c r="AB208" s="419"/>
      <c r="AC208" s="423"/>
      <c r="AD208" s="420"/>
      <c r="AE208" s="423"/>
      <c r="AF208" s="444"/>
      <c r="AG208" s="419"/>
      <c r="AH208" s="420"/>
      <c r="AI208" s="420"/>
      <c r="AJ208" s="423"/>
      <c r="AK208" s="444"/>
      <c r="AL208" s="420"/>
      <c r="AM208" s="420"/>
      <c r="AN208" s="420"/>
      <c r="AO208" s="423"/>
      <c r="AP208" s="420"/>
      <c r="AQ208" s="419"/>
      <c r="AR208" s="420"/>
      <c r="AS208" s="420"/>
      <c r="AT208" s="420"/>
      <c r="AU208" s="420"/>
      <c r="AV208" s="420"/>
      <c r="AW208" s="420"/>
      <c r="AX208" s="426"/>
      <c r="AY208" s="420"/>
      <c r="AZ208" s="420"/>
      <c r="BA208" s="420"/>
      <c r="BB208" s="419"/>
      <c r="BC208" s="420"/>
      <c r="BD208" s="427"/>
      <c r="BE208" s="420"/>
      <c r="BF208" s="420"/>
      <c r="BG208" s="420"/>
      <c r="BH208" s="423"/>
      <c r="BI208" s="420"/>
      <c r="BJ208" s="420"/>
      <c r="BK208" s="420"/>
      <c r="BL208" s="420"/>
      <c r="BM208" s="420"/>
      <c r="BN208" s="420"/>
      <c r="BO208" s="419"/>
      <c r="BP208" s="428"/>
      <c r="BQ208" s="420"/>
      <c r="BR208" s="423"/>
      <c r="BS208" s="423"/>
      <c r="BT208" s="420"/>
      <c r="BU208" s="420"/>
      <c r="BV208" s="420"/>
      <c r="BW208" s="420"/>
      <c r="BX208" s="429"/>
      <c r="BY208" s="419"/>
      <c r="BZ208" s="419"/>
      <c r="CA208" s="419"/>
      <c r="CB208" s="420"/>
      <c r="CC208" s="430"/>
      <c r="CD208" s="419"/>
      <c r="CE208" s="419"/>
      <c r="CF208" s="419"/>
      <c r="CG208" s="420"/>
      <c r="CH208" s="423"/>
      <c r="CI208" s="432"/>
      <c r="CJ208" s="432"/>
      <c r="CK208" s="432"/>
      <c r="CL208" s="420"/>
      <c r="CM208" s="423"/>
      <c r="CN208" s="420"/>
      <c r="CO208" s="420"/>
      <c r="CP208" s="420"/>
      <c r="CQ208" s="432"/>
      <c r="CR208" s="432"/>
      <c r="CS208" s="420"/>
      <c r="CT208" s="420"/>
      <c r="CU208" s="420"/>
      <c r="CV208" s="420"/>
      <c r="CW208" s="420"/>
      <c r="CX208" s="419"/>
      <c r="CY208" s="419"/>
      <c r="CZ208" s="419"/>
      <c r="DA208" s="419"/>
      <c r="DB208" s="419"/>
      <c r="DC208" s="419"/>
      <c r="DD208" s="419"/>
      <c r="DE208" s="419"/>
      <c r="DF208" s="420"/>
      <c r="DG208" s="421"/>
      <c r="DH208" s="419"/>
      <c r="DI208" s="419"/>
      <c r="DJ208" s="419"/>
      <c r="DK208" s="420"/>
      <c r="DL208" s="422"/>
      <c r="DM208" s="420"/>
      <c r="DN208" s="420"/>
      <c r="DO208" s="420"/>
      <c r="DP208" s="420"/>
      <c r="DQ208" s="420"/>
      <c r="DR208" s="419"/>
      <c r="DS208" s="419"/>
      <c r="DT208" s="419"/>
      <c r="DU208" s="420"/>
      <c r="DV208" s="423"/>
      <c r="DW208" s="419"/>
      <c r="DX208" s="419"/>
      <c r="DY208" s="419"/>
      <c r="DZ208" s="420"/>
      <c r="EA208" s="423"/>
      <c r="EB208" s="419"/>
      <c r="EC208" s="419"/>
      <c r="ED208" s="420"/>
      <c r="EE208" s="419"/>
      <c r="EF208" s="420"/>
      <c r="EG208" s="419"/>
      <c r="EH208" s="419"/>
      <c r="EI208" s="419"/>
      <c r="EJ208" s="420"/>
      <c r="EK208" s="420"/>
      <c r="EL208" s="419"/>
      <c r="EN208" s="419"/>
      <c r="EO208" s="419"/>
      <c r="EP208" s="419"/>
      <c r="EQ208" s="419"/>
      <c r="ER208" s="419"/>
      <c r="ES208" s="419"/>
      <c r="ET208" s="419"/>
      <c r="EU208" s="419"/>
      <c r="EV208" s="419">
        <v>2663645.25</v>
      </c>
      <c r="EW208" s="419"/>
      <c r="EX208" s="419">
        <v>159818.72</v>
      </c>
      <c r="EY208" s="419">
        <f t="shared" si="222"/>
        <v>2663645.33</v>
      </c>
      <c r="EZ208" s="419">
        <f t="shared" si="242"/>
        <v>0.08</v>
      </c>
      <c r="FA208" s="420">
        <v>763312.81</v>
      </c>
      <c r="FB208" s="420"/>
      <c r="FC208" s="420">
        <v>45798.78</v>
      </c>
      <c r="FD208" s="420">
        <f t="shared" si="223"/>
        <v>763313</v>
      </c>
      <c r="FE208" s="420">
        <f t="shared" si="224"/>
        <v>0.19</v>
      </c>
      <c r="FF208" s="419">
        <v>42563.6</v>
      </c>
      <c r="FG208" s="419"/>
      <c r="FH208" s="419">
        <v>2553.81</v>
      </c>
      <c r="FI208" s="419">
        <f t="shared" si="225"/>
        <v>42563.5</v>
      </c>
      <c r="FJ208" s="419">
        <f t="shared" si="226"/>
        <v>-0.1</v>
      </c>
      <c r="FK208" s="419">
        <v>2572814.75</v>
      </c>
      <c r="FL208" s="419"/>
      <c r="FM208" s="419">
        <v>154368.88</v>
      </c>
      <c r="FN208" s="420">
        <f t="shared" si="227"/>
        <v>2572814.67</v>
      </c>
      <c r="FO208" s="423">
        <f t="shared" si="228"/>
        <v>-0.08</v>
      </c>
      <c r="FP208" s="431">
        <v>961024.93</v>
      </c>
      <c r="FQ208" s="431">
        <v>0</v>
      </c>
      <c r="FR208" s="431">
        <v>57661.5</v>
      </c>
      <c r="FS208" s="420">
        <f t="shared" si="229"/>
        <v>961025</v>
      </c>
      <c r="FT208" s="420">
        <f t="shared" si="230"/>
        <v>6.99999999487773E-2</v>
      </c>
      <c r="FU208" s="419">
        <v>1702296.72</v>
      </c>
      <c r="FV208" s="419"/>
      <c r="FW208" s="419">
        <v>102137.81</v>
      </c>
      <c r="FX208" s="420">
        <f t="shared" si="231"/>
        <v>1702296.83</v>
      </c>
      <c r="FY208" s="420">
        <f t="shared" si="232"/>
        <v>0.110000000102445</v>
      </c>
      <c r="FZ208" s="419">
        <v>267206.75</v>
      </c>
      <c r="GA208" s="419"/>
      <c r="GB208" s="419">
        <v>16032.4</v>
      </c>
      <c r="GC208" s="420">
        <f t="shared" si="233"/>
        <v>267206.67</v>
      </c>
      <c r="GD208" s="420">
        <f t="shared" si="234"/>
        <v>-8.0000000016298103E-2</v>
      </c>
      <c r="GE208" s="419">
        <v>962135.06</v>
      </c>
      <c r="GF208" s="419"/>
      <c r="GG208" s="419">
        <v>57728.1</v>
      </c>
      <c r="GH208" s="420">
        <f t="shared" si="235"/>
        <v>962135</v>
      </c>
      <c r="GI208" s="423">
        <f t="shared" si="236"/>
        <v>-6.0000000055879403E-2</v>
      </c>
      <c r="GJ208" s="437">
        <v>1368542.9</v>
      </c>
      <c r="GK208" s="419"/>
      <c r="GL208" s="419">
        <v>82112.570000000007</v>
      </c>
      <c r="GM208" s="420">
        <f t="shared" si="237"/>
        <v>1368542.83333333</v>
      </c>
      <c r="GN208" s="420">
        <f t="shared" si="238"/>
        <v>-6.6666666418313994E-2</v>
      </c>
      <c r="GO208" s="419">
        <v>33327.15</v>
      </c>
      <c r="GP208" s="419"/>
      <c r="GQ208" s="419">
        <v>1999.63</v>
      </c>
      <c r="GR208" s="420">
        <f t="shared" si="243"/>
        <v>33327.166666666701</v>
      </c>
      <c r="GS208" s="423">
        <f t="shared" si="239"/>
        <v>1.66666666700621E-2</v>
      </c>
      <c r="GT208" s="419">
        <v>882843.44</v>
      </c>
      <c r="GU208" s="419"/>
      <c r="GV208" s="419">
        <v>52970.6</v>
      </c>
      <c r="GW208" s="420">
        <f t="shared" si="240"/>
        <v>882843.33</v>
      </c>
      <c r="GX208" s="420">
        <f t="shared" si="241"/>
        <v>-0.10999999998602999</v>
      </c>
    </row>
    <row r="209" spans="1:206" ht="15">
      <c r="A209" s="414"/>
      <c r="B209" s="415" t="s">
        <v>582</v>
      </c>
      <c r="C209" s="698"/>
      <c r="D209" s="704" t="s">
        <v>583</v>
      </c>
      <c r="E209" s="434" t="s">
        <v>123</v>
      </c>
      <c r="F209" s="417">
        <v>0.13</v>
      </c>
      <c r="G209" s="418">
        <f t="shared" si="219"/>
        <v>0</v>
      </c>
      <c r="H209" s="418">
        <f t="shared" si="220"/>
        <v>0</v>
      </c>
      <c r="I209" s="418">
        <f t="shared" si="220"/>
        <v>0</v>
      </c>
      <c r="J209" s="418">
        <f t="shared" si="221"/>
        <v>0</v>
      </c>
      <c r="K209" s="418">
        <f t="shared" si="217"/>
        <v>0</v>
      </c>
      <c r="L209" s="418">
        <f t="shared" si="218"/>
        <v>0</v>
      </c>
      <c r="M209" s="424"/>
      <c r="N209" s="424"/>
      <c r="O209" s="424"/>
      <c r="P209" s="424"/>
      <c r="Q209" s="419"/>
      <c r="R209" s="419"/>
      <c r="S209" s="419"/>
      <c r="T209" s="420"/>
      <c r="U209" s="423"/>
      <c r="V209" s="420"/>
      <c r="W209" s="420"/>
      <c r="X209" s="419"/>
      <c r="Y209" s="419"/>
      <c r="Z209" s="423"/>
      <c r="AA209" s="423"/>
      <c r="AB209" s="419"/>
      <c r="AC209" s="423"/>
      <c r="AD209" s="420"/>
      <c r="AE209" s="423"/>
      <c r="AF209" s="444"/>
      <c r="AG209" s="419"/>
      <c r="AH209" s="420"/>
      <c r="AI209" s="420"/>
      <c r="AJ209" s="423"/>
      <c r="AK209" s="444"/>
      <c r="AL209" s="420"/>
      <c r="AM209" s="420"/>
      <c r="AN209" s="420"/>
      <c r="AO209" s="423"/>
      <c r="AP209" s="420"/>
      <c r="AQ209" s="419"/>
      <c r="AR209" s="420"/>
      <c r="AS209" s="420"/>
      <c r="AT209" s="420"/>
      <c r="AU209" s="420"/>
      <c r="AV209" s="420"/>
      <c r="AW209" s="420"/>
      <c r="AX209" s="426"/>
      <c r="AY209" s="420"/>
      <c r="AZ209" s="420"/>
      <c r="BA209" s="420"/>
      <c r="BB209" s="419"/>
      <c r="BC209" s="420"/>
      <c r="BD209" s="427"/>
      <c r="BE209" s="420"/>
      <c r="BF209" s="420"/>
      <c r="BG209" s="420"/>
      <c r="BH209" s="423"/>
      <c r="BI209" s="420"/>
      <c r="BJ209" s="420"/>
      <c r="BK209" s="420"/>
      <c r="BL209" s="420"/>
      <c r="BM209" s="420"/>
      <c r="BN209" s="420"/>
      <c r="BO209" s="419"/>
      <c r="BP209" s="428"/>
      <c r="BQ209" s="420"/>
      <c r="BR209" s="423"/>
      <c r="BS209" s="423"/>
      <c r="BT209" s="420"/>
      <c r="BU209" s="420"/>
      <c r="BV209" s="420"/>
      <c r="BW209" s="420"/>
      <c r="BX209" s="429"/>
      <c r="BY209" s="419"/>
      <c r="BZ209" s="419"/>
      <c r="CA209" s="419"/>
      <c r="CB209" s="420"/>
      <c r="CC209" s="430"/>
      <c r="CD209" s="419"/>
      <c r="CE209" s="419"/>
      <c r="CF209" s="419"/>
      <c r="CG209" s="420"/>
      <c r="CH209" s="423"/>
      <c r="CI209" s="432"/>
      <c r="CJ209" s="432"/>
      <c r="CK209" s="432"/>
      <c r="CL209" s="420"/>
      <c r="CM209" s="423"/>
      <c r="CN209" s="420"/>
      <c r="CO209" s="420"/>
      <c r="CP209" s="420"/>
      <c r="CQ209" s="432"/>
      <c r="CR209" s="432"/>
      <c r="CS209" s="420"/>
      <c r="CT209" s="420"/>
      <c r="CU209" s="420"/>
      <c r="CV209" s="420"/>
      <c r="CW209" s="420"/>
      <c r="CX209" s="419"/>
      <c r="CY209" s="419"/>
      <c r="CZ209" s="419"/>
      <c r="DA209" s="419"/>
      <c r="DB209" s="419"/>
      <c r="DC209" s="419"/>
      <c r="DD209" s="419"/>
      <c r="DE209" s="419"/>
      <c r="DF209" s="420"/>
      <c r="DG209" s="421"/>
      <c r="DH209" s="419"/>
      <c r="DI209" s="419"/>
      <c r="DJ209" s="419"/>
      <c r="DK209" s="420"/>
      <c r="DL209" s="422"/>
      <c r="DM209" s="420"/>
      <c r="DN209" s="420"/>
      <c r="DO209" s="420"/>
      <c r="DP209" s="420"/>
      <c r="DQ209" s="420"/>
      <c r="DR209" s="419"/>
      <c r="DS209" s="419"/>
      <c r="DT209" s="419"/>
      <c r="DU209" s="420"/>
      <c r="DV209" s="423"/>
      <c r="DW209" s="419"/>
      <c r="DX209" s="419"/>
      <c r="DY209" s="419"/>
      <c r="DZ209" s="420"/>
      <c r="EA209" s="423"/>
      <c r="EB209" s="419"/>
      <c r="EC209" s="419"/>
      <c r="ED209" s="420"/>
      <c r="EE209" s="419"/>
      <c r="EF209" s="420"/>
      <c r="EG209" s="419"/>
      <c r="EH209" s="419"/>
      <c r="EI209" s="419"/>
      <c r="EJ209" s="420"/>
      <c r="EK209" s="420"/>
      <c r="EL209" s="419"/>
      <c r="EM209" s="419"/>
      <c r="EN209" s="419"/>
      <c r="EO209" s="419"/>
      <c r="EP209" s="419"/>
      <c r="EQ209" s="419"/>
      <c r="ER209" s="419"/>
      <c r="ES209" s="419"/>
      <c r="ET209" s="419"/>
      <c r="EU209" s="419"/>
      <c r="EV209" s="419"/>
      <c r="EW209" s="419"/>
      <c r="EX209" s="419"/>
      <c r="EY209" s="419">
        <f t="shared" si="222"/>
        <v>0</v>
      </c>
      <c r="EZ209" s="419">
        <f t="shared" si="242"/>
        <v>0</v>
      </c>
      <c r="FA209" s="420"/>
      <c r="FB209" s="420"/>
      <c r="FC209" s="420"/>
      <c r="FD209" s="420">
        <f t="shared" si="223"/>
        <v>0</v>
      </c>
      <c r="FE209" s="420">
        <f t="shared" si="224"/>
        <v>0</v>
      </c>
      <c r="FF209" s="419"/>
      <c r="FG209" s="419"/>
      <c r="FH209" s="419"/>
      <c r="FI209" s="419">
        <f t="shared" si="225"/>
        <v>0</v>
      </c>
      <c r="FJ209" s="419">
        <f t="shared" si="226"/>
        <v>0</v>
      </c>
      <c r="FK209" s="419"/>
      <c r="FL209" s="419"/>
      <c r="FM209" s="419"/>
      <c r="FN209" s="420">
        <f t="shared" si="227"/>
        <v>0</v>
      </c>
      <c r="FO209" s="423">
        <f t="shared" si="228"/>
        <v>0</v>
      </c>
      <c r="FP209" s="419"/>
      <c r="FQ209" s="419"/>
      <c r="FR209" s="419"/>
      <c r="FS209" s="420">
        <f t="shared" si="229"/>
        <v>0</v>
      </c>
      <c r="FT209" s="420">
        <f t="shared" si="230"/>
        <v>0</v>
      </c>
      <c r="FU209" s="419"/>
      <c r="FV209" s="419"/>
      <c r="FW209" s="419"/>
      <c r="FX209" s="420">
        <f t="shared" si="231"/>
        <v>0</v>
      </c>
      <c r="FY209" s="420">
        <f t="shared" si="232"/>
        <v>0</v>
      </c>
      <c r="FZ209" s="419"/>
      <c r="GA209" s="419"/>
      <c r="GB209" s="419"/>
      <c r="GC209" s="420">
        <f t="shared" si="233"/>
        <v>0</v>
      </c>
      <c r="GD209" s="420">
        <f t="shared" si="234"/>
        <v>0</v>
      </c>
      <c r="GE209" s="419"/>
      <c r="GF209" s="419"/>
      <c r="GG209" s="419"/>
      <c r="GH209" s="420">
        <f t="shared" si="235"/>
        <v>0</v>
      </c>
      <c r="GI209" s="423">
        <f t="shared" si="236"/>
        <v>0</v>
      </c>
      <c r="GJ209" s="419"/>
      <c r="GK209" s="419"/>
      <c r="GL209" s="419"/>
      <c r="GM209" s="420">
        <f t="shared" si="237"/>
        <v>0</v>
      </c>
      <c r="GN209" s="420">
        <f t="shared" si="238"/>
        <v>0</v>
      </c>
      <c r="GO209" s="419"/>
      <c r="GP209" s="419"/>
      <c r="GQ209" s="419"/>
      <c r="GR209" s="420">
        <f t="shared" si="243"/>
        <v>0</v>
      </c>
      <c r="GS209" s="423">
        <f t="shared" si="239"/>
        <v>0</v>
      </c>
      <c r="GT209" s="419"/>
      <c r="GU209" s="419"/>
      <c r="GV209" s="419"/>
      <c r="GW209" s="420">
        <f t="shared" si="240"/>
        <v>0</v>
      </c>
      <c r="GX209" s="420">
        <f t="shared" si="241"/>
        <v>0</v>
      </c>
    </row>
    <row r="210" spans="1:206" ht="15">
      <c r="A210" s="414"/>
      <c r="B210" s="415" t="s">
        <v>582</v>
      </c>
      <c r="C210" s="698"/>
      <c r="D210" s="705"/>
      <c r="E210" s="434" t="s">
        <v>124</v>
      </c>
      <c r="F210" s="417">
        <v>0.09</v>
      </c>
      <c r="G210" s="418">
        <f t="shared" si="219"/>
        <v>0</v>
      </c>
      <c r="H210" s="418">
        <f t="shared" si="220"/>
        <v>0</v>
      </c>
      <c r="I210" s="418">
        <f t="shared" si="220"/>
        <v>0</v>
      </c>
      <c r="J210" s="418">
        <f t="shared" si="221"/>
        <v>0</v>
      </c>
      <c r="K210" s="418">
        <f t="shared" si="217"/>
        <v>0</v>
      </c>
      <c r="L210" s="418">
        <f t="shared" si="218"/>
        <v>0</v>
      </c>
      <c r="M210" s="424"/>
      <c r="N210" s="424"/>
      <c r="O210" s="424"/>
      <c r="P210" s="424"/>
      <c r="Q210" s="419"/>
      <c r="R210" s="419"/>
      <c r="S210" s="419"/>
      <c r="T210" s="420"/>
      <c r="U210" s="423"/>
      <c r="V210" s="420"/>
      <c r="W210" s="420"/>
      <c r="X210" s="419"/>
      <c r="Y210" s="419"/>
      <c r="Z210" s="423"/>
      <c r="AA210" s="423"/>
      <c r="AB210" s="419"/>
      <c r="AC210" s="423"/>
      <c r="AD210" s="420"/>
      <c r="AE210" s="423"/>
      <c r="AF210" s="444"/>
      <c r="AG210" s="419"/>
      <c r="AH210" s="420"/>
      <c r="AI210" s="420"/>
      <c r="AJ210" s="423"/>
      <c r="AK210" s="444"/>
      <c r="AL210" s="420"/>
      <c r="AM210" s="420"/>
      <c r="AN210" s="420"/>
      <c r="AO210" s="423"/>
      <c r="AP210" s="420"/>
      <c r="AQ210" s="419"/>
      <c r="AR210" s="420"/>
      <c r="AS210" s="420"/>
      <c r="AT210" s="420"/>
      <c r="AU210" s="420"/>
      <c r="AV210" s="420"/>
      <c r="AW210" s="420"/>
      <c r="AX210" s="426"/>
      <c r="AY210" s="420"/>
      <c r="AZ210" s="420"/>
      <c r="BA210" s="420"/>
      <c r="BB210" s="419"/>
      <c r="BC210" s="420"/>
      <c r="BD210" s="427"/>
      <c r="BE210" s="420"/>
      <c r="BF210" s="420"/>
      <c r="BG210" s="420"/>
      <c r="BH210" s="423"/>
      <c r="BI210" s="420"/>
      <c r="BJ210" s="420"/>
      <c r="BK210" s="420"/>
      <c r="BL210" s="420"/>
      <c r="BM210" s="420"/>
      <c r="BN210" s="420"/>
      <c r="BO210" s="419"/>
      <c r="BP210" s="428"/>
      <c r="BQ210" s="420"/>
      <c r="BR210" s="423"/>
      <c r="BS210" s="423"/>
      <c r="BT210" s="420"/>
      <c r="BU210" s="420"/>
      <c r="BV210" s="420"/>
      <c r="BW210" s="420"/>
      <c r="BX210" s="429"/>
      <c r="BY210" s="419"/>
      <c r="BZ210" s="419"/>
      <c r="CA210" s="419"/>
      <c r="CB210" s="420"/>
      <c r="CC210" s="430"/>
      <c r="CD210" s="419"/>
      <c r="CE210" s="419"/>
      <c r="CF210" s="419"/>
      <c r="CG210" s="420"/>
      <c r="CH210" s="423"/>
      <c r="CI210" s="432"/>
      <c r="CJ210" s="432"/>
      <c r="CK210" s="432"/>
      <c r="CL210" s="420"/>
      <c r="CM210" s="423"/>
      <c r="CN210" s="420"/>
      <c r="CO210" s="420"/>
      <c r="CP210" s="420"/>
      <c r="CQ210" s="432"/>
      <c r="CR210" s="432"/>
      <c r="CS210" s="420"/>
      <c r="CT210" s="420"/>
      <c r="CU210" s="420"/>
      <c r="CV210" s="420"/>
      <c r="CW210" s="420"/>
      <c r="CX210" s="419"/>
      <c r="CY210" s="419"/>
      <c r="CZ210" s="419"/>
      <c r="DA210" s="419"/>
      <c r="DB210" s="419"/>
      <c r="DC210" s="419"/>
      <c r="DD210" s="419"/>
      <c r="DE210" s="419"/>
      <c r="DF210" s="420"/>
      <c r="DG210" s="421"/>
      <c r="DH210" s="419"/>
      <c r="DI210" s="419"/>
      <c r="DJ210" s="419"/>
      <c r="DK210" s="420"/>
      <c r="DL210" s="422"/>
      <c r="DM210" s="420"/>
      <c r="DN210" s="420"/>
      <c r="DO210" s="420"/>
      <c r="DP210" s="420"/>
      <c r="DQ210" s="420"/>
      <c r="DR210" s="419"/>
      <c r="DS210" s="419"/>
      <c r="DT210" s="419"/>
      <c r="DU210" s="420"/>
      <c r="DV210" s="423"/>
      <c r="DW210" s="419"/>
      <c r="DX210" s="419"/>
      <c r="DY210" s="419"/>
      <c r="DZ210" s="420"/>
      <c r="EA210" s="423"/>
      <c r="EB210" s="419"/>
      <c r="EC210" s="419"/>
      <c r="ED210" s="420"/>
      <c r="EE210" s="419"/>
      <c r="EF210" s="420"/>
      <c r="EG210" s="419"/>
      <c r="EH210" s="419"/>
      <c r="EI210" s="419"/>
      <c r="EJ210" s="420"/>
      <c r="EK210" s="420"/>
      <c r="EL210" s="419"/>
      <c r="EN210" s="419"/>
      <c r="EO210" s="419"/>
      <c r="EP210" s="419"/>
      <c r="EQ210" s="419"/>
      <c r="ER210" s="419"/>
      <c r="ES210" s="419"/>
      <c r="ET210" s="419"/>
      <c r="EU210" s="419"/>
      <c r="EV210" s="419"/>
      <c r="EW210" s="419"/>
      <c r="EX210" s="419"/>
      <c r="EY210" s="419">
        <f t="shared" si="222"/>
        <v>0</v>
      </c>
      <c r="EZ210" s="419">
        <f t="shared" si="242"/>
        <v>0</v>
      </c>
      <c r="FA210" s="420"/>
      <c r="FB210" s="420"/>
      <c r="FC210" s="420"/>
      <c r="FD210" s="420">
        <f t="shared" si="223"/>
        <v>0</v>
      </c>
      <c r="FE210" s="420">
        <f t="shared" si="224"/>
        <v>0</v>
      </c>
      <c r="FF210" s="419"/>
      <c r="FG210" s="419"/>
      <c r="FH210" s="419"/>
      <c r="FI210" s="419">
        <f t="shared" si="225"/>
        <v>0</v>
      </c>
      <c r="FJ210" s="419">
        <f t="shared" si="226"/>
        <v>0</v>
      </c>
      <c r="FK210" s="419"/>
      <c r="FL210" s="419"/>
      <c r="FM210" s="419"/>
      <c r="FN210" s="420">
        <f t="shared" si="227"/>
        <v>0</v>
      </c>
      <c r="FO210" s="423">
        <f t="shared" si="228"/>
        <v>0</v>
      </c>
      <c r="FP210" s="419"/>
      <c r="FQ210" s="419"/>
      <c r="FR210" s="419"/>
      <c r="FS210" s="420">
        <f t="shared" si="229"/>
        <v>0</v>
      </c>
      <c r="FT210" s="420">
        <f t="shared" si="230"/>
        <v>0</v>
      </c>
      <c r="FU210" s="419"/>
      <c r="FV210" s="419"/>
      <c r="FW210" s="419"/>
      <c r="FX210" s="420">
        <f t="shared" si="231"/>
        <v>0</v>
      </c>
      <c r="FY210" s="420">
        <f t="shared" si="232"/>
        <v>0</v>
      </c>
      <c r="FZ210" s="419"/>
      <c r="GA210" s="419"/>
      <c r="GB210" s="419"/>
      <c r="GC210" s="420">
        <f t="shared" si="233"/>
        <v>0</v>
      </c>
      <c r="GD210" s="420">
        <f t="shared" si="234"/>
        <v>0</v>
      </c>
      <c r="GE210" s="419"/>
      <c r="GF210" s="419"/>
      <c r="GG210" s="419"/>
      <c r="GH210" s="420">
        <f t="shared" si="235"/>
        <v>0</v>
      </c>
      <c r="GI210" s="423">
        <f t="shared" si="236"/>
        <v>0</v>
      </c>
      <c r="GJ210" s="419"/>
      <c r="GK210" s="419"/>
      <c r="GL210" s="419"/>
      <c r="GM210" s="420">
        <f t="shared" si="237"/>
        <v>0</v>
      </c>
      <c r="GN210" s="420">
        <f t="shared" si="238"/>
        <v>0</v>
      </c>
      <c r="GO210" s="419"/>
      <c r="GP210" s="419"/>
      <c r="GQ210" s="419"/>
      <c r="GR210" s="420">
        <f t="shared" si="243"/>
        <v>0</v>
      </c>
      <c r="GS210" s="423">
        <f t="shared" si="239"/>
        <v>0</v>
      </c>
      <c r="GT210" s="419"/>
      <c r="GU210" s="419"/>
      <c r="GV210" s="419"/>
      <c r="GW210" s="420">
        <f t="shared" si="240"/>
        <v>0</v>
      </c>
      <c r="GX210" s="420">
        <f t="shared" si="241"/>
        <v>0</v>
      </c>
    </row>
    <row r="211" spans="1:206" ht="15">
      <c r="A211" s="414"/>
      <c r="B211" s="415" t="s">
        <v>582</v>
      </c>
      <c r="C211" s="698"/>
      <c r="D211" s="707"/>
      <c r="E211" s="434" t="s">
        <v>125</v>
      </c>
      <c r="F211" s="417">
        <v>0.06</v>
      </c>
      <c r="G211" s="418">
        <f t="shared" si="219"/>
        <v>73502.39</v>
      </c>
      <c r="H211" s="418">
        <f t="shared" si="220"/>
        <v>0</v>
      </c>
      <c r="I211" s="418">
        <f t="shared" si="220"/>
        <v>4410.1400000000003</v>
      </c>
      <c r="J211" s="418">
        <f t="shared" si="221"/>
        <v>73502.333333333299</v>
      </c>
      <c r="K211" s="418">
        <f t="shared" si="217"/>
        <v>73502.333333333299</v>
      </c>
      <c r="L211" s="418">
        <f t="shared" si="218"/>
        <v>-5.6666666656383299E-2</v>
      </c>
      <c r="M211" s="424"/>
      <c r="N211" s="424"/>
      <c r="O211" s="424"/>
      <c r="P211" s="424"/>
      <c r="Q211" s="419"/>
      <c r="R211" s="419"/>
      <c r="S211" s="419"/>
      <c r="T211" s="420"/>
      <c r="U211" s="423"/>
      <c r="V211" s="420"/>
      <c r="W211" s="420"/>
      <c r="X211" s="419"/>
      <c r="Y211" s="419"/>
      <c r="Z211" s="423"/>
      <c r="AA211" s="423"/>
      <c r="AB211" s="419"/>
      <c r="AC211" s="423"/>
      <c r="AD211" s="420"/>
      <c r="AE211" s="423"/>
      <c r="AF211" s="444"/>
      <c r="AG211" s="419"/>
      <c r="AH211" s="420"/>
      <c r="AI211" s="420"/>
      <c r="AJ211" s="423"/>
      <c r="AK211" s="444"/>
      <c r="AL211" s="420"/>
      <c r="AM211" s="420"/>
      <c r="AN211" s="420"/>
      <c r="AO211" s="423"/>
      <c r="AP211" s="420"/>
      <c r="AQ211" s="419"/>
      <c r="AR211" s="420"/>
      <c r="AS211" s="420"/>
      <c r="AT211" s="420"/>
      <c r="AU211" s="420"/>
      <c r="AV211" s="420"/>
      <c r="AW211" s="420"/>
      <c r="AX211" s="426"/>
      <c r="AY211" s="420"/>
      <c r="AZ211" s="420"/>
      <c r="BA211" s="420"/>
      <c r="BB211" s="419"/>
      <c r="BC211" s="420"/>
      <c r="BD211" s="427"/>
      <c r="BE211" s="420"/>
      <c r="BF211" s="420"/>
      <c r="BG211" s="420"/>
      <c r="BH211" s="423"/>
      <c r="BI211" s="420"/>
      <c r="BJ211" s="420"/>
      <c r="BK211" s="420"/>
      <c r="BL211" s="420"/>
      <c r="BM211" s="420"/>
      <c r="BN211" s="420"/>
      <c r="BO211" s="419"/>
      <c r="BP211" s="428"/>
      <c r="BQ211" s="420"/>
      <c r="BR211" s="423"/>
      <c r="BS211" s="423"/>
      <c r="BT211" s="420"/>
      <c r="BU211" s="420"/>
      <c r="BV211" s="420"/>
      <c r="BW211" s="420"/>
      <c r="BX211" s="429"/>
      <c r="BY211" s="419"/>
      <c r="BZ211" s="419"/>
      <c r="CA211" s="419"/>
      <c r="CB211" s="420"/>
      <c r="CC211" s="430"/>
      <c r="CD211" s="419"/>
      <c r="CE211" s="419"/>
      <c r="CF211" s="419"/>
      <c r="CG211" s="420"/>
      <c r="CH211" s="423"/>
      <c r="CI211" s="432"/>
      <c r="CJ211" s="432"/>
      <c r="CK211" s="432"/>
      <c r="CL211" s="420"/>
      <c r="CM211" s="423"/>
      <c r="CN211" s="420"/>
      <c r="CO211" s="420"/>
      <c r="CP211" s="420"/>
      <c r="CQ211" s="432"/>
      <c r="CR211" s="432"/>
      <c r="CS211" s="420"/>
      <c r="CT211" s="420"/>
      <c r="CU211" s="420"/>
      <c r="CV211" s="420"/>
      <c r="CW211" s="420"/>
      <c r="CX211" s="419"/>
      <c r="CY211" s="419"/>
      <c r="CZ211" s="419"/>
      <c r="DA211" s="419"/>
      <c r="DB211" s="419"/>
      <c r="DC211" s="419"/>
      <c r="DD211" s="419"/>
      <c r="DE211" s="419"/>
      <c r="DF211" s="420"/>
      <c r="DG211" s="421"/>
      <c r="DH211" s="419"/>
      <c r="DI211" s="419"/>
      <c r="DJ211" s="419"/>
      <c r="DK211" s="420"/>
      <c r="DL211" s="422"/>
      <c r="DM211" s="420"/>
      <c r="DN211" s="420"/>
      <c r="DO211" s="420"/>
      <c r="DP211" s="420"/>
      <c r="DQ211" s="420"/>
      <c r="DR211" s="419"/>
      <c r="DS211" s="419"/>
      <c r="DT211" s="419"/>
      <c r="DU211" s="420"/>
      <c r="DV211" s="423"/>
      <c r="DW211" s="419"/>
      <c r="DX211" s="419"/>
      <c r="DY211" s="419"/>
      <c r="DZ211" s="420"/>
      <c r="EA211" s="423"/>
      <c r="EB211" s="419"/>
      <c r="EC211" s="419"/>
      <c r="ED211" s="420"/>
      <c r="EE211" s="419"/>
      <c r="EF211" s="420"/>
      <c r="EG211" s="419"/>
      <c r="EH211" s="419"/>
      <c r="EI211" s="419"/>
      <c r="EJ211" s="420"/>
      <c r="EK211" s="420"/>
      <c r="EL211" s="419"/>
      <c r="EN211" s="419"/>
      <c r="EO211" s="419"/>
      <c r="EP211" s="419"/>
      <c r="EQ211" s="419"/>
      <c r="ER211" s="419"/>
      <c r="ES211" s="419"/>
      <c r="ET211" s="419"/>
      <c r="EU211" s="419"/>
      <c r="EV211" s="419">
        <v>46183.519999999997</v>
      </c>
      <c r="EW211" s="419"/>
      <c r="EX211" s="419">
        <v>2771.01</v>
      </c>
      <c r="EY211" s="419">
        <f t="shared" si="222"/>
        <v>46183.5</v>
      </c>
      <c r="EZ211" s="419">
        <f t="shared" si="242"/>
        <v>-0.02</v>
      </c>
      <c r="FA211" s="420">
        <v>27318.87</v>
      </c>
      <c r="FB211" s="420"/>
      <c r="FC211" s="420">
        <v>1639.13</v>
      </c>
      <c r="FD211" s="420">
        <f t="shared" si="223"/>
        <v>27318.83</v>
      </c>
      <c r="FE211" s="420">
        <f t="shared" si="224"/>
        <v>-0.04</v>
      </c>
      <c r="FF211" s="419"/>
      <c r="FG211" s="419"/>
      <c r="FH211" s="419"/>
      <c r="FI211" s="419">
        <f t="shared" si="225"/>
        <v>0</v>
      </c>
      <c r="FJ211" s="419">
        <f t="shared" si="226"/>
        <v>0</v>
      </c>
      <c r="FK211" s="419"/>
      <c r="FL211" s="419"/>
      <c r="FM211" s="419"/>
      <c r="FN211" s="420">
        <f t="shared" si="227"/>
        <v>0</v>
      </c>
      <c r="FO211" s="423">
        <f t="shared" si="228"/>
        <v>0</v>
      </c>
      <c r="FP211" s="419"/>
      <c r="FQ211" s="419"/>
      <c r="FR211" s="419"/>
      <c r="FS211" s="420">
        <f t="shared" si="229"/>
        <v>0</v>
      </c>
      <c r="FT211" s="420">
        <f t="shared" si="230"/>
        <v>0</v>
      </c>
      <c r="FU211" s="419"/>
      <c r="FV211" s="419"/>
      <c r="FW211" s="419"/>
      <c r="FX211" s="420">
        <f t="shared" si="231"/>
        <v>0</v>
      </c>
      <c r="FY211" s="420">
        <f t="shared" si="232"/>
        <v>0</v>
      </c>
      <c r="FZ211" s="419"/>
      <c r="GA211" s="419"/>
      <c r="GB211" s="419"/>
      <c r="GC211" s="420">
        <f t="shared" si="233"/>
        <v>0</v>
      </c>
      <c r="GD211" s="420">
        <f t="shared" si="234"/>
        <v>0</v>
      </c>
      <c r="GE211" s="419"/>
      <c r="GF211" s="419"/>
      <c r="GG211" s="419"/>
      <c r="GH211" s="420">
        <f t="shared" si="235"/>
        <v>0</v>
      </c>
      <c r="GI211" s="423">
        <f t="shared" si="236"/>
        <v>0</v>
      </c>
      <c r="GJ211" s="419"/>
      <c r="GK211" s="419"/>
      <c r="GL211" s="419"/>
      <c r="GM211" s="420">
        <f t="shared" si="237"/>
        <v>0</v>
      </c>
      <c r="GN211" s="420">
        <f t="shared" si="238"/>
        <v>0</v>
      </c>
      <c r="GO211" s="419"/>
      <c r="GP211" s="419"/>
      <c r="GQ211" s="419"/>
      <c r="GR211" s="420">
        <f t="shared" si="243"/>
        <v>0</v>
      </c>
      <c r="GS211" s="423">
        <f t="shared" si="239"/>
        <v>0</v>
      </c>
      <c r="GT211" s="419"/>
      <c r="GU211" s="419"/>
      <c r="GV211" s="419"/>
      <c r="GW211" s="420">
        <f t="shared" si="240"/>
        <v>0</v>
      </c>
      <c r="GX211" s="420">
        <f t="shared" si="241"/>
        <v>0</v>
      </c>
    </row>
    <row r="212" spans="1:206" ht="15">
      <c r="A212" s="414"/>
      <c r="B212" s="415" t="s">
        <v>582</v>
      </c>
      <c r="C212" s="698"/>
      <c r="D212" s="704" t="s">
        <v>584</v>
      </c>
      <c r="E212" s="434" t="s">
        <v>123</v>
      </c>
      <c r="F212" s="417">
        <v>0.13</v>
      </c>
      <c r="G212" s="418">
        <f t="shared" si="219"/>
        <v>20852755.68</v>
      </c>
      <c r="H212" s="418">
        <f t="shared" si="220"/>
        <v>0</v>
      </c>
      <c r="I212" s="418">
        <f t="shared" si="220"/>
        <v>2710858.25</v>
      </c>
      <c r="J212" s="418">
        <f t="shared" si="221"/>
        <v>20852755.769230802</v>
      </c>
      <c r="K212" s="418">
        <f t="shared" si="217"/>
        <v>20852755.769230802</v>
      </c>
      <c r="L212" s="418">
        <f t="shared" si="218"/>
        <v>8.92307683825493E-2</v>
      </c>
      <c r="M212" s="424"/>
      <c r="N212" s="424"/>
      <c r="O212" s="424"/>
      <c r="P212" s="424"/>
      <c r="Q212" s="419"/>
      <c r="R212" s="419"/>
      <c r="S212" s="419"/>
      <c r="T212" s="420"/>
      <c r="U212" s="423"/>
      <c r="V212" s="420"/>
      <c r="W212" s="420"/>
      <c r="X212" s="419"/>
      <c r="Y212" s="419"/>
      <c r="Z212" s="423"/>
      <c r="AA212" s="423"/>
      <c r="AB212" s="419"/>
      <c r="AC212" s="423"/>
      <c r="AD212" s="420"/>
      <c r="AE212" s="423"/>
      <c r="AF212" s="444"/>
      <c r="AG212" s="419"/>
      <c r="AH212" s="420"/>
      <c r="AI212" s="420"/>
      <c r="AJ212" s="423"/>
      <c r="AK212" s="444"/>
      <c r="AL212" s="420"/>
      <c r="AM212" s="420"/>
      <c r="AN212" s="420"/>
      <c r="AO212" s="423"/>
      <c r="AP212" s="420"/>
      <c r="AQ212" s="419"/>
      <c r="AR212" s="420"/>
      <c r="AS212" s="420"/>
      <c r="AT212" s="420"/>
      <c r="AU212" s="420"/>
      <c r="AV212" s="420"/>
      <c r="AW212" s="420"/>
      <c r="AX212" s="426"/>
      <c r="AY212" s="420"/>
      <c r="AZ212" s="420"/>
      <c r="BA212" s="420"/>
      <c r="BB212" s="419"/>
      <c r="BC212" s="420"/>
      <c r="BD212" s="427"/>
      <c r="BE212" s="420"/>
      <c r="BF212" s="420"/>
      <c r="BG212" s="420"/>
      <c r="BH212" s="423"/>
      <c r="BI212" s="420"/>
      <c r="BJ212" s="420"/>
      <c r="BK212" s="420"/>
      <c r="BL212" s="420"/>
      <c r="BM212" s="420"/>
      <c r="BN212" s="420"/>
      <c r="BO212" s="419"/>
      <c r="BP212" s="428"/>
      <c r="BQ212" s="420"/>
      <c r="BR212" s="423"/>
      <c r="BS212" s="423"/>
      <c r="BT212" s="420"/>
      <c r="BU212" s="420"/>
      <c r="BV212" s="420"/>
      <c r="BW212" s="420"/>
      <c r="BX212" s="429"/>
      <c r="BY212" s="419"/>
      <c r="BZ212" s="419"/>
      <c r="CA212" s="419"/>
      <c r="CB212" s="420"/>
      <c r="CC212" s="430"/>
      <c r="CD212" s="419"/>
      <c r="CE212" s="419"/>
      <c r="CF212" s="419"/>
      <c r="CG212" s="420"/>
      <c r="CH212" s="423"/>
      <c r="CI212" s="432"/>
      <c r="CJ212" s="432"/>
      <c r="CK212" s="432"/>
      <c r="CL212" s="420"/>
      <c r="CM212" s="423"/>
      <c r="CN212" s="420"/>
      <c r="CO212" s="420"/>
      <c r="CP212" s="420"/>
      <c r="CQ212" s="432"/>
      <c r="CR212" s="432"/>
      <c r="CS212" s="420"/>
      <c r="CT212" s="420"/>
      <c r="CU212" s="420"/>
      <c r="CV212" s="420"/>
      <c r="CW212" s="420"/>
      <c r="CX212" s="419"/>
      <c r="CY212" s="419"/>
      <c r="CZ212" s="419"/>
      <c r="DA212" s="419"/>
      <c r="DB212" s="419"/>
      <c r="DC212" s="419"/>
      <c r="DD212" s="419"/>
      <c r="DE212" s="419"/>
      <c r="DF212" s="420"/>
      <c r="DG212" s="421"/>
      <c r="DH212" s="419"/>
      <c r="DI212" s="419"/>
      <c r="DJ212" s="419"/>
      <c r="DK212" s="420"/>
      <c r="DL212" s="422"/>
      <c r="DM212" s="420"/>
      <c r="DN212" s="420"/>
      <c r="DO212" s="420"/>
      <c r="DP212" s="420"/>
      <c r="DQ212" s="420"/>
      <c r="DR212" s="419"/>
      <c r="DS212" s="419"/>
      <c r="DT212" s="419"/>
      <c r="DU212" s="420"/>
      <c r="DV212" s="423"/>
      <c r="DW212" s="419"/>
      <c r="DX212" s="419"/>
      <c r="DY212" s="419"/>
      <c r="DZ212" s="420"/>
      <c r="EA212" s="423"/>
      <c r="EB212" s="419"/>
      <c r="EC212" s="419"/>
      <c r="ED212" s="420"/>
      <c r="EE212" s="419"/>
      <c r="EF212" s="420"/>
      <c r="EG212" s="419"/>
      <c r="EH212" s="419"/>
      <c r="EI212" s="419"/>
      <c r="EJ212" s="420"/>
      <c r="EK212" s="420"/>
      <c r="EL212" s="419"/>
      <c r="EM212" s="419"/>
      <c r="EN212" s="419"/>
      <c r="EO212" s="419"/>
      <c r="EP212" s="419"/>
      <c r="EQ212" s="419"/>
      <c r="ER212" s="419"/>
      <c r="ES212" s="419"/>
      <c r="ET212" s="419"/>
      <c r="EU212" s="419"/>
      <c r="EV212" s="419"/>
      <c r="EW212" s="419"/>
      <c r="EX212" s="419"/>
      <c r="EY212" s="419">
        <f t="shared" si="222"/>
        <v>0</v>
      </c>
      <c r="EZ212" s="419">
        <f t="shared" si="242"/>
        <v>0</v>
      </c>
      <c r="FA212" s="420"/>
      <c r="FB212" s="420"/>
      <c r="FC212" s="420"/>
      <c r="FD212" s="420">
        <f t="shared" si="223"/>
        <v>0</v>
      </c>
      <c r="FE212" s="420">
        <f t="shared" si="224"/>
        <v>0</v>
      </c>
      <c r="FF212" s="419"/>
      <c r="FG212" s="419"/>
      <c r="FH212" s="419"/>
      <c r="FI212" s="419">
        <f t="shared" si="225"/>
        <v>0</v>
      </c>
      <c r="FJ212" s="419">
        <f t="shared" si="226"/>
        <v>0</v>
      </c>
      <c r="FK212" s="419"/>
      <c r="FL212" s="419"/>
      <c r="FM212" s="419"/>
      <c r="FN212" s="420">
        <f t="shared" si="227"/>
        <v>0</v>
      </c>
      <c r="FO212" s="423">
        <f t="shared" si="228"/>
        <v>0</v>
      </c>
      <c r="FP212" s="419"/>
      <c r="FQ212" s="419"/>
      <c r="FR212" s="419"/>
      <c r="FS212" s="420">
        <f t="shared" si="229"/>
        <v>0</v>
      </c>
      <c r="FT212" s="420">
        <f t="shared" si="230"/>
        <v>0</v>
      </c>
      <c r="FU212" s="419"/>
      <c r="FV212" s="419"/>
      <c r="FW212" s="419"/>
      <c r="FX212" s="420">
        <f t="shared" si="231"/>
        <v>0</v>
      </c>
      <c r="FY212" s="420">
        <f t="shared" si="232"/>
        <v>0</v>
      </c>
      <c r="FZ212" s="419"/>
      <c r="GA212" s="419"/>
      <c r="GB212" s="419"/>
      <c r="GC212" s="420">
        <f t="shared" si="233"/>
        <v>0</v>
      </c>
      <c r="GD212" s="420">
        <f t="shared" si="234"/>
        <v>0</v>
      </c>
      <c r="GE212" s="419"/>
      <c r="GF212" s="419"/>
      <c r="GG212" s="419"/>
      <c r="GH212" s="420">
        <f t="shared" si="235"/>
        <v>0</v>
      </c>
      <c r="GI212" s="423">
        <f t="shared" si="236"/>
        <v>0</v>
      </c>
      <c r="GJ212" s="419">
        <v>14049658.34</v>
      </c>
      <c r="GK212" s="419"/>
      <c r="GL212" s="419">
        <v>1826455.6</v>
      </c>
      <c r="GM212" s="420">
        <f t="shared" si="237"/>
        <v>14049658.461538499</v>
      </c>
      <c r="GN212" s="420">
        <f t="shared" si="238"/>
        <v>0.12153846211731401</v>
      </c>
      <c r="GO212" s="419"/>
      <c r="GP212" s="419"/>
      <c r="GQ212" s="419"/>
      <c r="GR212" s="420">
        <f t="shared" si="243"/>
        <v>0</v>
      </c>
      <c r="GS212" s="423">
        <f t="shared" si="239"/>
        <v>0</v>
      </c>
      <c r="GT212" s="419">
        <v>6803097.3399999999</v>
      </c>
      <c r="GU212" s="419"/>
      <c r="GV212" s="419">
        <v>884402.65</v>
      </c>
      <c r="GW212" s="420">
        <f t="shared" si="240"/>
        <v>6803097.3099999996</v>
      </c>
      <c r="GX212" s="420">
        <f t="shared" si="241"/>
        <v>-3.00000002607703E-2</v>
      </c>
    </row>
    <row r="213" spans="1:206" ht="15">
      <c r="A213" s="414"/>
      <c r="B213" s="415" t="s">
        <v>582</v>
      </c>
      <c r="C213" s="698"/>
      <c r="D213" s="705"/>
      <c r="E213" s="434" t="s">
        <v>124</v>
      </c>
      <c r="F213" s="417">
        <v>0.09</v>
      </c>
      <c r="G213" s="418">
        <f t="shared" si="219"/>
        <v>60685770.189999998</v>
      </c>
      <c r="H213" s="418">
        <f t="shared" si="220"/>
        <v>1829575</v>
      </c>
      <c r="I213" s="418">
        <f t="shared" si="220"/>
        <v>5461719.3200000003</v>
      </c>
      <c r="J213" s="418">
        <f t="shared" si="221"/>
        <v>60685770.222222202</v>
      </c>
      <c r="K213" s="418">
        <f t="shared" si="217"/>
        <v>58856195.222222202</v>
      </c>
      <c r="L213" s="418">
        <f t="shared" si="218"/>
        <v>3.2222226262092597E-2</v>
      </c>
      <c r="M213" s="424"/>
      <c r="N213" s="424"/>
      <c r="O213" s="424"/>
      <c r="P213" s="424"/>
      <c r="Q213" s="419"/>
      <c r="R213" s="419"/>
      <c r="S213" s="419"/>
      <c r="T213" s="420"/>
      <c r="U213" s="423"/>
      <c r="V213" s="420"/>
      <c r="W213" s="420"/>
      <c r="X213" s="419"/>
      <c r="Y213" s="419"/>
      <c r="Z213" s="423"/>
      <c r="AA213" s="423"/>
      <c r="AB213" s="419"/>
      <c r="AC213" s="423"/>
      <c r="AD213" s="420"/>
      <c r="AE213" s="423"/>
      <c r="AF213" s="444"/>
      <c r="AG213" s="419"/>
      <c r="AH213" s="420"/>
      <c r="AI213" s="420"/>
      <c r="AJ213" s="423"/>
      <c r="AK213" s="444"/>
      <c r="AL213" s="420"/>
      <c r="AM213" s="420"/>
      <c r="AN213" s="420"/>
      <c r="AO213" s="423"/>
      <c r="AP213" s="420"/>
      <c r="AQ213" s="419"/>
      <c r="AR213" s="420"/>
      <c r="AS213" s="420"/>
      <c r="AT213" s="420"/>
      <c r="AU213" s="420"/>
      <c r="AV213" s="420"/>
      <c r="AW213" s="420"/>
      <c r="AX213" s="426"/>
      <c r="AY213" s="420"/>
      <c r="AZ213" s="420"/>
      <c r="BA213" s="420"/>
      <c r="BB213" s="419"/>
      <c r="BC213" s="420"/>
      <c r="BD213" s="427"/>
      <c r="BE213" s="420"/>
      <c r="BF213" s="420"/>
      <c r="BG213" s="420"/>
      <c r="BH213" s="423"/>
      <c r="BI213" s="420"/>
      <c r="BJ213" s="420"/>
      <c r="BK213" s="420"/>
      <c r="BL213" s="420"/>
      <c r="BM213" s="420"/>
      <c r="BN213" s="420"/>
      <c r="BO213" s="419"/>
      <c r="BP213" s="428"/>
      <c r="BQ213" s="420"/>
      <c r="BR213" s="423"/>
      <c r="BS213" s="423"/>
      <c r="BT213" s="420"/>
      <c r="BU213" s="420"/>
      <c r="BV213" s="420"/>
      <c r="BW213" s="420"/>
      <c r="BX213" s="429"/>
      <c r="BY213" s="419"/>
      <c r="BZ213" s="419"/>
      <c r="CA213" s="419"/>
      <c r="CB213" s="420"/>
      <c r="CC213" s="430"/>
      <c r="CD213" s="419"/>
      <c r="CE213" s="419"/>
      <c r="CF213" s="419"/>
      <c r="CG213" s="420"/>
      <c r="CH213" s="423"/>
      <c r="CI213" s="432"/>
      <c r="CJ213" s="432"/>
      <c r="CK213" s="432"/>
      <c r="CL213" s="420"/>
      <c r="CM213" s="423"/>
      <c r="CN213" s="420"/>
      <c r="CO213" s="420"/>
      <c r="CP213" s="420"/>
      <c r="CQ213" s="432"/>
      <c r="CR213" s="432"/>
      <c r="CS213" s="420"/>
      <c r="CT213" s="420"/>
      <c r="CU213" s="420"/>
      <c r="CV213" s="420"/>
      <c r="CW213" s="420"/>
      <c r="CX213" s="419"/>
      <c r="CY213" s="419"/>
      <c r="CZ213" s="419"/>
      <c r="DA213" s="419"/>
      <c r="DB213" s="419"/>
      <c r="DC213" s="419"/>
      <c r="DD213" s="419"/>
      <c r="DE213" s="419"/>
      <c r="DF213" s="420"/>
      <c r="DG213" s="421"/>
      <c r="DH213" s="419"/>
      <c r="DI213" s="419"/>
      <c r="DJ213" s="419"/>
      <c r="DK213" s="420"/>
      <c r="DL213" s="422"/>
      <c r="DM213" s="420"/>
      <c r="DN213" s="420"/>
      <c r="DO213" s="420"/>
      <c r="DP213" s="420"/>
      <c r="DQ213" s="420"/>
      <c r="DR213" s="419"/>
      <c r="DS213" s="419"/>
      <c r="DT213" s="419"/>
      <c r="DU213" s="420"/>
      <c r="DV213" s="423"/>
      <c r="DW213" s="419"/>
      <c r="DX213" s="419"/>
      <c r="DY213" s="419"/>
      <c r="DZ213" s="420"/>
      <c r="EA213" s="423"/>
      <c r="EB213" s="419"/>
      <c r="EC213" s="419"/>
      <c r="ED213" s="420"/>
      <c r="EE213" s="419"/>
      <c r="EF213" s="420"/>
      <c r="EG213" s="419"/>
      <c r="EH213" s="419"/>
      <c r="EI213" s="419"/>
      <c r="EJ213" s="420"/>
      <c r="EK213" s="420"/>
      <c r="EL213" s="419"/>
      <c r="EN213" s="419"/>
      <c r="EO213" s="419"/>
      <c r="EP213" s="419"/>
      <c r="EQ213" s="419"/>
      <c r="ER213" s="419"/>
      <c r="ES213" s="419"/>
      <c r="ET213" s="419"/>
      <c r="EU213" s="419"/>
      <c r="EV213" s="419"/>
      <c r="EW213" s="419"/>
      <c r="EX213" s="419"/>
      <c r="EY213" s="419">
        <f t="shared" si="222"/>
        <v>0</v>
      </c>
      <c r="EZ213" s="419">
        <f t="shared" si="242"/>
        <v>0</v>
      </c>
      <c r="FA213" s="420"/>
      <c r="FB213" s="420"/>
      <c r="FC213" s="420"/>
      <c r="FD213" s="420">
        <f t="shared" si="223"/>
        <v>0</v>
      </c>
      <c r="FE213" s="420">
        <f t="shared" si="224"/>
        <v>0</v>
      </c>
      <c r="FF213" s="419">
        <v>631274.43999999994</v>
      </c>
      <c r="FG213" s="419"/>
      <c r="FH213" s="419">
        <v>56814.7</v>
      </c>
      <c r="FI213" s="419">
        <f t="shared" si="225"/>
        <v>631274.44444444403</v>
      </c>
      <c r="FJ213" s="419">
        <f t="shared" si="226"/>
        <v>0</v>
      </c>
      <c r="FK213" s="419"/>
      <c r="FL213" s="419"/>
      <c r="FM213" s="419"/>
      <c r="FN213" s="420">
        <f t="shared" si="227"/>
        <v>0</v>
      </c>
      <c r="FO213" s="423">
        <f t="shared" si="228"/>
        <v>0</v>
      </c>
      <c r="FP213" s="419"/>
      <c r="FQ213" s="419"/>
      <c r="FR213" s="419"/>
      <c r="FS213" s="420">
        <f t="shared" si="229"/>
        <v>0</v>
      </c>
      <c r="FT213" s="420">
        <f t="shared" si="230"/>
        <v>0</v>
      </c>
      <c r="FU213" s="419">
        <v>702872.92</v>
      </c>
      <c r="FV213" s="419"/>
      <c r="FW213" s="419">
        <v>63258.57</v>
      </c>
      <c r="FX213" s="420">
        <f t="shared" si="231"/>
        <v>702873</v>
      </c>
      <c r="FY213" s="420">
        <f t="shared" si="232"/>
        <v>7.9999999958090498E-2</v>
      </c>
      <c r="FZ213" s="419">
        <v>65246.080000000002</v>
      </c>
      <c r="GA213" s="419"/>
      <c r="GB213" s="419">
        <v>5872.14</v>
      </c>
      <c r="GC213" s="420">
        <f t="shared" si="233"/>
        <v>65246</v>
      </c>
      <c r="GD213" s="420">
        <f t="shared" si="234"/>
        <v>-8.0000000001746202E-2</v>
      </c>
      <c r="GE213" s="419">
        <v>21253338.940000001</v>
      </c>
      <c r="GF213" s="419">
        <v>1399393.44</v>
      </c>
      <c r="GG213" s="419">
        <v>1912800.51</v>
      </c>
      <c r="GH213" s="420">
        <f t="shared" si="235"/>
        <v>21253339</v>
      </c>
      <c r="GI213" s="423">
        <f t="shared" si="236"/>
        <v>5.9999998658895499E-2</v>
      </c>
      <c r="GJ213" s="420">
        <v>21786057.530000001</v>
      </c>
      <c r="GK213" s="420">
        <v>430181.56</v>
      </c>
      <c r="GL213" s="420">
        <v>1960745.17</v>
      </c>
      <c r="GM213" s="420">
        <f t="shared" si="237"/>
        <v>21786057.444444399</v>
      </c>
      <c r="GN213" s="420">
        <f t="shared" si="238"/>
        <v>-8.5555557161569595E-2</v>
      </c>
      <c r="GO213" s="419">
        <v>14983961.35</v>
      </c>
      <c r="GP213" s="419"/>
      <c r="GQ213" s="419">
        <v>1348556.53</v>
      </c>
      <c r="GR213" s="420">
        <f t="shared" si="243"/>
        <v>14983961.444444399</v>
      </c>
      <c r="GS213" s="423">
        <f t="shared" si="239"/>
        <v>9.4444446265697493E-2</v>
      </c>
      <c r="GT213" s="419">
        <v>1263018.93</v>
      </c>
      <c r="GU213" s="419"/>
      <c r="GV213" s="419">
        <v>113671.7</v>
      </c>
      <c r="GW213" s="420">
        <f t="shared" si="240"/>
        <v>1263018.8899999999</v>
      </c>
      <c r="GX213" s="420">
        <f t="shared" si="241"/>
        <v>-4.0000000037252903E-2</v>
      </c>
    </row>
    <row r="214" spans="1:206" ht="15">
      <c r="A214" s="414"/>
      <c r="B214" s="415" t="s">
        <v>582</v>
      </c>
      <c r="C214" s="698"/>
      <c r="D214" s="707"/>
      <c r="E214" s="434" t="s">
        <v>125</v>
      </c>
      <c r="F214" s="417">
        <v>0.06</v>
      </c>
      <c r="G214" s="418">
        <f t="shared" si="219"/>
        <v>8433797.3499999996</v>
      </c>
      <c r="H214" s="418">
        <f t="shared" si="220"/>
        <v>6392222.4800000004</v>
      </c>
      <c r="I214" s="418">
        <f t="shared" si="220"/>
        <v>506027.85</v>
      </c>
      <c r="J214" s="418">
        <f t="shared" si="221"/>
        <v>8433797.5</v>
      </c>
      <c r="K214" s="418">
        <f t="shared" si="217"/>
        <v>2041575.02</v>
      </c>
      <c r="L214" s="418">
        <f t="shared" si="218"/>
        <v>0.14999999850988399</v>
      </c>
      <c r="M214" s="424"/>
      <c r="N214" s="424"/>
      <c r="O214" s="424"/>
      <c r="P214" s="424"/>
      <c r="Q214" s="419"/>
      <c r="R214" s="419"/>
      <c r="S214" s="419"/>
      <c r="T214" s="420"/>
      <c r="U214" s="423"/>
      <c r="V214" s="420"/>
      <c r="W214" s="420"/>
      <c r="X214" s="419"/>
      <c r="Y214" s="419"/>
      <c r="Z214" s="423"/>
      <c r="AA214" s="423"/>
      <c r="AB214" s="419"/>
      <c r="AC214" s="423"/>
      <c r="AD214" s="420"/>
      <c r="AE214" s="423"/>
      <c r="AF214" s="444"/>
      <c r="AG214" s="419"/>
      <c r="AH214" s="420"/>
      <c r="AI214" s="420"/>
      <c r="AJ214" s="423"/>
      <c r="AK214" s="444"/>
      <c r="AL214" s="420"/>
      <c r="AM214" s="420"/>
      <c r="AN214" s="420"/>
      <c r="AO214" s="423"/>
      <c r="AP214" s="420"/>
      <c r="AQ214" s="419"/>
      <c r="AR214" s="420"/>
      <c r="AS214" s="420"/>
      <c r="AT214" s="420"/>
      <c r="AU214" s="420"/>
      <c r="AV214" s="420"/>
      <c r="AW214" s="420"/>
      <c r="AX214" s="426"/>
      <c r="AY214" s="420"/>
      <c r="AZ214" s="420"/>
      <c r="BA214" s="420"/>
      <c r="BB214" s="419"/>
      <c r="BC214" s="420"/>
      <c r="BD214" s="427"/>
      <c r="BE214" s="420"/>
      <c r="BF214" s="420"/>
      <c r="BG214" s="420"/>
      <c r="BH214" s="423"/>
      <c r="BI214" s="420"/>
      <c r="BJ214" s="420"/>
      <c r="BK214" s="420"/>
      <c r="BL214" s="420"/>
      <c r="BM214" s="420"/>
      <c r="BN214" s="420"/>
      <c r="BO214" s="419"/>
      <c r="BP214" s="428"/>
      <c r="BQ214" s="420"/>
      <c r="BR214" s="423"/>
      <c r="BS214" s="423"/>
      <c r="BT214" s="420"/>
      <c r="BU214" s="420"/>
      <c r="BV214" s="420"/>
      <c r="BW214" s="420"/>
      <c r="BX214" s="429"/>
      <c r="BY214" s="419"/>
      <c r="BZ214" s="419"/>
      <c r="CA214" s="419"/>
      <c r="CB214" s="420"/>
      <c r="CC214" s="430"/>
      <c r="CD214" s="419"/>
      <c r="CE214" s="419"/>
      <c r="CF214" s="419"/>
      <c r="CG214" s="420"/>
      <c r="CH214" s="423"/>
      <c r="CI214" s="432"/>
      <c r="CJ214" s="432"/>
      <c r="CK214" s="432"/>
      <c r="CL214" s="420"/>
      <c r="CM214" s="423"/>
      <c r="CN214" s="420"/>
      <c r="CO214" s="420"/>
      <c r="CP214" s="420"/>
      <c r="CQ214" s="432"/>
      <c r="CR214" s="432"/>
      <c r="CS214" s="420"/>
      <c r="CT214" s="420"/>
      <c r="CU214" s="420"/>
      <c r="CV214" s="420"/>
      <c r="CW214" s="420"/>
      <c r="CX214" s="419"/>
      <c r="CY214" s="419"/>
      <c r="CZ214" s="419"/>
      <c r="DA214" s="419"/>
      <c r="DB214" s="419"/>
      <c r="DC214" s="419"/>
      <c r="DD214" s="419"/>
      <c r="DE214" s="419"/>
      <c r="DF214" s="420"/>
      <c r="DG214" s="421"/>
      <c r="DH214" s="419"/>
      <c r="DI214" s="419"/>
      <c r="DJ214" s="419"/>
      <c r="DK214" s="420"/>
      <c r="DL214" s="422"/>
      <c r="DM214" s="420"/>
      <c r="DN214" s="420"/>
      <c r="DO214" s="420"/>
      <c r="DP214" s="420"/>
      <c r="DQ214" s="420"/>
      <c r="DR214" s="419"/>
      <c r="DS214" s="419"/>
      <c r="DT214" s="419"/>
      <c r="DU214" s="420"/>
      <c r="DV214" s="423"/>
      <c r="DW214" s="419"/>
      <c r="DX214" s="419"/>
      <c r="DY214" s="419"/>
      <c r="DZ214" s="420"/>
      <c r="EA214" s="423"/>
      <c r="EB214" s="419"/>
      <c r="EC214" s="419"/>
      <c r="ED214" s="420"/>
      <c r="EE214" s="419"/>
      <c r="EF214" s="420"/>
      <c r="EG214" s="419"/>
      <c r="EH214" s="419"/>
      <c r="EI214" s="419"/>
      <c r="EJ214" s="420"/>
      <c r="EK214" s="420"/>
      <c r="EL214" s="419"/>
      <c r="EN214" s="419"/>
      <c r="EO214" s="419"/>
      <c r="EP214" s="419"/>
      <c r="EQ214" s="419"/>
      <c r="ER214" s="419"/>
      <c r="ES214" s="419"/>
      <c r="ET214" s="419"/>
      <c r="EU214" s="419"/>
      <c r="EV214" s="419">
        <v>2210928.71</v>
      </c>
      <c r="EW214" s="419"/>
      <c r="EX214" s="419">
        <v>132655.73000000001</v>
      </c>
      <c r="EY214" s="419">
        <f t="shared" si="222"/>
        <v>2210928.83</v>
      </c>
      <c r="EZ214" s="419">
        <f t="shared" si="242"/>
        <v>0.12</v>
      </c>
      <c r="FA214" s="420">
        <v>1002782.6</v>
      </c>
      <c r="FB214" s="420"/>
      <c r="FC214" s="420">
        <v>60166.96</v>
      </c>
      <c r="FD214" s="420">
        <f t="shared" si="223"/>
        <v>1002782.67</v>
      </c>
      <c r="FE214" s="420">
        <f t="shared" si="224"/>
        <v>7.0000000000000007E-2</v>
      </c>
      <c r="FF214" s="419">
        <v>142845.82999999999</v>
      </c>
      <c r="FG214" s="419"/>
      <c r="FH214" s="419">
        <v>8570.74</v>
      </c>
      <c r="FI214" s="419">
        <f t="shared" si="225"/>
        <v>142845.66666666701</v>
      </c>
      <c r="FJ214" s="419">
        <f t="shared" si="226"/>
        <v>-0.16</v>
      </c>
      <c r="FK214" s="419">
        <v>42418.879999999997</v>
      </c>
      <c r="FL214" s="419"/>
      <c r="FM214" s="419">
        <v>2545.13</v>
      </c>
      <c r="FN214" s="420">
        <f t="shared" si="227"/>
        <v>42418.83</v>
      </c>
      <c r="FO214" s="423">
        <f t="shared" si="228"/>
        <v>-0.05</v>
      </c>
      <c r="FP214" s="431">
        <v>287606.34999999998</v>
      </c>
      <c r="FQ214" s="431">
        <v>0</v>
      </c>
      <c r="FR214" s="431">
        <v>17256.38</v>
      </c>
      <c r="FS214" s="420">
        <f t="shared" si="229"/>
        <v>287606.33</v>
      </c>
      <c r="FT214" s="420">
        <f t="shared" si="230"/>
        <v>-1.9999999960418801E-2</v>
      </c>
      <c r="FU214" s="419">
        <v>1650342.07</v>
      </c>
      <c r="FV214" s="419"/>
      <c r="FW214" s="419">
        <v>99020.53</v>
      </c>
      <c r="FX214" s="420">
        <f t="shared" si="231"/>
        <v>1650342.17</v>
      </c>
      <c r="FY214" s="420">
        <f t="shared" si="232"/>
        <v>9.99999998603016E-2</v>
      </c>
      <c r="FZ214" s="419">
        <v>1411977.21</v>
      </c>
      <c r="GA214" s="419"/>
      <c r="GB214" s="419">
        <v>84718.64</v>
      </c>
      <c r="GC214" s="420">
        <f t="shared" si="233"/>
        <v>1411977.33</v>
      </c>
      <c r="GD214" s="420">
        <f t="shared" si="234"/>
        <v>0.120000000111759</v>
      </c>
      <c r="GE214" s="419">
        <v>728606.42</v>
      </c>
      <c r="GF214" s="419">
        <v>6822404.04</v>
      </c>
      <c r="GG214" s="419">
        <v>43716.4</v>
      </c>
      <c r="GH214" s="420">
        <f t="shared" si="235"/>
        <v>728606.66666666698</v>
      </c>
      <c r="GI214" s="423">
        <f t="shared" si="236"/>
        <v>0.246666666702367</v>
      </c>
      <c r="GJ214" s="437">
        <v>-212125.68</v>
      </c>
      <c r="GK214" s="419">
        <v>-430181.56</v>
      </c>
      <c r="GL214" s="419">
        <v>-12727.56</v>
      </c>
      <c r="GM214" s="420">
        <f t="shared" si="237"/>
        <v>-212126</v>
      </c>
      <c r="GN214" s="420">
        <f t="shared" si="238"/>
        <v>-0.32000000000698497</v>
      </c>
      <c r="GO214" s="419">
        <v>941029.24</v>
      </c>
      <c r="GP214" s="419"/>
      <c r="GQ214" s="419">
        <v>56461.760000000002</v>
      </c>
      <c r="GR214" s="420">
        <f t="shared" si="243"/>
        <v>941029.33333333302</v>
      </c>
      <c r="GS214" s="423">
        <f t="shared" si="239"/>
        <v>9.3333333381451694E-2</v>
      </c>
      <c r="GT214" s="419">
        <v>227385.72</v>
      </c>
      <c r="GU214" s="419"/>
      <c r="GV214" s="419">
        <v>13643.14</v>
      </c>
      <c r="GW214" s="420">
        <f t="shared" si="240"/>
        <v>227385.67</v>
      </c>
      <c r="GX214" s="420">
        <f t="shared" si="241"/>
        <v>-4.9999999988358503E-2</v>
      </c>
    </row>
    <row r="215" spans="1:206" ht="15">
      <c r="A215" s="414"/>
      <c r="B215" s="415" t="s">
        <v>585</v>
      </c>
      <c r="C215" s="698"/>
      <c r="D215" s="704" t="s">
        <v>586</v>
      </c>
      <c r="E215" s="434" t="s">
        <v>123</v>
      </c>
      <c r="F215" s="417">
        <v>0.13</v>
      </c>
      <c r="G215" s="418">
        <f t="shared" si="219"/>
        <v>16167873.779999999</v>
      </c>
      <c r="H215" s="418">
        <f t="shared" si="220"/>
        <v>15560130.439999999</v>
      </c>
      <c r="I215" s="418">
        <f t="shared" si="220"/>
        <v>2101823.58</v>
      </c>
      <c r="J215" s="418">
        <f t="shared" si="221"/>
        <v>16167873.692307699</v>
      </c>
      <c r="K215" s="418">
        <f t="shared" si="217"/>
        <v>607743.25230769301</v>
      </c>
      <c r="L215" s="418">
        <f t="shared" si="218"/>
        <v>-8.7692307308316203E-2</v>
      </c>
      <c r="M215" s="424"/>
      <c r="N215" s="424"/>
      <c r="O215" s="424"/>
      <c r="P215" s="424"/>
      <c r="Q215" s="419"/>
      <c r="R215" s="419"/>
      <c r="S215" s="419"/>
      <c r="T215" s="420"/>
      <c r="U215" s="423"/>
      <c r="V215" s="420"/>
      <c r="W215" s="420"/>
      <c r="X215" s="419"/>
      <c r="Y215" s="419"/>
      <c r="Z215" s="423"/>
      <c r="AA215" s="423"/>
      <c r="AB215" s="419"/>
      <c r="AC215" s="423"/>
      <c r="AD215" s="420"/>
      <c r="AE215" s="423"/>
      <c r="AF215" s="444"/>
      <c r="AG215" s="419"/>
      <c r="AH215" s="420"/>
      <c r="AI215" s="420"/>
      <c r="AJ215" s="423"/>
      <c r="AK215" s="444"/>
      <c r="AL215" s="420"/>
      <c r="AM215" s="420"/>
      <c r="AN215" s="420"/>
      <c r="AO215" s="423"/>
      <c r="AP215" s="420"/>
      <c r="AQ215" s="419"/>
      <c r="AR215" s="420"/>
      <c r="AS215" s="420"/>
      <c r="AT215" s="420"/>
      <c r="AU215" s="420"/>
      <c r="AV215" s="420"/>
      <c r="AW215" s="420"/>
      <c r="AX215" s="426"/>
      <c r="AY215" s="420"/>
      <c r="AZ215" s="420"/>
      <c r="BA215" s="420"/>
      <c r="BB215" s="419"/>
      <c r="BC215" s="420"/>
      <c r="BD215" s="427"/>
      <c r="BE215" s="420"/>
      <c r="BF215" s="420"/>
      <c r="BG215" s="420"/>
      <c r="BH215" s="423"/>
      <c r="BI215" s="420"/>
      <c r="BJ215" s="420"/>
      <c r="BK215" s="420"/>
      <c r="BL215" s="420"/>
      <c r="BM215" s="420"/>
      <c r="BN215" s="420"/>
      <c r="BO215" s="419"/>
      <c r="BP215" s="428"/>
      <c r="BQ215" s="420"/>
      <c r="BR215" s="423"/>
      <c r="BS215" s="423"/>
      <c r="BT215" s="420"/>
      <c r="BU215" s="420"/>
      <c r="BV215" s="420"/>
      <c r="BW215" s="420"/>
      <c r="BX215" s="429"/>
      <c r="BY215" s="419"/>
      <c r="BZ215" s="419"/>
      <c r="CA215" s="419"/>
      <c r="CB215" s="420"/>
      <c r="CC215" s="430"/>
      <c r="CD215" s="419"/>
      <c r="CE215" s="419"/>
      <c r="CF215" s="419"/>
      <c r="CG215" s="420"/>
      <c r="CH215" s="423"/>
      <c r="CI215" s="432"/>
      <c r="CJ215" s="432"/>
      <c r="CK215" s="432"/>
      <c r="CL215" s="420"/>
      <c r="CM215" s="423"/>
      <c r="CN215" s="420"/>
      <c r="CO215" s="420"/>
      <c r="CP215" s="420"/>
      <c r="CQ215" s="432"/>
      <c r="CR215" s="432"/>
      <c r="CS215" s="420"/>
      <c r="CT215" s="420"/>
      <c r="CU215" s="420"/>
      <c r="CV215" s="420"/>
      <c r="CW215" s="420"/>
      <c r="CX215" s="419"/>
      <c r="CY215" s="419"/>
      <c r="CZ215" s="419"/>
      <c r="DA215" s="419"/>
      <c r="DB215" s="419"/>
      <c r="DC215" s="419"/>
      <c r="DD215" s="419"/>
      <c r="DE215" s="419"/>
      <c r="DF215" s="420"/>
      <c r="DG215" s="421"/>
      <c r="DH215" s="419"/>
      <c r="DI215" s="419"/>
      <c r="DJ215" s="419"/>
      <c r="DK215" s="420"/>
      <c r="DL215" s="422"/>
      <c r="DM215" s="420"/>
      <c r="DN215" s="420"/>
      <c r="DO215" s="420"/>
      <c r="DP215" s="420"/>
      <c r="DQ215" s="420"/>
      <c r="DR215" s="419"/>
      <c r="DS215" s="419"/>
      <c r="DT215" s="419"/>
      <c r="DU215" s="420"/>
      <c r="DV215" s="423"/>
      <c r="DW215" s="419"/>
      <c r="DX215" s="419"/>
      <c r="DY215" s="419"/>
      <c r="DZ215" s="420"/>
      <c r="EA215" s="423"/>
      <c r="EB215" s="419"/>
      <c r="EC215" s="419"/>
      <c r="ED215" s="420"/>
      <c r="EE215" s="419"/>
      <c r="EF215" s="420"/>
      <c r="EG215" s="419"/>
      <c r="EH215" s="419"/>
      <c r="EI215" s="419"/>
      <c r="EJ215" s="420"/>
      <c r="EK215" s="420"/>
      <c r="EL215" s="419"/>
      <c r="EN215" s="419"/>
      <c r="EO215" s="419"/>
      <c r="EP215" s="419"/>
      <c r="EQ215" s="419"/>
      <c r="ER215" s="419"/>
      <c r="ES215" s="419"/>
      <c r="ET215" s="419"/>
      <c r="EU215" s="419"/>
      <c r="EV215" s="419"/>
      <c r="EW215" s="419"/>
      <c r="EX215" s="419"/>
      <c r="EY215" s="419"/>
      <c r="EZ215" s="419"/>
      <c r="FA215" s="420"/>
      <c r="FB215" s="420"/>
      <c r="FC215" s="420"/>
      <c r="FD215" s="420"/>
      <c r="FE215" s="420"/>
      <c r="FF215" s="419"/>
      <c r="FG215" s="419"/>
      <c r="FH215" s="419"/>
      <c r="FI215" s="419">
        <f t="shared" si="225"/>
        <v>0</v>
      </c>
      <c r="FJ215" s="419">
        <f t="shared" si="226"/>
        <v>0</v>
      </c>
      <c r="FK215" s="419">
        <v>7018075.2199999997</v>
      </c>
      <c r="FL215" s="419"/>
      <c r="FM215" s="419">
        <v>912349.78</v>
      </c>
      <c r="FN215" s="420">
        <f t="shared" si="227"/>
        <v>7018075.2300000004</v>
      </c>
      <c r="FO215" s="423">
        <f t="shared" si="228"/>
        <v>0.01</v>
      </c>
      <c r="FP215" s="431">
        <v>1254580.49</v>
      </c>
      <c r="FQ215" s="431">
        <v>0</v>
      </c>
      <c r="FR215" s="431">
        <v>163095.46</v>
      </c>
      <c r="FS215" s="420">
        <f t="shared" si="229"/>
        <v>1254580.46</v>
      </c>
      <c r="FT215" s="420">
        <f t="shared" si="230"/>
        <v>-3.0000000027939702E-2</v>
      </c>
      <c r="FU215" s="419"/>
      <c r="FV215" s="419"/>
      <c r="FW215" s="419"/>
      <c r="FX215" s="420">
        <f t="shared" si="231"/>
        <v>0</v>
      </c>
      <c r="FY215" s="420">
        <f t="shared" si="232"/>
        <v>0</v>
      </c>
      <c r="FZ215" s="419">
        <v>25851.77</v>
      </c>
      <c r="GA215" s="419"/>
      <c r="GB215" s="419">
        <v>3360.73</v>
      </c>
      <c r="GC215" s="420">
        <f t="shared" si="233"/>
        <v>25851.77</v>
      </c>
      <c r="GD215" s="420">
        <f t="shared" si="234"/>
        <v>0</v>
      </c>
      <c r="GE215" s="419">
        <v>5204777.68</v>
      </c>
      <c r="GF215" s="419"/>
      <c r="GG215" s="419">
        <v>676621.1</v>
      </c>
      <c r="GH215" s="420">
        <f t="shared" si="235"/>
        <v>5204777.6923076902</v>
      </c>
      <c r="GI215" s="423">
        <f t="shared" si="236"/>
        <v>1.2307692319154699E-2</v>
      </c>
      <c r="GJ215" s="419">
        <v>970967.52</v>
      </c>
      <c r="GK215" s="419"/>
      <c r="GL215" s="419">
        <v>126225.77</v>
      </c>
      <c r="GM215" s="420">
        <f t="shared" si="237"/>
        <v>970967.46153846104</v>
      </c>
      <c r="GN215" s="420">
        <f t="shared" si="238"/>
        <v>-5.8461538515984998E-2</v>
      </c>
      <c r="GO215" s="419">
        <v>1693621.1</v>
      </c>
      <c r="GP215" s="419">
        <v>15560130.439999999</v>
      </c>
      <c r="GQ215" s="419">
        <v>220170.74</v>
      </c>
      <c r="GR215" s="420">
        <f t="shared" si="243"/>
        <v>1693621.07692308</v>
      </c>
      <c r="GS215" s="423">
        <f t="shared" si="239"/>
        <v>-2.3076923331245801E-2</v>
      </c>
      <c r="GT215" s="419"/>
      <c r="GU215" s="419"/>
      <c r="GV215" s="419"/>
      <c r="GW215" s="420">
        <f t="shared" si="240"/>
        <v>0</v>
      </c>
      <c r="GX215" s="420">
        <f t="shared" si="241"/>
        <v>0</v>
      </c>
    </row>
    <row r="216" spans="1:206" ht="13.5" customHeight="1">
      <c r="A216" s="414"/>
      <c r="B216" s="415" t="s">
        <v>585</v>
      </c>
      <c r="C216" s="698"/>
      <c r="D216" s="705"/>
      <c r="E216" s="434" t="s">
        <v>124</v>
      </c>
      <c r="F216" s="417">
        <v>0.09</v>
      </c>
      <c r="G216" s="418">
        <f t="shared" si="219"/>
        <v>29494982.690000001</v>
      </c>
      <c r="H216" s="418">
        <f t="shared" si="220"/>
        <v>7722066.6100000003</v>
      </c>
      <c r="I216" s="418">
        <f t="shared" si="220"/>
        <v>2654548.44</v>
      </c>
      <c r="J216" s="418">
        <f t="shared" si="221"/>
        <v>29494982.666666701</v>
      </c>
      <c r="K216" s="418">
        <f t="shared" si="217"/>
        <v>21772916.056666698</v>
      </c>
      <c r="L216" s="418">
        <f t="shared" si="218"/>
        <v>-2.3333329707384099E-2</v>
      </c>
      <c r="M216" s="424"/>
      <c r="N216" s="424"/>
      <c r="O216" s="424"/>
      <c r="P216" s="424"/>
      <c r="Q216" s="419"/>
      <c r="R216" s="419"/>
      <c r="S216" s="419"/>
      <c r="T216" s="420"/>
      <c r="U216" s="423"/>
      <c r="V216" s="420"/>
      <c r="W216" s="420"/>
      <c r="X216" s="419"/>
      <c r="Y216" s="419"/>
      <c r="Z216" s="423"/>
      <c r="AA216" s="423"/>
      <c r="AB216" s="419"/>
      <c r="AC216" s="423"/>
      <c r="AD216" s="420"/>
      <c r="AE216" s="423"/>
      <c r="AF216" s="444"/>
      <c r="AG216" s="419"/>
      <c r="AH216" s="420"/>
      <c r="AI216" s="420"/>
      <c r="AJ216" s="423"/>
      <c r="AK216" s="444"/>
      <c r="AL216" s="420"/>
      <c r="AM216" s="420"/>
      <c r="AN216" s="420"/>
      <c r="AO216" s="423"/>
      <c r="AP216" s="420"/>
      <c r="AQ216" s="419"/>
      <c r="AR216" s="420"/>
      <c r="AS216" s="420"/>
      <c r="AT216" s="420"/>
      <c r="AU216" s="420"/>
      <c r="AV216" s="420"/>
      <c r="AW216" s="420"/>
      <c r="AX216" s="426"/>
      <c r="AY216" s="420"/>
      <c r="AZ216" s="420"/>
      <c r="BA216" s="420"/>
      <c r="BB216" s="419"/>
      <c r="BC216" s="420"/>
      <c r="BD216" s="427"/>
      <c r="BE216" s="420"/>
      <c r="BF216" s="420"/>
      <c r="BG216" s="420"/>
      <c r="BH216" s="423"/>
      <c r="BI216" s="420"/>
      <c r="BJ216" s="420"/>
      <c r="BK216" s="420"/>
      <c r="BL216" s="420"/>
      <c r="BM216" s="420"/>
      <c r="BN216" s="420"/>
      <c r="BO216" s="419"/>
      <c r="BP216" s="428"/>
      <c r="BQ216" s="420"/>
      <c r="BR216" s="423"/>
      <c r="BS216" s="423"/>
      <c r="BT216" s="420"/>
      <c r="BU216" s="420"/>
      <c r="BV216" s="420"/>
      <c r="BW216" s="420"/>
      <c r="BX216" s="429"/>
      <c r="BY216" s="419"/>
      <c r="BZ216" s="419"/>
      <c r="CA216" s="419"/>
      <c r="CB216" s="420"/>
      <c r="CC216" s="430"/>
      <c r="CD216" s="419"/>
      <c r="CE216" s="419"/>
      <c r="CF216" s="419"/>
      <c r="CG216" s="420"/>
      <c r="CH216" s="423"/>
      <c r="CI216" s="432"/>
      <c r="CJ216" s="432"/>
      <c r="CK216" s="432"/>
      <c r="CL216" s="420"/>
      <c r="CM216" s="423"/>
      <c r="CN216" s="420"/>
      <c r="CO216" s="420"/>
      <c r="CP216" s="420"/>
      <c r="CQ216" s="432"/>
      <c r="CR216" s="432"/>
      <c r="CS216" s="420"/>
      <c r="CT216" s="420"/>
      <c r="CU216" s="420"/>
      <c r="CV216" s="420"/>
      <c r="CW216" s="420"/>
      <c r="CX216" s="419"/>
      <c r="CY216" s="419"/>
      <c r="CZ216" s="419"/>
      <c r="DA216" s="419"/>
      <c r="DB216" s="419"/>
      <c r="DC216" s="419"/>
      <c r="DD216" s="419"/>
      <c r="DE216" s="419"/>
      <c r="DF216" s="420"/>
      <c r="DG216" s="421"/>
      <c r="DH216" s="419"/>
      <c r="DI216" s="419"/>
      <c r="DJ216" s="419"/>
      <c r="DK216" s="420"/>
      <c r="DL216" s="422"/>
      <c r="DM216" s="420"/>
      <c r="DN216" s="420"/>
      <c r="DO216" s="420"/>
      <c r="DP216" s="420"/>
      <c r="DQ216" s="420"/>
      <c r="DR216" s="419"/>
      <c r="DS216" s="419"/>
      <c r="DT216" s="419"/>
      <c r="DU216" s="420"/>
      <c r="DV216" s="423"/>
      <c r="DW216" s="419"/>
      <c r="DX216" s="419"/>
      <c r="DY216" s="419"/>
      <c r="DZ216" s="420"/>
      <c r="EA216" s="423"/>
      <c r="EB216" s="419"/>
      <c r="EC216" s="419"/>
      <c r="ED216" s="420"/>
      <c r="EE216" s="419"/>
      <c r="EF216" s="420"/>
      <c r="EG216" s="419"/>
      <c r="EH216" s="419"/>
      <c r="EI216" s="419"/>
      <c r="EJ216" s="420"/>
      <c r="EK216" s="420"/>
      <c r="EL216" s="419"/>
      <c r="EN216" s="419"/>
      <c r="EO216" s="419"/>
      <c r="EP216" s="419"/>
      <c r="EQ216" s="419"/>
      <c r="ER216" s="419"/>
      <c r="ES216" s="419"/>
      <c r="ET216" s="419"/>
      <c r="EU216" s="419"/>
      <c r="EV216" s="419"/>
      <c r="EW216" s="419"/>
      <c r="EX216" s="419"/>
      <c r="EY216" s="419"/>
      <c r="EZ216" s="419"/>
      <c r="FA216" s="420"/>
      <c r="FB216" s="420"/>
      <c r="FC216" s="420"/>
      <c r="FD216" s="420"/>
      <c r="FE216" s="420"/>
      <c r="FF216" s="419">
        <v>3953017.09</v>
      </c>
      <c r="FG216" s="419"/>
      <c r="FH216" s="419">
        <v>355771.54</v>
      </c>
      <c r="FI216" s="419">
        <f t="shared" si="225"/>
        <v>3953017.1111111101</v>
      </c>
      <c r="FJ216" s="419">
        <f t="shared" si="226"/>
        <v>0.02</v>
      </c>
      <c r="FK216" s="419">
        <v>7181232.5</v>
      </c>
      <c r="FL216" s="419"/>
      <c r="FM216" s="419">
        <v>646310.92000000004</v>
      </c>
      <c r="FN216" s="420">
        <f t="shared" si="227"/>
        <v>7181232.4400000004</v>
      </c>
      <c r="FO216" s="423">
        <f t="shared" si="228"/>
        <v>-0.06</v>
      </c>
      <c r="FP216" s="431">
        <v>2489128.11</v>
      </c>
      <c r="FQ216" s="431">
        <v>0</v>
      </c>
      <c r="FR216" s="431">
        <v>224021.53</v>
      </c>
      <c r="FS216" s="420">
        <f t="shared" si="229"/>
        <v>2489128.11</v>
      </c>
      <c r="FT216" s="420">
        <f t="shared" si="230"/>
        <v>0</v>
      </c>
      <c r="FU216" s="419">
        <v>6246418.5499999998</v>
      </c>
      <c r="FV216" s="419"/>
      <c r="FW216" s="419">
        <v>562177.66</v>
      </c>
      <c r="FX216" s="420">
        <f t="shared" si="231"/>
        <v>6246418.4400000004</v>
      </c>
      <c r="FY216" s="420">
        <f t="shared" si="232"/>
        <v>-0.109999999403954</v>
      </c>
      <c r="FZ216" s="419">
        <v>5582966.8600000003</v>
      </c>
      <c r="GA216" s="419"/>
      <c r="GB216" s="419">
        <v>502467.02</v>
      </c>
      <c r="GC216" s="420">
        <f t="shared" si="233"/>
        <v>5582966.8899999997</v>
      </c>
      <c r="GD216" s="420">
        <f t="shared" si="234"/>
        <v>2.9999999329447701E-2</v>
      </c>
      <c r="GE216" s="419">
        <v>3250612.72</v>
      </c>
      <c r="GF216" s="419"/>
      <c r="GG216" s="419">
        <v>292555.14</v>
      </c>
      <c r="GH216" s="420">
        <f t="shared" si="235"/>
        <v>3250612.6666666698</v>
      </c>
      <c r="GI216" s="423">
        <f t="shared" si="236"/>
        <v>-5.33333332277834E-2</v>
      </c>
      <c r="GJ216" s="419">
        <v>517201.84</v>
      </c>
      <c r="GK216" s="419"/>
      <c r="GL216" s="419">
        <v>46548.17</v>
      </c>
      <c r="GM216" s="420">
        <f t="shared" si="237"/>
        <v>517201.88888888899</v>
      </c>
      <c r="GN216" s="420">
        <f t="shared" si="238"/>
        <v>4.8888888850342503E-2</v>
      </c>
      <c r="GO216" s="419">
        <v>274405.02</v>
      </c>
      <c r="GP216" s="419">
        <v>7722066.6100000003</v>
      </c>
      <c r="GQ216" s="419">
        <v>24696.46</v>
      </c>
      <c r="GR216" s="420">
        <f t="shared" si="243"/>
        <v>274405.11111111101</v>
      </c>
      <c r="GS216" s="423">
        <f t="shared" si="239"/>
        <v>9.1111111105419695E-2</v>
      </c>
      <c r="GT216" s="419"/>
      <c r="GU216" s="419"/>
      <c r="GV216" s="419"/>
      <c r="GW216" s="420">
        <f t="shared" si="240"/>
        <v>0</v>
      </c>
      <c r="GX216" s="420">
        <f t="shared" si="241"/>
        <v>0</v>
      </c>
    </row>
    <row r="217" spans="1:206" ht="15">
      <c r="A217" s="414"/>
      <c r="B217" s="415" t="s">
        <v>585</v>
      </c>
      <c r="C217" s="698"/>
      <c r="D217" s="707"/>
      <c r="E217" s="434" t="s">
        <v>125</v>
      </c>
      <c r="F217" s="417">
        <v>0.06</v>
      </c>
      <c r="G217" s="418">
        <f t="shared" si="219"/>
        <v>5847336.3499999996</v>
      </c>
      <c r="H217" s="418">
        <f t="shared" si="220"/>
        <v>0</v>
      </c>
      <c r="I217" s="418">
        <f t="shared" si="220"/>
        <v>350840.14</v>
      </c>
      <c r="J217" s="418">
        <f t="shared" si="221"/>
        <v>5847335.6666666698</v>
      </c>
      <c r="K217" s="418">
        <f t="shared" si="217"/>
        <v>5847335.6666666698</v>
      </c>
      <c r="L217" s="418">
        <f t="shared" si="218"/>
        <v>-0.683333332650363</v>
      </c>
      <c r="M217" s="424"/>
      <c r="N217" s="424"/>
      <c r="O217" s="424"/>
      <c r="P217" s="424"/>
      <c r="Q217" s="419"/>
      <c r="R217" s="419"/>
      <c r="S217" s="419"/>
      <c r="T217" s="420"/>
      <c r="U217" s="423"/>
      <c r="V217" s="420"/>
      <c r="W217" s="420"/>
      <c r="X217" s="419"/>
      <c r="Y217" s="419"/>
      <c r="Z217" s="423"/>
      <c r="AA217" s="423"/>
      <c r="AB217" s="419"/>
      <c r="AC217" s="423"/>
      <c r="AD217" s="420"/>
      <c r="AE217" s="423"/>
      <c r="AF217" s="444"/>
      <c r="AG217" s="419"/>
      <c r="AH217" s="420"/>
      <c r="AI217" s="420"/>
      <c r="AJ217" s="423"/>
      <c r="AK217" s="444"/>
      <c r="AL217" s="420"/>
      <c r="AM217" s="420"/>
      <c r="AN217" s="420"/>
      <c r="AO217" s="423"/>
      <c r="AP217" s="420"/>
      <c r="AQ217" s="419"/>
      <c r="AR217" s="420"/>
      <c r="AS217" s="420"/>
      <c r="AT217" s="420"/>
      <c r="AU217" s="420"/>
      <c r="AV217" s="420"/>
      <c r="AW217" s="420"/>
      <c r="AX217" s="426"/>
      <c r="AY217" s="420"/>
      <c r="AZ217" s="420"/>
      <c r="BA217" s="420"/>
      <c r="BB217" s="419"/>
      <c r="BC217" s="420"/>
      <c r="BD217" s="427"/>
      <c r="BE217" s="420"/>
      <c r="BF217" s="420"/>
      <c r="BG217" s="420"/>
      <c r="BH217" s="423"/>
      <c r="BI217" s="420"/>
      <c r="BJ217" s="420"/>
      <c r="BK217" s="420"/>
      <c r="BL217" s="420"/>
      <c r="BM217" s="420"/>
      <c r="BN217" s="420"/>
      <c r="BO217" s="419"/>
      <c r="BP217" s="428"/>
      <c r="BQ217" s="420"/>
      <c r="BR217" s="423"/>
      <c r="BS217" s="423"/>
      <c r="BT217" s="420"/>
      <c r="BU217" s="420"/>
      <c r="BV217" s="420"/>
      <c r="BW217" s="420"/>
      <c r="BX217" s="429"/>
      <c r="BY217" s="419"/>
      <c r="BZ217" s="419"/>
      <c r="CA217" s="419"/>
      <c r="CB217" s="420"/>
      <c r="CC217" s="430"/>
      <c r="CD217" s="419"/>
      <c r="CE217" s="419"/>
      <c r="CF217" s="419"/>
      <c r="CG217" s="420"/>
      <c r="CH217" s="423"/>
      <c r="CI217" s="432"/>
      <c r="CJ217" s="432"/>
      <c r="CK217" s="432"/>
      <c r="CL217" s="420"/>
      <c r="CM217" s="423"/>
      <c r="CN217" s="420"/>
      <c r="CO217" s="420"/>
      <c r="CP217" s="420"/>
      <c r="CQ217" s="432"/>
      <c r="CR217" s="432"/>
      <c r="CS217" s="420"/>
      <c r="CT217" s="420"/>
      <c r="CU217" s="420"/>
      <c r="CV217" s="420"/>
      <c r="CW217" s="420"/>
      <c r="CX217" s="419"/>
      <c r="CY217" s="419"/>
      <c r="CZ217" s="419"/>
      <c r="DA217" s="419"/>
      <c r="DB217" s="419"/>
      <c r="DC217" s="419"/>
      <c r="DD217" s="419"/>
      <c r="DE217" s="419"/>
      <c r="DF217" s="420"/>
      <c r="DG217" s="421"/>
      <c r="DH217" s="419"/>
      <c r="DI217" s="419"/>
      <c r="DJ217" s="419"/>
      <c r="DK217" s="420"/>
      <c r="DL217" s="422"/>
      <c r="DM217" s="420"/>
      <c r="DN217" s="420"/>
      <c r="DO217" s="420"/>
      <c r="DP217" s="420"/>
      <c r="DQ217" s="420"/>
      <c r="DR217" s="419"/>
      <c r="DS217" s="419"/>
      <c r="DT217" s="419"/>
      <c r="DU217" s="420"/>
      <c r="DV217" s="423"/>
      <c r="DW217" s="419"/>
      <c r="DX217" s="419"/>
      <c r="DY217" s="419"/>
      <c r="DZ217" s="420"/>
      <c r="EA217" s="423"/>
      <c r="EB217" s="419"/>
      <c r="EC217" s="419"/>
      <c r="ED217" s="420"/>
      <c r="EE217" s="419"/>
      <c r="EF217" s="420"/>
      <c r="EG217" s="419"/>
      <c r="EH217" s="419"/>
      <c r="EI217" s="419"/>
      <c r="EJ217" s="420"/>
      <c r="EK217" s="420"/>
      <c r="EL217" s="419"/>
      <c r="EN217" s="419"/>
      <c r="EO217" s="419"/>
      <c r="EP217" s="419"/>
      <c r="EQ217" s="419"/>
      <c r="ER217" s="419"/>
      <c r="ES217" s="419"/>
      <c r="ET217" s="419"/>
      <c r="EU217" s="419"/>
      <c r="EV217" s="419"/>
      <c r="EW217" s="419"/>
      <c r="EX217" s="419"/>
      <c r="EY217" s="419"/>
      <c r="EZ217" s="419"/>
      <c r="FA217" s="420"/>
      <c r="FB217" s="420"/>
      <c r="FC217" s="420"/>
      <c r="FD217" s="420"/>
      <c r="FE217" s="420"/>
      <c r="FF217" s="419">
        <v>228246.39999999999</v>
      </c>
      <c r="FG217" s="419"/>
      <c r="FH217" s="419">
        <v>13694.79</v>
      </c>
      <c r="FI217" s="419">
        <f t="shared" si="225"/>
        <v>228246.5</v>
      </c>
      <c r="FJ217" s="419">
        <f t="shared" si="226"/>
        <v>0.1</v>
      </c>
      <c r="FK217" s="419">
        <v>235223.09</v>
      </c>
      <c r="FL217" s="419"/>
      <c r="FM217" s="419">
        <v>14113.39</v>
      </c>
      <c r="FN217" s="420">
        <f t="shared" si="227"/>
        <v>235223.17</v>
      </c>
      <c r="FO217" s="423">
        <f t="shared" si="228"/>
        <v>0.08</v>
      </c>
      <c r="FP217" s="431">
        <v>972674.6</v>
      </c>
      <c r="FQ217" s="431">
        <v>0</v>
      </c>
      <c r="FR217" s="431">
        <v>58360.47</v>
      </c>
      <c r="FS217" s="420">
        <f t="shared" si="229"/>
        <v>972674.5</v>
      </c>
      <c r="FT217" s="420">
        <f t="shared" si="230"/>
        <v>-9.9999999976716894E-2</v>
      </c>
      <c r="FU217" s="419">
        <v>610778.89</v>
      </c>
      <c r="FV217" s="419"/>
      <c r="FW217" s="419">
        <v>36646.730000000003</v>
      </c>
      <c r="FX217" s="420">
        <f t="shared" si="231"/>
        <v>610778.82999999996</v>
      </c>
      <c r="FY217" s="420">
        <f t="shared" si="232"/>
        <v>-6.0000000055879403E-2</v>
      </c>
      <c r="FZ217" s="419">
        <v>168584.12</v>
      </c>
      <c r="GA217" s="419"/>
      <c r="GB217" s="419">
        <v>10115.040000000001</v>
      </c>
      <c r="GC217" s="420">
        <f t="shared" si="233"/>
        <v>168584</v>
      </c>
      <c r="GD217" s="420">
        <f t="shared" si="234"/>
        <v>-0.119999999995343</v>
      </c>
      <c r="GE217" s="419">
        <v>450570.37</v>
      </c>
      <c r="GF217" s="419"/>
      <c r="GG217" s="419">
        <v>27034.21</v>
      </c>
      <c r="GH217" s="420">
        <f t="shared" si="235"/>
        <v>450570.16666666698</v>
      </c>
      <c r="GI217" s="423">
        <f t="shared" si="236"/>
        <v>-0.203333333309274</v>
      </c>
      <c r="GJ217" s="437">
        <v>369289.34</v>
      </c>
      <c r="GK217" s="419"/>
      <c r="GL217" s="419">
        <v>22157.35</v>
      </c>
      <c r="GM217" s="420">
        <f t="shared" si="237"/>
        <v>369289.16666666698</v>
      </c>
      <c r="GN217" s="420">
        <f t="shared" si="238"/>
        <v>-0.17333333339775001</v>
      </c>
      <c r="GO217" s="419">
        <v>2811969.54</v>
      </c>
      <c r="GP217" s="419"/>
      <c r="GQ217" s="419">
        <v>168718.16</v>
      </c>
      <c r="GR217" s="420">
        <f t="shared" si="243"/>
        <v>2811969.3333333302</v>
      </c>
      <c r="GS217" s="423">
        <f t="shared" si="239"/>
        <v>-0.206666666548699</v>
      </c>
      <c r="GT217" s="419"/>
      <c r="GU217" s="419"/>
      <c r="GV217" s="419"/>
      <c r="GW217" s="420">
        <f t="shared" si="240"/>
        <v>0</v>
      </c>
      <c r="GX217" s="420">
        <f t="shared" si="241"/>
        <v>0</v>
      </c>
    </row>
    <row r="218" spans="1:206" ht="15">
      <c r="A218" s="414"/>
      <c r="B218" s="415" t="s">
        <v>587</v>
      </c>
      <c r="C218" s="698"/>
      <c r="D218" s="704" t="s">
        <v>139</v>
      </c>
      <c r="E218" s="434" t="s">
        <v>123</v>
      </c>
      <c r="F218" s="417">
        <v>0.13</v>
      </c>
      <c r="G218" s="418">
        <f t="shared" si="219"/>
        <v>0</v>
      </c>
      <c r="H218" s="418">
        <f t="shared" si="220"/>
        <v>0</v>
      </c>
      <c r="I218" s="418">
        <f t="shared" si="220"/>
        <v>0</v>
      </c>
      <c r="J218" s="418">
        <f t="shared" si="221"/>
        <v>0</v>
      </c>
      <c r="K218" s="418">
        <f t="shared" si="217"/>
        <v>0</v>
      </c>
      <c r="L218" s="418">
        <f t="shared" si="218"/>
        <v>0</v>
      </c>
      <c r="M218" s="424"/>
      <c r="N218" s="424"/>
      <c r="O218" s="424"/>
      <c r="P218" s="424"/>
      <c r="Q218" s="419"/>
      <c r="R218" s="419"/>
      <c r="S218" s="419"/>
      <c r="T218" s="420"/>
      <c r="U218" s="423"/>
      <c r="V218" s="420"/>
      <c r="W218" s="420"/>
      <c r="X218" s="419"/>
      <c r="Y218" s="419"/>
      <c r="Z218" s="423"/>
      <c r="AA218" s="423"/>
      <c r="AB218" s="419"/>
      <c r="AC218" s="423"/>
      <c r="AD218" s="420"/>
      <c r="AE218" s="423"/>
      <c r="AF218" s="444"/>
      <c r="AG218" s="419"/>
      <c r="AH218" s="420"/>
      <c r="AI218" s="420"/>
      <c r="AJ218" s="423"/>
      <c r="AK218" s="444"/>
      <c r="AL218" s="420"/>
      <c r="AM218" s="420"/>
      <c r="AN218" s="420"/>
      <c r="AO218" s="423"/>
      <c r="AP218" s="420"/>
      <c r="AQ218" s="419"/>
      <c r="AR218" s="420"/>
      <c r="AS218" s="420"/>
      <c r="AT218" s="420"/>
      <c r="AU218" s="420"/>
      <c r="AV218" s="420"/>
      <c r="AW218" s="420"/>
      <c r="AX218" s="426"/>
      <c r="AY218" s="420"/>
      <c r="AZ218" s="420"/>
      <c r="BA218" s="420"/>
      <c r="BB218" s="419"/>
      <c r="BC218" s="420"/>
      <c r="BD218" s="427"/>
      <c r="BE218" s="420"/>
      <c r="BF218" s="420"/>
      <c r="BG218" s="420"/>
      <c r="BH218" s="423"/>
      <c r="BI218" s="420"/>
      <c r="BJ218" s="420"/>
      <c r="BK218" s="420"/>
      <c r="BL218" s="420"/>
      <c r="BM218" s="420"/>
      <c r="BN218" s="420"/>
      <c r="BO218" s="419"/>
      <c r="BP218" s="428"/>
      <c r="BQ218" s="420"/>
      <c r="BR218" s="423"/>
      <c r="BS218" s="423"/>
      <c r="BT218" s="420"/>
      <c r="BU218" s="420"/>
      <c r="BV218" s="420"/>
      <c r="BW218" s="420"/>
      <c r="BX218" s="429"/>
      <c r="BY218" s="419"/>
      <c r="BZ218" s="419"/>
      <c r="CA218" s="419"/>
      <c r="CB218" s="420"/>
      <c r="CC218" s="430"/>
      <c r="CD218" s="419"/>
      <c r="CE218" s="419"/>
      <c r="CF218" s="419"/>
      <c r="CG218" s="420"/>
      <c r="CH218" s="423"/>
      <c r="CI218" s="432"/>
      <c r="CJ218" s="432"/>
      <c r="CK218" s="432"/>
      <c r="CL218" s="420"/>
      <c r="CM218" s="423"/>
      <c r="CN218" s="420"/>
      <c r="CO218" s="420"/>
      <c r="CP218" s="420"/>
      <c r="CQ218" s="432"/>
      <c r="CR218" s="432"/>
      <c r="CS218" s="420"/>
      <c r="CT218" s="420"/>
      <c r="CU218" s="420"/>
      <c r="CV218" s="420"/>
      <c r="CW218" s="420"/>
      <c r="CX218" s="419"/>
      <c r="CY218" s="419"/>
      <c r="CZ218" s="419"/>
      <c r="DA218" s="419"/>
      <c r="DB218" s="419"/>
      <c r="DC218" s="419"/>
      <c r="DD218" s="419"/>
      <c r="DE218" s="419"/>
      <c r="DF218" s="420"/>
      <c r="DG218" s="421"/>
      <c r="DH218" s="419"/>
      <c r="DI218" s="419"/>
      <c r="DJ218" s="419"/>
      <c r="DK218" s="420"/>
      <c r="DL218" s="422"/>
      <c r="DM218" s="420"/>
      <c r="DN218" s="420"/>
      <c r="DO218" s="420"/>
      <c r="DP218" s="420"/>
      <c r="DQ218" s="420"/>
      <c r="DR218" s="419"/>
      <c r="DS218" s="419"/>
      <c r="DT218" s="419"/>
      <c r="DU218" s="420"/>
      <c r="DV218" s="423"/>
      <c r="DW218" s="419"/>
      <c r="DX218" s="419"/>
      <c r="DY218" s="419"/>
      <c r="DZ218" s="420"/>
      <c r="EA218" s="423"/>
      <c r="EB218" s="419"/>
      <c r="EC218" s="419"/>
      <c r="ED218" s="420"/>
      <c r="EE218" s="419"/>
      <c r="EF218" s="420"/>
      <c r="EG218" s="419"/>
      <c r="EH218" s="419"/>
      <c r="EI218" s="419"/>
      <c r="EJ218" s="420"/>
      <c r="EK218" s="420"/>
      <c r="EL218" s="419"/>
      <c r="EN218" s="419"/>
      <c r="EO218" s="419"/>
      <c r="EP218" s="419"/>
      <c r="EQ218" s="419"/>
      <c r="ER218" s="419"/>
      <c r="ES218" s="419"/>
      <c r="ET218" s="419"/>
      <c r="EU218" s="419"/>
      <c r="EV218" s="419"/>
      <c r="EW218" s="419"/>
      <c r="EX218" s="419"/>
      <c r="EY218" s="419"/>
      <c r="EZ218" s="419"/>
      <c r="FA218" s="420"/>
      <c r="FB218" s="420"/>
      <c r="FC218" s="420"/>
      <c r="FD218" s="420"/>
      <c r="FE218" s="420"/>
      <c r="FF218" s="419"/>
      <c r="FG218" s="419"/>
      <c r="FH218" s="419"/>
      <c r="FI218" s="419"/>
      <c r="FJ218" s="419"/>
      <c r="FK218" s="419"/>
      <c r="FL218" s="419"/>
      <c r="FM218" s="419"/>
      <c r="FN218" s="420">
        <f t="shared" si="227"/>
        <v>0</v>
      </c>
      <c r="FO218" s="423">
        <f t="shared" si="228"/>
        <v>0</v>
      </c>
      <c r="FP218" s="419"/>
      <c r="FQ218" s="419"/>
      <c r="FR218" s="419"/>
      <c r="FS218" s="420">
        <f t="shared" si="229"/>
        <v>0</v>
      </c>
      <c r="FT218" s="420">
        <f t="shared" si="230"/>
        <v>0</v>
      </c>
      <c r="FU218" s="419"/>
      <c r="FV218" s="419"/>
      <c r="FW218" s="419"/>
      <c r="FX218" s="420">
        <f t="shared" si="231"/>
        <v>0</v>
      </c>
      <c r="FY218" s="420">
        <f t="shared" si="232"/>
        <v>0</v>
      </c>
      <c r="FZ218" s="419"/>
      <c r="GA218" s="419"/>
      <c r="GB218" s="419"/>
      <c r="GC218" s="420">
        <f t="shared" si="233"/>
        <v>0</v>
      </c>
      <c r="GD218" s="420">
        <f t="shared" si="234"/>
        <v>0</v>
      </c>
      <c r="GE218" s="419"/>
      <c r="GF218" s="419"/>
      <c r="GG218" s="419"/>
      <c r="GH218" s="420">
        <f t="shared" si="235"/>
        <v>0</v>
      </c>
      <c r="GI218" s="423">
        <f t="shared" si="236"/>
        <v>0</v>
      </c>
      <c r="GJ218" s="419"/>
      <c r="GK218" s="419"/>
      <c r="GL218" s="419"/>
      <c r="GM218" s="420">
        <f t="shared" si="237"/>
        <v>0</v>
      </c>
      <c r="GN218" s="420">
        <f t="shared" si="238"/>
        <v>0</v>
      </c>
      <c r="GO218" s="419"/>
      <c r="GP218" s="419"/>
      <c r="GQ218" s="419"/>
      <c r="GR218" s="420">
        <f t="shared" si="243"/>
        <v>0</v>
      </c>
      <c r="GS218" s="423">
        <f t="shared" si="239"/>
        <v>0</v>
      </c>
      <c r="GT218" s="419"/>
      <c r="GU218" s="419"/>
      <c r="GV218" s="419"/>
      <c r="GW218" s="420">
        <f t="shared" si="240"/>
        <v>0</v>
      </c>
      <c r="GX218" s="420">
        <f t="shared" si="241"/>
        <v>0</v>
      </c>
    </row>
    <row r="219" spans="1:206" ht="15">
      <c r="A219" s="414"/>
      <c r="B219" s="415" t="s">
        <v>587</v>
      </c>
      <c r="C219" s="698"/>
      <c r="D219" s="705"/>
      <c r="E219" s="434" t="s">
        <v>124</v>
      </c>
      <c r="F219" s="417">
        <v>0.09</v>
      </c>
      <c r="G219" s="418">
        <f t="shared" si="219"/>
        <v>0</v>
      </c>
      <c r="H219" s="418">
        <f t="shared" si="220"/>
        <v>0</v>
      </c>
      <c r="I219" s="418">
        <f t="shared" si="220"/>
        <v>0</v>
      </c>
      <c r="J219" s="418">
        <f t="shared" si="221"/>
        <v>0</v>
      </c>
      <c r="K219" s="418">
        <f t="shared" si="217"/>
        <v>0</v>
      </c>
      <c r="L219" s="418">
        <f t="shared" si="218"/>
        <v>0</v>
      </c>
      <c r="M219" s="424"/>
      <c r="N219" s="424"/>
      <c r="O219" s="424"/>
      <c r="P219" s="424"/>
      <c r="Q219" s="419"/>
      <c r="R219" s="419"/>
      <c r="S219" s="419"/>
      <c r="T219" s="420"/>
      <c r="U219" s="423"/>
      <c r="V219" s="420"/>
      <c r="W219" s="420"/>
      <c r="X219" s="419"/>
      <c r="Y219" s="419"/>
      <c r="Z219" s="423"/>
      <c r="AA219" s="423"/>
      <c r="AB219" s="419"/>
      <c r="AC219" s="423"/>
      <c r="AD219" s="420"/>
      <c r="AE219" s="423"/>
      <c r="AF219" s="444"/>
      <c r="AG219" s="419"/>
      <c r="AH219" s="420"/>
      <c r="AI219" s="420"/>
      <c r="AJ219" s="423"/>
      <c r="AK219" s="444"/>
      <c r="AL219" s="420"/>
      <c r="AM219" s="420"/>
      <c r="AN219" s="420"/>
      <c r="AO219" s="423"/>
      <c r="AP219" s="420"/>
      <c r="AQ219" s="419"/>
      <c r="AR219" s="420"/>
      <c r="AS219" s="420"/>
      <c r="AT219" s="420"/>
      <c r="AU219" s="420"/>
      <c r="AV219" s="420"/>
      <c r="AW219" s="420"/>
      <c r="AX219" s="426"/>
      <c r="AY219" s="420"/>
      <c r="AZ219" s="420"/>
      <c r="BA219" s="420"/>
      <c r="BB219" s="419"/>
      <c r="BC219" s="420"/>
      <c r="BD219" s="427"/>
      <c r="BE219" s="420"/>
      <c r="BF219" s="420"/>
      <c r="BG219" s="420"/>
      <c r="BH219" s="423"/>
      <c r="BI219" s="420"/>
      <c r="BJ219" s="420"/>
      <c r="BK219" s="420"/>
      <c r="BL219" s="420"/>
      <c r="BM219" s="420"/>
      <c r="BN219" s="420"/>
      <c r="BO219" s="419"/>
      <c r="BP219" s="428"/>
      <c r="BQ219" s="420"/>
      <c r="BR219" s="423"/>
      <c r="BS219" s="423"/>
      <c r="BT219" s="420"/>
      <c r="BU219" s="420"/>
      <c r="BV219" s="420"/>
      <c r="BW219" s="420"/>
      <c r="BX219" s="429"/>
      <c r="BY219" s="419"/>
      <c r="BZ219" s="419"/>
      <c r="CA219" s="419"/>
      <c r="CB219" s="420"/>
      <c r="CC219" s="430"/>
      <c r="CD219" s="419"/>
      <c r="CE219" s="419"/>
      <c r="CF219" s="419"/>
      <c r="CG219" s="420"/>
      <c r="CH219" s="423"/>
      <c r="CI219" s="432"/>
      <c r="CJ219" s="432"/>
      <c r="CK219" s="432"/>
      <c r="CL219" s="420"/>
      <c r="CM219" s="423"/>
      <c r="CN219" s="420"/>
      <c r="CO219" s="420"/>
      <c r="CP219" s="420"/>
      <c r="CQ219" s="432"/>
      <c r="CR219" s="432"/>
      <c r="CS219" s="420"/>
      <c r="CT219" s="420"/>
      <c r="CU219" s="420"/>
      <c r="CV219" s="420"/>
      <c r="CW219" s="420"/>
      <c r="CX219" s="419"/>
      <c r="CY219" s="419"/>
      <c r="CZ219" s="419"/>
      <c r="DA219" s="419"/>
      <c r="DB219" s="419"/>
      <c r="DC219" s="419"/>
      <c r="DD219" s="419"/>
      <c r="DE219" s="419"/>
      <c r="DF219" s="420"/>
      <c r="DG219" s="421"/>
      <c r="DH219" s="419"/>
      <c r="DI219" s="419"/>
      <c r="DJ219" s="419"/>
      <c r="DK219" s="420"/>
      <c r="DL219" s="422"/>
      <c r="DM219" s="420"/>
      <c r="DN219" s="420"/>
      <c r="DO219" s="420"/>
      <c r="DP219" s="420"/>
      <c r="DQ219" s="420"/>
      <c r="DR219" s="419"/>
      <c r="DS219" s="419"/>
      <c r="DT219" s="419"/>
      <c r="DU219" s="420"/>
      <c r="DV219" s="423"/>
      <c r="DW219" s="419"/>
      <c r="DX219" s="419"/>
      <c r="DY219" s="419"/>
      <c r="DZ219" s="420"/>
      <c r="EA219" s="423"/>
      <c r="EB219" s="419"/>
      <c r="EC219" s="419"/>
      <c r="ED219" s="420"/>
      <c r="EE219" s="419"/>
      <c r="EF219" s="420"/>
      <c r="EG219" s="419"/>
      <c r="EH219" s="419"/>
      <c r="EI219" s="419"/>
      <c r="EJ219" s="420"/>
      <c r="EK219" s="420"/>
      <c r="EL219" s="419"/>
      <c r="EN219" s="419"/>
      <c r="EO219" s="419"/>
      <c r="EP219" s="419"/>
      <c r="EQ219" s="419"/>
      <c r="ER219" s="419"/>
      <c r="ES219" s="419"/>
      <c r="ET219" s="419"/>
      <c r="EU219" s="419"/>
      <c r="EV219" s="419"/>
      <c r="EW219" s="419"/>
      <c r="EX219" s="419"/>
      <c r="EY219" s="419"/>
      <c r="EZ219" s="419"/>
      <c r="FA219" s="420"/>
      <c r="FB219" s="420"/>
      <c r="FC219" s="420"/>
      <c r="FD219" s="420"/>
      <c r="FE219" s="420"/>
      <c r="FF219" s="419"/>
      <c r="FG219" s="419"/>
      <c r="FH219" s="419"/>
      <c r="FI219" s="419"/>
      <c r="FJ219" s="419"/>
      <c r="FK219" s="419"/>
      <c r="FL219" s="419"/>
      <c r="FM219" s="419"/>
      <c r="FN219" s="420">
        <f t="shared" si="227"/>
        <v>0</v>
      </c>
      <c r="FO219" s="423">
        <f t="shared" si="228"/>
        <v>0</v>
      </c>
      <c r="FP219" s="419"/>
      <c r="FQ219" s="419"/>
      <c r="FR219" s="419"/>
      <c r="FS219" s="420">
        <f t="shared" si="229"/>
        <v>0</v>
      </c>
      <c r="FT219" s="420">
        <f t="shared" si="230"/>
        <v>0</v>
      </c>
      <c r="FU219" s="419"/>
      <c r="FV219" s="419"/>
      <c r="FW219" s="419"/>
      <c r="FX219" s="420">
        <f t="shared" si="231"/>
        <v>0</v>
      </c>
      <c r="FY219" s="420">
        <f t="shared" si="232"/>
        <v>0</v>
      </c>
      <c r="FZ219" s="419"/>
      <c r="GA219" s="419"/>
      <c r="GB219" s="419"/>
      <c r="GC219" s="420">
        <f t="shared" si="233"/>
        <v>0</v>
      </c>
      <c r="GD219" s="420">
        <f t="shared" si="234"/>
        <v>0</v>
      </c>
      <c r="GE219" s="419"/>
      <c r="GF219" s="419"/>
      <c r="GG219" s="419"/>
      <c r="GH219" s="420">
        <f t="shared" si="235"/>
        <v>0</v>
      </c>
      <c r="GI219" s="423">
        <f t="shared" si="236"/>
        <v>0</v>
      </c>
      <c r="GJ219" s="419"/>
      <c r="GK219" s="419"/>
      <c r="GL219" s="419"/>
      <c r="GM219" s="420">
        <f t="shared" si="237"/>
        <v>0</v>
      </c>
      <c r="GN219" s="420">
        <f t="shared" si="238"/>
        <v>0</v>
      </c>
      <c r="GO219" s="419"/>
      <c r="GP219" s="419"/>
      <c r="GQ219" s="419"/>
      <c r="GR219" s="420">
        <f t="shared" si="243"/>
        <v>0</v>
      </c>
      <c r="GS219" s="423">
        <f t="shared" si="239"/>
        <v>0</v>
      </c>
      <c r="GT219" s="419"/>
      <c r="GU219" s="419"/>
      <c r="GV219" s="419"/>
      <c r="GW219" s="420">
        <f t="shared" si="240"/>
        <v>0</v>
      </c>
      <c r="GX219" s="420">
        <f t="shared" si="241"/>
        <v>0</v>
      </c>
    </row>
    <row r="220" spans="1:206" ht="17.45" customHeight="1">
      <c r="A220" s="414"/>
      <c r="B220" s="415" t="s">
        <v>587</v>
      </c>
      <c r="C220" s="698"/>
      <c r="D220" s="707"/>
      <c r="E220" s="434" t="s">
        <v>125</v>
      </c>
      <c r="F220" s="417">
        <v>0.06</v>
      </c>
      <c r="G220" s="418">
        <f t="shared" si="219"/>
        <v>7401571.7699999996</v>
      </c>
      <c r="H220" s="418">
        <f t="shared" si="220"/>
        <v>0</v>
      </c>
      <c r="I220" s="418">
        <f t="shared" si="220"/>
        <v>444094.31</v>
      </c>
      <c r="J220" s="418">
        <f t="shared" si="221"/>
        <v>7401571.8333333302</v>
      </c>
      <c r="K220" s="418">
        <f t="shared" si="217"/>
        <v>7401571.8333333302</v>
      </c>
      <c r="L220" s="418">
        <f t="shared" si="218"/>
        <v>6.3333332538604695E-2</v>
      </c>
      <c r="M220" s="424"/>
      <c r="N220" s="424"/>
      <c r="O220" s="424"/>
      <c r="P220" s="424"/>
      <c r="Q220" s="419"/>
      <c r="R220" s="419"/>
      <c r="S220" s="419"/>
      <c r="T220" s="420"/>
      <c r="U220" s="423"/>
      <c r="V220" s="420"/>
      <c r="W220" s="420"/>
      <c r="X220" s="419"/>
      <c r="Y220" s="419"/>
      <c r="Z220" s="423"/>
      <c r="AA220" s="423"/>
      <c r="AB220" s="419"/>
      <c r="AC220" s="423"/>
      <c r="AD220" s="420"/>
      <c r="AE220" s="423"/>
      <c r="AF220" s="444"/>
      <c r="AG220" s="419"/>
      <c r="AH220" s="420"/>
      <c r="AI220" s="420"/>
      <c r="AJ220" s="423"/>
      <c r="AK220" s="444"/>
      <c r="AL220" s="420"/>
      <c r="AM220" s="420"/>
      <c r="AN220" s="420"/>
      <c r="AO220" s="423"/>
      <c r="AP220" s="420"/>
      <c r="AQ220" s="419"/>
      <c r="AR220" s="420"/>
      <c r="AS220" s="420"/>
      <c r="AT220" s="420"/>
      <c r="AU220" s="420"/>
      <c r="AV220" s="420"/>
      <c r="AW220" s="420"/>
      <c r="AX220" s="426"/>
      <c r="AY220" s="420"/>
      <c r="AZ220" s="420"/>
      <c r="BA220" s="420"/>
      <c r="BB220" s="419"/>
      <c r="BC220" s="420"/>
      <c r="BD220" s="427"/>
      <c r="BE220" s="420"/>
      <c r="BF220" s="420"/>
      <c r="BG220" s="420"/>
      <c r="BH220" s="423"/>
      <c r="BI220" s="420"/>
      <c r="BJ220" s="420"/>
      <c r="BK220" s="420"/>
      <c r="BL220" s="420"/>
      <c r="BM220" s="420"/>
      <c r="BN220" s="420"/>
      <c r="BO220" s="419"/>
      <c r="BP220" s="428"/>
      <c r="BQ220" s="420"/>
      <c r="BR220" s="423"/>
      <c r="BS220" s="423"/>
      <c r="BT220" s="420"/>
      <c r="BU220" s="420"/>
      <c r="BV220" s="420"/>
      <c r="BW220" s="420"/>
      <c r="BX220" s="429"/>
      <c r="BY220" s="419"/>
      <c r="BZ220" s="419"/>
      <c r="CA220" s="419"/>
      <c r="CB220" s="420"/>
      <c r="CC220" s="430"/>
      <c r="CD220" s="419"/>
      <c r="CE220" s="419"/>
      <c r="CF220" s="419"/>
      <c r="CG220" s="420"/>
      <c r="CH220" s="423"/>
      <c r="CI220" s="432"/>
      <c r="CJ220" s="432"/>
      <c r="CK220" s="432"/>
      <c r="CL220" s="420"/>
      <c r="CM220" s="423"/>
      <c r="CN220" s="420"/>
      <c r="CO220" s="420"/>
      <c r="CP220" s="420"/>
      <c r="CQ220" s="432"/>
      <c r="CR220" s="432"/>
      <c r="CS220" s="420"/>
      <c r="CT220" s="420"/>
      <c r="CU220" s="420"/>
      <c r="CV220" s="420"/>
      <c r="CW220" s="420"/>
      <c r="CX220" s="419"/>
      <c r="CY220" s="419"/>
      <c r="CZ220" s="419"/>
      <c r="DA220" s="419"/>
      <c r="DB220" s="419"/>
      <c r="DC220" s="419"/>
      <c r="DD220" s="419"/>
      <c r="DE220" s="419"/>
      <c r="DF220" s="420"/>
      <c r="DG220" s="421"/>
      <c r="DH220" s="419"/>
      <c r="DI220" s="419"/>
      <c r="DJ220" s="419"/>
      <c r="DK220" s="420"/>
      <c r="DL220" s="422"/>
      <c r="DM220" s="420"/>
      <c r="DN220" s="420"/>
      <c r="DO220" s="420"/>
      <c r="DP220" s="420"/>
      <c r="DQ220" s="420"/>
      <c r="DR220" s="419"/>
      <c r="DS220" s="419"/>
      <c r="DT220" s="419"/>
      <c r="DU220" s="420"/>
      <c r="DV220" s="423"/>
      <c r="DW220" s="419"/>
      <c r="DX220" s="419"/>
      <c r="DY220" s="419"/>
      <c r="DZ220" s="420"/>
      <c r="EA220" s="423"/>
      <c r="EB220" s="419"/>
      <c r="EC220" s="419"/>
      <c r="ED220" s="420"/>
      <c r="EE220" s="419"/>
      <c r="EF220" s="420"/>
      <c r="EG220" s="419"/>
      <c r="EH220" s="419"/>
      <c r="EI220" s="419"/>
      <c r="EJ220" s="420"/>
      <c r="EK220" s="420"/>
      <c r="EL220" s="419"/>
      <c r="EN220" s="419"/>
      <c r="EO220" s="419"/>
      <c r="EP220" s="419"/>
      <c r="EQ220" s="419"/>
      <c r="ER220" s="419"/>
      <c r="ES220" s="419"/>
      <c r="ET220" s="419"/>
      <c r="EU220" s="419"/>
      <c r="EV220" s="419"/>
      <c r="EW220" s="419"/>
      <c r="EX220" s="419"/>
      <c r="EY220" s="419"/>
      <c r="EZ220" s="419"/>
      <c r="FA220" s="420"/>
      <c r="FB220" s="420"/>
      <c r="FC220" s="420"/>
      <c r="FD220" s="420"/>
      <c r="FE220" s="420"/>
      <c r="FF220" s="419"/>
      <c r="FG220" s="419"/>
      <c r="FH220" s="419"/>
      <c r="FI220" s="419"/>
      <c r="FJ220" s="419"/>
      <c r="FK220" s="419">
        <v>5781832.21</v>
      </c>
      <c r="FL220" s="419"/>
      <c r="FM220" s="419">
        <v>346909.93</v>
      </c>
      <c r="FN220" s="420">
        <f t="shared" si="227"/>
        <v>5781832.1699999999</v>
      </c>
      <c r="FO220" s="423">
        <f t="shared" si="228"/>
        <v>-0.04</v>
      </c>
      <c r="FP220" s="431">
        <v>374322.69</v>
      </c>
      <c r="FQ220" s="431">
        <v>0</v>
      </c>
      <c r="FR220" s="431">
        <v>22459.37</v>
      </c>
      <c r="FS220" s="420">
        <f t="shared" si="229"/>
        <v>374322.83</v>
      </c>
      <c r="FT220" s="420">
        <f t="shared" si="230"/>
        <v>0.14000000001397001</v>
      </c>
      <c r="FU220" s="419"/>
      <c r="FV220" s="419"/>
      <c r="FW220" s="419"/>
      <c r="FX220" s="420">
        <f t="shared" si="231"/>
        <v>0</v>
      </c>
      <c r="FY220" s="420">
        <f t="shared" si="232"/>
        <v>0</v>
      </c>
      <c r="FZ220" s="419"/>
      <c r="GA220" s="419"/>
      <c r="GB220" s="419"/>
      <c r="GC220" s="420">
        <f t="shared" si="233"/>
        <v>0</v>
      </c>
      <c r="GD220" s="420">
        <f t="shared" si="234"/>
        <v>0</v>
      </c>
      <c r="GE220" s="419">
        <v>178149.18</v>
      </c>
      <c r="GF220" s="419"/>
      <c r="GG220" s="419">
        <v>10688.95</v>
      </c>
      <c r="GH220" s="420">
        <f t="shared" si="235"/>
        <v>178149.16666666701</v>
      </c>
      <c r="GI220" s="423">
        <f t="shared" si="236"/>
        <v>-1.33333333069459E-2</v>
      </c>
      <c r="GJ220" s="437">
        <v>953051.88</v>
      </c>
      <c r="GK220" s="419"/>
      <c r="GL220" s="419">
        <v>57183.11</v>
      </c>
      <c r="GM220" s="420">
        <f t="shared" si="237"/>
        <v>953051.83333333302</v>
      </c>
      <c r="GN220" s="420">
        <f t="shared" si="238"/>
        <v>-4.66666666325182E-2</v>
      </c>
      <c r="GO220" s="419">
        <v>144328.78</v>
      </c>
      <c r="GP220" s="419"/>
      <c r="GQ220" s="419">
        <v>8659.73</v>
      </c>
      <c r="GR220" s="420">
        <f t="shared" si="243"/>
        <v>144328.83333333299</v>
      </c>
      <c r="GS220" s="423">
        <f t="shared" si="239"/>
        <v>5.3333333344198798E-2</v>
      </c>
      <c r="GT220" s="419">
        <v>-30112.97</v>
      </c>
      <c r="GU220" s="419"/>
      <c r="GV220" s="419">
        <v>-1806.78</v>
      </c>
      <c r="GW220" s="420">
        <f t="shared" si="240"/>
        <v>-30113</v>
      </c>
      <c r="GX220" s="420">
        <f t="shared" si="241"/>
        <v>-2.9999999998835802E-2</v>
      </c>
    </row>
    <row r="221" spans="1:206" ht="15">
      <c r="A221" s="414"/>
      <c r="B221" s="415" t="s">
        <v>188</v>
      </c>
      <c r="C221" s="698"/>
      <c r="D221" s="704" t="s">
        <v>258</v>
      </c>
      <c r="E221" s="434" t="s">
        <v>123</v>
      </c>
      <c r="F221" s="417">
        <v>0.13</v>
      </c>
      <c r="G221" s="418">
        <f t="shared" si="219"/>
        <v>68905630.260000005</v>
      </c>
      <c r="H221" s="418">
        <f t="shared" si="220"/>
        <v>66416325.799999997</v>
      </c>
      <c r="I221" s="418">
        <f t="shared" si="220"/>
        <v>8957731.9299999997</v>
      </c>
      <c r="J221" s="418">
        <f t="shared" si="221"/>
        <v>68905630.230769202</v>
      </c>
      <c r="K221" s="418">
        <f t="shared" si="217"/>
        <v>2489304.4307692298</v>
      </c>
      <c r="L221" s="418">
        <f t="shared" si="218"/>
        <v>-2.9230773448944099E-2</v>
      </c>
      <c r="M221" s="424"/>
      <c r="N221" s="424"/>
      <c r="O221" s="424"/>
      <c r="P221" s="424"/>
      <c r="Q221" s="419"/>
      <c r="R221" s="419"/>
      <c r="S221" s="419"/>
      <c r="T221" s="420"/>
      <c r="U221" s="423"/>
      <c r="V221" s="420"/>
      <c r="W221" s="420"/>
      <c r="X221" s="419"/>
      <c r="Y221" s="419"/>
      <c r="Z221" s="423"/>
      <c r="AA221" s="423"/>
      <c r="AB221" s="419"/>
      <c r="AC221" s="423"/>
      <c r="AD221" s="420"/>
      <c r="AE221" s="423"/>
      <c r="AF221" s="444"/>
      <c r="AG221" s="419"/>
      <c r="AH221" s="420"/>
      <c r="AI221" s="420"/>
      <c r="AJ221" s="423"/>
      <c r="AK221" s="444"/>
      <c r="AL221" s="420"/>
      <c r="AM221" s="420"/>
      <c r="AN221" s="420"/>
      <c r="AO221" s="423"/>
      <c r="AP221" s="420"/>
      <c r="AQ221" s="419"/>
      <c r="AR221" s="420"/>
      <c r="AS221" s="420"/>
      <c r="AT221" s="420"/>
      <c r="AU221" s="420"/>
      <c r="AV221" s="420"/>
      <c r="AW221" s="420"/>
      <c r="AX221" s="426"/>
      <c r="AY221" s="420"/>
      <c r="AZ221" s="420"/>
      <c r="BA221" s="420"/>
      <c r="BB221" s="419"/>
      <c r="BC221" s="420"/>
      <c r="BD221" s="427"/>
      <c r="BE221" s="420"/>
      <c r="BF221" s="420"/>
      <c r="BG221" s="420"/>
      <c r="BH221" s="423"/>
      <c r="BI221" s="420"/>
      <c r="BJ221" s="420"/>
      <c r="BK221" s="420"/>
      <c r="BL221" s="420"/>
      <c r="BM221" s="420"/>
      <c r="BN221" s="420"/>
      <c r="BO221" s="419"/>
      <c r="BP221" s="428"/>
      <c r="BQ221" s="420"/>
      <c r="BR221" s="423"/>
      <c r="BS221" s="423"/>
      <c r="BT221" s="420"/>
      <c r="BU221" s="420"/>
      <c r="BV221" s="420"/>
      <c r="BW221" s="420"/>
      <c r="BX221" s="429"/>
      <c r="BY221" s="419"/>
      <c r="BZ221" s="419"/>
      <c r="CA221" s="419"/>
      <c r="CB221" s="420"/>
      <c r="CC221" s="430"/>
      <c r="CD221" s="419"/>
      <c r="CE221" s="419"/>
      <c r="CF221" s="419"/>
      <c r="CG221" s="420"/>
      <c r="CH221" s="423"/>
      <c r="CI221" s="432"/>
      <c r="CJ221" s="432"/>
      <c r="CK221" s="432"/>
      <c r="CL221" s="420"/>
      <c r="CM221" s="423"/>
      <c r="CN221" s="420"/>
      <c r="CO221" s="420"/>
      <c r="CP221" s="420"/>
      <c r="CQ221" s="432"/>
      <c r="CR221" s="432"/>
      <c r="CS221" s="420"/>
      <c r="CT221" s="420"/>
      <c r="CU221" s="420"/>
      <c r="CV221" s="420"/>
      <c r="CW221" s="420"/>
      <c r="CX221" s="419"/>
      <c r="CY221" s="419"/>
      <c r="CZ221" s="419"/>
      <c r="DA221" s="419"/>
      <c r="DB221" s="419"/>
      <c r="DC221" s="419"/>
      <c r="DD221" s="419"/>
      <c r="DE221" s="419"/>
      <c r="DF221" s="420"/>
      <c r="DG221" s="421"/>
      <c r="DH221" s="419"/>
      <c r="DI221" s="419"/>
      <c r="DJ221" s="419"/>
      <c r="DK221" s="420"/>
      <c r="DL221" s="422"/>
      <c r="DM221" s="420"/>
      <c r="DN221" s="420"/>
      <c r="DO221" s="420"/>
      <c r="DP221" s="420"/>
      <c r="DQ221" s="420"/>
      <c r="DR221" s="419"/>
      <c r="DS221" s="419"/>
      <c r="DT221" s="419"/>
      <c r="DU221" s="420"/>
      <c r="DV221" s="423"/>
      <c r="DW221" s="419"/>
      <c r="DX221" s="419"/>
      <c r="DY221" s="419"/>
      <c r="DZ221" s="420"/>
      <c r="EA221" s="423"/>
      <c r="EB221" s="419"/>
      <c r="EC221" s="419"/>
      <c r="ED221" s="420"/>
      <c r="EE221" s="419"/>
      <c r="EF221" s="420"/>
      <c r="EG221" s="419"/>
      <c r="EH221" s="419"/>
      <c r="EI221" s="419"/>
      <c r="EJ221" s="420"/>
      <c r="EK221" s="420"/>
      <c r="EL221" s="419"/>
      <c r="EN221" s="419"/>
      <c r="EO221" s="419"/>
      <c r="EP221" s="419"/>
      <c r="EQ221" s="419"/>
      <c r="ER221" s="419"/>
      <c r="ES221" s="419"/>
      <c r="ET221" s="419"/>
      <c r="EU221" s="419"/>
      <c r="EV221" s="419"/>
      <c r="EW221" s="419"/>
      <c r="EX221" s="419"/>
      <c r="EY221" s="419"/>
      <c r="EZ221" s="419"/>
      <c r="FA221" s="420"/>
      <c r="FB221" s="420"/>
      <c r="FC221" s="420"/>
      <c r="FD221" s="420"/>
      <c r="FE221" s="420"/>
      <c r="FF221" s="419"/>
      <c r="FG221" s="419"/>
      <c r="FH221" s="419"/>
      <c r="FI221" s="419"/>
      <c r="FJ221" s="419"/>
      <c r="FK221" s="419">
        <v>1534817.71</v>
      </c>
      <c r="FL221" s="419"/>
      <c r="FM221" s="419">
        <v>199526.3</v>
      </c>
      <c r="FN221" s="420">
        <f t="shared" si="227"/>
        <v>1534817.69</v>
      </c>
      <c r="FO221" s="423">
        <f t="shared" si="228"/>
        <v>-0.02</v>
      </c>
      <c r="FP221" s="431">
        <v>2928102.32</v>
      </c>
      <c r="FQ221" s="431">
        <v>0</v>
      </c>
      <c r="FR221" s="431">
        <v>380653.31</v>
      </c>
      <c r="FS221" s="420">
        <f t="shared" si="229"/>
        <v>2928102.38</v>
      </c>
      <c r="FT221" s="420">
        <f t="shared" si="230"/>
        <v>6.0000000055879403E-2</v>
      </c>
      <c r="FU221" s="419">
        <v>15729948.710000001</v>
      </c>
      <c r="FV221" s="419"/>
      <c r="FW221" s="419">
        <v>2044893.34</v>
      </c>
      <c r="FX221" s="420">
        <f t="shared" si="231"/>
        <v>15729948.77</v>
      </c>
      <c r="FY221" s="420">
        <f t="shared" si="232"/>
        <v>5.9999998658895499E-2</v>
      </c>
      <c r="FZ221" s="419">
        <v>33056893.960000001</v>
      </c>
      <c r="GA221" s="420">
        <v>20192868.739999998</v>
      </c>
      <c r="GB221" s="419">
        <v>4297396.21</v>
      </c>
      <c r="GC221" s="420">
        <f t="shared" si="233"/>
        <v>33056893.920000002</v>
      </c>
      <c r="GD221" s="420">
        <f t="shared" si="234"/>
        <v>-3.9999999105930301E-2</v>
      </c>
      <c r="GE221" s="419">
        <v>11053067.529999999</v>
      </c>
      <c r="GF221" s="419"/>
      <c r="GG221" s="419">
        <v>1436898.77</v>
      </c>
      <c r="GH221" s="420">
        <f t="shared" si="235"/>
        <v>11053067.461538499</v>
      </c>
      <c r="GI221" s="423">
        <f t="shared" si="236"/>
        <v>-6.8461537361145006E-2</v>
      </c>
      <c r="GJ221" s="419">
        <v>2113495.5699999998</v>
      </c>
      <c r="GK221" s="419"/>
      <c r="GL221" s="419">
        <v>274754.42</v>
      </c>
      <c r="GM221" s="420">
        <f t="shared" si="237"/>
        <v>2113495.5384615399</v>
      </c>
      <c r="GN221" s="420">
        <f t="shared" si="238"/>
        <v>-3.1538461800664698E-2</v>
      </c>
      <c r="GO221" s="419"/>
      <c r="GP221" s="419">
        <v>46223457.060000002</v>
      </c>
      <c r="GQ221" s="419"/>
      <c r="GR221" s="420">
        <f t="shared" si="243"/>
        <v>0</v>
      </c>
      <c r="GS221" s="423">
        <f t="shared" si="239"/>
        <v>0</v>
      </c>
      <c r="GT221" s="419">
        <v>2489304.46</v>
      </c>
      <c r="GU221" s="419"/>
      <c r="GV221" s="419">
        <v>323609.58</v>
      </c>
      <c r="GW221" s="420">
        <f t="shared" si="240"/>
        <v>2489304.46</v>
      </c>
      <c r="GX221" s="420">
        <f t="shared" si="241"/>
        <v>0</v>
      </c>
    </row>
    <row r="222" spans="1:206" ht="14.45" customHeight="1">
      <c r="A222" s="414"/>
      <c r="B222" s="415" t="s">
        <v>188</v>
      </c>
      <c r="C222" s="698"/>
      <c r="D222" s="705"/>
      <c r="E222" s="434" t="s">
        <v>124</v>
      </c>
      <c r="F222" s="417">
        <v>0.09</v>
      </c>
      <c r="G222" s="418">
        <f t="shared" si="219"/>
        <v>70397309.079999998</v>
      </c>
      <c r="H222" s="418">
        <f t="shared" si="220"/>
        <v>65413092.840000004</v>
      </c>
      <c r="I222" s="418">
        <f t="shared" si="220"/>
        <v>6335757.7999999998</v>
      </c>
      <c r="J222" s="418">
        <f t="shared" si="221"/>
        <v>70397308.888888896</v>
      </c>
      <c r="K222" s="418">
        <f t="shared" si="217"/>
        <v>4984216.0488888901</v>
      </c>
      <c r="L222" s="418">
        <f t="shared" si="218"/>
        <v>-0.19111111760139499</v>
      </c>
      <c r="M222" s="424"/>
      <c r="N222" s="424"/>
      <c r="O222" s="424"/>
      <c r="P222" s="424"/>
      <c r="Q222" s="419"/>
      <c r="R222" s="419"/>
      <c r="S222" s="419"/>
      <c r="T222" s="420"/>
      <c r="U222" s="423"/>
      <c r="V222" s="420"/>
      <c r="W222" s="420"/>
      <c r="X222" s="419"/>
      <c r="Y222" s="419"/>
      <c r="Z222" s="423"/>
      <c r="AA222" s="423"/>
      <c r="AB222" s="419"/>
      <c r="AC222" s="423"/>
      <c r="AD222" s="420"/>
      <c r="AE222" s="423"/>
      <c r="AF222" s="444"/>
      <c r="AG222" s="419"/>
      <c r="AH222" s="420"/>
      <c r="AI222" s="420"/>
      <c r="AJ222" s="423"/>
      <c r="AK222" s="444"/>
      <c r="AL222" s="420"/>
      <c r="AM222" s="420"/>
      <c r="AN222" s="420"/>
      <c r="AO222" s="423"/>
      <c r="AP222" s="420"/>
      <c r="AQ222" s="419"/>
      <c r="AR222" s="420"/>
      <c r="AS222" s="420"/>
      <c r="AT222" s="420"/>
      <c r="AU222" s="420"/>
      <c r="AV222" s="420"/>
      <c r="AW222" s="420"/>
      <c r="AX222" s="426"/>
      <c r="AY222" s="420"/>
      <c r="AZ222" s="420"/>
      <c r="BA222" s="420"/>
      <c r="BB222" s="419"/>
      <c r="BC222" s="420"/>
      <c r="BD222" s="427"/>
      <c r="BE222" s="420"/>
      <c r="BF222" s="420"/>
      <c r="BG222" s="420"/>
      <c r="BH222" s="423"/>
      <c r="BI222" s="420"/>
      <c r="BJ222" s="420"/>
      <c r="BK222" s="420"/>
      <c r="BL222" s="420"/>
      <c r="BM222" s="420"/>
      <c r="BN222" s="420"/>
      <c r="BO222" s="419"/>
      <c r="BP222" s="428"/>
      <c r="BQ222" s="420"/>
      <c r="BR222" s="423"/>
      <c r="BS222" s="423"/>
      <c r="BT222" s="420"/>
      <c r="BU222" s="420"/>
      <c r="BV222" s="420"/>
      <c r="BW222" s="420"/>
      <c r="BX222" s="429"/>
      <c r="BY222" s="419"/>
      <c r="BZ222" s="419"/>
      <c r="CA222" s="419"/>
      <c r="CB222" s="420"/>
      <c r="CC222" s="430"/>
      <c r="CD222" s="419"/>
      <c r="CE222" s="419"/>
      <c r="CF222" s="419"/>
      <c r="CG222" s="420"/>
      <c r="CH222" s="423"/>
      <c r="CI222" s="432"/>
      <c r="CJ222" s="432"/>
      <c r="CK222" s="432"/>
      <c r="CL222" s="420"/>
      <c r="CM222" s="423"/>
      <c r="CN222" s="420"/>
      <c r="CO222" s="420"/>
      <c r="CP222" s="420"/>
      <c r="CQ222" s="432"/>
      <c r="CR222" s="432"/>
      <c r="CS222" s="420"/>
      <c r="CT222" s="420"/>
      <c r="CU222" s="420"/>
      <c r="CV222" s="420"/>
      <c r="CW222" s="420"/>
      <c r="CX222" s="419"/>
      <c r="CY222" s="419"/>
      <c r="CZ222" s="419"/>
      <c r="DA222" s="419"/>
      <c r="DB222" s="419"/>
      <c r="DC222" s="419"/>
      <c r="DD222" s="419"/>
      <c r="DE222" s="419"/>
      <c r="DF222" s="420"/>
      <c r="DG222" s="421"/>
      <c r="DH222" s="419"/>
      <c r="DI222" s="419"/>
      <c r="DJ222" s="419"/>
      <c r="DK222" s="420"/>
      <c r="DL222" s="422"/>
      <c r="DM222" s="420"/>
      <c r="DN222" s="420"/>
      <c r="DO222" s="420"/>
      <c r="DP222" s="420"/>
      <c r="DQ222" s="420"/>
      <c r="DR222" s="419"/>
      <c r="DS222" s="419"/>
      <c r="DT222" s="419"/>
      <c r="DU222" s="420"/>
      <c r="DV222" s="423"/>
      <c r="DW222" s="419"/>
      <c r="DX222" s="419"/>
      <c r="DY222" s="419"/>
      <c r="DZ222" s="420"/>
      <c r="EA222" s="423"/>
      <c r="EB222" s="419"/>
      <c r="EC222" s="419"/>
      <c r="ED222" s="420"/>
      <c r="EE222" s="419"/>
      <c r="EF222" s="420"/>
      <c r="EG222" s="419"/>
      <c r="EH222" s="419"/>
      <c r="EI222" s="419"/>
      <c r="EJ222" s="420"/>
      <c r="EK222" s="420"/>
      <c r="EL222" s="419"/>
      <c r="EN222" s="419"/>
      <c r="EO222" s="419"/>
      <c r="EP222" s="419"/>
      <c r="EQ222" s="419"/>
      <c r="ER222" s="419"/>
      <c r="ES222" s="419"/>
      <c r="ET222" s="419"/>
      <c r="EU222" s="419"/>
      <c r="EV222" s="419"/>
      <c r="EW222" s="419"/>
      <c r="EX222" s="419"/>
      <c r="EY222" s="419"/>
      <c r="EZ222" s="419"/>
      <c r="FA222" s="420"/>
      <c r="FB222" s="420"/>
      <c r="FC222" s="420"/>
      <c r="FD222" s="420"/>
      <c r="FE222" s="420"/>
      <c r="FF222" s="419"/>
      <c r="FG222" s="419"/>
      <c r="FH222" s="419"/>
      <c r="FI222" s="419"/>
      <c r="FJ222" s="419"/>
      <c r="FK222" s="419">
        <v>12878694.42</v>
      </c>
      <c r="FL222" s="419"/>
      <c r="FM222" s="419">
        <v>1159082.48</v>
      </c>
      <c r="FN222" s="420">
        <f t="shared" si="227"/>
        <v>12878694.220000001</v>
      </c>
      <c r="FO222" s="423">
        <f t="shared" si="228"/>
        <v>-0.2</v>
      </c>
      <c r="FP222" s="431">
        <v>11610097.02</v>
      </c>
      <c r="FQ222" s="431">
        <v>0</v>
      </c>
      <c r="FR222" s="431">
        <v>1044908.74</v>
      </c>
      <c r="FS222" s="420">
        <f t="shared" si="229"/>
        <v>11610097.109999999</v>
      </c>
      <c r="FT222" s="420">
        <f t="shared" si="230"/>
        <v>8.9999999850988402E-2</v>
      </c>
      <c r="FU222" s="419">
        <v>10577816.949999999</v>
      </c>
      <c r="FV222" s="419"/>
      <c r="FW222" s="419">
        <v>952003.53</v>
      </c>
      <c r="FX222" s="420">
        <f t="shared" si="231"/>
        <v>10577817</v>
      </c>
      <c r="FY222" s="420">
        <f t="shared" si="232"/>
        <v>5.0000000745058101E-2</v>
      </c>
      <c r="FZ222" s="419">
        <v>11717783.390000001</v>
      </c>
      <c r="GA222" s="419">
        <v>35066608.390000001</v>
      </c>
      <c r="GB222" s="419">
        <v>1054600.49</v>
      </c>
      <c r="GC222" s="420">
        <f t="shared" si="233"/>
        <v>11717783.220000001</v>
      </c>
      <c r="GD222" s="420">
        <f t="shared" si="234"/>
        <v>-0.169999999925494</v>
      </c>
      <c r="GE222" s="419">
        <v>537468.13</v>
      </c>
      <c r="GF222" s="419"/>
      <c r="GG222" s="419">
        <v>48372.13</v>
      </c>
      <c r="GH222" s="420">
        <f t="shared" si="235"/>
        <v>537468.11111111101</v>
      </c>
      <c r="GI222" s="423">
        <f t="shared" si="236"/>
        <v>-1.8888888880610501E-2</v>
      </c>
      <c r="GJ222" s="419">
        <v>18101184.379999999</v>
      </c>
      <c r="GK222" s="419"/>
      <c r="GL222" s="419">
        <v>1629106.6</v>
      </c>
      <c r="GM222" s="420">
        <f t="shared" si="237"/>
        <v>18101184.444444399</v>
      </c>
      <c r="GN222" s="420">
        <f t="shared" si="238"/>
        <v>6.4444448798894896E-2</v>
      </c>
      <c r="GO222" s="419">
        <v>1260091.81</v>
      </c>
      <c r="GP222" s="419">
        <v>30346484.449999999</v>
      </c>
      <c r="GQ222" s="419">
        <v>113408.26</v>
      </c>
      <c r="GR222" s="420">
        <f t="shared" si="243"/>
        <v>1260091.7777777801</v>
      </c>
      <c r="GS222" s="423">
        <f t="shared" si="239"/>
        <v>-3.22222223039716E-2</v>
      </c>
      <c r="GT222" s="419">
        <v>3714172.98</v>
      </c>
      <c r="GU222" s="419"/>
      <c r="GV222" s="419">
        <v>334275.57</v>
      </c>
      <c r="GW222" s="420">
        <f t="shared" si="240"/>
        <v>3714173</v>
      </c>
      <c r="GX222" s="420">
        <f t="shared" si="241"/>
        <v>2.00000000186265E-2</v>
      </c>
    </row>
    <row r="223" spans="1:206" ht="15">
      <c r="A223" s="414"/>
      <c r="B223" s="415" t="s">
        <v>188</v>
      </c>
      <c r="C223" s="698"/>
      <c r="D223" s="707"/>
      <c r="E223" s="434" t="s">
        <v>125</v>
      </c>
      <c r="F223" s="417">
        <v>0.06</v>
      </c>
      <c r="G223" s="418">
        <f t="shared" si="219"/>
        <v>17015581.390000001</v>
      </c>
      <c r="H223" s="418">
        <f t="shared" si="220"/>
        <v>4948767.8899999997</v>
      </c>
      <c r="I223" s="418">
        <f t="shared" si="220"/>
        <v>1020934.9</v>
      </c>
      <c r="J223" s="418">
        <f t="shared" si="221"/>
        <v>17015581.666666701</v>
      </c>
      <c r="K223" s="418">
        <f t="shared" si="217"/>
        <v>12066813.776666701</v>
      </c>
      <c r="L223" s="418">
        <f t="shared" si="218"/>
        <v>0.27666666731238398</v>
      </c>
      <c r="M223" s="424"/>
      <c r="N223" s="424"/>
      <c r="O223" s="424"/>
      <c r="P223" s="424"/>
      <c r="Q223" s="419"/>
      <c r="R223" s="419"/>
      <c r="S223" s="419"/>
      <c r="T223" s="420"/>
      <c r="U223" s="423"/>
      <c r="V223" s="420"/>
      <c r="W223" s="420"/>
      <c r="X223" s="419"/>
      <c r="Y223" s="419"/>
      <c r="Z223" s="423"/>
      <c r="AA223" s="423"/>
      <c r="AB223" s="419"/>
      <c r="AC223" s="423"/>
      <c r="AD223" s="420"/>
      <c r="AE223" s="423"/>
      <c r="AF223" s="444"/>
      <c r="AG223" s="419"/>
      <c r="AH223" s="420"/>
      <c r="AI223" s="420"/>
      <c r="AJ223" s="423"/>
      <c r="AK223" s="444"/>
      <c r="AL223" s="420"/>
      <c r="AM223" s="420"/>
      <c r="AN223" s="420"/>
      <c r="AO223" s="423"/>
      <c r="AP223" s="420"/>
      <c r="AQ223" s="419"/>
      <c r="AR223" s="420"/>
      <c r="AS223" s="420"/>
      <c r="AT223" s="420"/>
      <c r="AU223" s="420"/>
      <c r="AV223" s="420"/>
      <c r="AW223" s="420"/>
      <c r="AX223" s="426"/>
      <c r="AY223" s="420"/>
      <c r="AZ223" s="420"/>
      <c r="BA223" s="420"/>
      <c r="BB223" s="419"/>
      <c r="BC223" s="420"/>
      <c r="BD223" s="427"/>
      <c r="BE223" s="420"/>
      <c r="BF223" s="420"/>
      <c r="BG223" s="420"/>
      <c r="BH223" s="423"/>
      <c r="BI223" s="420"/>
      <c r="BJ223" s="420"/>
      <c r="BK223" s="420"/>
      <c r="BL223" s="420"/>
      <c r="BM223" s="420"/>
      <c r="BN223" s="420"/>
      <c r="BO223" s="419"/>
      <c r="BP223" s="428"/>
      <c r="BQ223" s="420"/>
      <c r="BR223" s="423"/>
      <c r="BS223" s="423"/>
      <c r="BT223" s="420"/>
      <c r="BU223" s="420"/>
      <c r="BV223" s="420"/>
      <c r="BW223" s="420"/>
      <c r="BX223" s="429"/>
      <c r="BY223" s="419"/>
      <c r="BZ223" s="419"/>
      <c r="CA223" s="419"/>
      <c r="CB223" s="420"/>
      <c r="CC223" s="430"/>
      <c r="CD223" s="419"/>
      <c r="CE223" s="419"/>
      <c r="CF223" s="419"/>
      <c r="CG223" s="420"/>
      <c r="CH223" s="423"/>
      <c r="CI223" s="432"/>
      <c r="CJ223" s="432"/>
      <c r="CK223" s="432"/>
      <c r="CL223" s="420"/>
      <c r="CM223" s="423"/>
      <c r="CN223" s="420"/>
      <c r="CO223" s="420"/>
      <c r="CP223" s="420"/>
      <c r="CQ223" s="432"/>
      <c r="CR223" s="432"/>
      <c r="CS223" s="420"/>
      <c r="CT223" s="420"/>
      <c r="CU223" s="420"/>
      <c r="CV223" s="420"/>
      <c r="CW223" s="420"/>
      <c r="CX223" s="419"/>
      <c r="CY223" s="419"/>
      <c r="CZ223" s="419"/>
      <c r="DA223" s="419"/>
      <c r="DB223" s="419"/>
      <c r="DC223" s="419"/>
      <c r="DD223" s="419"/>
      <c r="DE223" s="419"/>
      <c r="DF223" s="420"/>
      <c r="DG223" s="421"/>
      <c r="DH223" s="419"/>
      <c r="DI223" s="419"/>
      <c r="DJ223" s="419"/>
      <c r="DK223" s="420"/>
      <c r="DL223" s="422"/>
      <c r="DM223" s="420"/>
      <c r="DN223" s="420"/>
      <c r="DO223" s="420"/>
      <c r="DP223" s="420"/>
      <c r="DQ223" s="420"/>
      <c r="DR223" s="419"/>
      <c r="DS223" s="419"/>
      <c r="DT223" s="419"/>
      <c r="DU223" s="420"/>
      <c r="DV223" s="423"/>
      <c r="DW223" s="419"/>
      <c r="DX223" s="419"/>
      <c r="DY223" s="419"/>
      <c r="DZ223" s="420"/>
      <c r="EA223" s="423"/>
      <c r="EB223" s="419"/>
      <c r="EC223" s="419"/>
      <c r="ED223" s="420"/>
      <c r="EE223" s="419"/>
      <c r="EF223" s="420"/>
      <c r="EG223" s="419"/>
      <c r="EH223" s="419"/>
      <c r="EI223" s="419"/>
      <c r="EJ223" s="420"/>
      <c r="EK223" s="420"/>
      <c r="EL223" s="419"/>
      <c r="EN223" s="419"/>
      <c r="EO223" s="419"/>
      <c r="EP223" s="419"/>
      <c r="EQ223" s="419"/>
      <c r="ER223" s="419"/>
      <c r="ES223" s="419"/>
      <c r="ET223" s="419"/>
      <c r="EU223" s="419"/>
      <c r="EV223" s="419"/>
      <c r="EW223" s="419"/>
      <c r="EX223" s="419"/>
      <c r="EY223" s="419"/>
      <c r="EZ223" s="419"/>
      <c r="FA223" s="420"/>
      <c r="FB223" s="420"/>
      <c r="FC223" s="420"/>
      <c r="FD223" s="420"/>
      <c r="FE223" s="420"/>
      <c r="FF223" s="419"/>
      <c r="FG223" s="419"/>
      <c r="FH223" s="419"/>
      <c r="FI223" s="419"/>
      <c r="FJ223" s="419"/>
      <c r="FK223" s="419">
        <v>1319948.03</v>
      </c>
      <c r="FL223" s="419"/>
      <c r="FM223" s="419">
        <v>79196.88</v>
      </c>
      <c r="FN223" s="420">
        <f t="shared" si="227"/>
        <v>1319948</v>
      </c>
      <c r="FO223" s="423">
        <f t="shared" si="228"/>
        <v>-0.03</v>
      </c>
      <c r="FP223" s="431">
        <v>764042.91</v>
      </c>
      <c r="FQ223" s="431">
        <v>0</v>
      </c>
      <c r="FR223" s="431">
        <v>45842.58</v>
      </c>
      <c r="FS223" s="420">
        <f t="shared" si="229"/>
        <v>764043</v>
      </c>
      <c r="FT223" s="420">
        <f t="shared" si="230"/>
        <v>8.9999999967403696E-2</v>
      </c>
      <c r="FU223" s="419">
        <v>888876.29</v>
      </c>
      <c r="FV223" s="419"/>
      <c r="FW223" s="419">
        <v>53332.58</v>
      </c>
      <c r="FX223" s="420">
        <f t="shared" si="231"/>
        <v>888876.33</v>
      </c>
      <c r="FY223" s="420">
        <f t="shared" si="232"/>
        <v>3.9999999920837602E-2</v>
      </c>
      <c r="FZ223" s="419">
        <v>653024.82999999996</v>
      </c>
      <c r="GA223" s="419">
        <v>2999111.95</v>
      </c>
      <c r="GB223" s="419">
        <v>39181.49</v>
      </c>
      <c r="GC223" s="420">
        <f t="shared" si="233"/>
        <v>653024.82999999996</v>
      </c>
      <c r="GD223" s="420">
        <f t="shared" si="234"/>
        <v>0</v>
      </c>
      <c r="GE223" s="419">
        <v>1001522</v>
      </c>
      <c r="GF223" s="419"/>
      <c r="GG223" s="419">
        <v>60091.33</v>
      </c>
      <c r="GH223" s="420">
        <f t="shared" si="235"/>
        <v>1001522.16666667</v>
      </c>
      <c r="GI223" s="423">
        <f t="shared" si="236"/>
        <v>0.16666666674427699</v>
      </c>
      <c r="GJ223" s="437">
        <v>263475.27</v>
      </c>
      <c r="GK223" s="419"/>
      <c r="GL223" s="419">
        <v>15808.51</v>
      </c>
      <c r="GM223" s="420">
        <f t="shared" si="237"/>
        <v>263475.16666666698</v>
      </c>
      <c r="GN223" s="420">
        <f t="shared" si="238"/>
        <v>-0.103333333332557</v>
      </c>
      <c r="GO223" s="419">
        <v>878897.23</v>
      </c>
      <c r="GP223" s="419">
        <v>1949655.94</v>
      </c>
      <c r="GQ223" s="419">
        <v>52733.85</v>
      </c>
      <c r="GR223" s="420">
        <f t="shared" si="243"/>
        <v>878897.5</v>
      </c>
      <c r="GS223" s="423">
        <f t="shared" si="239"/>
        <v>0.27000000001862601</v>
      </c>
      <c r="GT223" s="419">
        <v>11245794.83</v>
      </c>
      <c r="GU223" s="419"/>
      <c r="GV223" s="419">
        <v>674747.68</v>
      </c>
      <c r="GW223" s="420">
        <f t="shared" si="240"/>
        <v>11245794.67</v>
      </c>
      <c r="GX223" s="420">
        <f t="shared" si="241"/>
        <v>-0.160000000149012</v>
      </c>
    </row>
    <row r="224" spans="1:206" ht="15">
      <c r="A224" s="414"/>
      <c r="B224" s="415" t="s">
        <v>188</v>
      </c>
      <c r="C224" s="698"/>
      <c r="D224" s="704" t="s">
        <v>588</v>
      </c>
      <c r="E224" s="434" t="s">
        <v>123</v>
      </c>
      <c r="F224" s="417">
        <v>0.13</v>
      </c>
      <c r="G224" s="418">
        <f t="shared" si="219"/>
        <v>6287674.3499999996</v>
      </c>
      <c r="H224" s="418">
        <f t="shared" si="220"/>
        <v>6022534.9800000004</v>
      </c>
      <c r="I224" s="418">
        <f t="shared" si="220"/>
        <v>817397.66</v>
      </c>
      <c r="J224" s="418">
        <f t="shared" si="221"/>
        <v>6287674.3076923098</v>
      </c>
      <c r="K224" s="418">
        <f t="shared" si="217"/>
        <v>265139.327692308</v>
      </c>
      <c r="L224" s="418">
        <f t="shared" si="218"/>
        <v>-4.23076916486025E-2</v>
      </c>
      <c r="M224" s="424"/>
      <c r="N224" s="424"/>
      <c r="O224" s="424"/>
      <c r="P224" s="424"/>
      <c r="Q224" s="419"/>
      <c r="R224" s="419"/>
      <c r="S224" s="419"/>
      <c r="T224" s="420"/>
      <c r="U224" s="423"/>
      <c r="V224" s="420"/>
      <c r="W224" s="420"/>
      <c r="X224" s="419"/>
      <c r="Y224" s="419"/>
      <c r="Z224" s="423"/>
      <c r="AA224" s="423"/>
      <c r="AB224" s="419"/>
      <c r="AC224" s="423"/>
      <c r="AD224" s="420"/>
      <c r="AE224" s="423"/>
      <c r="AF224" s="444"/>
      <c r="AG224" s="419"/>
      <c r="AH224" s="420"/>
      <c r="AI224" s="420"/>
      <c r="AJ224" s="423"/>
      <c r="AK224" s="444"/>
      <c r="AL224" s="420"/>
      <c r="AM224" s="420"/>
      <c r="AN224" s="420"/>
      <c r="AO224" s="423"/>
      <c r="AP224" s="420"/>
      <c r="AQ224" s="419"/>
      <c r="AR224" s="420"/>
      <c r="AS224" s="420"/>
      <c r="AT224" s="420"/>
      <c r="AU224" s="420"/>
      <c r="AV224" s="420"/>
      <c r="AW224" s="420"/>
      <c r="AX224" s="426"/>
      <c r="AY224" s="420"/>
      <c r="AZ224" s="420"/>
      <c r="BA224" s="420"/>
      <c r="BB224" s="419"/>
      <c r="BC224" s="420"/>
      <c r="BD224" s="427"/>
      <c r="BE224" s="420"/>
      <c r="BF224" s="420"/>
      <c r="BG224" s="420"/>
      <c r="BH224" s="423"/>
      <c r="BI224" s="420"/>
      <c r="BJ224" s="420"/>
      <c r="BK224" s="420"/>
      <c r="BL224" s="420"/>
      <c r="BM224" s="420"/>
      <c r="BN224" s="420"/>
      <c r="BO224" s="419"/>
      <c r="BP224" s="428"/>
      <c r="BQ224" s="420"/>
      <c r="BR224" s="423"/>
      <c r="BS224" s="423"/>
      <c r="BT224" s="420"/>
      <c r="BU224" s="420"/>
      <c r="BV224" s="420"/>
      <c r="BW224" s="420"/>
      <c r="BX224" s="429"/>
      <c r="BY224" s="419"/>
      <c r="BZ224" s="419"/>
      <c r="CA224" s="419"/>
      <c r="CB224" s="420"/>
      <c r="CC224" s="430"/>
      <c r="CD224" s="419"/>
      <c r="CE224" s="419"/>
      <c r="CF224" s="419"/>
      <c r="CG224" s="420"/>
      <c r="CH224" s="423"/>
      <c r="CI224" s="432"/>
      <c r="CJ224" s="432"/>
      <c r="CK224" s="432"/>
      <c r="CL224" s="420"/>
      <c r="CM224" s="423"/>
      <c r="CN224" s="420"/>
      <c r="CO224" s="420"/>
      <c r="CP224" s="420"/>
      <c r="CQ224" s="432"/>
      <c r="CR224" s="432"/>
      <c r="CS224" s="420"/>
      <c r="CT224" s="420"/>
      <c r="CU224" s="420"/>
      <c r="CV224" s="420"/>
      <c r="CW224" s="420"/>
      <c r="CX224" s="419"/>
      <c r="CY224" s="419"/>
      <c r="CZ224" s="419"/>
      <c r="DA224" s="419"/>
      <c r="DB224" s="419"/>
      <c r="DC224" s="419"/>
      <c r="DD224" s="419"/>
      <c r="DE224" s="419"/>
      <c r="DF224" s="420"/>
      <c r="DG224" s="421"/>
      <c r="DH224" s="419"/>
      <c r="DI224" s="419"/>
      <c r="DJ224" s="419"/>
      <c r="DK224" s="420"/>
      <c r="DL224" s="422"/>
      <c r="DM224" s="420"/>
      <c r="DN224" s="420"/>
      <c r="DO224" s="420"/>
      <c r="DP224" s="420"/>
      <c r="DQ224" s="420"/>
      <c r="DR224" s="419"/>
      <c r="DS224" s="419"/>
      <c r="DT224" s="419"/>
      <c r="DU224" s="420"/>
      <c r="DV224" s="423"/>
      <c r="DW224" s="419"/>
      <c r="DX224" s="419"/>
      <c r="DY224" s="419"/>
      <c r="DZ224" s="420"/>
      <c r="EA224" s="423"/>
      <c r="EB224" s="419"/>
      <c r="EC224" s="419"/>
      <c r="ED224" s="420"/>
      <c r="EE224" s="419"/>
      <c r="EF224" s="420"/>
      <c r="EG224" s="419"/>
      <c r="EH224" s="419"/>
      <c r="EI224" s="419"/>
      <c r="EJ224" s="420"/>
      <c r="EK224" s="420"/>
      <c r="EL224" s="419"/>
      <c r="EN224" s="419"/>
      <c r="EO224" s="419"/>
      <c r="EP224" s="419"/>
      <c r="EQ224" s="419"/>
      <c r="ER224" s="419"/>
      <c r="ES224" s="419"/>
      <c r="ET224" s="419"/>
      <c r="EU224" s="419"/>
      <c r="EV224" s="419"/>
      <c r="EW224" s="419"/>
      <c r="EX224" s="419"/>
      <c r="EY224" s="419"/>
      <c r="EZ224" s="419"/>
      <c r="FA224" s="420"/>
      <c r="FB224" s="420"/>
      <c r="FC224" s="420"/>
      <c r="FD224" s="420"/>
      <c r="FE224" s="420"/>
      <c r="FF224" s="419"/>
      <c r="FG224" s="419"/>
      <c r="FH224" s="419"/>
      <c r="FI224" s="419"/>
      <c r="FJ224" s="419"/>
      <c r="FK224" s="419"/>
      <c r="FL224" s="419"/>
      <c r="FM224" s="419"/>
      <c r="FN224" s="420">
        <f t="shared" si="227"/>
        <v>0</v>
      </c>
      <c r="FO224" s="423">
        <f t="shared" si="228"/>
        <v>0</v>
      </c>
      <c r="FP224" s="419"/>
      <c r="FQ224" s="419"/>
      <c r="FR224" s="419"/>
      <c r="FS224" s="420">
        <f t="shared" si="229"/>
        <v>0</v>
      </c>
      <c r="FT224" s="420">
        <f t="shared" si="230"/>
        <v>0</v>
      </c>
      <c r="FU224" s="419">
        <v>1016495.21</v>
      </c>
      <c r="FV224" s="419"/>
      <c r="FW224" s="419">
        <v>132144.38</v>
      </c>
      <c r="FX224" s="420">
        <f t="shared" si="231"/>
        <v>1016495.23</v>
      </c>
      <c r="FY224" s="420">
        <f t="shared" si="232"/>
        <v>2.00000000186265E-2</v>
      </c>
      <c r="FZ224" s="419">
        <v>3055619.03</v>
      </c>
      <c r="GA224" s="420">
        <v>1016495.21</v>
      </c>
      <c r="GB224" s="419">
        <v>397230.48</v>
      </c>
      <c r="GC224" s="420">
        <f t="shared" si="233"/>
        <v>3055619.08</v>
      </c>
      <c r="GD224" s="420">
        <f t="shared" si="234"/>
        <v>5.00000002793968E-2</v>
      </c>
      <c r="GE224" s="419">
        <v>1950420.74</v>
      </c>
      <c r="GF224" s="419"/>
      <c r="GG224" s="419">
        <v>253554.69</v>
      </c>
      <c r="GH224" s="420">
        <f t="shared" si="235"/>
        <v>1950420.6923076899</v>
      </c>
      <c r="GI224" s="423">
        <f t="shared" si="236"/>
        <v>-4.7692307736724601E-2</v>
      </c>
      <c r="GJ224" s="419"/>
      <c r="GK224" s="419"/>
      <c r="GL224" s="419"/>
      <c r="GM224" s="420">
        <f t="shared" si="237"/>
        <v>0</v>
      </c>
      <c r="GN224" s="420">
        <f t="shared" si="238"/>
        <v>0</v>
      </c>
      <c r="GO224" s="419"/>
      <c r="GP224" s="419">
        <v>5006039.7699999996</v>
      </c>
      <c r="GQ224" s="419"/>
      <c r="GR224" s="420">
        <f t="shared" si="243"/>
        <v>0</v>
      </c>
      <c r="GS224" s="423">
        <f t="shared" si="239"/>
        <v>0</v>
      </c>
      <c r="GT224" s="419">
        <v>265139.37</v>
      </c>
      <c r="GU224" s="419"/>
      <c r="GV224" s="419">
        <v>34468.11</v>
      </c>
      <c r="GW224" s="420">
        <f t="shared" si="240"/>
        <v>265139.31</v>
      </c>
      <c r="GX224" s="420">
        <f t="shared" si="241"/>
        <v>-5.9999999997671701E-2</v>
      </c>
    </row>
    <row r="225" spans="1:206" ht="15">
      <c r="A225" s="414"/>
      <c r="B225" s="415" t="s">
        <v>188</v>
      </c>
      <c r="C225" s="698"/>
      <c r="D225" s="705"/>
      <c r="E225" s="434" t="s">
        <v>124</v>
      </c>
      <c r="F225" s="417">
        <v>0.09</v>
      </c>
      <c r="G225" s="418">
        <f t="shared" si="219"/>
        <v>7847170.4900000002</v>
      </c>
      <c r="H225" s="418">
        <f t="shared" si="220"/>
        <v>7820046.2999999998</v>
      </c>
      <c r="I225" s="418">
        <f t="shared" si="220"/>
        <v>706245.34</v>
      </c>
      <c r="J225" s="418">
        <f t="shared" si="221"/>
        <v>7847170.4444444496</v>
      </c>
      <c r="K225" s="418">
        <f t="shared" si="217"/>
        <v>27124.144444446101</v>
      </c>
      <c r="L225" s="418">
        <f t="shared" si="218"/>
        <v>-4.5555554330349003E-2</v>
      </c>
      <c r="M225" s="424"/>
      <c r="N225" s="424"/>
      <c r="O225" s="424"/>
      <c r="P225" s="424"/>
      <c r="Q225" s="419"/>
      <c r="R225" s="419"/>
      <c r="S225" s="419"/>
      <c r="T225" s="420"/>
      <c r="U225" s="423"/>
      <c r="V225" s="420"/>
      <c r="W225" s="420"/>
      <c r="X225" s="419"/>
      <c r="Y225" s="419"/>
      <c r="Z225" s="423"/>
      <c r="AA225" s="423"/>
      <c r="AB225" s="419"/>
      <c r="AC225" s="423"/>
      <c r="AD225" s="420"/>
      <c r="AE225" s="423"/>
      <c r="AF225" s="444"/>
      <c r="AG225" s="419"/>
      <c r="AH225" s="420"/>
      <c r="AI225" s="420"/>
      <c r="AJ225" s="423"/>
      <c r="AK225" s="444"/>
      <c r="AL225" s="420"/>
      <c r="AM225" s="420"/>
      <c r="AN225" s="420"/>
      <c r="AO225" s="423"/>
      <c r="AP225" s="420"/>
      <c r="AQ225" s="419"/>
      <c r="AR225" s="420"/>
      <c r="AS225" s="420"/>
      <c r="AT225" s="420"/>
      <c r="AU225" s="420"/>
      <c r="AV225" s="420"/>
      <c r="AW225" s="420"/>
      <c r="AX225" s="426"/>
      <c r="AY225" s="420"/>
      <c r="AZ225" s="420"/>
      <c r="BA225" s="420"/>
      <c r="BB225" s="419"/>
      <c r="BC225" s="420"/>
      <c r="BD225" s="427"/>
      <c r="BE225" s="420"/>
      <c r="BF225" s="420"/>
      <c r="BG225" s="420"/>
      <c r="BH225" s="423"/>
      <c r="BI225" s="420"/>
      <c r="BJ225" s="420"/>
      <c r="BK225" s="420"/>
      <c r="BL225" s="420"/>
      <c r="BM225" s="420"/>
      <c r="BN225" s="420"/>
      <c r="BO225" s="419"/>
      <c r="BP225" s="428"/>
      <c r="BQ225" s="420"/>
      <c r="BR225" s="423"/>
      <c r="BS225" s="423"/>
      <c r="BT225" s="420"/>
      <c r="BU225" s="420"/>
      <c r="BV225" s="420"/>
      <c r="BW225" s="420"/>
      <c r="BX225" s="429"/>
      <c r="BY225" s="419"/>
      <c r="BZ225" s="419"/>
      <c r="CA225" s="419"/>
      <c r="CB225" s="420"/>
      <c r="CC225" s="430"/>
      <c r="CD225" s="419"/>
      <c r="CE225" s="419"/>
      <c r="CF225" s="419"/>
      <c r="CG225" s="420"/>
      <c r="CH225" s="423"/>
      <c r="CI225" s="432"/>
      <c r="CJ225" s="432"/>
      <c r="CK225" s="432"/>
      <c r="CL225" s="420"/>
      <c r="CM225" s="423"/>
      <c r="CN225" s="420"/>
      <c r="CO225" s="420"/>
      <c r="CP225" s="420"/>
      <c r="CQ225" s="432"/>
      <c r="CR225" s="432"/>
      <c r="CS225" s="420"/>
      <c r="CT225" s="420"/>
      <c r="CU225" s="420"/>
      <c r="CV225" s="420"/>
      <c r="CW225" s="420"/>
      <c r="CX225" s="419"/>
      <c r="CY225" s="419"/>
      <c r="CZ225" s="419"/>
      <c r="DA225" s="419"/>
      <c r="DB225" s="419"/>
      <c r="DC225" s="419"/>
      <c r="DD225" s="419"/>
      <c r="DE225" s="419"/>
      <c r="DF225" s="420"/>
      <c r="DG225" s="421"/>
      <c r="DH225" s="419"/>
      <c r="DI225" s="419"/>
      <c r="DJ225" s="419"/>
      <c r="DK225" s="420"/>
      <c r="DL225" s="422"/>
      <c r="DM225" s="420"/>
      <c r="DN225" s="420"/>
      <c r="DO225" s="420"/>
      <c r="DP225" s="420"/>
      <c r="DQ225" s="420"/>
      <c r="DR225" s="419"/>
      <c r="DS225" s="419"/>
      <c r="DT225" s="419"/>
      <c r="DU225" s="420"/>
      <c r="DV225" s="423"/>
      <c r="DW225" s="419"/>
      <c r="DX225" s="419"/>
      <c r="DY225" s="419"/>
      <c r="DZ225" s="420"/>
      <c r="EA225" s="423"/>
      <c r="EB225" s="419"/>
      <c r="EC225" s="419"/>
      <c r="ED225" s="420"/>
      <c r="EE225" s="419"/>
      <c r="EF225" s="420"/>
      <c r="EG225" s="419"/>
      <c r="EH225" s="419"/>
      <c r="EI225" s="419"/>
      <c r="EJ225" s="420"/>
      <c r="EK225" s="420"/>
      <c r="EL225" s="419"/>
      <c r="EN225" s="419"/>
      <c r="EO225" s="419"/>
      <c r="EP225" s="419"/>
      <c r="EQ225" s="419"/>
      <c r="ER225" s="419"/>
      <c r="ES225" s="419"/>
      <c r="ET225" s="419"/>
      <c r="EU225" s="419"/>
      <c r="EV225" s="419"/>
      <c r="EW225" s="419"/>
      <c r="EX225" s="419"/>
      <c r="EY225" s="419"/>
      <c r="EZ225" s="419"/>
      <c r="FA225" s="420"/>
      <c r="FB225" s="420"/>
      <c r="FC225" s="420"/>
      <c r="FD225" s="420"/>
      <c r="FE225" s="420"/>
      <c r="FF225" s="419"/>
      <c r="FG225" s="419"/>
      <c r="FH225" s="419"/>
      <c r="FI225" s="419"/>
      <c r="FJ225" s="419"/>
      <c r="FK225" s="419"/>
      <c r="FL225" s="419"/>
      <c r="FM225" s="419"/>
      <c r="FN225" s="420">
        <f t="shared" si="227"/>
        <v>0</v>
      </c>
      <c r="FO225" s="423">
        <f t="shared" si="228"/>
        <v>0</v>
      </c>
      <c r="FP225" s="431">
        <v>2236185.3199999998</v>
      </c>
      <c r="FQ225" s="431">
        <v>0</v>
      </c>
      <c r="FR225" s="431">
        <v>201256.68</v>
      </c>
      <c r="FS225" s="420">
        <f t="shared" si="229"/>
        <v>2236185.33</v>
      </c>
      <c r="FT225" s="420">
        <f t="shared" si="230"/>
        <v>1.0000000242143901E-2</v>
      </c>
      <c r="FU225" s="419">
        <v>1260356.68</v>
      </c>
      <c r="FV225" s="419"/>
      <c r="FW225" s="419">
        <v>113432.1</v>
      </c>
      <c r="FX225" s="420">
        <f t="shared" si="231"/>
        <v>1260356.67</v>
      </c>
      <c r="FY225" s="420">
        <f t="shared" si="232"/>
        <v>-1.00000000093132E-2</v>
      </c>
      <c r="FZ225" s="419">
        <v>4323504.29</v>
      </c>
      <c r="GA225" s="419">
        <v>3496542</v>
      </c>
      <c r="GB225" s="419">
        <v>389115.38</v>
      </c>
      <c r="GC225" s="420">
        <f t="shared" si="233"/>
        <v>4323504.22</v>
      </c>
      <c r="GD225" s="420">
        <f t="shared" si="234"/>
        <v>-7.0000000298023196E-2</v>
      </c>
      <c r="GE225" s="419"/>
      <c r="GF225" s="419"/>
      <c r="GG225" s="419"/>
      <c r="GH225" s="420">
        <f t="shared" si="235"/>
        <v>0</v>
      </c>
      <c r="GI225" s="423">
        <f t="shared" si="236"/>
        <v>0</v>
      </c>
      <c r="GJ225" s="419"/>
      <c r="GK225" s="419"/>
      <c r="GL225" s="419"/>
      <c r="GM225" s="420">
        <f t="shared" si="237"/>
        <v>0</v>
      </c>
      <c r="GN225" s="420">
        <f t="shared" si="238"/>
        <v>0</v>
      </c>
      <c r="GO225" s="419"/>
      <c r="GP225" s="419">
        <v>4323504.3</v>
      </c>
      <c r="GQ225" s="419"/>
      <c r="GR225" s="420">
        <f t="shared" si="243"/>
        <v>0</v>
      </c>
      <c r="GS225" s="423">
        <f t="shared" si="239"/>
        <v>0</v>
      </c>
      <c r="GT225" s="419">
        <v>27124.2</v>
      </c>
      <c r="GU225" s="419"/>
      <c r="GV225" s="419">
        <v>2441.1799999999998</v>
      </c>
      <c r="GW225" s="420">
        <f t="shared" si="240"/>
        <v>27124.22</v>
      </c>
      <c r="GX225" s="420">
        <f t="shared" si="241"/>
        <v>2.0000000000436599E-2</v>
      </c>
    </row>
    <row r="226" spans="1:206" ht="15">
      <c r="A226" s="414"/>
      <c r="B226" s="415" t="s">
        <v>188</v>
      </c>
      <c r="C226" s="698"/>
      <c r="D226" s="707"/>
      <c r="E226" s="434" t="s">
        <v>125</v>
      </c>
      <c r="F226" s="417">
        <v>0.06</v>
      </c>
      <c r="G226" s="418">
        <f t="shared" si="219"/>
        <v>1182615.19</v>
      </c>
      <c r="H226" s="418">
        <f t="shared" si="220"/>
        <v>691353.22</v>
      </c>
      <c r="I226" s="418">
        <f t="shared" si="220"/>
        <v>70956.91</v>
      </c>
      <c r="J226" s="418">
        <f t="shared" si="221"/>
        <v>1182615.16666667</v>
      </c>
      <c r="K226" s="418">
        <f t="shared" si="217"/>
        <v>491261.94666666701</v>
      </c>
      <c r="L226" s="418">
        <f t="shared" si="218"/>
        <v>-2.3333333432674401E-2</v>
      </c>
      <c r="M226" s="424"/>
      <c r="N226" s="424"/>
      <c r="O226" s="424"/>
      <c r="P226" s="424"/>
      <c r="Q226" s="419"/>
      <c r="R226" s="419"/>
      <c r="S226" s="419"/>
      <c r="T226" s="420"/>
      <c r="U226" s="423"/>
      <c r="V226" s="420"/>
      <c r="W226" s="420"/>
      <c r="X226" s="419"/>
      <c r="Y226" s="419"/>
      <c r="Z226" s="423"/>
      <c r="AA226" s="423"/>
      <c r="AB226" s="419"/>
      <c r="AC226" s="423"/>
      <c r="AD226" s="420"/>
      <c r="AE226" s="423"/>
      <c r="AF226" s="444"/>
      <c r="AG226" s="419"/>
      <c r="AH226" s="420"/>
      <c r="AI226" s="420"/>
      <c r="AJ226" s="423"/>
      <c r="AK226" s="444"/>
      <c r="AL226" s="420"/>
      <c r="AM226" s="420"/>
      <c r="AN226" s="420"/>
      <c r="AO226" s="423"/>
      <c r="AP226" s="420"/>
      <c r="AQ226" s="419"/>
      <c r="AR226" s="420"/>
      <c r="AS226" s="420"/>
      <c r="AT226" s="420"/>
      <c r="AU226" s="420"/>
      <c r="AV226" s="420"/>
      <c r="AW226" s="420"/>
      <c r="AX226" s="426"/>
      <c r="AY226" s="420"/>
      <c r="AZ226" s="420"/>
      <c r="BA226" s="420"/>
      <c r="BB226" s="419"/>
      <c r="BC226" s="420"/>
      <c r="BD226" s="427"/>
      <c r="BE226" s="420"/>
      <c r="BF226" s="420"/>
      <c r="BG226" s="420"/>
      <c r="BH226" s="423"/>
      <c r="BI226" s="420"/>
      <c r="BJ226" s="420"/>
      <c r="BK226" s="420"/>
      <c r="BL226" s="420"/>
      <c r="BM226" s="420"/>
      <c r="BN226" s="420"/>
      <c r="BO226" s="419"/>
      <c r="BP226" s="428"/>
      <c r="BQ226" s="420"/>
      <c r="BR226" s="423"/>
      <c r="BS226" s="423"/>
      <c r="BT226" s="420"/>
      <c r="BU226" s="420"/>
      <c r="BV226" s="420"/>
      <c r="BW226" s="420"/>
      <c r="BX226" s="429"/>
      <c r="BY226" s="419"/>
      <c r="BZ226" s="419"/>
      <c r="CA226" s="419"/>
      <c r="CB226" s="420"/>
      <c r="CC226" s="430"/>
      <c r="CD226" s="419"/>
      <c r="CE226" s="419"/>
      <c r="CF226" s="419"/>
      <c r="CG226" s="420"/>
      <c r="CH226" s="423"/>
      <c r="CI226" s="432"/>
      <c r="CJ226" s="432"/>
      <c r="CK226" s="432"/>
      <c r="CL226" s="420"/>
      <c r="CM226" s="423"/>
      <c r="CN226" s="420"/>
      <c r="CO226" s="420"/>
      <c r="CP226" s="420"/>
      <c r="CQ226" s="432"/>
      <c r="CR226" s="432"/>
      <c r="CS226" s="420"/>
      <c r="CT226" s="420"/>
      <c r="CU226" s="420"/>
      <c r="CV226" s="420"/>
      <c r="CW226" s="420"/>
      <c r="CX226" s="419"/>
      <c r="CY226" s="419"/>
      <c r="CZ226" s="419"/>
      <c r="DA226" s="419"/>
      <c r="DB226" s="419"/>
      <c r="DC226" s="419"/>
      <c r="DD226" s="419"/>
      <c r="DE226" s="419"/>
      <c r="DF226" s="420"/>
      <c r="DG226" s="421"/>
      <c r="DH226" s="419"/>
      <c r="DI226" s="419"/>
      <c r="DJ226" s="419"/>
      <c r="DK226" s="420"/>
      <c r="DL226" s="422"/>
      <c r="DM226" s="420"/>
      <c r="DN226" s="420"/>
      <c r="DO226" s="420"/>
      <c r="DP226" s="420"/>
      <c r="DQ226" s="420"/>
      <c r="DR226" s="419"/>
      <c r="DS226" s="419"/>
      <c r="DT226" s="419"/>
      <c r="DU226" s="420"/>
      <c r="DV226" s="423"/>
      <c r="DW226" s="419"/>
      <c r="DX226" s="419"/>
      <c r="DY226" s="419"/>
      <c r="DZ226" s="420"/>
      <c r="EA226" s="423"/>
      <c r="EB226" s="419"/>
      <c r="EC226" s="419"/>
      <c r="ED226" s="420"/>
      <c r="EE226" s="419"/>
      <c r="EF226" s="420"/>
      <c r="EG226" s="419"/>
      <c r="EH226" s="419"/>
      <c r="EI226" s="419"/>
      <c r="EJ226" s="420"/>
      <c r="EK226" s="420"/>
      <c r="EL226" s="419"/>
      <c r="EN226" s="419"/>
      <c r="EO226" s="419"/>
      <c r="EP226" s="419"/>
      <c r="EQ226" s="419"/>
      <c r="ER226" s="419"/>
      <c r="ES226" s="419"/>
      <c r="ET226" s="419"/>
      <c r="EU226" s="419"/>
      <c r="EV226" s="419"/>
      <c r="EW226" s="419"/>
      <c r="EX226" s="419"/>
      <c r="EY226" s="419"/>
      <c r="EZ226" s="419"/>
      <c r="FA226" s="420"/>
      <c r="FB226" s="420"/>
      <c r="FC226" s="420"/>
      <c r="FD226" s="420"/>
      <c r="FE226" s="420"/>
      <c r="FF226" s="419"/>
      <c r="FG226" s="419"/>
      <c r="FH226" s="419"/>
      <c r="FI226" s="419"/>
      <c r="FJ226" s="419"/>
      <c r="FK226" s="419">
        <v>82193.399999999994</v>
      </c>
      <c r="FL226" s="419"/>
      <c r="FM226" s="419">
        <v>4931.6000000000004</v>
      </c>
      <c r="FN226" s="420">
        <f t="shared" si="227"/>
        <v>82193.33</v>
      </c>
      <c r="FO226" s="423">
        <f t="shared" si="228"/>
        <v>-7.0000000000000007E-2</v>
      </c>
      <c r="FP226" s="431">
        <v>12675.77</v>
      </c>
      <c r="FQ226" s="431">
        <v>0</v>
      </c>
      <c r="FR226" s="431">
        <v>760.55</v>
      </c>
      <c r="FS226" s="420">
        <f t="shared" si="229"/>
        <v>12675.83</v>
      </c>
      <c r="FT226" s="420">
        <f t="shared" si="230"/>
        <v>5.9999999999490697E-2</v>
      </c>
      <c r="FU226" s="419">
        <v>228200.47</v>
      </c>
      <c r="FV226" s="419"/>
      <c r="FW226" s="419">
        <v>13692.03</v>
      </c>
      <c r="FX226" s="420">
        <f t="shared" si="231"/>
        <v>228200.5</v>
      </c>
      <c r="FY226" s="420">
        <f t="shared" si="232"/>
        <v>2.9999999998835802E-2</v>
      </c>
      <c r="FZ226" s="419">
        <v>10376.19</v>
      </c>
      <c r="GA226" s="419">
        <v>296824.92</v>
      </c>
      <c r="GB226" s="419">
        <v>622.57000000000005</v>
      </c>
      <c r="GC226" s="420">
        <f t="shared" si="233"/>
        <v>10376.17</v>
      </c>
      <c r="GD226" s="420">
        <f t="shared" si="234"/>
        <v>-2.0000000000436599E-2</v>
      </c>
      <c r="GE226" s="419">
        <v>405045.09</v>
      </c>
      <c r="GF226" s="419"/>
      <c r="GG226" s="419">
        <v>24302.71</v>
      </c>
      <c r="GH226" s="420">
        <f t="shared" si="235"/>
        <v>405045.16666666698</v>
      </c>
      <c r="GI226" s="423">
        <f t="shared" si="236"/>
        <v>7.6666666660457794E-2</v>
      </c>
      <c r="GJ226" s="437">
        <v>10740.88</v>
      </c>
      <c r="GK226" s="419"/>
      <c r="GL226" s="419">
        <v>644.45000000000005</v>
      </c>
      <c r="GM226" s="420">
        <f t="shared" si="237"/>
        <v>10740.833333333299</v>
      </c>
      <c r="GN226" s="420">
        <f t="shared" si="238"/>
        <v>-4.6666666665260002E-2</v>
      </c>
      <c r="GO226" s="419">
        <v>334751.31</v>
      </c>
      <c r="GP226" s="419">
        <v>394528.3</v>
      </c>
      <c r="GQ226" s="419">
        <v>20085.080000000002</v>
      </c>
      <c r="GR226" s="420">
        <f t="shared" si="243"/>
        <v>334751.33333333302</v>
      </c>
      <c r="GS226" s="423">
        <f t="shared" si="239"/>
        <v>2.3333333374466698E-2</v>
      </c>
      <c r="GT226" s="419">
        <v>98632.08</v>
      </c>
      <c r="GU226" s="419"/>
      <c r="GV226" s="419">
        <v>5917.92</v>
      </c>
      <c r="GW226" s="420">
        <f t="shared" si="240"/>
        <v>98632</v>
      </c>
      <c r="GX226" s="420">
        <f t="shared" si="241"/>
        <v>-8.0000000001746202E-2</v>
      </c>
    </row>
    <row r="227" spans="1:206" ht="15">
      <c r="A227" s="414"/>
      <c r="B227" s="415" t="s">
        <v>589</v>
      </c>
      <c r="C227" s="698"/>
      <c r="D227" s="704" t="s">
        <v>590</v>
      </c>
      <c r="E227" s="434" t="s">
        <v>123</v>
      </c>
      <c r="F227" s="417">
        <v>0.13</v>
      </c>
      <c r="G227" s="418">
        <f t="shared" si="219"/>
        <v>199843936.28</v>
      </c>
      <c r="H227" s="418">
        <f t="shared" si="220"/>
        <v>199843936.28</v>
      </c>
      <c r="I227" s="418">
        <f t="shared" si="220"/>
        <v>25979711.710000001</v>
      </c>
      <c r="J227" s="418">
        <f t="shared" si="221"/>
        <v>199843936.23076901</v>
      </c>
      <c r="K227" s="418">
        <f t="shared" si="217"/>
        <v>-4.92307841777802E-2</v>
      </c>
      <c r="L227" s="418">
        <f t="shared" si="218"/>
        <v>-4.9230813980102497E-2</v>
      </c>
      <c r="M227" s="424"/>
      <c r="N227" s="424"/>
      <c r="O227" s="424"/>
      <c r="P227" s="424"/>
      <c r="Q227" s="419"/>
      <c r="R227" s="419"/>
      <c r="S227" s="419"/>
      <c r="T227" s="420"/>
      <c r="U227" s="423"/>
      <c r="V227" s="420"/>
      <c r="W227" s="420"/>
      <c r="X227" s="419"/>
      <c r="Y227" s="419"/>
      <c r="Z227" s="423"/>
      <c r="AA227" s="423"/>
      <c r="AB227" s="419"/>
      <c r="AC227" s="423"/>
      <c r="AD227" s="420"/>
      <c r="AE227" s="423"/>
      <c r="AF227" s="444"/>
      <c r="AG227" s="419"/>
      <c r="AH227" s="420"/>
      <c r="AI227" s="420"/>
      <c r="AJ227" s="423"/>
      <c r="AK227" s="444"/>
      <c r="AL227" s="420"/>
      <c r="AM227" s="420"/>
      <c r="AN227" s="420"/>
      <c r="AO227" s="423"/>
      <c r="AP227" s="420"/>
      <c r="AQ227" s="419"/>
      <c r="AR227" s="420"/>
      <c r="AS227" s="420"/>
      <c r="AT227" s="420"/>
      <c r="AU227" s="420"/>
      <c r="AV227" s="420"/>
      <c r="AW227" s="420"/>
      <c r="AX227" s="426"/>
      <c r="AY227" s="420"/>
      <c r="AZ227" s="420"/>
      <c r="BA227" s="420"/>
      <c r="BB227" s="419"/>
      <c r="BC227" s="420"/>
      <c r="BD227" s="427"/>
      <c r="BE227" s="420"/>
      <c r="BF227" s="420"/>
      <c r="BG227" s="420"/>
      <c r="BH227" s="423"/>
      <c r="BI227" s="420"/>
      <c r="BJ227" s="420"/>
      <c r="BK227" s="420"/>
      <c r="BL227" s="420"/>
      <c r="BM227" s="420"/>
      <c r="BN227" s="420"/>
      <c r="BO227" s="419"/>
      <c r="BP227" s="428"/>
      <c r="BQ227" s="420"/>
      <c r="BR227" s="423"/>
      <c r="BS227" s="423"/>
      <c r="BT227" s="420"/>
      <c r="BU227" s="420"/>
      <c r="BV227" s="420"/>
      <c r="BW227" s="420"/>
      <c r="BX227" s="429"/>
      <c r="BY227" s="419"/>
      <c r="BZ227" s="419"/>
      <c r="CA227" s="419"/>
      <c r="CB227" s="420"/>
      <c r="CC227" s="430"/>
      <c r="CD227" s="419"/>
      <c r="CE227" s="419"/>
      <c r="CF227" s="419"/>
      <c r="CG227" s="420"/>
      <c r="CH227" s="423"/>
      <c r="CI227" s="432"/>
      <c r="CJ227" s="432"/>
      <c r="CK227" s="432"/>
      <c r="CL227" s="420"/>
      <c r="CM227" s="423"/>
      <c r="CN227" s="420"/>
      <c r="CO227" s="420"/>
      <c r="CP227" s="420"/>
      <c r="CQ227" s="432"/>
      <c r="CR227" s="432"/>
      <c r="CS227" s="420"/>
      <c r="CT227" s="420"/>
      <c r="CU227" s="420"/>
      <c r="CV227" s="420"/>
      <c r="CW227" s="420"/>
      <c r="CX227" s="419"/>
      <c r="CY227" s="419"/>
      <c r="CZ227" s="419"/>
      <c r="DA227" s="419"/>
      <c r="DB227" s="419"/>
      <c r="DC227" s="419"/>
      <c r="DD227" s="419"/>
      <c r="DE227" s="419"/>
      <c r="DF227" s="420"/>
      <c r="DG227" s="421"/>
      <c r="DH227" s="419"/>
      <c r="DI227" s="419"/>
      <c r="DJ227" s="419"/>
      <c r="DK227" s="420"/>
      <c r="DL227" s="422"/>
      <c r="DM227" s="420"/>
      <c r="DN227" s="420"/>
      <c r="DO227" s="420"/>
      <c r="DP227" s="420"/>
      <c r="DQ227" s="420"/>
      <c r="DR227" s="419"/>
      <c r="DS227" s="419"/>
      <c r="DT227" s="419"/>
      <c r="DU227" s="420"/>
      <c r="DV227" s="423"/>
      <c r="DW227" s="419"/>
      <c r="DX227" s="419"/>
      <c r="DY227" s="419"/>
      <c r="DZ227" s="420"/>
      <c r="EA227" s="423"/>
      <c r="EB227" s="419"/>
      <c r="EC227" s="419"/>
      <c r="ED227" s="420"/>
      <c r="EE227" s="419"/>
      <c r="EF227" s="420"/>
      <c r="EG227" s="419"/>
      <c r="EH227" s="419"/>
      <c r="EI227" s="419"/>
      <c r="EJ227" s="420"/>
      <c r="EK227" s="420"/>
      <c r="EL227" s="419"/>
      <c r="EN227" s="419"/>
      <c r="EO227" s="419"/>
      <c r="EP227" s="419"/>
      <c r="EQ227" s="419"/>
      <c r="ER227" s="419"/>
      <c r="ES227" s="419"/>
      <c r="ET227" s="419"/>
      <c r="EU227" s="419"/>
      <c r="EV227" s="419"/>
      <c r="EW227" s="419"/>
      <c r="EX227" s="419"/>
      <c r="EY227" s="419"/>
      <c r="EZ227" s="419"/>
      <c r="FA227" s="420"/>
      <c r="FB227" s="420"/>
      <c r="FC227" s="420"/>
      <c r="FD227" s="420"/>
      <c r="FE227" s="420"/>
      <c r="FF227" s="419"/>
      <c r="FG227" s="419"/>
      <c r="FH227" s="419"/>
      <c r="FI227" s="419">
        <f t="shared" si="225"/>
        <v>0</v>
      </c>
      <c r="FJ227" s="419">
        <f t="shared" si="226"/>
        <v>0</v>
      </c>
      <c r="FK227" s="419">
        <v>1234590.69</v>
      </c>
      <c r="FL227" s="419"/>
      <c r="FM227" s="419">
        <v>160496.79</v>
      </c>
      <c r="FN227" s="420">
        <f t="shared" si="227"/>
        <v>1234590.69</v>
      </c>
      <c r="FO227" s="423">
        <f t="shared" si="228"/>
        <v>0</v>
      </c>
      <c r="FP227" s="431">
        <v>3949381.09</v>
      </c>
      <c r="FQ227" s="431">
        <v>0</v>
      </c>
      <c r="FR227" s="431">
        <v>513419.54</v>
      </c>
      <c r="FS227" s="420">
        <f t="shared" si="229"/>
        <v>3949381.08</v>
      </c>
      <c r="FT227" s="420">
        <f t="shared" si="230"/>
        <v>-9.9999997764825804E-3</v>
      </c>
      <c r="FU227" s="419">
        <v>18355626.489999998</v>
      </c>
      <c r="FV227" s="419">
        <v>23539598.27</v>
      </c>
      <c r="FW227" s="419">
        <v>2386231.44</v>
      </c>
      <c r="FX227" s="420">
        <f t="shared" si="231"/>
        <v>18355626.460000001</v>
      </c>
      <c r="FY227" s="420">
        <f t="shared" si="232"/>
        <v>-2.9999997466802601E-2</v>
      </c>
      <c r="FZ227" s="419">
        <v>37569808.520000003</v>
      </c>
      <c r="GA227" s="419"/>
      <c r="GB227" s="419">
        <v>4884075.1100000003</v>
      </c>
      <c r="GC227" s="420">
        <f t="shared" si="233"/>
        <v>37569808.539999999</v>
      </c>
      <c r="GD227" s="420">
        <f t="shared" si="234"/>
        <v>1.99999958276749E-2</v>
      </c>
      <c r="GE227" s="419">
        <v>43101866.109999999</v>
      </c>
      <c r="GF227" s="419">
        <v>37569808.509999998</v>
      </c>
      <c r="GG227" s="419">
        <v>5603242.5899999999</v>
      </c>
      <c r="GH227" s="420">
        <f t="shared" si="235"/>
        <v>43101866.076923102</v>
      </c>
      <c r="GI227" s="423">
        <f t="shared" si="236"/>
        <v>-3.3076927065849297E-2</v>
      </c>
      <c r="GJ227" s="419">
        <v>69821302.010000005</v>
      </c>
      <c r="GK227" s="419"/>
      <c r="GL227" s="419">
        <v>9076769.2599999998</v>
      </c>
      <c r="GM227" s="420">
        <f t="shared" si="237"/>
        <v>69821302</v>
      </c>
      <c r="GN227" s="420">
        <f t="shared" si="238"/>
        <v>-1.0000005364418E-2</v>
      </c>
      <c r="GO227" s="419">
        <v>25811361.370000001</v>
      </c>
      <c r="GP227" s="419">
        <v>112923168.13</v>
      </c>
      <c r="GQ227" s="419">
        <v>3355476.98</v>
      </c>
      <c r="GR227" s="420">
        <f t="shared" si="243"/>
        <v>25811361.384615399</v>
      </c>
      <c r="GS227" s="423">
        <f t="shared" si="239"/>
        <v>1.4615382999181701E-2</v>
      </c>
      <c r="GT227" s="419"/>
      <c r="GU227" s="419">
        <v>25811361.370000001</v>
      </c>
      <c r="GV227" s="419"/>
      <c r="GW227" s="420">
        <f t="shared" si="240"/>
        <v>0</v>
      </c>
      <c r="GX227" s="420">
        <f t="shared" si="241"/>
        <v>0</v>
      </c>
    </row>
    <row r="228" spans="1:206" ht="15">
      <c r="A228" s="414"/>
      <c r="B228" s="415" t="s">
        <v>589</v>
      </c>
      <c r="C228" s="698"/>
      <c r="D228" s="705"/>
      <c r="E228" s="434" t="s">
        <v>124</v>
      </c>
      <c r="F228" s="417">
        <v>0.09</v>
      </c>
      <c r="G228" s="418">
        <f t="shared" si="219"/>
        <v>546734590.29999995</v>
      </c>
      <c r="H228" s="418">
        <f t="shared" si="220"/>
        <v>546734590.29999995</v>
      </c>
      <c r="I228" s="418">
        <f t="shared" si="220"/>
        <v>49206113.130000003</v>
      </c>
      <c r="J228" s="418">
        <f t="shared" si="221"/>
        <v>546734590.33333302</v>
      </c>
      <c r="K228" s="418">
        <f t="shared" si="217"/>
        <v>3.3333301544189502E-2</v>
      </c>
      <c r="L228" s="418">
        <f t="shared" si="218"/>
        <v>3.3333301544189502E-2</v>
      </c>
      <c r="M228" s="424"/>
      <c r="N228" s="424"/>
      <c r="O228" s="424"/>
      <c r="P228" s="424"/>
      <c r="Q228" s="419"/>
      <c r="R228" s="419"/>
      <c r="S228" s="419"/>
      <c r="T228" s="420"/>
      <c r="U228" s="423"/>
      <c r="V228" s="420"/>
      <c r="W228" s="420"/>
      <c r="X228" s="419"/>
      <c r="Y228" s="419"/>
      <c r="Z228" s="423"/>
      <c r="AA228" s="423"/>
      <c r="AB228" s="419"/>
      <c r="AC228" s="423"/>
      <c r="AD228" s="420"/>
      <c r="AE228" s="423"/>
      <c r="AF228" s="444"/>
      <c r="AG228" s="419"/>
      <c r="AH228" s="420"/>
      <c r="AI228" s="420"/>
      <c r="AJ228" s="423"/>
      <c r="AK228" s="444"/>
      <c r="AL228" s="420"/>
      <c r="AM228" s="420"/>
      <c r="AN228" s="420"/>
      <c r="AO228" s="423"/>
      <c r="AP228" s="420"/>
      <c r="AQ228" s="419"/>
      <c r="AR228" s="420"/>
      <c r="AS228" s="420"/>
      <c r="AT228" s="420"/>
      <c r="AU228" s="420"/>
      <c r="AV228" s="420"/>
      <c r="AW228" s="420"/>
      <c r="AX228" s="426"/>
      <c r="AY228" s="420"/>
      <c r="AZ228" s="420"/>
      <c r="BA228" s="420"/>
      <c r="BB228" s="419"/>
      <c r="BC228" s="420"/>
      <c r="BD228" s="427"/>
      <c r="BE228" s="420"/>
      <c r="BF228" s="420"/>
      <c r="BG228" s="420"/>
      <c r="BH228" s="423"/>
      <c r="BI228" s="420"/>
      <c r="BJ228" s="420"/>
      <c r="BK228" s="420"/>
      <c r="BL228" s="420"/>
      <c r="BM228" s="420"/>
      <c r="BN228" s="420"/>
      <c r="BO228" s="419"/>
      <c r="BP228" s="428"/>
      <c r="BQ228" s="420"/>
      <c r="BR228" s="423"/>
      <c r="BS228" s="423"/>
      <c r="BT228" s="420"/>
      <c r="BU228" s="420"/>
      <c r="BV228" s="420"/>
      <c r="BW228" s="420"/>
      <c r="BX228" s="429"/>
      <c r="BY228" s="419"/>
      <c r="BZ228" s="419"/>
      <c r="CA228" s="419"/>
      <c r="CB228" s="420"/>
      <c r="CC228" s="430"/>
      <c r="CD228" s="419"/>
      <c r="CE228" s="419"/>
      <c r="CF228" s="419"/>
      <c r="CG228" s="420"/>
      <c r="CH228" s="423"/>
      <c r="CI228" s="432"/>
      <c r="CJ228" s="432"/>
      <c r="CK228" s="432"/>
      <c r="CL228" s="420"/>
      <c r="CM228" s="423"/>
      <c r="CN228" s="420"/>
      <c r="CO228" s="420"/>
      <c r="CP228" s="420"/>
      <c r="CQ228" s="432"/>
      <c r="CR228" s="432"/>
      <c r="CS228" s="420"/>
      <c r="CT228" s="420"/>
      <c r="CU228" s="420"/>
      <c r="CV228" s="420"/>
      <c r="CW228" s="420"/>
      <c r="CX228" s="419"/>
      <c r="CY228" s="419"/>
      <c r="CZ228" s="419"/>
      <c r="DA228" s="419"/>
      <c r="DB228" s="419"/>
      <c r="DC228" s="419"/>
      <c r="DD228" s="419"/>
      <c r="DE228" s="419"/>
      <c r="DF228" s="420"/>
      <c r="DG228" s="421"/>
      <c r="DH228" s="419"/>
      <c r="DI228" s="419"/>
      <c r="DJ228" s="419"/>
      <c r="DK228" s="420"/>
      <c r="DL228" s="422"/>
      <c r="DM228" s="420"/>
      <c r="DN228" s="420"/>
      <c r="DO228" s="420"/>
      <c r="DP228" s="420"/>
      <c r="DQ228" s="420"/>
      <c r="DR228" s="419"/>
      <c r="DS228" s="419"/>
      <c r="DT228" s="419"/>
      <c r="DU228" s="420"/>
      <c r="DV228" s="423"/>
      <c r="DW228" s="419"/>
      <c r="DX228" s="419"/>
      <c r="DY228" s="419"/>
      <c r="DZ228" s="420"/>
      <c r="EA228" s="423"/>
      <c r="EB228" s="419"/>
      <c r="EC228" s="419"/>
      <c r="ED228" s="420"/>
      <c r="EE228" s="419"/>
      <c r="EF228" s="420"/>
      <c r="EG228" s="419"/>
      <c r="EH228" s="419"/>
      <c r="EI228" s="419"/>
      <c r="EJ228" s="420"/>
      <c r="EK228" s="420"/>
      <c r="EL228" s="419"/>
      <c r="EN228" s="419"/>
      <c r="EO228" s="419"/>
      <c r="EP228" s="419"/>
      <c r="EQ228" s="419"/>
      <c r="ER228" s="419"/>
      <c r="ES228" s="419"/>
      <c r="ET228" s="419"/>
      <c r="EU228" s="419"/>
      <c r="EV228" s="419"/>
      <c r="EW228" s="419"/>
      <c r="EX228" s="419"/>
      <c r="EY228" s="419"/>
      <c r="EZ228" s="419"/>
      <c r="FA228" s="420"/>
      <c r="FB228" s="420"/>
      <c r="FC228" s="420"/>
      <c r="FD228" s="420"/>
      <c r="FE228" s="420"/>
      <c r="FF228" s="419">
        <v>1498068.36</v>
      </c>
      <c r="FG228" s="419"/>
      <c r="FH228" s="419">
        <v>134826.16</v>
      </c>
      <c r="FI228" s="419">
        <f t="shared" si="225"/>
        <v>1498068.4444444401</v>
      </c>
      <c r="FJ228" s="419">
        <f t="shared" si="226"/>
        <v>0.08</v>
      </c>
      <c r="FK228" s="419">
        <v>89563.11</v>
      </c>
      <c r="FL228" s="419"/>
      <c r="FM228" s="419">
        <v>8060.68</v>
      </c>
      <c r="FN228" s="420">
        <f t="shared" si="227"/>
        <v>89563.11</v>
      </c>
      <c r="FO228" s="423">
        <f t="shared" si="228"/>
        <v>0</v>
      </c>
      <c r="FP228" s="431">
        <v>6365099.5499999998</v>
      </c>
      <c r="FQ228" s="431">
        <v>0</v>
      </c>
      <c r="FR228" s="431">
        <v>572858.96</v>
      </c>
      <c r="FS228" s="420">
        <f t="shared" si="229"/>
        <v>6365099.5599999996</v>
      </c>
      <c r="FT228" s="420">
        <f t="shared" si="230"/>
        <v>9.9999997764825804E-3</v>
      </c>
      <c r="FU228" s="419">
        <v>35839142.700000003</v>
      </c>
      <c r="FV228" s="419"/>
      <c r="FW228" s="419">
        <v>3225522.85</v>
      </c>
      <c r="FX228" s="420">
        <f t="shared" si="231"/>
        <v>35839142.780000001</v>
      </c>
      <c r="FY228" s="420">
        <f t="shared" si="232"/>
        <v>7.9999998211860698E-2</v>
      </c>
      <c r="FZ228" s="419">
        <v>68249616.530000001</v>
      </c>
      <c r="GA228" s="419"/>
      <c r="GB228" s="419">
        <v>6142465.4699999997</v>
      </c>
      <c r="GC228" s="420">
        <f t="shared" si="233"/>
        <v>68249616.329999998</v>
      </c>
      <c r="GD228" s="420">
        <f t="shared" si="234"/>
        <v>-0.20000000298023199</v>
      </c>
      <c r="GE228" s="419">
        <v>55770227.479999997</v>
      </c>
      <c r="GF228" s="419">
        <v>110098141.5</v>
      </c>
      <c r="GG228" s="419">
        <v>5019320.4800000004</v>
      </c>
      <c r="GH228" s="420">
        <f t="shared" si="235"/>
        <v>55770227.555555597</v>
      </c>
      <c r="GI228" s="423">
        <f t="shared" si="236"/>
        <v>7.5555562973022503E-2</v>
      </c>
      <c r="GJ228" s="419">
        <v>17348566.57</v>
      </c>
      <c r="GK228" s="419"/>
      <c r="GL228" s="419">
        <v>1561370.99</v>
      </c>
      <c r="GM228" s="420">
        <f t="shared" si="237"/>
        <v>17348566.555555601</v>
      </c>
      <c r="GN228" s="420">
        <f t="shared" si="238"/>
        <v>-1.44444443285465E-2</v>
      </c>
      <c r="GO228" s="419">
        <v>9860612.0600000005</v>
      </c>
      <c r="GP228" s="419">
        <v>75062142.840000004</v>
      </c>
      <c r="GQ228" s="419">
        <v>887455.09</v>
      </c>
      <c r="GR228" s="420">
        <f t="shared" si="243"/>
        <v>9860612.1111111101</v>
      </c>
      <c r="GS228" s="423">
        <f t="shared" si="239"/>
        <v>5.11111114174128E-2</v>
      </c>
      <c r="GT228" s="419">
        <v>351713693.94</v>
      </c>
      <c r="GU228" s="419">
        <v>361574305.95999998</v>
      </c>
      <c r="GV228" s="419">
        <v>31654232.449999999</v>
      </c>
      <c r="GW228" s="420">
        <f t="shared" si="240"/>
        <v>351713693.88999999</v>
      </c>
      <c r="GX228" s="420">
        <f t="shared" si="241"/>
        <v>-5.0000011920928997E-2</v>
      </c>
    </row>
    <row r="229" spans="1:206" ht="15">
      <c r="A229" s="414"/>
      <c r="B229" s="415" t="s">
        <v>589</v>
      </c>
      <c r="C229" s="698"/>
      <c r="D229" s="707"/>
      <c r="E229" s="434" t="s">
        <v>125</v>
      </c>
      <c r="F229" s="417">
        <v>0.06</v>
      </c>
      <c r="G229" s="418">
        <f t="shared" si="219"/>
        <v>19939900.5</v>
      </c>
      <c r="H229" s="418">
        <f t="shared" si="220"/>
        <v>19939900.5</v>
      </c>
      <c r="I229" s="418">
        <f t="shared" si="220"/>
        <v>1196394.0338000001</v>
      </c>
      <c r="J229" s="418">
        <f t="shared" si="221"/>
        <v>19939900.563333299</v>
      </c>
      <c r="K229" s="418">
        <f t="shared" si="217"/>
        <v>6.3333332538604695E-2</v>
      </c>
      <c r="L229" s="418">
        <f t="shared" si="218"/>
        <v>6.3333332538604695E-2</v>
      </c>
      <c r="M229" s="424"/>
      <c r="N229" s="424"/>
      <c r="O229" s="424"/>
      <c r="P229" s="424"/>
      <c r="Q229" s="419"/>
      <c r="R229" s="419"/>
      <c r="S229" s="419"/>
      <c r="T229" s="420"/>
      <c r="U229" s="423"/>
      <c r="V229" s="420"/>
      <c r="W229" s="420"/>
      <c r="X229" s="419"/>
      <c r="Y229" s="419"/>
      <c r="Z229" s="423"/>
      <c r="AA229" s="423"/>
      <c r="AB229" s="419"/>
      <c r="AC229" s="423"/>
      <c r="AD229" s="420"/>
      <c r="AE229" s="423"/>
      <c r="AF229" s="444"/>
      <c r="AG229" s="419"/>
      <c r="AH229" s="420"/>
      <c r="AI229" s="420"/>
      <c r="AJ229" s="423"/>
      <c r="AK229" s="444"/>
      <c r="AL229" s="420"/>
      <c r="AM229" s="420"/>
      <c r="AN229" s="420"/>
      <c r="AO229" s="423"/>
      <c r="AP229" s="420"/>
      <c r="AQ229" s="419"/>
      <c r="AR229" s="420"/>
      <c r="AS229" s="420"/>
      <c r="AT229" s="420"/>
      <c r="AU229" s="420"/>
      <c r="AV229" s="420"/>
      <c r="AW229" s="420"/>
      <c r="AX229" s="426"/>
      <c r="AY229" s="420"/>
      <c r="AZ229" s="420"/>
      <c r="BA229" s="420"/>
      <c r="BB229" s="419"/>
      <c r="BC229" s="420"/>
      <c r="BD229" s="427"/>
      <c r="BE229" s="420"/>
      <c r="BF229" s="420"/>
      <c r="BG229" s="420"/>
      <c r="BH229" s="423"/>
      <c r="BI229" s="420"/>
      <c r="BJ229" s="420"/>
      <c r="BK229" s="420"/>
      <c r="BL229" s="420"/>
      <c r="BM229" s="420"/>
      <c r="BN229" s="420"/>
      <c r="BO229" s="419"/>
      <c r="BP229" s="428"/>
      <c r="BQ229" s="420"/>
      <c r="BR229" s="423"/>
      <c r="BS229" s="423"/>
      <c r="BT229" s="420"/>
      <c r="BU229" s="420"/>
      <c r="BV229" s="420"/>
      <c r="BW229" s="420"/>
      <c r="BX229" s="429"/>
      <c r="BY229" s="419"/>
      <c r="BZ229" s="419"/>
      <c r="CA229" s="419"/>
      <c r="CB229" s="420"/>
      <c r="CC229" s="430"/>
      <c r="CD229" s="419"/>
      <c r="CE229" s="419"/>
      <c r="CF229" s="419"/>
      <c r="CG229" s="420"/>
      <c r="CH229" s="423"/>
      <c r="CI229" s="432"/>
      <c r="CJ229" s="432"/>
      <c r="CK229" s="432"/>
      <c r="CL229" s="420"/>
      <c r="CM229" s="423"/>
      <c r="CN229" s="420"/>
      <c r="CO229" s="420"/>
      <c r="CP229" s="420"/>
      <c r="CQ229" s="432"/>
      <c r="CR229" s="432"/>
      <c r="CS229" s="420"/>
      <c r="CT229" s="420"/>
      <c r="CU229" s="420"/>
      <c r="CV229" s="420"/>
      <c r="CW229" s="420"/>
      <c r="CX229" s="419"/>
      <c r="CY229" s="419"/>
      <c r="CZ229" s="419"/>
      <c r="DA229" s="419"/>
      <c r="DB229" s="419"/>
      <c r="DC229" s="419"/>
      <c r="DD229" s="419"/>
      <c r="DE229" s="419"/>
      <c r="DF229" s="420"/>
      <c r="DG229" s="421"/>
      <c r="DH229" s="419"/>
      <c r="DI229" s="419"/>
      <c r="DJ229" s="419"/>
      <c r="DK229" s="420"/>
      <c r="DL229" s="422"/>
      <c r="DM229" s="420"/>
      <c r="DN229" s="420"/>
      <c r="DO229" s="420"/>
      <c r="DP229" s="420"/>
      <c r="DQ229" s="420"/>
      <c r="DR229" s="419"/>
      <c r="DS229" s="419"/>
      <c r="DT229" s="419"/>
      <c r="DU229" s="420"/>
      <c r="DV229" s="423"/>
      <c r="DW229" s="419"/>
      <c r="DX229" s="419"/>
      <c r="DY229" s="419"/>
      <c r="DZ229" s="420"/>
      <c r="EA229" s="423"/>
      <c r="EB229" s="419"/>
      <c r="EC229" s="419"/>
      <c r="ED229" s="420"/>
      <c r="EE229" s="419"/>
      <c r="EF229" s="420"/>
      <c r="EG229" s="419"/>
      <c r="EH229" s="419"/>
      <c r="EI229" s="419"/>
      <c r="EJ229" s="420"/>
      <c r="EK229" s="420"/>
      <c r="EL229" s="419"/>
      <c r="EN229" s="419"/>
      <c r="EO229" s="419"/>
      <c r="EP229" s="419"/>
      <c r="EQ229" s="419"/>
      <c r="ER229" s="419"/>
      <c r="ES229" s="419"/>
      <c r="ET229" s="419"/>
      <c r="EU229" s="419"/>
      <c r="EV229" s="419"/>
      <c r="EW229" s="419"/>
      <c r="EX229" s="419"/>
      <c r="EY229" s="419"/>
      <c r="EZ229" s="419"/>
      <c r="FA229" s="420"/>
      <c r="FB229" s="420"/>
      <c r="FC229" s="420"/>
      <c r="FD229" s="420"/>
      <c r="FE229" s="420"/>
      <c r="FF229" s="419">
        <v>1550733.85</v>
      </c>
      <c r="FG229" s="419"/>
      <c r="FH229" s="419">
        <v>93044.04</v>
      </c>
      <c r="FI229" s="419">
        <f t="shared" si="225"/>
        <v>1550734</v>
      </c>
      <c r="FJ229" s="419">
        <f t="shared" si="226"/>
        <v>0.15</v>
      </c>
      <c r="FK229" s="419">
        <v>131009.63</v>
      </c>
      <c r="FL229" s="419"/>
      <c r="FM229" s="419">
        <v>7860.59</v>
      </c>
      <c r="FN229" s="420">
        <f t="shared" si="227"/>
        <v>131009.83</v>
      </c>
      <c r="FO229" s="423">
        <f t="shared" si="228"/>
        <v>0.2</v>
      </c>
      <c r="FP229" s="431">
        <v>113264.04</v>
      </c>
      <c r="FQ229" s="431">
        <v>0</v>
      </c>
      <c r="FR229" s="431">
        <v>6795.85</v>
      </c>
      <c r="FS229" s="420">
        <f t="shared" si="229"/>
        <v>113264.17</v>
      </c>
      <c r="FT229" s="420">
        <f t="shared" si="230"/>
        <v>0.130000000004657</v>
      </c>
      <c r="FU229" s="419">
        <v>436048.68</v>
      </c>
      <c r="FV229" s="419"/>
      <c r="FW229" s="419">
        <v>26162.91</v>
      </c>
      <c r="FX229" s="420">
        <f t="shared" si="231"/>
        <v>436048.5</v>
      </c>
      <c r="FY229" s="420">
        <f t="shared" si="232"/>
        <v>-0.179999999993015</v>
      </c>
      <c r="FZ229" s="419">
        <v>500952.63</v>
      </c>
      <c r="GA229" s="419"/>
      <c r="GB229" s="419">
        <v>30057.15</v>
      </c>
      <c r="GC229" s="420">
        <f t="shared" si="233"/>
        <v>500952.5</v>
      </c>
      <c r="GD229" s="420">
        <f t="shared" si="234"/>
        <v>-0.130000000004657</v>
      </c>
      <c r="GE229" s="419">
        <v>5083471.4400000004</v>
      </c>
      <c r="GF229" s="419">
        <v>4675357.58</v>
      </c>
      <c r="GG229" s="419">
        <v>305008.28000000003</v>
      </c>
      <c r="GH229" s="420">
        <f t="shared" si="235"/>
        <v>5083471.3333333302</v>
      </c>
      <c r="GI229" s="423">
        <f t="shared" si="236"/>
        <v>-0.10666666645556699</v>
      </c>
      <c r="GJ229" s="437">
        <v>333255.61</v>
      </c>
      <c r="GK229" s="419"/>
      <c r="GL229" s="419">
        <v>19995.3338</v>
      </c>
      <c r="GM229" s="420">
        <f t="shared" si="237"/>
        <v>333255.563333333</v>
      </c>
      <c r="GN229" s="420">
        <f t="shared" si="238"/>
        <v>-4.66666666325182E-2</v>
      </c>
      <c r="GO229" s="423">
        <v>7595433.4900000002</v>
      </c>
      <c r="GP229" s="423">
        <v>3473378.32</v>
      </c>
      <c r="GQ229" s="423">
        <v>455726.01</v>
      </c>
      <c r="GR229" s="420">
        <f t="shared" si="243"/>
        <v>7595433.5</v>
      </c>
      <c r="GS229" s="423">
        <f t="shared" si="239"/>
        <v>9.9999997764825804E-3</v>
      </c>
      <c r="GT229" s="419">
        <v>4195731.13</v>
      </c>
      <c r="GU229" s="419">
        <v>11791164.6</v>
      </c>
      <c r="GV229" s="419">
        <v>251743.87</v>
      </c>
      <c r="GW229" s="420">
        <f t="shared" si="240"/>
        <v>4195731.17</v>
      </c>
      <c r="GX229" s="420">
        <f t="shared" si="241"/>
        <v>4.0000000037252903E-2</v>
      </c>
    </row>
    <row r="230" spans="1:206" ht="15">
      <c r="A230" s="414"/>
      <c r="B230" s="415" t="s">
        <v>147</v>
      </c>
      <c r="C230" s="698"/>
      <c r="D230" s="704" t="s">
        <v>148</v>
      </c>
      <c r="E230" s="434" t="s">
        <v>123</v>
      </c>
      <c r="F230" s="417">
        <v>0.13</v>
      </c>
      <c r="G230" s="418">
        <f t="shared" si="219"/>
        <v>0</v>
      </c>
      <c r="H230" s="418">
        <f t="shared" si="220"/>
        <v>0</v>
      </c>
      <c r="I230" s="418">
        <f t="shared" si="220"/>
        <v>0</v>
      </c>
      <c r="J230" s="418">
        <f t="shared" si="221"/>
        <v>0</v>
      </c>
      <c r="K230" s="418">
        <f t="shared" si="217"/>
        <v>0</v>
      </c>
      <c r="L230" s="418">
        <f t="shared" si="218"/>
        <v>0</v>
      </c>
      <c r="M230" s="424"/>
      <c r="N230" s="424"/>
      <c r="O230" s="424"/>
      <c r="P230" s="424"/>
      <c r="Q230" s="419"/>
      <c r="R230" s="419"/>
      <c r="S230" s="419"/>
      <c r="T230" s="420"/>
      <c r="U230" s="423"/>
      <c r="V230" s="420"/>
      <c r="W230" s="420"/>
      <c r="X230" s="419"/>
      <c r="Y230" s="419"/>
      <c r="Z230" s="423"/>
      <c r="AA230" s="423"/>
      <c r="AB230" s="419"/>
      <c r="AC230" s="423"/>
      <c r="AD230" s="420"/>
      <c r="AE230" s="423"/>
      <c r="AF230" s="444"/>
      <c r="AG230" s="419"/>
      <c r="AH230" s="420"/>
      <c r="AI230" s="420"/>
      <c r="AJ230" s="423"/>
      <c r="AK230" s="444"/>
      <c r="AL230" s="420"/>
      <c r="AM230" s="420"/>
      <c r="AN230" s="420"/>
      <c r="AO230" s="423"/>
      <c r="AP230" s="420"/>
      <c r="AQ230" s="419"/>
      <c r="AR230" s="420"/>
      <c r="AS230" s="420"/>
      <c r="AT230" s="420"/>
      <c r="AU230" s="420"/>
      <c r="AV230" s="420"/>
      <c r="AW230" s="420"/>
      <c r="AX230" s="426"/>
      <c r="AY230" s="420"/>
      <c r="AZ230" s="420"/>
      <c r="BA230" s="420"/>
      <c r="BB230" s="419"/>
      <c r="BC230" s="420"/>
      <c r="BD230" s="427"/>
      <c r="BE230" s="420"/>
      <c r="BF230" s="420"/>
      <c r="BG230" s="420"/>
      <c r="BH230" s="423"/>
      <c r="BI230" s="420"/>
      <c r="BJ230" s="420"/>
      <c r="BK230" s="420"/>
      <c r="BL230" s="420"/>
      <c r="BM230" s="420"/>
      <c r="BN230" s="420"/>
      <c r="BO230" s="419"/>
      <c r="BP230" s="428"/>
      <c r="BQ230" s="420"/>
      <c r="BR230" s="423"/>
      <c r="BS230" s="423"/>
      <c r="BT230" s="420"/>
      <c r="BU230" s="420"/>
      <c r="BV230" s="420"/>
      <c r="BW230" s="420"/>
      <c r="BX230" s="429"/>
      <c r="BY230" s="419"/>
      <c r="BZ230" s="419"/>
      <c r="CA230" s="419"/>
      <c r="CB230" s="420"/>
      <c r="CC230" s="430"/>
      <c r="CD230" s="419"/>
      <c r="CE230" s="419"/>
      <c r="CF230" s="419"/>
      <c r="CG230" s="420"/>
      <c r="CH230" s="423"/>
      <c r="CI230" s="432"/>
      <c r="CJ230" s="432"/>
      <c r="CK230" s="432"/>
      <c r="CL230" s="420"/>
      <c r="CM230" s="423"/>
      <c r="CN230" s="420"/>
      <c r="CO230" s="420"/>
      <c r="CP230" s="420"/>
      <c r="CQ230" s="432"/>
      <c r="CR230" s="432"/>
      <c r="CS230" s="420"/>
      <c r="CT230" s="420"/>
      <c r="CU230" s="420"/>
      <c r="CV230" s="420"/>
      <c r="CW230" s="420"/>
      <c r="CX230" s="419"/>
      <c r="CY230" s="419"/>
      <c r="CZ230" s="419"/>
      <c r="DA230" s="419"/>
      <c r="DB230" s="419"/>
      <c r="DC230" s="419"/>
      <c r="DD230" s="419"/>
      <c r="DE230" s="419"/>
      <c r="DF230" s="420"/>
      <c r="DG230" s="421"/>
      <c r="DH230" s="419"/>
      <c r="DI230" s="419"/>
      <c r="DJ230" s="419"/>
      <c r="DK230" s="420"/>
      <c r="DL230" s="422"/>
      <c r="DM230" s="420"/>
      <c r="DN230" s="420"/>
      <c r="DO230" s="420"/>
      <c r="DP230" s="420"/>
      <c r="DQ230" s="420"/>
      <c r="DR230" s="419"/>
      <c r="DS230" s="419"/>
      <c r="DT230" s="419"/>
      <c r="DU230" s="420"/>
      <c r="DV230" s="423"/>
      <c r="DW230" s="419"/>
      <c r="DX230" s="419"/>
      <c r="DY230" s="419"/>
      <c r="DZ230" s="420"/>
      <c r="EA230" s="423"/>
      <c r="EB230" s="419"/>
      <c r="EC230" s="419"/>
      <c r="ED230" s="420"/>
      <c r="EE230" s="419"/>
      <c r="EF230" s="420"/>
      <c r="EG230" s="419"/>
      <c r="EH230" s="419"/>
      <c r="EI230" s="419"/>
      <c r="EJ230" s="420"/>
      <c r="EK230" s="420"/>
      <c r="EL230" s="419"/>
      <c r="EN230" s="419"/>
      <c r="EO230" s="419"/>
      <c r="EP230" s="419"/>
      <c r="EQ230" s="419"/>
      <c r="ER230" s="419"/>
      <c r="ES230" s="419"/>
      <c r="ET230" s="419"/>
      <c r="EU230" s="419"/>
      <c r="EV230" s="419"/>
      <c r="EW230" s="419"/>
      <c r="EX230" s="419"/>
      <c r="EY230" s="419"/>
      <c r="EZ230" s="419"/>
      <c r="FA230" s="420"/>
      <c r="FB230" s="420"/>
      <c r="FC230" s="420"/>
      <c r="FD230" s="420"/>
      <c r="FE230" s="420"/>
      <c r="FF230" s="419"/>
      <c r="FG230" s="419"/>
      <c r="FH230" s="419"/>
      <c r="FI230" s="419"/>
      <c r="FJ230" s="419"/>
      <c r="FK230" s="419"/>
      <c r="FL230" s="419"/>
      <c r="FM230" s="419"/>
      <c r="FN230" s="420"/>
      <c r="FO230" s="423"/>
      <c r="FP230" s="431"/>
      <c r="FQ230" s="431"/>
      <c r="FR230" s="431"/>
      <c r="FS230" s="420">
        <f t="shared" si="229"/>
        <v>0</v>
      </c>
      <c r="FT230" s="420">
        <f t="shared" si="230"/>
        <v>0</v>
      </c>
      <c r="FU230" s="419"/>
      <c r="FV230" s="419"/>
      <c r="FW230" s="419"/>
      <c r="FX230" s="420">
        <f t="shared" si="231"/>
        <v>0</v>
      </c>
      <c r="FY230" s="420">
        <f t="shared" si="232"/>
        <v>0</v>
      </c>
      <c r="FZ230" s="419"/>
      <c r="GA230" s="419"/>
      <c r="GB230" s="419"/>
      <c r="GC230" s="420">
        <f t="shared" si="233"/>
        <v>0</v>
      </c>
      <c r="GD230" s="420">
        <f t="shared" si="234"/>
        <v>0</v>
      </c>
      <c r="GE230" s="419"/>
      <c r="GF230" s="419"/>
      <c r="GG230" s="419"/>
      <c r="GH230" s="420">
        <f t="shared" si="235"/>
        <v>0</v>
      </c>
      <c r="GI230" s="423">
        <f t="shared" si="236"/>
        <v>0</v>
      </c>
      <c r="GJ230" s="419"/>
      <c r="GK230" s="419"/>
      <c r="GL230" s="419"/>
      <c r="GM230" s="420">
        <f t="shared" si="237"/>
        <v>0</v>
      </c>
      <c r="GN230" s="420">
        <f t="shared" si="238"/>
        <v>0</v>
      </c>
      <c r="GO230" s="419"/>
      <c r="GP230" s="419"/>
      <c r="GQ230" s="419"/>
      <c r="GR230" s="420">
        <f t="shared" si="243"/>
        <v>0</v>
      </c>
      <c r="GS230" s="423">
        <f t="shared" si="239"/>
        <v>0</v>
      </c>
      <c r="GT230" s="419"/>
      <c r="GU230" s="419"/>
      <c r="GV230" s="419"/>
      <c r="GW230" s="420">
        <f t="shared" si="240"/>
        <v>0</v>
      </c>
      <c r="GX230" s="420">
        <f t="shared" si="241"/>
        <v>0</v>
      </c>
    </row>
    <row r="231" spans="1:206" ht="15">
      <c r="A231" s="414"/>
      <c r="B231" s="415" t="s">
        <v>147</v>
      </c>
      <c r="C231" s="698"/>
      <c r="D231" s="705"/>
      <c r="E231" s="434" t="s">
        <v>124</v>
      </c>
      <c r="F231" s="417">
        <v>0.09</v>
      </c>
      <c r="G231" s="418">
        <f t="shared" si="219"/>
        <v>0</v>
      </c>
      <c r="H231" s="418">
        <f t="shared" si="220"/>
        <v>0</v>
      </c>
      <c r="I231" s="418">
        <f t="shared" si="220"/>
        <v>0</v>
      </c>
      <c r="J231" s="418">
        <f t="shared" si="221"/>
        <v>0</v>
      </c>
      <c r="K231" s="418">
        <f t="shared" si="217"/>
        <v>0</v>
      </c>
      <c r="L231" s="418">
        <f t="shared" si="218"/>
        <v>0</v>
      </c>
      <c r="M231" s="424"/>
      <c r="N231" s="424"/>
      <c r="O231" s="424"/>
      <c r="P231" s="424"/>
      <c r="Q231" s="419"/>
      <c r="R231" s="419"/>
      <c r="S231" s="419"/>
      <c r="T231" s="420"/>
      <c r="U231" s="423"/>
      <c r="V231" s="420"/>
      <c r="W231" s="420"/>
      <c r="X231" s="419"/>
      <c r="Y231" s="419"/>
      <c r="Z231" s="423"/>
      <c r="AA231" s="423"/>
      <c r="AB231" s="419"/>
      <c r="AC231" s="423"/>
      <c r="AD231" s="420"/>
      <c r="AE231" s="423"/>
      <c r="AF231" s="444"/>
      <c r="AG231" s="419"/>
      <c r="AH231" s="420"/>
      <c r="AI231" s="420"/>
      <c r="AJ231" s="423"/>
      <c r="AK231" s="444"/>
      <c r="AL231" s="420"/>
      <c r="AM231" s="420"/>
      <c r="AN231" s="420"/>
      <c r="AO231" s="423"/>
      <c r="AP231" s="420"/>
      <c r="AQ231" s="419"/>
      <c r="AR231" s="420"/>
      <c r="AS231" s="420"/>
      <c r="AT231" s="420"/>
      <c r="AU231" s="420"/>
      <c r="AV231" s="420"/>
      <c r="AW231" s="420"/>
      <c r="AX231" s="426"/>
      <c r="AY231" s="420"/>
      <c r="AZ231" s="420"/>
      <c r="BA231" s="420"/>
      <c r="BB231" s="419"/>
      <c r="BC231" s="420"/>
      <c r="BD231" s="427"/>
      <c r="BE231" s="420"/>
      <c r="BF231" s="420"/>
      <c r="BG231" s="420"/>
      <c r="BH231" s="423"/>
      <c r="BI231" s="420"/>
      <c r="BJ231" s="420"/>
      <c r="BK231" s="420"/>
      <c r="BL231" s="420"/>
      <c r="BM231" s="420"/>
      <c r="BN231" s="420"/>
      <c r="BO231" s="419"/>
      <c r="BP231" s="428"/>
      <c r="BQ231" s="420"/>
      <c r="BR231" s="423"/>
      <c r="BS231" s="423"/>
      <c r="BT231" s="420"/>
      <c r="BU231" s="420"/>
      <c r="BV231" s="420"/>
      <c r="BW231" s="420"/>
      <c r="BX231" s="429"/>
      <c r="BY231" s="419"/>
      <c r="BZ231" s="419"/>
      <c r="CA231" s="419"/>
      <c r="CB231" s="420"/>
      <c r="CC231" s="430"/>
      <c r="CD231" s="419"/>
      <c r="CE231" s="419"/>
      <c r="CF231" s="419"/>
      <c r="CG231" s="420"/>
      <c r="CH231" s="423"/>
      <c r="CI231" s="432"/>
      <c r="CJ231" s="432"/>
      <c r="CK231" s="432"/>
      <c r="CL231" s="420"/>
      <c r="CM231" s="423"/>
      <c r="CN231" s="420"/>
      <c r="CO231" s="420"/>
      <c r="CP231" s="420"/>
      <c r="CQ231" s="432"/>
      <c r="CR231" s="432"/>
      <c r="CS231" s="420"/>
      <c r="CT231" s="420"/>
      <c r="CU231" s="420"/>
      <c r="CV231" s="420"/>
      <c r="CW231" s="420"/>
      <c r="CX231" s="419"/>
      <c r="CY231" s="419"/>
      <c r="CZ231" s="419"/>
      <c r="DA231" s="419"/>
      <c r="DB231" s="419"/>
      <c r="DC231" s="419"/>
      <c r="DD231" s="419"/>
      <c r="DE231" s="419"/>
      <c r="DF231" s="420"/>
      <c r="DG231" s="421"/>
      <c r="DH231" s="419"/>
      <c r="DI231" s="419"/>
      <c r="DJ231" s="419"/>
      <c r="DK231" s="420"/>
      <c r="DL231" s="422"/>
      <c r="DM231" s="420"/>
      <c r="DN231" s="420"/>
      <c r="DO231" s="420"/>
      <c r="DP231" s="420"/>
      <c r="DQ231" s="420"/>
      <c r="DR231" s="419"/>
      <c r="DS231" s="419"/>
      <c r="DT231" s="419"/>
      <c r="DU231" s="420"/>
      <c r="DV231" s="423"/>
      <c r="DW231" s="419"/>
      <c r="DX231" s="419"/>
      <c r="DY231" s="419"/>
      <c r="DZ231" s="420"/>
      <c r="EA231" s="423"/>
      <c r="EB231" s="419"/>
      <c r="EC231" s="419"/>
      <c r="ED231" s="420"/>
      <c r="EE231" s="419"/>
      <c r="EF231" s="420"/>
      <c r="EG231" s="419"/>
      <c r="EH231" s="419"/>
      <c r="EI231" s="419"/>
      <c r="EJ231" s="420"/>
      <c r="EK231" s="420"/>
      <c r="EL231" s="419"/>
      <c r="EN231" s="419"/>
      <c r="EO231" s="419"/>
      <c r="EP231" s="419"/>
      <c r="EQ231" s="419"/>
      <c r="ER231" s="419"/>
      <c r="ES231" s="419"/>
      <c r="ET231" s="419"/>
      <c r="EU231" s="419"/>
      <c r="EV231" s="419"/>
      <c r="EW231" s="419"/>
      <c r="EX231" s="419"/>
      <c r="EY231" s="419"/>
      <c r="EZ231" s="419"/>
      <c r="FA231" s="420"/>
      <c r="FB231" s="420"/>
      <c r="FC231" s="420"/>
      <c r="FD231" s="420"/>
      <c r="FE231" s="420"/>
      <c r="FF231" s="419"/>
      <c r="FG231" s="419"/>
      <c r="FH231" s="419"/>
      <c r="FI231" s="419"/>
      <c r="FJ231" s="419"/>
      <c r="FK231" s="419"/>
      <c r="FL231" s="419"/>
      <c r="FM231" s="419"/>
      <c r="FN231" s="420"/>
      <c r="FO231" s="423"/>
      <c r="FP231" s="431"/>
      <c r="FQ231" s="431"/>
      <c r="FR231" s="431"/>
      <c r="FS231" s="420">
        <f t="shared" si="229"/>
        <v>0</v>
      </c>
      <c r="FT231" s="420">
        <f t="shared" si="230"/>
        <v>0</v>
      </c>
      <c r="FU231" s="419"/>
      <c r="FV231" s="419"/>
      <c r="FW231" s="419"/>
      <c r="FX231" s="420">
        <f t="shared" si="231"/>
        <v>0</v>
      </c>
      <c r="FY231" s="420">
        <f t="shared" si="232"/>
        <v>0</v>
      </c>
      <c r="FZ231" s="419"/>
      <c r="GA231" s="419"/>
      <c r="GB231" s="419"/>
      <c r="GC231" s="420">
        <f t="shared" si="233"/>
        <v>0</v>
      </c>
      <c r="GD231" s="420">
        <f t="shared" si="234"/>
        <v>0</v>
      </c>
      <c r="GE231" s="419"/>
      <c r="GF231" s="419"/>
      <c r="GG231" s="419"/>
      <c r="GH231" s="420">
        <f t="shared" si="235"/>
        <v>0</v>
      </c>
      <c r="GI231" s="423">
        <f t="shared" si="236"/>
        <v>0</v>
      </c>
      <c r="GJ231" s="419"/>
      <c r="GK231" s="419"/>
      <c r="GL231" s="419"/>
      <c r="GM231" s="420">
        <f t="shared" si="237"/>
        <v>0</v>
      </c>
      <c r="GN231" s="420">
        <f t="shared" si="238"/>
        <v>0</v>
      </c>
      <c r="GO231" s="419"/>
      <c r="GP231" s="419"/>
      <c r="GQ231" s="419"/>
      <c r="GR231" s="420">
        <f t="shared" si="243"/>
        <v>0</v>
      </c>
      <c r="GS231" s="423">
        <f t="shared" si="239"/>
        <v>0</v>
      </c>
      <c r="GT231" s="419"/>
      <c r="GU231" s="419"/>
      <c r="GV231" s="419"/>
      <c r="GW231" s="420">
        <f t="shared" si="240"/>
        <v>0</v>
      </c>
      <c r="GX231" s="420">
        <f t="shared" si="241"/>
        <v>0</v>
      </c>
    </row>
    <row r="232" spans="1:206" ht="15">
      <c r="A232" s="414"/>
      <c r="B232" s="415" t="s">
        <v>147</v>
      </c>
      <c r="C232" s="698"/>
      <c r="D232" s="707"/>
      <c r="E232" s="434" t="s">
        <v>125</v>
      </c>
      <c r="F232" s="417">
        <v>0.06</v>
      </c>
      <c r="G232" s="418">
        <f t="shared" si="219"/>
        <v>1255805.24</v>
      </c>
      <c r="H232" s="418">
        <f t="shared" si="220"/>
        <v>0</v>
      </c>
      <c r="I232" s="418">
        <f t="shared" si="220"/>
        <v>75348.3</v>
      </c>
      <c r="J232" s="418">
        <f t="shared" si="221"/>
        <v>1255805</v>
      </c>
      <c r="K232" s="418">
        <f t="shared" si="217"/>
        <v>1255805</v>
      </c>
      <c r="L232" s="418">
        <f t="shared" si="218"/>
        <v>-0.240000000223517</v>
      </c>
      <c r="M232" s="424"/>
      <c r="N232" s="424"/>
      <c r="O232" s="424"/>
      <c r="P232" s="424"/>
      <c r="Q232" s="419"/>
      <c r="R232" s="419"/>
      <c r="S232" s="419"/>
      <c r="T232" s="420"/>
      <c r="U232" s="423"/>
      <c r="V232" s="420"/>
      <c r="W232" s="420"/>
      <c r="X232" s="419"/>
      <c r="Y232" s="419"/>
      <c r="Z232" s="423"/>
      <c r="AA232" s="423"/>
      <c r="AB232" s="419"/>
      <c r="AC232" s="423"/>
      <c r="AD232" s="420"/>
      <c r="AE232" s="423"/>
      <c r="AF232" s="444"/>
      <c r="AG232" s="419"/>
      <c r="AH232" s="420"/>
      <c r="AI232" s="420"/>
      <c r="AJ232" s="423"/>
      <c r="AK232" s="444"/>
      <c r="AL232" s="420"/>
      <c r="AM232" s="420"/>
      <c r="AN232" s="420"/>
      <c r="AO232" s="423"/>
      <c r="AP232" s="420"/>
      <c r="AQ232" s="419"/>
      <c r="AR232" s="420"/>
      <c r="AS232" s="420"/>
      <c r="AT232" s="420"/>
      <c r="AU232" s="420"/>
      <c r="AV232" s="420"/>
      <c r="AW232" s="420"/>
      <c r="AX232" s="426"/>
      <c r="AY232" s="420"/>
      <c r="AZ232" s="420"/>
      <c r="BA232" s="420"/>
      <c r="BB232" s="419"/>
      <c r="BC232" s="420"/>
      <c r="BD232" s="427"/>
      <c r="BE232" s="420"/>
      <c r="BF232" s="420"/>
      <c r="BG232" s="420"/>
      <c r="BH232" s="423"/>
      <c r="BI232" s="420"/>
      <c r="BJ232" s="420"/>
      <c r="BK232" s="420"/>
      <c r="BL232" s="420"/>
      <c r="BM232" s="420"/>
      <c r="BN232" s="420"/>
      <c r="BO232" s="419"/>
      <c r="BP232" s="428"/>
      <c r="BQ232" s="420"/>
      <c r="BR232" s="423"/>
      <c r="BS232" s="423"/>
      <c r="BT232" s="420"/>
      <c r="BU232" s="420"/>
      <c r="BV232" s="420"/>
      <c r="BW232" s="420"/>
      <c r="BX232" s="429"/>
      <c r="BY232" s="419"/>
      <c r="BZ232" s="419"/>
      <c r="CA232" s="419"/>
      <c r="CB232" s="420"/>
      <c r="CC232" s="430"/>
      <c r="CD232" s="419"/>
      <c r="CE232" s="419"/>
      <c r="CF232" s="419"/>
      <c r="CG232" s="420"/>
      <c r="CH232" s="423"/>
      <c r="CI232" s="432"/>
      <c r="CJ232" s="432"/>
      <c r="CK232" s="432"/>
      <c r="CL232" s="420"/>
      <c r="CM232" s="423"/>
      <c r="CN232" s="420"/>
      <c r="CO232" s="420"/>
      <c r="CP232" s="420"/>
      <c r="CQ232" s="432"/>
      <c r="CR232" s="432"/>
      <c r="CS232" s="420"/>
      <c r="CT232" s="420"/>
      <c r="CU232" s="420"/>
      <c r="CV232" s="420"/>
      <c r="CW232" s="420"/>
      <c r="CX232" s="419"/>
      <c r="CY232" s="419"/>
      <c r="CZ232" s="419"/>
      <c r="DA232" s="419"/>
      <c r="DB232" s="419"/>
      <c r="DC232" s="419"/>
      <c r="DD232" s="419"/>
      <c r="DE232" s="419"/>
      <c r="DF232" s="420"/>
      <c r="DG232" s="421"/>
      <c r="DH232" s="419"/>
      <c r="DI232" s="419"/>
      <c r="DJ232" s="419"/>
      <c r="DK232" s="420"/>
      <c r="DL232" s="422"/>
      <c r="DM232" s="420"/>
      <c r="DN232" s="420"/>
      <c r="DO232" s="420"/>
      <c r="DP232" s="420"/>
      <c r="DQ232" s="420"/>
      <c r="DR232" s="419"/>
      <c r="DS232" s="419"/>
      <c r="DT232" s="419"/>
      <c r="DU232" s="420"/>
      <c r="DV232" s="423"/>
      <c r="DW232" s="419"/>
      <c r="DX232" s="419"/>
      <c r="DY232" s="419"/>
      <c r="DZ232" s="420"/>
      <c r="EA232" s="423"/>
      <c r="EB232" s="419"/>
      <c r="EC232" s="419"/>
      <c r="ED232" s="420"/>
      <c r="EE232" s="419"/>
      <c r="EF232" s="420"/>
      <c r="EG232" s="419"/>
      <c r="EH232" s="419"/>
      <c r="EI232" s="419"/>
      <c r="EJ232" s="420"/>
      <c r="EK232" s="420"/>
      <c r="EL232" s="419"/>
      <c r="EN232" s="419"/>
      <c r="EO232" s="419"/>
      <c r="EP232" s="419"/>
      <c r="EQ232" s="419"/>
      <c r="ER232" s="419"/>
      <c r="ES232" s="419"/>
      <c r="ET232" s="419"/>
      <c r="EU232" s="419"/>
      <c r="EV232" s="419"/>
      <c r="EW232" s="419"/>
      <c r="EX232" s="419"/>
      <c r="EY232" s="419"/>
      <c r="EZ232" s="419"/>
      <c r="FA232" s="420"/>
      <c r="FB232" s="420"/>
      <c r="FC232" s="420"/>
      <c r="FD232" s="420"/>
      <c r="FE232" s="420"/>
      <c r="FF232" s="419"/>
      <c r="FG232" s="419"/>
      <c r="FH232" s="419"/>
      <c r="FI232" s="419"/>
      <c r="FJ232" s="419"/>
      <c r="FK232" s="419"/>
      <c r="FL232" s="419"/>
      <c r="FM232" s="419"/>
      <c r="FN232" s="420"/>
      <c r="FO232" s="423"/>
      <c r="FP232" s="431">
        <v>924727.35</v>
      </c>
      <c r="FQ232" s="431">
        <v>0</v>
      </c>
      <c r="FR232" s="431">
        <v>55483.64</v>
      </c>
      <c r="FS232" s="420">
        <f t="shared" si="229"/>
        <v>924727.33</v>
      </c>
      <c r="FT232" s="420">
        <f t="shared" si="230"/>
        <v>-2.00000000186265E-2</v>
      </c>
      <c r="FU232" s="419">
        <v>42355.69</v>
      </c>
      <c r="FV232" s="419"/>
      <c r="FW232" s="419">
        <v>2541.34</v>
      </c>
      <c r="FX232" s="420">
        <f t="shared" si="231"/>
        <v>42355.67</v>
      </c>
      <c r="FY232" s="420">
        <f t="shared" si="232"/>
        <v>-2.0000000004074502E-2</v>
      </c>
      <c r="FZ232" s="419">
        <v>33119.879999999997</v>
      </c>
      <c r="GA232" s="419"/>
      <c r="GB232" s="419">
        <v>1987.19</v>
      </c>
      <c r="GC232" s="420">
        <f t="shared" si="233"/>
        <v>33119.83</v>
      </c>
      <c r="GD232" s="420">
        <f t="shared" si="234"/>
        <v>-4.9999999995634398E-2</v>
      </c>
      <c r="GE232" s="419">
        <v>33919.230000000003</v>
      </c>
      <c r="GF232" s="419"/>
      <c r="GG232" s="419">
        <v>2035.15</v>
      </c>
      <c r="GH232" s="420">
        <f t="shared" si="235"/>
        <v>33919.166666666701</v>
      </c>
      <c r="GI232" s="423">
        <f t="shared" si="236"/>
        <v>-6.3333333331684102E-2</v>
      </c>
      <c r="GJ232" s="437">
        <v>113879.23</v>
      </c>
      <c r="GK232" s="419"/>
      <c r="GL232" s="419">
        <v>6832.75</v>
      </c>
      <c r="GM232" s="420">
        <f t="shared" si="237"/>
        <v>113879.16666666701</v>
      </c>
      <c r="GN232" s="420">
        <f t="shared" si="238"/>
        <v>-6.33333333244082E-2</v>
      </c>
      <c r="GO232" s="419">
        <v>30997.31</v>
      </c>
      <c r="GP232" s="419"/>
      <c r="GQ232" s="419">
        <v>1859.84</v>
      </c>
      <c r="GR232" s="420">
        <f t="shared" si="243"/>
        <v>30997.333333333299</v>
      </c>
      <c r="GS232" s="423">
        <f t="shared" si="239"/>
        <v>2.3333333330811001E-2</v>
      </c>
      <c r="GT232" s="419">
        <v>76806.55</v>
      </c>
      <c r="GU232" s="419"/>
      <c r="GV232" s="419">
        <v>4608.3900000000003</v>
      </c>
      <c r="GW232" s="420">
        <f t="shared" si="240"/>
        <v>76806.5</v>
      </c>
      <c r="GX232" s="420">
        <f t="shared" si="241"/>
        <v>-5.0000000002910397E-2</v>
      </c>
    </row>
    <row r="233" spans="1:206" ht="15">
      <c r="A233" s="414"/>
      <c r="B233" s="415" t="s">
        <v>591</v>
      </c>
      <c r="C233" s="698"/>
      <c r="D233" s="711" t="s">
        <v>127</v>
      </c>
      <c r="E233" s="434" t="s">
        <v>123</v>
      </c>
      <c r="F233" s="417">
        <v>0.13</v>
      </c>
      <c r="G233" s="418">
        <f t="shared" si="219"/>
        <v>9255570.1600000001</v>
      </c>
      <c r="H233" s="418">
        <f t="shared" si="220"/>
        <v>4615613.78</v>
      </c>
      <c r="I233" s="418">
        <f t="shared" si="220"/>
        <v>1203224.1000000001</v>
      </c>
      <c r="J233" s="418">
        <f t="shared" si="221"/>
        <v>9255570</v>
      </c>
      <c r="K233" s="418">
        <f t="shared" si="217"/>
        <v>4639956.22</v>
      </c>
      <c r="L233" s="418">
        <f t="shared" si="218"/>
        <v>-0.160000000149012</v>
      </c>
      <c r="M233" s="424"/>
      <c r="N233" s="424"/>
      <c r="O233" s="424"/>
      <c r="P233" s="424"/>
      <c r="Q233" s="419"/>
      <c r="R233" s="419"/>
      <c r="S233" s="419"/>
      <c r="T233" s="420"/>
      <c r="U233" s="423"/>
      <c r="V233" s="420"/>
      <c r="W233" s="420"/>
      <c r="X233" s="419"/>
      <c r="Y233" s="419"/>
      <c r="Z233" s="423"/>
      <c r="AA233" s="423"/>
      <c r="AB233" s="419"/>
      <c r="AC233" s="423"/>
      <c r="AD233" s="420"/>
      <c r="AE233" s="423"/>
      <c r="AF233" s="444"/>
      <c r="AG233" s="419"/>
      <c r="AH233" s="420"/>
      <c r="AI233" s="420"/>
      <c r="AJ233" s="423"/>
      <c r="AK233" s="444"/>
      <c r="AL233" s="420"/>
      <c r="AM233" s="420"/>
      <c r="AN233" s="420"/>
      <c r="AO233" s="423"/>
      <c r="AP233" s="420"/>
      <c r="AQ233" s="419"/>
      <c r="AR233" s="420"/>
      <c r="AS233" s="420"/>
      <c r="AT233" s="420"/>
      <c r="AU233" s="420"/>
      <c r="AV233" s="420"/>
      <c r="AW233" s="420"/>
      <c r="AX233" s="426"/>
      <c r="AY233" s="420"/>
      <c r="AZ233" s="420"/>
      <c r="BA233" s="420"/>
      <c r="BB233" s="419"/>
      <c r="BC233" s="420"/>
      <c r="BD233" s="427"/>
      <c r="BE233" s="420"/>
      <c r="BF233" s="420"/>
      <c r="BG233" s="420"/>
      <c r="BH233" s="423"/>
      <c r="BI233" s="420"/>
      <c r="BJ233" s="420"/>
      <c r="BK233" s="420"/>
      <c r="BL233" s="420"/>
      <c r="BM233" s="420"/>
      <c r="BN233" s="420"/>
      <c r="BO233" s="419"/>
      <c r="BP233" s="428"/>
      <c r="BQ233" s="420"/>
      <c r="BR233" s="423"/>
      <c r="BS233" s="423"/>
      <c r="BT233" s="420"/>
      <c r="BU233" s="420"/>
      <c r="BV233" s="420"/>
      <c r="BW233" s="420"/>
      <c r="BX233" s="429"/>
      <c r="BY233" s="419"/>
      <c r="BZ233" s="419"/>
      <c r="CA233" s="419"/>
      <c r="CB233" s="420"/>
      <c r="CC233" s="430"/>
      <c r="CD233" s="419"/>
      <c r="CE233" s="419"/>
      <c r="CF233" s="419"/>
      <c r="CG233" s="420"/>
      <c r="CH233" s="423"/>
      <c r="CI233" s="432"/>
      <c r="CJ233" s="432"/>
      <c r="CK233" s="432"/>
      <c r="CL233" s="420"/>
      <c r="CM233" s="423"/>
      <c r="CN233" s="420"/>
      <c r="CO233" s="420"/>
      <c r="CP233" s="420"/>
      <c r="CQ233" s="432"/>
      <c r="CR233" s="432"/>
      <c r="CS233" s="420"/>
      <c r="CT233" s="420"/>
      <c r="CU233" s="420"/>
      <c r="CV233" s="420"/>
      <c r="CW233" s="420"/>
      <c r="CX233" s="419"/>
      <c r="CY233" s="419"/>
      <c r="CZ233" s="419"/>
      <c r="DA233" s="419"/>
      <c r="DB233" s="419"/>
      <c r="DC233" s="419"/>
      <c r="DD233" s="419"/>
      <c r="DE233" s="419"/>
      <c r="DF233" s="420"/>
      <c r="DG233" s="421"/>
      <c r="DH233" s="419"/>
      <c r="DI233" s="419"/>
      <c r="DJ233" s="419"/>
      <c r="DK233" s="420"/>
      <c r="DL233" s="422"/>
      <c r="DM233" s="420"/>
      <c r="DN233" s="420"/>
      <c r="DO233" s="420"/>
      <c r="DP233" s="420"/>
      <c r="DQ233" s="420"/>
      <c r="DR233" s="419"/>
      <c r="DS233" s="419"/>
      <c r="DT233" s="419"/>
      <c r="DU233" s="420"/>
      <c r="DV233" s="423"/>
      <c r="DW233" s="419"/>
      <c r="DX233" s="419"/>
      <c r="DY233" s="419"/>
      <c r="DZ233" s="420"/>
      <c r="EA233" s="423"/>
      <c r="EB233" s="419"/>
      <c r="EC233" s="419"/>
      <c r="ED233" s="420"/>
      <c r="EE233" s="419"/>
      <c r="EF233" s="420"/>
      <c r="EG233" s="419"/>
      <c r="EH233" s="419"/>
      <c r="EI233" s="419"/>
      <c r="EJ233" s="420"/>
      <c r="EK233" s="420"/>
      <c r="EL233" s="419"/>
      <c r="EN233" s="419"/>
      <c r="EO233" s="419"/>
      <c r="EP233" s="419"/>
      <c r="EQ233" s="419"/>
      <c r="ER233" s="419"/>
      <c r="ES233" s="419"/>
      <c r="ET233" s="419"/>
      <c r="EU233" s="419"/>
      <c r="EV233" s="419"/>
      <c r="EW233" s="419"/>
      <c r="EX233" s="419"/>
      <c r="EY233" s="419"/>
      <c r="EZ233" s="419"/>
      <c r="FA233" s="420"/>
      <c r="FB233" s="420"/>
      <c r="FC233" s="420"/>
      <c r="FD233" s="420"/>
      <c r="FE233" s="420"/>
      <c r="FF233" s="419"/>
      <c r="FG233" s="419"/>
      <c r="FH233" s="419"/>
      <c r="FI233" s="419"/>
      <c r="FJ233" s="419"/>
      <c r="FK233" s="419"/>
      <c r="FL233" s="419"/>
      <c r="FM233" s="419"/>
      <c r="FN233" s="420"/>
      <c r="FO233" s="423"/>
      <c r="FP233" s="431"/>
      <c r="FQ233" s="431"/>
      <c r="FR233" s="431"/>
      <c r="FS233" s="420"/>
      <c r="FT233" s="420"/>
      <c r="FU233" s="419"/>
      <c r="FV233" s="419"/>
      <c r="FW233" s="419"/>
      <c r="FX233" s="420">
        <f t="shared" si="231"/>
        <v>0</v>
      </c>
      <c r="FY233" s="420">
        <f t="shared" si="232"/>
        <v>0</v>
      </c>
      <c r="FZ233" s="419"/>
      <c r="GA233" s="419"/>
      <c r="GB233" s="419"/>
      <c r="GC233" s="420">
        <f t="shared" si="233"/>
        <v>0</v>
      </c>
      <c r="GD233" s="420">
        <f t="shared" si="234"/>
        <v>0</v>
      </c>
      <c r="GE233" s="419">
        <v>3916437.69</v>
      </c>
      <c r="GF233" s="419"/>
      <c r="GG233" s="419">
        <v>509136.89</v>
      </c>
      <c r="GH233" s="420">
        <f t="shared" si="235"/>
        <v>3916437.6153846201</v>
      </c>
      <c r="GI233" s="423">
        <f t="shared" si="236"/>
        <v>-7.4615384452045005E-2</v>
      </c>
      <c r="GJ233" s="419">
        <v>699176.09</v>
      </c>
      <c r="GK233" s="419">
        <v>4615613.78</v>
      </c>
      <c r="GL233" s="419">
        <v>90892.89</v>
      </c>
      <c r="GM233" s="420">
        <f t="shared" si="237"/>
        <v>699176.07692307699</v>
      </c>
      <c r="GN233" s="420">
        <f t="shared" si="238"/>
        <v>-1.30769230891019E-2</v>
      </c>
      <c r="GO233" s="419">
        <v>4639956.38</v>
      </c>
      <c r="GP233" s="419"/>
      <c r="GQ233" s="419">
        <v>603194.31999999995</v>
      </c>
      <c r="GR233" s="420">
        <f t="shared" si="243"/>
        <v>4639956.3076923098</v>
      </c>
      <c r="GS233" s="423">
        <f t="shared" si="239"/>
        <v>-7.2307692840695395E-2</v>
      </c>
      <c r="GT233" s="419"/>
      <c r="GU233" s="419"/>
      <c r="GV233" s="419"/>
      <c r="GW233" s="420">
        <f t="shared" si="240"/>
        <v>0</v>
      </c>
      <c r="GX233" s="420">
        <f t="shared" si="241"/>
        <v>0</v>
      </c>
    </row>
    <row r="234" spans="1:206" ht="15">
      <c r="A234" s="414"/>
      <c r="B234" s="415" t="s">
        <v>591</v>
      </c>
      <c r="C234" s="698"/>
      <c r="D234" s="711"/>
      <c r="E234" s="434" t="s">
        <v>124</v>
      </c>
      <c r="F234" s="417">
        <v>0.09</v>
      </c>
      <c r="G234" s="418">
        <f t="shared" si="219"/>
        <v>40913422.710000001</v>
      </c>
      <c r="H234" s="418">
        <f t="shared" si="220"/>
        <v>30199464.91</v>
      </c>
      <c r="I234" s="418">
        <f t="shared" si="220"/>
        <v>3682208.02</v>
      </c>
      <c r="J234" s="418">
        <f t="shared" si="221"/>
        <v>40913422.444444403</v>
      </c>
      <c r="K234" s="418">
        <f t="shared" si="217"/>
        <v>10713957.534444399</v>
      </c>
      <c r="L234" s="418">
        <f t="shared" si="218"/>
        <v>-0.26555555313825602</v>
      </c>
      <c r="M234" s="424"/>
      <c r="N234" s="424"/>
      <c r="O234" s="424"/>
      <c r="P234" s="424"/>
      <c r="Q234" s="419"/>
      <c r="R234" s="419"/>
      <c r="S234" s="419"/>
      <c r="T234" s="420"/>
      <c r="U234" s="423"/>
      <c r="V234" s="420"/>
      <c r="W234" s="420"/>
      <c r="X234" s="419"/>
      <c r="Y234" s="419"/>
      <c r="Z234" s="423"/>
      <c r="AA234" s="423"/>
      <c r="AB234" s="419"/>
      <c r="AC234" s="423"/>
      <c r="AD234" s="420"/>
      <c r="AE234" s="423"/>
      <c r="AF234" s="444"/>
      <c r="AG234" s="419"/>
      <c r="AH234" s="420"/>
      <c r="AI234" s="420"/>
      <c r="AJ234" s="423"/>
      <c r="AK234" s="444"/>
      <c r="AL234" s="420"/>
      <c r="AM234" s="420"/>
      <c r="AN234" s="420"/>
      <c r="AO234" s="423"/>
      <c r="AP234" s="420"/>
      <c r="AQ234" s="419"/>
      <c r="AR234" s="420"/>
      <c r="AS234" s="420"/>
      <c r="AT234" s="420"/>
      <c r="AU234" s="420"/>
      <c r="AV234" s="420"/>
      <c r="AW234" s="420"/>
      <c r="AX234" s="426"/>
      <c r="AY234" s="420"/>
      <c r="AZ234" s="420"/>
      <c r="BA234" s="420"/>
      <c r="BB234" s="419"/>
      <c r="BC234" s="420"/>
      <c r="BD234" s="427"/>
      <c r="BE234" s="420"/>
      <c r="BF234" s="420"/>
      <c r="BG234" s="420"/>
      <c r="BH234" s="423"/>
      <c r="BI234" s="420"/>
      <c r="BJ234" s="420"/>
      <c r="BK234" s="420"/>
      <c r="BL234" s="420"/>
      <c r="BM234" s="420"/>
      <c r="BN234" s="420"/>
      <c r="BO234" s="419"/>
      <c r="BP234" s="428"/>
      <c r="BQ234" s="420"/>
      <c r="BR234" s="423"/>
      <c r="BS234" s="423"/>
      <c r="BT234" s="420"/>
      <c r="BU234" s="420"/>
      <c r="BV234" s="420"/>
      <c r="BW234" s="420"/>
      <c r="BX234" s="429"/>
      <c r="BY234" s="419"/>
      <c r="BZ234" s="419"/>
      <c r="CA234" s="419"/>
      <c r="CB234" s="420"/>
      <c r="CC234" s="430"/>
      <c r="CD234" s="419"/>
      <c r="CE234" s="419"/>
      <c r="CF234" s="419"/>
      <c r="CG234" s="420"/>
      <c r="CH234" s="423"/>
      <c r="CI234" s="432"/>
      <c r="CJ234" s="432"/>
      <c r="CK234" s="432"/>
      <c r="CL234" s="420"/>
      <c r="CM234" s="423"/>
      <c r="CN234" s="420"/>
      <c r="CO234" s="420"/>
      <c r="CP234" s="420"/>
      <c r="CQ234" s="432"/>
      <c r="CR234" s="432"/>
      <c r="CS234" s="420"/>
      <c r="CT234" s="420"/>
      <c r="CU234" s="420"/>
      <c r="CV234" s="420"/>
      <c r="CW234" s="420"/>
      <c r="CX234" s="419"/>
      <c r="CY234" s="419"/>
      <c r="CZ234" s="419"/>
      <c r="DA234" s="419"/>
      <c r="DB234" s="419"/>
      <c r="DC234" s="419"/>
      <c r="DD234" s="419"/>
      <c r="DE234" s="419"/>
      <c r="DF234" s="420"/>
      <c r="DG234" s="421"/>
      <c r="DH234" s="419"/>
      <c r="DI234" s="419"/>
      <c r="DJ234" s="419"/>
      <c r="DK234" s="420"/>
      <c r="DL234" s="422"/>
      <c r="DM234" s="420"/>
      <c r="DN234" s="420"/>
      <c r="DO234" s="420"/>
      <c r="DP234" s="420"/>
      <c r="DQ234" s="420"/>
      <c r="DR234" s="419"/>
      <c r="DS234" s="419"/>
      <c r="DT234" s="419"/>
      <c r="DU234" s="420"/>
      <c r="DV234" s="423"/>
      <c r="DW234" s="419"/>
      <c r="DX234" s="419"/>
      <c r="DY234" s="419"/>
      <c r="DZ234" s="420"/>
      <c r="EA234" s="423"/>
      <c r="EB234" s="419"/>
      <c r="EC234" s="419"/>
      <c r="ED234" s="420"/>
      <c r="EE234" s="419"/>
      <c r="EF234" s="420"/>
      <c r="EG234" s="419"/>
      <c r="EH234" s="419"/>
      <c r="EI234" s="419"/>
      <c r="EJ234" s="420"/>
      <c r="EK234" s="420"/>
      <c r="EL234" s="419"/>
      <c r="EN234" s="419"/>
      <c r="EO234" s="419"/>
      <c r="EP234" s="419"/>
      <c r="EQ234" s="419"/>
      <c r="ER234" s="419"/>
      <c r="ES234" s="419"/>
      <c r="ET234" s="419"/>
      <c r="EU234" s="419"/>
      <c r="EV234" s="419"/>
      <c r="EW234" s="419"/>
      <c r="EX234" s="419"/>
      <c r="EY234" s="419"/>
      <c r="EZ234" s="419"/>
      <c r="FA234" s="420"/>
      <c r="FB234" s="420"/>
      <c r="FC234" s="420"/>
      <c r="FD234" s="420"/>
      <c r="FE234" s="420"/>
      <c r="FF234" s="419"/>
      <c r="FG234" s="419"/>
      <c r="FH234" s="419"/>
      <c r="FI234" s="419"/>
      <c r="FJ234" s="419"/>
      <c r="FK234" s="419"/>
      <c r="FL234" s="419"/>
      <c r="FM234" s="419"/>
      <c r="FN234" s="420"/>
      <c r="FO234" s="423"/>
      <c r="FP234" s="431"/>
      <c r="FQ234" s="431"/>
      <c r="FR234" s="431"/>
      <c r="FS234" s="420"/>
      <c r="FT234" s="420"/>
      <c r="FU234" s="419">
        <v>896616.36</v>
      </c>
      <c r="FV234" s="419"/>
      <c r="FW234" s="419">
        <v>80695.47</v>
      </c>
      <c r="FX234" s="420">
        <f t="shared" si="231"/>
        <v>896616.33</v>
      </c>
      <c r="FY234" s="420">
        <f t="shared" si="232"/>
        <v>-3.0000000027939702E-2</v>
      </c>
      <c r="FZ234" s="419">
        <v>3084994.96</v>
      </c>
      <c r="GA234" s="419"/>
      <c r="GB234" s="419">
        <v>277649.53999999998</v>
      </c>
      <c r="GC234" s="420">
        <f t="shared" si="233"/>
        <v>3084994.89</v>
      </c>
      <c r="GD234" s="420">
        <f t="shared" si="234"/>
        <v>-6.9999999832361895E-2</v>
      </c>
      <c r="GE234" s="419">
        <v>11583337.130000001</v>
      </c>
      <c r="GF234" s="419">
        <v>2272000.37</v>
      </c>
      <c r="GG234" s="419">
        <v>1042500.35</v>
      </c>
      <c r="GH234" s="420">
        <f t="shared" si="235"/>
        <v>11583337.2222222</v>
      </c>
      <c r="GI234" s="423">
        <f t="shared" si="236"/>
        <v>9.2222221195697798E-2</v>
      </c>
      <c r="GJ234" s="419">
        <v>14634516.49</v>
      </c>
      <c r="GK234" s="419">
        <v>27665343.18</v>
      </c>
      <c r="GL234" s="419">
        <v>1317106.48</v>
      </c>
      <c r="GM234" s="420">
        <f t="shared" si="237"/>
        <v>14634516.444444399</v>
      </c>
      <c r="GN234" s="420">
        <f t="shared" si="238"/>
        <v>-4.5555556192994097E-2</v>
      </c>
      <c r="GO234" s="419">
        <v>10604491.75</v>
      </c>
      <c r="GP234" s="419">
        <v>262121.36</v>
      </c>
      <c r="GQ234" s="419">
        <v>954404.24</v>
      </c>
      <c r="GR234" s="420">
        <f t="shared" si="243"/>
        <v>10604491.555555601</v>
      </c>
      <c r="GS234" s="423">
        <f t="shared" si="239"/>
        <v>-0.19444444403052299</v>
      </c>
      <c r="GT234" s="419">
        <v>109466.02</v>
      </c>
      <c r="GU234" s="419"/>
      <c r="GV234" s="419">
        <v>9851.94</v>
      </c>
      <c r="GW234" s="420">
        <f t="shared" si="240"/>
        <v>109466</v>
      </c>
      <c r="GX234" s="420">
        <f t="shared" si="241"/>
        <v>-2.0000000004074502E-2</v>
      </c>
    </row>
    <row r="235" spans="1:206" ht="15">
      <c r="A235" s="414"/>
      <c r="B235" s="415" t="s">
        <v>591</v>
      </c>
      <c r="C235" s="698"/>
      <c r="D235" s="711"/>
      <c r="E235" s="434" t="s">
        <v>125</v>
      </c>
      <c r="F235" s="417">
        <v>0.06</v>
      </c>
      <c r="G235" s="418">
        <f t="shared" si="219"/>
        <v>4483039.99</v>
      </c>
      <c r="H235" s="418">
        <f t="shared" si="220"/>
        <v>3719631.54</v>
      </c>
      <c r="I235" s="418">
        <f t="shared" si="220"/>
        <v>268982.40000000002</v>
      </c>
      <c r="J235" s="418">
        <f t="shared" si="221"/>
        <v>4483040</v>
      </c>
      <c r="K235" s="418">
        <f t="shared" si="217"/>
        <v>763408.45999999903</v>
      </c>
      <c r="L235" s="418">
        <f t="shared" si="218"/>
        <v>9.9999997764825804E-3</v>
      </c>
      <c r="M235" s="424"/>
      <c r="N235" s="424"/>
      <c r="O235" s="424"/>
      <c r="P235" s="424"/>
      <c r="Q235" s="419"/>
      <c r="R235" s="419"/>
      <c r="S235" s="419"/>
      <c r="T235" s="420"/>
      <c r="U235" s="423"/>
      <c r="V235" s="420"/>
      <c r="W235" s="420"/>
      <c r="X235" s="419"/>
      <c r="Y235" s="419"/>
      <c r="Z235" s="423"/>
      <c r="AA235" s="423"/>
      <c r="AB235" s="419"/>
      <c r="AC235" s="423"/>
      <c r="AD235" s="420"/>
      <c r="AE235" s="423"/>
      <c r="AF235" s="444"/>
      <c r="AG235" s="419"/>
      <c r="AH235" s="420"/>
      <c r="AI235" s="420"/>
      <c r="AJ235" s="423"/>
      <c r="AK235" s="444"/>
      <c r="AL235" s="420"/>
      <c r="AM235" s="420"/>
      <c r="AN235" s="420"/>
      <c r="AO235" s="423"/>
      <c r="AP235" s="420"/>
      <c r="AQ235" s="419"/>
      <c r="AR235" s="420"/>
      <c r="AS235" s="420"/>
      <c r="AT235" s="420"/>
      <c r="AU235" s="420"/>
      <c r="AV235" s="420"/>
      <c r="AW235" s="420"/>
      <c r="AX235" s="426"/>
      <c r="AY235" s="420"/>
      <c r="AZ235" s="420"/>
      <c r="BA235" s="420"/>
      <c r="BB235" s="419"/>
      <c r="BC235" s="420"/>
      <c r="BD235" s="427"/>
      <c r="BE235" s="420"/>
      <c r="BF235" s="420"/>
      <c r="BG235" s="420"/>
      <c r="BH235" s="423"/>
      <c r="BI235" s="420"/>
      <c r="BJ235" s="420"/>
      <c r="BK235" s="420"/>
      <c r="BL235" s="420"/>
      <c r="BM235" s="420"/>
      <c r="BN235" s="420"/>
      <c r="BO235" s="419"/>
      <c r="BP235" s="428"/>
      <c r="BQ235" s="420"/>
      <c r="BR235" s="423"/>
      <c r="BS235" s="423"/>
      <c r="BT235" s="420"/>
      <c r="BU235" s="420"/>
      <c r="BV235" s="420"/>
      <c r="BW235" s="420"/>
      <c r="BX235" s="429"/>
      <c r="BY235" s="419"/>
      <c r="BZ235" s="419"/>
      <c r="CA235" s="419"/>
      <c r="CB235" s="420"/>
      <c r="CC235" s="430"/>
      <c r="CD235" s="419"/>
      <c r="CE235" s="419"/>
      <c r="CF235" s="419"/>
      <c r="CG235" s="420"/>
      <c r="CH235" s="423"/>
      <c r="CI235" s="432"/>
      <c r="CJ235" s="432"/>
      <c r="CK235" s="432"/>
      <c r="CL235" s="420"/>
      <c r="CM235" s="423"/>
      <c r="CN235" s="420"/>
      <c r="CO235" s="420"/>
      <c r="CP235" s="420"/>
      <c r="CQ235" s="432"/>
      <c r="CR235" s="432"/>
      <c r="CS235" s="420"/>
      <c r="CT235" s="420"/>
      <c r="CU235" s="420"/>
      <c r="CV235" s="420"/>
      <c r="CW235" s="420"/>
      <c r="CX235" s="419"/>
      <c r="CY235" s="419"/>
      <c r="CZ235" s="419"/>
      <c r="DA235" s="419"/>
      <c r="DB235" s="419"/>
      <c r="DC235" s="419"/>
      <c r="DD235" s="419"/>
      <c r="DE235" s="419"/>
      <c r="DF235" s="420"/>
      <c r="DG235" s="421"/>
      <c r="DH235" s="419"/>
      <c r="DI235" s="419"/>
      <c r="DJ235" s="419"/>
      <c r="DK235" s="420"/>
      <c r="DL235" s="422"/>
      <c r="DM235" s="420"/>
      <c r="DN235" s="420"/>
      <c r="DO235" s="420"/>
      <c r="DP235" s="420"/>
      <c r="DQ235" s="420"/>
      <c r="DR235" s="419"/>
      <c r="DS235" s="419"/>
      <c r="DT235" s="419"/>
      <c r="DU235" s="420"/>
      <c r="DV235" s="423"/>
      <c r="DW235" s="419"/>
      <c r="DX235" s="419"/>
      <c r="DY235" s="419"/>
      <c r="DZ235" s="420"/>
      <c r="EA235" s="423"/>
      <c r="EB235" s="419"/>
      <c r="EC235" s="419"/>
      <c r="ED235" s="420"/>
      <c r="EE235" s="419"/>
      <c r="EF235" s="420"/>
      <c r="EG235" s="419"/>
      <c r="EH235" s="419"/>
      <c r="EI235" s="419"/>
      <c r="EJ235" s="420"/>
      <c r="EK235" s="420"/>
      <c r="EL235" s="419"/>
      <c r="EN235" s="419"/>
      <c r="EO235" s="419"/>
      <c r="EP235" s="419"/>
      <c r="EQ235" s="419"/>
      <c r="ER235" s="419"/>
      <c r="ES235" s="419"/>
      <c r="ET235" s="419"/>
      <c r="EU235" s="419"/>
      <c r="EV235" s="419"/>
      <c r="EW235" s="419"/>
      <c r="EX235" s="419"/>
      <c r="EY235" s="419"/>
      <c r="EZ235" s="419"/>
      <c r="FA235" s="420"/>
      <c r="FB235" s="420"/>
      <c r="FC235" s="420"/>
      <c r="FD235" s="420"/>
      <c r="FE235" s="420"/>
      <c r="FF235" s="419"/>
      <c r="FG235" s="419"/>
      <c r="FH235" s="419"/>
      <c r="FI235" s="419"/>
      <c r="FJ235" s="419"/>
      <c r="FK235" s="419"/>
      <c r="FL235" s="419"/>
      <c r="FM235" s="419"/>
      <c r="FN235" s="420"/>
      <c r="FO235" s="423"/>
      <c r="FP235" s="431"/>
      <c r="FQ235" s="431"/>
      <c r="FR235" s="431"/>
      <c r="FS235" s="420"/>
      <c r="FT235" s="420"/>
      <c r="FU235" s="419">
        <v>1457027.69</v>
      </c>
      <c r="FV235" s="419"/>
      <c r="FW235" s="419">
        <v>87421.66</v>
      </c>
      <c r="FX235" s="420">
        <f t="shared" si="231"/>
        <v>1457027.67</v>
      </c>
      <c r="FY235" s="420">
        <f t="shared" si="232"/>
        <v>-2.00000000186265E-2</v>
      </c>
      <c r="FZ235" s="419">
        <v>754501.86</v>
      </c>
      <c r="GA235" s="419"/>
      <c r="GB235" s="419">
        <v>45270.12</v>
      </c>
      <c r="GC235" s="420">
        <f t="shared" si="233"/>
        <v>754502</v>
      </c>
      <c r="GD235" s="420">
        <f t="shared" si="234"/>
        <v>0.14000000001397001</v>
      </c>
      <c r="GE235" s="419">
        <v>255474.6</v>
      </c>
      <c r="GF235" s="419">
        <v>2168087.6</v>
      </c>
      <c r="GG235" s="419">
        <v>15328.47</v>
      </c>
      <c r="GH235" s="420">
        <f t="shared" si="235"/>
        <v>255474.5</v>
      </c>
      <c r="GI235" s="423">
        <f t="shared" si="236"/>
        <v>-0.100000000005821</v>
      </c>
      <c r="GJ235" s="437">
        <v>1295279.8400000001</v>
      </c>
      <c r="GK235" s="419">
        <v>1813665.3</v>
      </c>
      <c r="GL235" s="419">
        <v>77716.789999999994</v>
      </c>
      <c r="GM235" s="420">
        <f t="shared" si="237"/>
        <v>1295279.83333333</v>
      </c>
      <c r="GN235" s="420">
        <f t="shared" si="238"/>
        <v>-6.6666668280959103E-3</v>
      </c>
      <c r="GO235" s="419">
        <v>460831.37</v>
      </c>
      <c r="GP235" s="419">
        <v>-262121.36</v>
      </c>
      <c r="GQ235" s="419">
        <v>27649.89</v>
      </c>
      <c r="GR235" s="420">
        <f t="shared" si="243"/>
        <v>460831.5</v>
      </c>
      <c r="GS235" s="423">
        <f t="shared" si="239"/>
        <v>0.130000000004657</v>
      </c>
      <c r="GT235" s="419">
        <v>259924.63</v>
      </c>
      <c r="GU235" s="419"/>
      <c r="GV235" s="419">
        <v>15595.47</v>
      </c>
      <c r="GW235" s="420">
        <f t="shared" si="240"/>
        <v>259924.5</v>
      </c>
      <c r="GX235" s="420">
        <f t="shared" si="241"/>
        <v>-0.130000000004657</v>
      </c>
    </row>
    <row r="236" spans="1:206" ht="15">
      <c r="A236" s="414"/>
      <c r="B236" s="415" t="s">
        <v>592</v>
      </c>
      <c r="C236" s="698"/>
      <c r="D236" s="711" t="s">
        <v>189</v>
      </c>
      <c r="E236" s="434" t="s">
        <v>123</v>
      </c>
      <c r="F236" s="417">
        <v>0.13</v>
      </c>
      <c r="G236" s="418">
        <f t="shared" si="219"/>
        <v>15380530.970000001</v>
      </c>
      <c r="H236" s="418">
        <f t="shared" si="220"/>
        <v>10376106.199999999</v>
      </c>
      <c r="I236" s="418">
        <f t="shared" si="220"/>
        <v>1999469.03</v>
      </c>
      <c r="J236" s="418">
        <f t="shared" si="221"/>
        <v>15380531</v>
      </c>
      <c r="K236" s="418">
        <f t="shared" si="217"/>
        <v>5004424.8</v>
      </c>
      <c r="L236" s="418">
        <f t="shared" si="218"/>
        <v>2.9999999329447701E-2</v>
      </c>
      <c r="M236" s="424"/>
      <c r="N236" s="424"/>
      <c r="O236" s="424"/>
      <c r="P236" s="424"/>
      <c r="Q236" s="419"/>
      <c r="R236" s="419"/>
      <c r="S236" s="419"/>
      <c r="T236" s="420"/>
      <c r="U236" s="423"/>
      <c r="V236" s="420"/>
      <c r="W236" s="420"/>
      <c r="X236" s="419"/>
      <c r="Y236" s="419"/>
      <c r="Z236" s="423"/>
      <c r="AA236" s="423"/>
      <c r="AB236" s="419"/>
      <c r="AC236" s="423"/>
      <c r="AD236" s="420"/>
      <c r="AE236" s="423"/>
      <c r="AF236" s="444"/>
      <c r="AG236" s="419"/>
      <c r="AH236" s="420"/>
      <c r="AI236" s="420"/>
      <c r="AJ236" s="423"/>
      <c r="AK236" s="444"/>
      <c r="AL236" s="420"/>
      <c r="AM236" s="420"/>
      <c r="AN236" s="420"/>
      <c r="AO236" s="423"/>
      <c r="AP236" s="420"/>
      <c r="AQ236" s="419"/>
      <c r="AR236" s="420"/>
      <c r="AS236" s="420"/>
      <c r="AT236" s="420"/>
      <c r="AU236" s="420"/>
      <c r="AV236" s="420"/>
      <c r="AW236" s="420"/>
      <c r="AX236" s="426"/>
      <c r="AY236" s="420"/>
      <c r="AZ236" s="420"/>
      <c r="BA236" s="420"/>
      <c r="BB236" s="419"/>
      <c r="BC236" s="420"/>
      <c r="BD236" s="427"/>
      <c r="BE236" s="420"/>
      <c r="BF236" s="420"/>
      <c r="BG236" s="420"/>
      <c r="BH236" s="423"/>
      <c r="BI236" s="420"/>
      <c r="BJ236" s="420"/>
      <c r="BK236" s="420"/>
      <c r="BL236" s="420"/>
      <c r="BM236" s="420"/>
      <c r="BN236" s="420"/>
      <c r="BO236" s="419"/>
      <c r="BP236" s="428"/>
      <c r="BQ236" s="420"/>
      <c r="BR236" s="423"/>
      <c r="BS236" s="423"/>
      <c r="BT236" s="420"/>
      <c r="BU236" s="420"/>
      <c r="BV236" s="420"/>
      <c r="BW236" s="420"/>
      <c r="BX236" s="429"/>
      <c r="BY236" s="419"/>
      <c r="BZ236" s="419"/>
      <c r="CA236" s="419"/>
      <c r="CB236" s="420"/>
      <c r="CC236" s="430"/>
      <c r="CD236" s="419"/>
      <c r="CE236" s="419"/>
      <c r="CF236" s="419"/>
      <c r="CG236" s="420"/>
      <c r="CH236" s="423"/>
      <c r="CI236" s="432"/>
      <c r="CJ236" s="432"/>
      <c r="CK236" s="432"/>
      <c r="CL236" s="420"/>
      <c r="CM236" s="423"/>
      <c r="CN236" s="420"/>
      <c r="CO236" s="420"/>
      <c r="CP236" s="420"/>
      <c r="CQ236" s="432"/>
      <c r="CR236" s="432"/>
      <c r="CS236" s="420"/>
      <c r="CT236" s="420"/>
      <c r="CU236" s="420"/>
      <c r="CV236" s="420"/>
      <c r="CW236" s="420"/>
      <c r="CX236" s="419"/>
      <c r="CY236" s="419"/>
      <c r="CZ236" s="419"/>
      <c r="DA236" s="419"/>
      <c r="DB236" s="419"/>
      <c r="DC236" s="419"/>
      <c r="DD236" s="419"/>
      <c r="DE236" s="419"/>
      <c r="DF236" s="420"/>
      <c r="DG236" s="421"/>
      <c r="DH236" s="419"/>
      <c r="DI236" s="419"/>
      <c r="DJ236" s="419"/>
      <c r="DK236" s="420"/>
      <c r="DL236" s="422"/>
      <c r="DM236" s="420"/>
      <c r="DN236" s="420"/>
      <c r="DO236" s="420"/>
      <c r="DP236" s="420"/>
      <c r="DQ236" s="420"/>
      <c r="DR236" s="419"/>
      <c r="DS236" s="419"/>
      <c r="DT236" s="419"/>
      <c r="DU236" s="420"/>
      <c r="DV236" s="423"/>
      <c r="DW236" s="419"/>
      <c r="DX236" s="419"/>
      <c r="DY236" s="419"/>
      <c r="DZ236" s="420"/>
      <c r="EA236" s="423"/>
      <c r="EB236" s="419"/>
      <c r="EC236" s="419"/>
      <c r="ED236" s="420"/>
      <c r="EE236" s="419"/>
      <c r="EF236" s="420"/>
      <c r="EG236" s="419"/>
      <c r="EH236" s="419"/>
      <c r="EI236" s="419"/>
      <c r="EJ236" s="420"/>
      <c r="EK236" s="420"/>
      <c r="EL236" s="419"/>
      <c r="EN236" s="419"/>
      <c r="EO236" s="419"/>
      <c r="EP236" s="419"/>
      <c r="EQ236" s="419"/>
      <c r="ER236" s="419"/>
      <c r="ES236" s="419"/>
      <c r="ET236" s="419"/>
      <c r="EU236" s="419"/>
      <c r="EV236" s="419"/>
      <c r="EW236" s="419"/>
      <c r="EX236" s="419"/>
      <c r="EY236" s="419"/>
      <c r="EZ236" s="419"/>
      <c r="FA236" s="420"/>
      <c r="FB236" s="420"/>
      <c r="FC236" s="420"/>
      <c r="FD236" s="420"/>
      <c r="FE236" s="420"/>
      <c r="FF236" s="419"/>
      <c r="FG236" s="419"/>
      <c r="FH236" s="419"/>
      <c r="FI236" s="419"/>
      <c r="FJ236" s="419"/>
      <c r="FK236" s="419"/>
      <c r="FL236" s="419"/>
      <c r="FM236" s="419"/>
      <c r="FN236" s="420"/>
      <c r="FO236" s="423"/>
      <c r="FP236" s="431"/>
      <c r="FQ236" s="431"/>
      <c r="FR236" s="431"/>
      <c r="FS236" s="420"/>
      <c r="FT236" s="420"/>
      <c r="FU236" s="419"/>
      <c r="FV236" s="419"/>
      <c r="FW236" s="419"/>
      <c r="FX236" s="420"/>
      <c r="FY236" s="420"/>
      <c r="FZ236" s="419"/>
      <c r="GA236" s="419"/>
      <c r="GB236" s="419"/>
      <c r="GC236" s="420"/>
      <c r="GD236" s="420"/>
      <c r="GE236" s="419"/>
      <c r="GF236" s="419"/>
      <c r="GG236" s="419"/>
      <c r="GH236" s="420"/>
      <c r="GI236" s="423"/>
      <c r="GJ236" s="419">
        <v>15380530.970000001</v>
      </c>
      <c r="GK236" s="419">
        <v>10376106.199999999</v>
      </c>
      <c r="GL236" s="419">
        <v>1999469.03</v>
      </c>
      <c r="GM236" s="420">
        <f t="shared" si="237"/>
        <v>15380531</v>
      </c>
      <c r="GN236" s="420">
        <f t="shared" si="238"/>
        <v>2.9999999329447701E-2</v>
      </c>
      <c r="GO236" s="419"/>
      <c r="GP236" s="419"/>
      <c r="GQ236" s="419"/>
      <c r="GR236" s="420">
        <f t="shared" si="243"/>
        <v>0</v>
      </c>
      <c r="GS236" s="423">
        <f t="shared" si="239"/>
        <v>0</v>
      </c>
      <c r="GT236" s="419"/>
      <c r="GU236" s="419"/>
      <c r="GV236" s="419"/>
      <c r="GW236" s="420">
        <f t="shared" si="240"/>
        <v>0</v>
      </c>
      <c r="GX236" s="420">
        <f t="shared" si="241"/>
        <v>0</v>
      </c>
    </row>
    <row r="237" spans="1:206" ht="15">
      <c r="A237" s="414"/>
      <c r="B237" s="415" t="s">
        <v>592</v>
      </c>
      <c r="C237" s="698"/>
      <c r="D237" s="711"/>
      <c r="E237" s="434" t="s">
        <v>124</v>
      </c>
      <c r="F237" s="417">
        <v>0.09</v>
      </c>
      <c r="G237" s="418">
        <f t="shared" si="219"/>
        <v>864972.48</v>
      </c>
      <c r="H237" s="418">
        <f t="shared" si="220"/>
        <v>864972.48</v>
      </c>
      <c r="I237" s="418">
        <f t="shared" si="220"/>
        <v>77847.520000000004</v>
      </c>
      <c r="J237" s="418">
        <f t="shared" si="221"/>
        <v>864972.44444444403</v>
      </c>
      <c r="K237" s="418">
        <f t="shared" si="217"/>
        <v>-3.5555555485189003E-2</v>
      </c>
      <c r="L237" s="418">
        <f t="shared" si="218"/>
        <v>-3.5555555485189003E-2</v>
      </c>
      <c r="M237" s="424"/>
      <c r="N237" s="424"/>
      <c r="O237" s="424"/>
      <c r="P237" s="424"/>
      <c r="Q237" s="419"/>
      <c r="R237" s="419"/>
      <c r="S237" s="419"/>
      <c r="T237" s="420"/>
      <c r="U237" s="423"/>
      <c r="V237" s="420"/>
      <c r="W237" s="420"/>
      <c r="X237" s="419"/>
      <c r="Y237" s="419"/>
      <c r="Z237" s="423"/>
      <c r="AA237" s="423"/>
      <c r="AB237" s="419"/>
      <c r="AC237" s="423"/>
      <c r="AD237" s="420"/>
      <c r="AE237" s="423"/>
      <c r="AF237" s="444"/>
      <c r="AG237" s="419"/>
      <c r="AH237" s="420"/>
      <c r="AI237" s="420"/>
      <c r="AJ237" s="423"/>
      <c r="AK237" s="444"/>
      <c r="AL237" s="420"/>
      <c r="AM237" s="420"/>
      <c r="AN237" s="420"/>
      <c r="AO237" s="423"/>
      <c r="AP237" s="420"/>
      <c r="AQ237" s="419"/>
      <c r="AR237" s="420"/>
      <c r="AS237" s="420"/>
      <c r="AT237" s="420"/>
      <c r="AU237" s="420"/>
      <c r="AV237" s="420"/>
      <c r="AW237" s="420"/>
      <c r="AX237" s="426"/>
      <c r="AY237" s="420"/>
      <c r="AZ237" s="420"/>
      <c r="BA237" s="420"/>
      <c r="BB237" s="419"/>
      <c r="BC237" s="420"/>
      <c r="BD237" s="427"/>
      <c r="BE237" s="420"/>
      <c r="BF237" s="420"/>
      <c r="BG237" s="420"/>
      <c r="BH237" s="423"/>
      <c r="BI237" s="420"/>
      <c r="BJ237" s="420"/>
      <c r="BK237" s="420"/>
      <c r="BL237" s="420"/>
      <c r="BM237" s="420"/>
      <c r="BN237" s="420"/>
      <c r="BO237" s="419"/>
      <c r="BP237" s="428"/>
      <c r="BQ237" s="420"/>
      <c r="BR237" s="423"/>
      <c r="BS237" s="423"/>
      <c r="BT237" s="420"/>
      <c r="BU237" s="420"/>
      <c r="BV237" s="420"/>
      <c r="BW237" s="420"/>
      <c r="BX237" s="429"/>
      <c r="BY237" s="419"/>
      <c r="BZ237" s="419"/>
      <c r="CA237" s="419"/>
      <c r="CB237" s="420"/>
      <c r="CC237" s="430"/>
      <c r="CD237" s="419"/>
      <c r="CE237" s="419"/>
      <c r="CF237" s="419"/>
      <c r="CG237" s="420"/>
      <c r="CH237" s="423"/>
      <c r="CI237" s="432"/>
      <c r="CJ237" s="432"/>
      <c r="CK237" s="432"/>
      <c r="CL237" s="420"/>
      <c r="CM237" s="423"/>
      <c r="CN237" s="420"/>
      <c r="CO237" s="420"/>
      <c r="CP237" s="420"/>
      <c r="CQ237" s="432"/>
      <c r="CR237" s="432"/>
      <c r="CS237" s="420"/>
      <c r="CT237" s="420"/>
      <c r="CU237" s="420"/>
      <c r="CV237" s="420"/>
      <c r="CW237" s="420"/>
      <c r="CX237" s="419"/>
      <c r="CY237" s="419"/>
      <c r="CZ237" s="419"/>
      <c r="DA237" s="419"/>
      <c r="DB237" s="419"/>
      <c r="DC237" s="419"/>
      <c r="DD237" s="419"/>
      <c r="DE237" s="419"/>
      <c r="DF237" s="420"/>
      <c r="DG237" s="421"/>
      <c r="DH237" s="419"/>
      <c r="DI237" s="419"/>
      <c r="DJ237" s="419"/>
      <c r="DK237" s="420"/>
      <c r="DL237" s="422"/>
      <c r="DM237" s="420"/>
      <c r="DN237" s="420"/>
      <c r="DO237" s="420"/>
      <c r="DP237" s="420"/>
      <c r="DQ237" s="420"/>
      <c r="DR237" s="419"/>
      <c r="DS237" s="419"/>
      <c r="DT237" s="419"/>
      <c r="DU237" s="420"/>
      <c r="DV237" s="423"/>
      <c r="DW237" s="419"/>
      <c r="DX237" s="419"/>
      <c r="DY237" s="419"/>
      <c r="DZ237" s="420"/>
      <c r="EA237" s="423"/>
      <c r="EB237" s="419"/>
      <c r="EC237" s="419"/>
      <c r="ED237" s="420"/>
      <c r="EE237" s="419"/>
      <c r="EF237" s="420"/>
      <c r="EG237" s="419"/>
      <c r="EH237" s="419"/>
      <c r="EI237" s="419"/>
      <c r="EJ237" s="420"/>
      <c r="EK237" s="420"/>
      <c r="EL237" s="419"/>
      <c r="EN237" s="419"/>
      <c r="EO237" s="419"/>
      <c r="EP237" s="419"/>
      <c r="EQ237" s="419"/>
      <c r="ER237" s="419"/>
      <c r="ES237" s="419"/>
      <c r="ET237" s="419"/>
      <c r="EU237" s="419"/>
      <c r="EV237" s="419"/>
      <c r="EW237" s="419"/>
      <c r="EX237" s="419"/>
      <c r="EY237" s="419"/>
      <c r="EZ237" s="419"/>
      <c r="FA237" s="420"/>
      <c r="FB237" s="420"/>
      <c r="FC237" s="420"/>
      <c r="FD237" s="420"/>
      <c r="FE237" s="420"/>
      <c r="FF237" s="419"/>
      <c r="FG237" s="419"/>
      <c r="FH237" s="419"/>
      <c r="FI237" s="419"/>
      <c r="FJ237" s="419"/>
      <c r="FK237" s="419"/>
      <c r="FL237" s="419"/>
      <c r="FM237" s="419"/>
      <c r="FN237" s="420"/>
      <c r="FO237" s="423"/>
      <c r="FP237" s="431"/>
      <c r="FQ237" s="431"/>
      <c r="FR237" s="431"/>
      <c r="FS237" s="420"/>
      <c r="FT237" s="420"/>
      <c r="FU237" s="419"/>
      <c r="FV237" s="419"/>
      <c r="FW237" s="419"/>
      <c r="FX237" s="420"/>
      <c r="FY237" s="420"/>
      <c r="FZ237" s="419"/>
      <c r="GA237" s="419"/>
      <c r="GB237" s="419"/>
      <c r="GC237" s="420"/>
      <c r="GD237" s="420"/>
      <c r="GE237" s="419"/>
      <c r="GF237" s="419"/>
      <c r="GG237" s="419"/>
      <c r="GH237" s="420"/>
      <c r="GI237" s="423"/>
      <c r="GJ237" s="419">
        <v>864972.48</v>
      </c>
      <c r="GK237" s="419">
        <v>864972.48</v>
      </c>
      <c r="GL237" s="419">
        <v>77847.520000000004</v>
      </c>
      <c r="GM237" s="420">
        <f t="shared" si="237"/>
        <v>864972.44444444403</v>
      </c>
      <c r="GN237" s="420">
        <f t="shared" si="238"/>
        <v>-3.5555555485189003E-2</v>
      </c>
      <c r="GO237" s="419"/>
      <c r="GP237" s="419"/>
      <c r="GQ237" s="419"/>
      <c r="GR237" s="420">
        <f t="shared" si="243"/>
        <v>0</v>
      </c>
      <c r="GS237" s="423">
        <f t="shared" si="239"/>
        <v>0</v>
      </c>
      <c r="GT237" s="419"/>
      <c r="GU237" s="419"/>
      <c r="GV237" s="419"/>
      <c r="GW237" s="420">
        <f t="shared" si="240"/>
        <v>0</v>
      </c>
      <c r="GX237" s="420">
        <f t="shared" si="241"/>
        <v>0</v>
      </c>
    </row>
    <row r="238" spans="1:206" ht="15">
      <c r="A238" s="414"/>
      <c r="B238" s="415" t="s">
        <v>592</v>
      </c>
      <c r="C238" s="698"/>
      <c r="D238" s="711"/>
      <c r="E238" s="434" t="s">
        <v>125</v>
      </c>
      <c r="F238" s="417">
        <v>0.06</v>
      </c>
      <c r="G238" s="418">
        <f t="shared" si="219"/>
        <v>432958.23</v>
      </c>
      <c r="H238" s="418">
        <f t="shared" si="220"/>
        <v>497339.62</v>
      </c>
      <c r="I238" s="418">
        <f t="shared" si="220"/>
        <v>25977.49</v>
      </c>
      <c r="J238" s="418">
        <f t="shared" si="221"/>
        <v>432958.16666666698</v>
      </c>
      <c r="K238" s="418">
        <f t="shared" si="217"/>
        <v>-64381.453333333302</v>
      </c>
      <c r="L238" s="418">
        <f t="shared" si="218"/>
        <v>-6.33333332953043E-2</v>
      </c>
      <c r="M238" s="424"/>
      <c r="N238" s="424"/>
      <c r="O238" s="424"/>
      <c r="P238" s="424"/>
      <c r="Q238" s="419"/>
      <c r="R238" s="419"/>
      <c r="S238" s="419"/>
      <c r="T238" s="420"/>
      <c r="U238" s="423"/>
      <c r="V238" s="420"/>
      <c r="W238" s="420"/>
      <c r="X238" s="419"/>
      <c r="Y238" s="419"/>
      <c r="Z238" s="423"/>
      <c r="AA238" s="423"/>
      <c r="AB238" s="419"/>
      <c r="AC238" s="423"/>
      <c r="AD238" s="420"/>
      <c r="AE238" s="423"/>
      <c r="AF238" s="444"/>
      <c r="AG238" s="419"/>
      <c r="AH238" s="420"/>
      <c r="AI238" s="420"/>
      <c r="AJ238" s="423"/>
      <c r="AK238" s="444"/>
      <c r="AL238" s="420"/>
      <c r="AM238" s="420"/>
      <c r="AN238" s="420"/>
      <c r="AO238" s="423"/>
      <c r="AP238" s="420"/>
      <c r="AQ238" s="419"/>
      <c r="AR238" s="420"/>
      <c r="AS238" s="420"/>
      <c r="AT238" s="420"/>
      <c r="AU238" s="420"/>
      <c r="AV238" s="420"/>
      <c r="AW238" s="420"/>
      <c r="AX238" s="426"/>
      <c r="AY238" s="420"/>
      <c r="AZ238" s="420"/>
      <c r="BA238" s="420"/>
      <c r="BB238" s="419"/>
      <c r="BC238" s="420"/>
      <c r="BD238" s="427"/>
      <c r="BE238" s="420"/>
      <c r="BF238" s="420"/>
      <c r="BG238" s="420"/>
      <c r="BH238" s="423"/>
      <c r="BI238" s="420"/>
      <c r="BJ238" s="420"/>
      <c r="BK238" s="420"/>
      <c r="BL238" s="420"/>
      <c r="BM238" s="420"/>
      <c r="BN238" s="420"/>
      <c r="BO238" s="419"/>
      <c r="BP238" s="428"/>
      <c r="BQ238" s="420"/>
      <c r="BR238" s="423"/>
      <c r="BS238" s="423"/>
      <c r="BT238" s="420"/>
      <c r="BU238" s="420"/>
      <c r="BV238" s="420"/>
      <c r="BW238" s="420"/>
      <c r="BX238" s="429"/>
      <c r="BY238" s="419"/>
      <c r="BZ238" s="419"/>
      <c r="CA238" s="419"/>
      <c r="CB238" s="420"/>
      <c r="CC238" s="430"/>
      <c r="CD238" s="419"/>
      <c r="CE238" s="419"/>
      <c r="CF238" s="419"/>
      <c r="CG238" s="420"/>
      <c r="CH238" s="423"/>
      <c r="CI238" s="432"/>
      <c r="CJ238" s="432"/>
      <c r="CK238" s="432"/>
      <c r="CL238" s="420"/>
      <c r="CM238" s="423"/>
      <c r="CN238" s="420"/>
      <c r="CO238" s="420"/>
      <c r="CP238" s="420"/>
      <c r="CQ238" s="432"/>
      <c r="CR238" s="432"/>
      <c r="CS238" s="420"/>
      <c r="CT238" s="420"/>
      <c r="CU238" s="420"/>
      <c r="CV238" s="420"/>
      <c r="CW238" s="420"/>
      <c r="CX238" s="419"/>
      <c r="CY238" s="419"/>
      <c r="CZ238" s="419"/>
      <c r="DA238" s="419"/>
      <c r="DB238" s="419"/>
      <c r="DC238" s="419"/>
      <c r="DD238" s="419"/>
      <c r="DE238" s="419"/>
      <c r="DF238" s="420"/>
      <c r="DG238" s="421"/>
      <c r="DH238" s="419"/>
      <c r="DI238" s="419"/>
      <c r="DJ238" s="419"/>
      <c r="DK238" s="420"/>
      <c r="DL238" s="422"/>
      <c r="DM238" s="420"/>
      <c r="DN238" s="420"/>
      <c r="DO238" s="420"/>
      <c r="DP238" s="420"/>
      <c r="DQ238" s="420"/>
      <c r="DR238" s="419"/>
      <c r="DS238" s="419"/>
      <c r="DT238" s="419"/>
      <c r="DU238" s="420"/>
      <c r="DV238" s="423"/>
      <c r="DW238" s="419"/>
      <c r="DX238" s="419"/>
      <c r="DY238" s="419"/>
      <c r="DZ238" s="420"/>
      <c r="EA238" s="423"/>
      <c r="EB238" s="419"/>
      <c r="EC238" s="419"/>
      <c r="ED238" s="420"/>
      <c r="EE238" s="419"/>
      <c r="EF238" s="420"/>
      <c r="EG238" s="419"/>
      <c r="EH238" s="419"/>
      <c r="EI238" s="419"/>
      <c r="EJ238" s="420"/>
      <c r="EK238" s="420"/>
      <c r="EL238" s="419"/>
      <c r="EN238" s="419"/>
      <c r="EO238" s="419"/>
      <c r="EP238" s="419"/>
      <c r="EQ238" s="419"/>
      <c r="ER238" s="419"/>
      <c r="ES238" s="419"/>
      <c r="ET238" s="419"/>
      <c r="EU238" s="419"/>
      <c r="EV238" s="419"/>
      <c r="EW238" s="419"/>
      <c r="EX238" s="419"/>
      <c r="EY238" s="419"/>
      <c r="EZ238" s="419"/>
      <c r="FA238" s="420"/>
      <c r="FB238" s="420"/>
      <c r="FC238" s="420"/>
      <c r="FD238" s="420"/>
      <c r="FE238" s="420"/>
      <c r="FF238" s="419"/>
      <c r="FG238" s="419"/>
      <c r="FH238" s="419"/>
      <c r="FI238" s="419"/>
      <c r="FJ238" s="419"/>
      <c r="FK238" s="419"/>
      <c r="FL238" s="419"/>
      <c r="FM238" s="419"/>
      <c r="FN238" s="420"/>
      <c r="FO238" s="423"/>
      <c r="FP238" s="431"/>
      <c r="FQ238" s="431"/>
      <c r="FR238" s="431"/>
      <c r="FS238" s="420"/>
      <c r="FT238" s="420"/>
      <c r="FU238" s="419"/>
      <c r="FV238" s="419"/>
      <c r="FW238" s="419"/>
      <c r="FX238" s="420"/>
      <c r="FY238" s="420"/>
      <c r="FZ238" s="419"/>
      <c r="GA238" s="419"/>
      <c r="GB238" s="419"/>
      <c r="GC238" s="420"/>
      <c r="GD238" s="420"/>
      <c r="GE238" s="419"/>
      <c r="GF238" s="419"/>
      <c r="GG238" s="419"/>
      <c r="GH238" s="420"/>
      <c r="GI238" s="423"/>
      <c r="GJ238" s="437">
        <v>99925.04</v>
      </c>
      <c r="GK238" s="419">
        <v>497339.62</v>
      </c>
      <c r="GL238" s="419">
        <v>5995.5</v>
      </c>
      <c r="GM238" s="420">
        <f t="shared" si="237"/>
        <v>99925</v>
      </c>
      <c r="GN238" s="420">
        <f t="shared" si="238"/>
        <v>-3.9999999993597199E-2</v>
      </c>
      <c r="GO238" s="419">
        <v>333033.19</v>
      </c>
      <c r="GP238" s="419"/>
      <c r="GQ238" s="419">
        <v>19981.990000000002</v>
      </c>
      <c r="GR238" s="420">
        <f t="shared" si="243"/>
        <v>333033.16666666698</v>
      </c>
      <c r="GS238" s="423">
        <f t="shared" si="239"/>
        <v>-2.33333333162591E-2</v>
      </c>
      <c r="GT238" s="419"/>
      <c r="GU238" s="419"/>
      <c r="GV238" s="419"/>
      <c r="GW238" s="420">
        <f t="shared" si="240"/>
        <v>0</v>
      </c>
      <c r="GX238" s="420">
        <f t="shared" si="241"/>
        <v>0</v>
      </c>
    </row>
    <row r="239" spans="1:206" ht="15">
      <c r="A239" s="414"/>
      <c r="B239" s="415" t="s">
        <v>593</v>
      </c>
      <c r="C239" s="698"/>
      <c r="D239" s="711" t="s">
        <v>154</v>
      </c>
      <c r="E239" s="434" t="s">
        <v>123</v>
      </c>
      <c r="F239" s="417">
        <v>0.13</v>
      </c>
      <c r="G239" s="418">
        <f t="shared" si="219"/>
        <v>0</v>
      </c>
      <c r="H239" s="418">
        <f t="shared" si="220"/>
        <v>0</v>
      </c>
      <c r="I239" s="418">
        <f t="shared" si="220"/>
        <v>0</v>
      </c>
      <c r="J239" s="418">
        <f t="shared" si="221"/>
        <v>0</v>
      </c>
      <c r="K239" s="418">
        <f t="shared" si="217"/>
        <v>0</v>
      </c>
      <c r="L239" s="418">
        <f t="shared" si="218"/>
        <v>0</v>
      </c>
      <c r="M239" s="424"/>
      <c r="N239" s="424"/>
      <c r="O239" s="424"/>
      <c r="P239" s="424"/>
      <c r="Q239" s="419"/>
      <c r="R239" s="419"/>
      <c r="S239" s="419"/>
      <c r="T239" s="420"/>
      <c r="U239" s="423"/>
      <c r="V239" s="420"/>
      <c r="W239" s="420"/>
      <c r="X239" s="419"/>
      <c r="Y239" s="419"/>
      <c r="Z239" s="423"/>
      <c r="AA239" s="423"/>
      <c r="AB239" s="419"/>
      <c r="AC239" s="423"/>
      <c r="AD239" s="420"/>
      <c r="AE239" s="423"/>
      <c r="AF239" s="444"/>
      <c r="AG239" s="419"/>
      <c r="AH239" s="420"/>
      <c r="AI239" s="420"/>
      <c r="AJ239" s="423"/>
      <c r="AK239" s="444"/>
      <c r="AL239" s="420"/>
      <c r="AM239" s="420"/>
      <c r="AN239" s="420"/>
      <c r="AO239" s="423"/>
      <c r="AP239" s="420"/>
      <c r="AQ239" s="419"/>
      <c r="AR239" s="420"/>
      <c r="AS239" s="420"/>
      <c r="AT239" s="420"/>
      <c r="AU239" s="420"/>
      <c r="AV239" s="420"/>
      <c r="AW239" s="420"/>
      <c r="AX239" s="426"/>
      <c r="AY239" s="420"/>
      <c r="AZ239" s="420"/>
      <c r="BA239" s="420"/>
      <c r="BB239" s="419"/>
      <c r="BC239" s="420"/>
      <c r="BD239" s="427"/>
      <c r="BE239" s="420"/>
      <c r="BF239" s="420"/>
      <c r="BG239" s="420"/>
      <c r="BH239" s="423"/>
      <c r="BI239" s="420"/>
      <c r="BJ239" s="420"/>
      <c r="BK239" s="420"/>
      <c r="BL239" s="420"/>
      <c r="BM239" s="420"/>
      <c r="BN239" s="420"/>
      <c r="BO239" s="419"/>
      <c r="BP239" s="428"/>
      <c r="BQ239" s="420"/>
      <c r="BR239" s="423"/>
      <c r="BS239" s="423"/>
      <c r="BT239" s="420"/>
      <c r="BU239" s="420"/>
      <c r="BV239" s="420"/>
      <c r="BW239" s="420"/>
      <c r="BX239" s="429"/>
      <c r="BY239" s="419"/>
      <c r="BZ239" s="419"/>
      <c r="CA239" s="419"/>
      <c r="CB239" s="420"/>
      <c r="CC239" s="430"/>
      <c r="CD239" s="419"/>
      <c r="CE239" s="419"/>
      <c r="CF239" s="419"/>
      <c r="CG239" s="420"/>
      <c r="CH239" s="423"/>
      <c r="CI239" s="432"/>
      <c r="CJ239" s="432"/>
      <c r="CK239" s="432"/>
      <c r="CL239" s="420"/>
      <c r="CM239" s="423"/>
      <c r="CN239" s="420"/>
      <c r="CO239" s="420"/>
      <c r="CP239" s="420"/>
      <c r="CQ239" s="432"/>
      <c r="CR239" s="432"/>
      <c r="CS239" s="420"/>
      <c r="CT239" s="420"/>
      <c r="CU239" s="420"/>
      <c r="CV239" s="420"/>
      <c r="CW239" s="420"/>
      <c r="CX239" s="419"/>
      <c r="CY239" s="419"/>
      <c r="CZ239" s="419"/>
      <c r="DA239" s="419"/>
      <c r="DB239" s="419"/>
      <c r="DC239" s="419"/>
      <c r="DD239" s="419"/>
      <c r="DE239" s="419"/>
      <c r="DF239" s="420"/>
      <c r="DG239" s="421"/>
      <c r="DH239" s="419"/>
      <c r="DI239" s="419"/>
      <c r="DJ239" s="419"/>
      <c r="DK239" s="420"/>
      <c r="DL239" s="422"/>
      <c r="DM239" s="420"/>
      <c r="DN239" s="420"/>
      <c r="DO239" s="420"/>
      <c r="DP239" s="420"/>
      <c r="DQ239" s="420"/>
      <c r="DR239" s="419"/>
      <c r="DS239" s="419"/>
      <c r="DT239" s="419"/>
      <c r="DU239" s="420"/>
      <c r="DV239" s="423"/>
      <c r="DW239" s="419"/>
      <c r="DX239" s="419"/>
      <c r="DY239" s="419"/>
      <c r="DZ239" s="420"/>
      <c r="EA239" s="423"/>
      <c r="EB239" s="419"/>
      <c r="EC239" s="419"/>
      <c r="ED239" s="420"/>
      <c r="EE239" s="419"/>
      <c r="EF239" s="420"/>
      <c r="EG239" s="419"/>
      <c r="EH239" s="419"/>
      <c r="EI239" s="419"/>
      <c r="EJ239" s="420"/>
      <c r="EK239" s="420"/>
      <c r="EL239" s="419"/>
      <c r="EN239" s="419"/>
      <c r="EO239" s="419"/>
      <c r="EP239" s="419"/>
      <c r="EQ239" s="419"/>
      <c r="ER239" s="419"/>
      <c r="ES239" s="419"/>
      <c r="ET239" s="419"/>
      <c r="EU239" s="419"/>
      <c r="EV239" s="419"/>
      <c r="EW239" s="419"/>
      <c r="EX239" s="419"/>
      <c r="EY239" s="419"/>
      <c r="EZ239" s="419"/>
      <c r="FA239" s="420"/>
      <c r="FB239" s="420"/>
      <c r="FC239" s="420"/>
      <c r="FD239" s="420"/>
      <c r="FE239" s="420"/>
      <c r="FF239" s="419"/>
      <c r="FG239" s="419"/>
      <c r="FH239" s="419"/>
      <c r="FI239" s="419"/>
      <c r="FJ239" s="419"/>
      <c r="FK239" s="419"/>
      <c r="FL239" s="419"/>
      <c r="FM239" s="419"/>
      <c r="FN239" s="420"/>
      <c r="FO239" s="423"/>
      <c r="FP239" s="431"/>
      <c r="FQ239" s="431"/>
      <c r="FR239" s="431"/>
      <c r="FS239" s="420"/>
      <c r="FT239" s="420"/>
      <c r="FU239" s="419"/>
      <c r="FV239" s="419"/>
      <c r="FW239" s="419"/>
      <c r="FX239" s="420"/>
      <c r="FY239" s="420"/>
      <c r="FZ239" s="419"/>
      <c r="GA239" s="419"/>
      <c r="GB239" s="419"/>
      <c r="GC239" s="420"/>
      <c r="GD239" s="420"/>
      <c r="GE239" s="419"/>
      <c r="GF239" s="419"/>
      <c r="GG239" s="419"/>
      <c r="GH239" s="420"/>
      <c r="GI239" s="423"/>
      <c r="GJ239" s="437"/>
      <c r="GK239" s="419"/>
      <c r="GL239" s="419"/>
      <c r="GM239" s="420"/>
      <c r="GN239" s="420"/>
      <c r="GO239" s="419"/>
      <c r="GP239" s="419"/>
      <c r="GQ239" s="419"/>
      <c r="GR239" s="420">
        <f t="shared" si="243"/>
        <v>0</v>
      </c>
      <c r="GS239" s="423">
        <f t="shared" si="239"/>
        <v>0</v>
      </c>
      <c r="GT239" s="419"/>
      <c r="GU239" s="419"/>
      <c r="GV239" s="419"/>
      <c r="GW239" s="420">
        <f t="shared" si="240"/>
        <v>0</v>
      </c>
      <c r="GX239" s="420">
        <f t="shared" si="241"/>
        <v>0</v>
      </c>
    </row>
    <row r="240" spans="1:206" ht="15">
      <c r="A240" s="414"/>
      <c r="B240" s="415" t="s">
        <v>593</v>
      </c>
      <c r="C240" s="698"/>
      <c r="D240" s="711"/>
      <c r="E240" s="434" t="s">
        <v>124</v>
      </c>
      <c r="F240" s="417">
        <v>0.09</v>
      </c>
      <c r="G240" s="418">
        <f t="shared" si="219"/>
        <v>0</v>
      </c>
      <c r="H240" s="418">
        <f t="shared" si="220"/>
        <v>0</v>
      </c>
      <c r="I240" s="418">
        <f t="shared" si="220"/>
        <v>0</v>
      </c>
      <c r="J240" s="418">
        <f t="shared" si="221"/>
        <v>0</v>
      </c>
      <c r="K240" s="418">
        <f t="shared" si="217"/>
        <v>0</v>
      </c>
      <c r="L240" s="418">
        <f t="shared" si="218"/>
        <v>0</v>
      </c>
      <c r="M240" s="424"/>
      <c r="N240" s="424"/>
      <c r="O240" s="424"/>
      <c r="P240" s="424"/>
      <c r="Q240" s="419"/>
      <c r="R240" s="419"/>
      <c r="S240" s="419"/>
      <c r="T240" s="420"/>
      <c r="U240" s="423"/>
      <c r="V240" s="420"/>
      <c r="W240" s="420"/>
      <c r="X240" s="419"/>
      <c r="Y240" s="419"/>
      <c r="Z240" s="423"/>
      <c r="AA240" s="423"/>
      <c r="AB240" s="419"/>
      <c r="AC240" s="423"/>
      <c r="AD240" s="420"/>
      <c r="AE240" s="423"/>
      <c r="AF240" s="444"/>
      <c r="AG240" s="419"/>
      <c r="AH240" s="420"/>
      <c r="AI240" s="420"/>
      <c r="AJ240" s="423"/>
      <c r="AK240" s="444"/>
      <c r="AL240" s="420"/>
      <c r="AM240" s="420"/>
      <c r="AN240" s="420"/>
      <c r="AO240" s="423"/>
      <c r="AP240" s="420"/>
      <c r="AQ240" s="419"/>
      <c r="AR240" s="420"/>
      <c r="AS240" s="420"/>
      <c r="AT240" s="420"/>
      <c r="AU240" s="420"/>
      <c r="AV240" s="420"/>
      <c r="AW240" s="420"/>
      <c r="AX240" s="426"/>
      <c r="AY240" s="420"/>
      <c r="AZ240" s="420"/>
      <c r="BA240" s="420"/>
      <c r="BB240" s="419"/>
      <c r="BC240" s="420"/>
      <c r="BD240" s="427"/>
      <c r="BE240" s="420"/>
      <c r="BF240" s="420"/>
      <c r="BG240" s="420"/>
      <c r="BH240" s="423"/>
      <c r="BI240" s="420"/>
      <c r="BJ240" s="420"/>
      <c r="BK240" s="420"/>
      <c r="BL240" s="420"/>
      <c r="BM240" s="420"/>
      <c r="BN240" s="420"/>
      <c r="BO240" s="419"/>
      <c r="BP240" s="428"/>
      <c r="BQ240" s="420"/>
      <c r="BR240" s="423"/>
      <c r="BS240" s="423"/>
      <c r="BT240" s="420"/>
      <c r="BU240" s="420"/>
      <c r="BV240" s="420"/>
      <c r="BW240" s="420"/>
      <c r="BX240" s="429"/>
      <c r="BY240" s="419"/>
      <c r="BZ240" s="419"/>
      <c r="CA240" s="419"/>
      <c r="CB240" s="420"/>
      <c r="CC240" s="430"/>
      <c r="CD240" s="419"/>
      <c r="CE240" s="419"/>
      <c r="CF240" s="419"/>
      <c r="CG240" s="420"/>
      <c r="CH240" s="423"/>
      <c r="CI240" s="432"/>
      <c r="CJ240" s="432"/>
      <c r="CK240" s="432"/>
      <c r="CL240" s="420"/>
      <c r="CM240" s="423"/>
      <c r="CN240" s="420"/>
      <c r="CO240" s="420"/>
      <c r="CP240" s="420"/>
      <c r="CQ240" s="432"/>
      <c r="CR240" s="432"/>
      <c r="CS240" s="420"/>
      <c r="CT240" s="420"/>
      <c r="CU240" s="420"/>
      <c r="CV240" s="420"/>
      <c r="CW240" s="420"/>
      <c r="CX240" s="419"/>
      <c r="CY240" s="419"/>
      <c r="CZ240" s="419"/>
      <c r="DA240" s="419"/>
      <c r="DB240" s="419"/>
      <c r="DC240" s="419"/>
      <c r="DD240" s="419"/>
      <c r="DE240" s="419"/>
      <c r="DF240" s="420"/>
      <c r="DG240" s="421"/>
      <c r="DH240" s="419"/>
      <c r="DI240" s="419"/>
      <c r="DJ240" s="419"/>
      <c r="DK240" s="420"/>
      <c r="DL240" s="422"/>
      <c r="DM240" s="420"/>
      <c r="DN240" s="420"/>
      <c r="DO240" s="420"/>
      <c r="DP240" s="420"/>
      <c r="DQ240" s="420"/>
      <c r="DR240" s="419"/>
      <c r="DS240" s="419"/>
      <c r="DT240" s="419"/>
      <c r="DU240" s="420"/>
      <c r="DV240" s="423"/>
      <c r="DW240" s="419"/>
      <c r="DX240" s="419"/>
      <c r="DY240" s="419"/>
      <c r="DZ240" s="420"/>
      <c r="EA240" s="423"/>
      <c r="EB240" s="419"/>
      <c r="EC240" s="419"/>
      <c r="ED240" s="420"/>
      <c r="EE240" s="419"/>
      <c r="EF240" s="420"/>
      <c r="EG240" s="419"/>
      <c r="EH240" s="419"/>
      <c r="EI240" s="419"/>
      <c r="EJ240" s="420"/>
      <c r="EK240" s="420"/>
      <c r="EL240" s="419"/>
      <c r="EN240" s="419"/>
      <c r="EO240" s="419"/>
      <c r="EP240" s="419"/>
      <c r="EQ240" s="419"/>
      <c r="ER240" s="419"/>
      <c r="ES240" s="419"/>
      <c r="ET240" s="419"/>
      <c r="EU240" s="419"/>
      <c r="EV240" s="419"/>
      <c r="EW240" s="419"/>
      <c r="EX240" s="419"/>
      <c r="EY240" s="419"/>
      <c r="EZ240" s="419"/>
      <c r="FA240" s="420"/>
      <c r="FB240" s="420"/>
      <c r="FC240" s="420"/>
      <c r="FD240" s="420"/>
      <c r="FE240" s="420"/>
      <c r="FF240" s="419"/>
      <c r="FG240" s="419"/>
      <c r="FH240" s="419"/>
      <c r="FI240" s="419"/>
      <c r="FJ240" s="419"/>
      <c r="FK240" s="419"/>
      <c r="FL240" s="419"/>
      <c r="FM240" s="419"/>
      <c r="FN240" s="420"/>
      <c r="FO240" s="423"/>
      <c r="FP240" s="431"/>
      <c r="FQ240" s="431"/>
      <c r="FR240" s="431"/>
      <c r="FS240" s="420"/>
      <c r="FT240" s="420"/>
      <c r="FU240" s="419"/>
      <c r="FV240" s="419"/>
      <c r="FW240" s="419"/>
      <c r="FX240" s="420"/>
      <c r="FY240" s="420"/>
      <c r="FZ240" s="419"/>
      <c r="GA240" s="419"/>
      <c r="GB240" s="419"/>
      <c r="GC240" s="420"/>
      <c r="GD240" s="420"/>
      <c r="GE240" s="419"/>
      <c r="GF240" s="419"/>
      <c r="GG240" s="419"/>
      <c r="GH240" s="420"/>
      <c r="GI240" s="423"/>
      <c r="GJ240" s="437"/>
      <c r="GK240" s="419"/>
      <c r="GL240" s="419"/>
      <c r="GM240" s="420"/>
      <c r="GN240" s="420"/>
      <c r="GO240" s="420">
        <v>529417.48</v>
      </c>
      <c r="GP240" s="419"/>
      <c r="GQ240" s="420">
        <v>47647.57</v>
      </c>
      <c r="GR240" s="420">
        <f t="shared" si="243"/>
        <v>529417.44444444403</v>
      </c>
      <c r="GS240" s="423">
        <f t="shared" si="239"/>
        <v>-3.5555555485189003E-2</v>
      </c>
      <c r="GT240" s="419">
        <v>-529417.48</v>
      </c>
      <c r="GU240" s="419"/>
      <c r="GV240" s="419">
        <v>-47647.57</v>
      </c>
      <c r="GW240" s="420">
        <f t="shared" si="240"/>
        <v>-529417.43999999994</v>
      </c>
      <c r="GX240" s="420">
        <f t="shared" si="241"/>
        <v>4.0000000037252903E-2</v>
      </c>
    </row>
    <row r="241" spans="1:206" ht="15">
      <c r="A241" s="414"/>
      <c r="B241" s="415" t="s">
        <v>593</v>
      </c>
      <c r="C241" s="698"/>
      <c r="D241" s="711"/>
      <c r="E241" s="434" t="s">
        <v>125</v>
      </c>
      <c r="F241" s="417">
        <v>0.06</v>
      </c>
      <c r="G241" s="418">
        <f t="shared" si="219"/>
        <v>234883.58</v>
      </c>
      <c r="H241" s="418">
        <f t="shared" si="220"/>
        <v>0</v>
      </c>
      <c r="I241" s="418">
        <f t="shared" si="220"/>
        <v>14093.01</v>
      </c>
      <c r="J241" s="418">
        <f t="shared" si="221"/>
        <v>234883.5</v>
      </c>
      <c r="K241" s="418">
        <f t="shared" si="217"/>
        <v>234883.5</v>
      </c>
      <c r="L241" s="418">
        <f t="shared" si="218"/>
        <v>-8.0000000016298103E-2</v>
      </c>
      <c r="M241" s="424"/>
      <c r="N241" s="424"/>
      <c r="O241" s="424"/>
      <c r="P241" s="424"/>
      <c r="Q241" s="419"/>
      <c r="R241" s="419"/>
      <c r="S241" s="419"/>
      <c r="T241" s="420"/>
      <c r="U241" s="423"/>
      <c r="V241" s="420"/>
      <c r="W241" s="420"/>
      <c r="X241" s="419"/>
      <c r="Y241" s="419"/>
      <c r="Z241" s="423"/>
      <c r="AA241" s="423"/>
      <c r="AB241" s="419"/>
      <c r="AC241" s="423"/>
      <c r="AD241" s="420"/>
      <c r="AE241" s="423"/>
      <c r="AF241" s="444"/>
      <c r="AG241" s="419"/>
      <c r="AH241" s="420"/>
      <c r="AI241" s="420"/>
      <c r="AJ241" s="423"/>
      <c r="AK241" s="444"/>
      <c r="AL241" s="420"/>
      <c r="AM241" s="420"/>
      <c r="AN241" s="420"/>
      <c r="AO241" s="423"/>
      <c r="AP241" s="420"/>
      <c r="AQ241" s="419"/>
      <c r="AR241" s="420"/>
      <c r="AS241" s="420"/>
      <c r="AT241" s="420"/>
      <c r="AU241" s="420"/>
      <c r="AV241" s="420"/>
      <c r="AW241" s="420"/>
      <c r="AX241" s="426"/>
      <c r="AY241" s="420"/>
      <c r="AZ241" s="420"/>
      <c r="BA241" s="420"/>
      <c r="BB241" s="419"/>
      <c r="BC241" s="420"/>
      <c r="BD241" s="427"/>
      <c r="BE241" s="420"/>
      <c r="BF241" s="420"/>
      <c r="BG241" s="420"/>
      <c r="BH241" s="423"/>
      <c r="BI241" s="420"/>
      <c r="BJ241" s="420"/>
      <c r="BK241" s="420"/>
      <c r="BL241" s="420"/>
      <c r="BM241" s="420"/>
      <c r="BN241" s="420"/>
      <c r="BO241" s="419"/>
      <c r="BP241" s="428"/>
      <c r="BQ241" s="420"/>
      <c r="BR241" s="423"/>
      <c r="BS241" s="423"/>
      <c r="BT241" s="420"/>
      <c r="BU241" s="420"/>
      <c r="BV241" s="420"/>
      <c r="BW241" s="420"/>
      <c r="BX241" s="429"/>
      <c r="BY241" s="419"/>
      <c r="BZ241" s="419"/>
      <c r="CA241" s="419"/>
      <c r="CB241" s="420"/>
      <c r="CC241" s="430"/>
      <c r="CD241" s="419"/>
      <c r="CE241" s="419"/>
      <c r="CF241" s="419"/>
      <c r="CG241" s="420"/>
      <c r="CH241" s="423"/>
      <c r="CI241" s="432"/>
      <c r="CJ241" s="432"/>
      <c r="CK241" s="432"/>
      <c r="CL241" s="420"/>
      <c r="CM241" s="423"/>
      <c r="CN241" s="420"/>
      <c r="CO241" s="420"/>
      <c r="CP241" s="420"/>
      <c r="CQ241" s="432"/>
      <c r="CR241" s="432"/>
      <c r="CS241" s="420"/>
      <c r="CT241" s="420"/>
      <c r="CU241" s="420"/>
      <c r="CV241" s="420"/>
      <c r="CW241" s="420"/>
      <c r="CX241" s="419"/>
      <c r="CY241" s="419"/>
      <c r="CZ241" s="419"/>
      <c r="DA241" s="419"/>
      <c r="DB241" s="419"/>
      <c r="DC241" s="419"/>
      <c r="DD241" s="419"/>
      <c r="DE241" s="419"/>
      <c r="DF241" s="420"/>
      <c r="DG241" s="421"/>
      <c r="DH241" s="419"/>
      <c r="DI241" s="419"/>
      <c r="DJ241" s="419"/>
      <c r="DK241" s="420"/>
      <c r="DL241" s="422"/>
      <c r="DM241" s="420"/>
      <c r="DN241" s="420"/>
      <c r="DO241" s="420"/>
      <c r="DP241" s="420"/>
      <c r="DQ241" s="420"/>
      <c r="DR241" s="419"/>
      <c r="DS241" s="419"/>
      <c r="DT241" s="419"/>
      <c r="DU241" s="420"/>
      <c r="DV241" s="423"/>
      <c r="DW241" s="419"/>
      <c r="DX241" s="419"/>
      <c r="DY241" s="419"/>
      <c r="DZ241" s="420"/>
      <c r="EA241" s="423"/>
      <c r="EB241" s="419"/>
      <c r="EC241" s="419"/>
      <c r="ED241" s="420"/>
      <c r="EE241" s="419"/>
      <c r="EF241" s="420"/>
      <c r="EG241" s="419"/>
      <c r="EH241" s="419"/>
      <c r="EI241" s="419"/>
      <c r="EJ241" s="420"/>
      <c r="EK241" s="420"/>
      <c r="EL241" s="419"/>
      <c r="EN241" s="419"/>
      <c r="EO241" s="419"/>
      <c r="EP241" s="419"/>
      <c r="EQ241" s="419"/>
      <c r="ER241" s="419"/>
      <c r="ES241" s="419"/>
      <c r="ET241" s="419"/>
      <c r="EU241" s="419"/>
      <c r="EV241" s="419"/>
      <c r="EW241" s="419"/>
      <c r="EX241" s="419"/>
      <c r="EY241" s="419"/>
      <c r="EZ241" s="419"/>
      <c r="FA241" s="420"/>
      <c r="FB241" s="420"/>
      <c r="FC241" s="420"/>
      <c r="FD241" s="420"/>
      <c r="FE241" s="420"/>
      <c r="FF241" s="419"/>
      <c r="FG241" s="419"/>
      <c r="FH241" s="419"/>
      <c r="FI241" s="419"/>
      <c r="FJ241" s="419"/>
      <c r="FK241" s="419"/>
      <c r="FL241" s="419"/>
      <c r="FM241" s="419"/>
      <c r="FN241" s="420"/>
      <c r="FO241" s="423"/>
      <c r="FP241" s="431"/>
      <c r="FQ241" s="431"/>
      <c r="FR241" s="431"/>
      <c r="FS241" s="420"/>
      <c r="FT241" s="420"/>
      <c r="FU241" s="419"/>
      <c r="FV241" s="419"/>
      <c r="FW241" s="419"/>
      <c r="FX241" s="420"/>
      <c r="FY241" s="420"/>
      <c r="FZ241" s="419"/>
      <c r="GA241" s="419"/>
      <c r="GB241" s="419"/>
      <c r="GC241" s="420"/>
      <c r="GD241" s="420"/>
      <c r="GE241" s="419"/>
      <c r="GF241" s="419"/>
      <c r="GG241" s="419"/>
      <c r="GH241" s="420"/>
      <c r="GI241" s="423"/>
      <c r="GJ241" s="437"/>
      <c r="GK241" s="419"/>
      <c r="GL241" s="419"/>
      <c r="GM241" s="420"/>
      <c r="GN241" s="420"/>
      <c r="GO241" s="419">
        <v>251488.45</v>
      </c>
      <c r="GP241" s="419"/>
      <c r="GQ241" s="419">
        <v>15089.31</v>
      </c>
      <c r="GR241" s="420">
        <f t="shared" si="243"/>
        <v>251488.5</v>
      </c>
      <c r="GS241" s="423">
        <f t="shared" si="239"/>
        <v>4.9999999988358503E-2</v>
      </c>
      <c r="GT241" s="419">
        <v>-16604.87</v>
      </c>
      <c r="GU241" s="419"/>
      <c r="GV241" s="419">
        <v>-996.3</v>
      </c>
      <c r="GW241" s="420">
        <f t="shared" si="240"/>
        <v>-16605</v>
      </c>
      <c r="GX241" s="420">
        <f t="shared" si="241"/>
        <v>-0.13000000000101899</v>
      </c>
    </row>
    <row r="242" spans="1:206" ht="15">
      <c r="A242" s="414"/>
      <c r="B242" s="415" t="s">
        <v>594</v>
      </c>
      <c r="C242" s="698"/>
      <c r="D242" s="711" t="s">
        <v>153</v>
      </c>
      <c r="E242" s="434" t="s">
        <v>123</v>
      </c>
      <c r="F242" s="417">
        <v>0.13</v>
      </c>
      <c r="G242" s="418">
        <f t="shared" si="219"/>
        <v>0</v>
      </c>
      <c r="H242" s="418">
        <f t="shared" si="220"/>
        <v>0</v>
      </c>
      <c r="I242" s="418">
        <f t="shared" si="220"/>
        <v>0</v>
      </c>
      <c r="J242" s="418">
        <f t="shared" si="221"/>
        <v>0</v>
      </c>
      <c r="K242" s="418">
        <f t="shared" si="217"/>
        <v>0</v>
      </c>
      <c r="L242" s="418">
        <f t="shared" si="218"/>
        <v>0</v>
      </c>
      <c r="M242" s="424"/>
      <c r="N242" s="424"/>
      <c r="O242" s="424"/>
      <c r="P242" s="424"/>
      <c r="Q242" s="419"/>
      <c r="R242" s="419"/>
      <c r="S242" s="419"/>
      <c r="T242" s="420"/>
      <c r="U242" s="423"/>
      <c r="V242" s="420"/>
      <c r="W242" s="420"/>
      <c r="X242" s="419"/>
      <c r="Y242" s="419"/>
      <c r="Z242" s="423"/>
      <c r="AA242" s="423"/>
      <c r="AB242" s="419"/>
      <c r="AC242" s="423"/>
      <c r="AD242" s="420"/>
      <c r="AE242" s="423"/>
      <c r="AF242" s="444"/>
      <c r="AG242" s="419"/>
      <c r="AH242" s="420"/>
      <c r="AI242" s="420"/>
      <c r="AJ242" s="423"/>
      <c r="AK242" s="444"/>
      <c r="AL242" s="420"/>
      <c r="AM242" s="420"/>
      <c r="AN242" s="420"/>
      <c r="AO242" s="423"/>
      <c r="AP242" s="420"/>
      <c r="AQ242" s="419"/>
      <c r="AR242" s="420"/>
      <c r="AS242" s="420"/>
      <c r="AT242" s="420"/>
      <c r="AU242" s="420"/>
      <c r="AV242" s="420"/>
      <c r="AW242" s="420"/>
      <c r="AX242" s="426"/>
      <c r="AY242" s="420"/>
      <c r="AZ242" s="420"/>
      <c r="BA242" s="420"/>
      <c r="BB242" s="419"/>
      <c r="BC242" s="420"/>
      <c r="BD242" s="427"/>
      <c r="BE242" s="420"/>
      <c r="BF242" s="420"/>
      <c r="BG242" s="420"/>
      <c r="BH242" s="423"/>
      <c r="BI242" s="420"/>
      <c r="BJ242" s="420"/>
      <c r="BK242" s="420"/>
      <c r="BL242" s="420"/>
      <c r="BM242" s="420"/>
      <c r="BN242" s="420"/>
      <c r="BO242" s="419"/>
      <c r="BP242" s="428"/>
      <c r="BQ242" s="420"/>
      <c r="BR242" s="423"/>
      <c r="BS242" s="423"/>
      <c r="BT242" s="420"/>
      <c r="BU242" s="420"/>
      <c r="BV242" s="420"/>
      <c r="BW242" s="420"/>
      <c r="BX242" s="429"/>
      <c r="BY242" s="419"/>
      <c r="BZ242" s="419"/>
      <c r="CA242" s="419"/>
      <c r="CB242" s="420"/>
      <c r="CC242" s="430"/>
      <c r="CD242" s="419"/>
      <c r="CE242" s="419"/>
      <c r="CF242" s="419"/>
      <c r="CG242" s="420"/>
      <c r="CH242" s="423"/>
      <c r="CI242" s="432"/>
      <c r="CJ242" s="432"/>
      <c r="CK242" s="432"/>
      <c r="CL242" s="420"/>
      <c r="CM242" s="423"/>
      <c r="CN242" s="420"/>
      <c r="CO242" s="420"/>
      <c r="CP242" s="420"/>
      <c r="CQ242" s="432"/>
      <c r="CR242" s="432"/>
      <c r="CS242" s="420"/>
      <c r="CT242" s="420"/>
      <c r="CU242" s="420"/>
      <c r="CV242" s="420"/>
      <c r="CW242" s="420"/>
      <c r="CX242" s="419"/>
      <c r="CY242" s="419"/>
      <c r="CZ242" s="419"/>
      <c r="DA242" s="419"/>
      <c r="DB242" s="419"/>
      <c r="DC242" s="419"/>
      <c r="DD242" s="419"/>
      <c r="DE242" s="419"/>
      <c r="DF242" s="420"/>
      <c r="DG242" s="421"/>
      <c r="DH242" s="419"/>
      <c r="DI242" s="419"/>
      <c r="DJ242" s="419"/>
      <c r="DK242" s="420"/>
      <c r="DL242" s="422"/>
      <c r="DM242" s="420"/>
      <c r="DN242" s="420"/>
      <c r="DO242" s="420"/>
      <c r="DP242" s="420"/>
      <c r="DQ242" s="420"/>
      <c r="DR242" s="419"/>
      <c r="DS242" s="419"/>
      <c r="DT242" s="419"/>
      <c r="DU242" s="420"/>
      <c r="DV242" s="423"/>
      <c r="DW242" s="419"/>
      <c r="DX242" s="419"/>
      <c r="DY242" s="419"/>
      <c r="DZ242" s="420"/>
      <c r="EA242" s="423"/>
      <c r="EB242" s="419"/>
      <c r="EC242" s="419"/>
      <c r="ED242" s="420"/>
      <c r="EE242" s="419"/>
      <c r="EF242" s="420"/>
      <c r="EG242" s="419"/>
      <c r="EH242" s="419"/>
      <c r="EI242" s="419"/>
      <c r="EJ242" s="420"/>
      <c r="EK242" s="420"/>
      <c r="EL242" s="419"/>
      <c r="EN242" s="419"/>
      <c r="EO242" s="419"/>
      <c r="EP242" s="419"/>
      <c r="EQ242" s="419"/>
      <c r="ER242" s="419"/>
      <c r="ES242" s="419"/>
      <c r="ET242" s="419"/>
      <c r="EU242" s="419"/>
      <c r="EV242" s="419"/>
      <c r="EW242" s="419"/>
      <c r="EX242" s="419"/>
      <c r="EY242" s="419"/>
      <c r="EZ242" s="419"/>
      <c r="FA242" s="420"/>
      <c r="FB242" s="420"/>
      <c r="FC242" s="420"/>
      <c r="FD242" s="420"/>
      <c r="FE242" s="420"/>
      <c r="FF242" s="419"/>
      <c r="FG242" s="419"/>
      <c r="FH242" s="419"/>
      <c r="FI242" s="419"/>
      <c r="FJ242" s="419"/>
      <c r="FK242" s="419"/>
      <c r="FL242" s="419"/>
      <c r="FM242" s="419"/>
      <c r="FN242" s="420"/>
      <c r="FO242" s="423"/>
      <c r="FP242" s="431"/>
      <c r="FQ242" s="431"/>
      <c r="FR242" s="431"/>
      <c r="FS242" s="420"/>
      <c r="FT242" s="420"/>
      <c r="FU242" s="419"/>
      <c r="FV242" s="419"/>
      <c r="FW242" s="419"/>
      <c r="FX242" s="420"/>
      <c r="FY242" s="420"/>
      <c r="FZ242" s="419"/>
      <c r="GA242" s="419"/>
      <c r="GB242" s="419"/>
      <c r="GC242" s="420"/>
      <c r="GD242" s="420"/>
      <c r="GE242" s="419"/>
      <c r="GF242" s="419"/>
      <c r="GG242" s="419"/>
      <c r="GH242" s="420"/>
      <c r="GI242" s="423"/>
      <c r="GJ242" s="437"/>
      <c r="GK242" s="419"/>
      <c r="GL242" s="419"/>
      <c r="GM242" s="420"/>
      <c r="GN242" s="420"/>
      <c r="GO242" s="419"/>
      <c r="GP242" s="419"/>
      <c r="GQ242" s="419"/>
      <c r="GR242" s="420">
        <f t="shared" si="243"/>
        <v>0</v>
      </c>
      <c r="GS242" s="423">
        <f t="shared" si="239"/>
        <v>0</v>
      </c>
      <c r="GT242" s="419"/>
      <c r="GU242" s="419"/>
      <c r="GV242" s="419"/>
      <c r="GW242" s="420">
        <f t="shared" si="240"/>
        <v>0</v>
      </c>
      <c r="GX242" s="420">
        <f t="shared" si="241"/>
        <v>0</v>
      </c>
    </row>
    <row r="243" spans="1:206" ht="15">
      <c r="A243" s="414"/>
      <c r="B243" s="415" t="s">
        <v>594</v>
      </c>
      <c r="C243" s="698"/>
      <c r="D243" s="711"/>
      <c r="E243" s="434" t="s">
        <v>124</v>
      </c>
      <c r="F243" s="417">
        <v>0.09</v>
      </c>
      <c r="G243" s="418">
        <f t="shared" si="219"/>
        <v>0</v>
      </c>
      <c r="H243" s="418">
        <f t="shared" si="220"/>
        <v>0</v>
      </c>
      <c r="I243" s="418">
        <f t="shared" si="220"/>
        <v>0</v>
      </c>
      <c r="J243" s="418">
        <f t="shared" si="221"/>
        <v>0</v>
      </c>
      <c r="K243" s="418">
        <f t="shared" si="217"/>
        <v>0</v>
      </c>
      <c r="L243" s="418">
        <f t="shared" si="218"/>
        <v>0</v>
      </c>
      <c r="M243" s="424"/>
      <c r="N243" s="424"/>
      <c r="O243" s="424"/>
      <c r="P243" s="424"/>
      <c r="Q243" s="419"/>
      <c r="R243" s="419"/>
      <c r="S243" s="419"/>
      <c r="T243" s="420"/>
      <c r="U243" s="423"/>
      <c r="V243" s="420"/>
      <c r="W243" s="420"/>
      <c r="X243" s="419"/>
      <c r="Y243" s="419"/>
      <c r="Z243" s="423"/>
      <c r="AA243" s="423"/>
      <c r="AB243" s="419"/>
      <c r="AC243" s="423"/>
      <c r="AD243" s="420"/>
      <c r="AE243" s="423"/>
      <c r="AF243" s="444"/>
      <c r="AG243" s="419"/>
      <c r="AH243" s="420"/>
      <c r="AI243" s="420"/>
      <c r="AJ243" s="423"/>
      <c r="AK243" s="444"/>
      <c r="AL243" s="420"/>
      <c r="AM243" s="420"/>
      <c r="AN243" s="420"/>
      <c r="AO243" s="423"/>
      <c r="AP243" s="420"/>
      <c r="AQ243" s="419"/>
      <c r="AR243" s="420"/>
      <c r="AS243" s="420"/>
      <c r="AT243" s="420"/>
      <c r="AU243" s="420"/>
      <c r="AV243" s="420"/>
      <c r="AW243" s="420"/>
      <c r="AX243" s="426"/>
      <c r="AY243" s="420"/>
      <c r="AZ243" s="420"/>
      <c r="BA243" s="420"/>
      <c r="BB243" s="419"/>
      <c r="BC243" s="420"/>
      <c r="BD243" s="427"/>
      <c r="BE243" s="420"/>
      <c r="BF243" s="420"/>
      <c r="BG243" s="420"/>
      <c r="BH243" s="423"/>
      <c r="BI243" s="420"/>
      <c r="BJ243" s="420"/>
      <c r="BK243" s="420"/>
      <c r="BL243" s="420"/>
      <c r="BM243" s="420"/>
      <c r="BN243" s="420"/>
      <c r="BO243" s="419"/>
      <c r="BP243" s="428"/>
      <c r="BQ243" s="420"/>
      <c r="BR243" s="423"/>
      <c r="BS243" s="423"/>
      <c r="BT243" s="420"/>
      <c r="BU243" s="420"/>
      <c r="BV243" s="420"/>
      <c r="BW243" s="420"/>
      <c r="BX243" s="429"/>
      <c r="BY243" s="419"/>
      <c r="BZ243" s="419"/>
      <c r="CA243" s="419"/>
      <c r="CB243" s="420"/>
      <c r="CC243" s="430"/>
      <c r="CD243" s="419"/>
      <c r="CE243" s="419"/>
      <c r="CF243" s="419"/>
      <c r="CG243" s="420"/>
      <c r="CH243" s="423"/>
      <c r="CI243" s="432"/>
      <c r="CJ243" s="432"/>
      <c r="CK243" s="432"/>
      <c r="CL243" s="420"/>
      <c r="CM243" s="423"/>
      <c r="CN243" s="420"/>
      <c r="CO243" s="420"/>
      <c r="CP243" s="420"/>
      <c r="CQ243" s="432"/>
      <c r="CR243" s="432"/>
      <c r="CS243" s="420"/>
      <c r="CT243" s="420"/>
      <c r="CU243" s="420"/>
      <c r="CV243" s="420"/>
      <c r="CW243" s="420"/>
      <c r="CX243" s="419"/>
      <c r="CY243" s="419"/>
      <c r="CZ243" s="419"/>
      <c r="DA243" s="419"/>
      <c r="DB243" s="419"/>
      <c r="DC243" s="419"/>
      <c r="DD243" s="419"/>
      <c r="DE243" s="419"/>
      <c r="DF243" s="420"/>
      <c r="DG243" s="421"/>
      <c r="DH243" s="419"/>
      <c r="DI243" s="419"/>
      <c r="DJ243" s="419"/>
      <c r="DK243" s="420"/>
      <c r="DL243" s="422"/>
      <c r="DM243" s="420"/>
      <c r="DN243" s="420"/>
      <c r="DO243" s="420"/>
      <c r="DP243" s="420"/>
      <c r="DQ243" s="420"/>
      <c r="DR243" s="419"/>
      <c r="DS243" s="419"/>
      <c r="DT243" s="419"/>
      <c r="DU243" s="420"/>
      <c r="DV243" s="423"/>
      <c r="DW243" s="419"/>
      <c r="DX243" s="419"/>
      <c r="DY243" s="419"/>
      <c r="DZ243" s="420"/>
      <c r="EA243" s="423"/>
      <c r="EB243" s="419"/>
      <c r="EC243" s="419"/>
      <c r="ED243" s="420"/>
      <c r="EE243" s="419"/>
      <c r="EF243" s="420"/>
      <c r="EG243" s="419"/>
      <c r="EH243" s="419"/>
      <c r="EI243" s="419"/>
      <c r="EJ243" s="420"/>
      <c r="EK243" s="420"/>
      <c r="EL243" s="419"/>
      <c r="EN243" s="419"/>
      <c r="EO243" s="419"/>
      <c r="EP243" s="419"/>
      <c r="EQ243" s="419"/>
      <c r="ER243" s="419"/>
      <c r="ES243" s="419"/>
      <c r="ET243" s="419"/>
      <c r="EU243" s="419"/>
      <c r="EV243" s="419"/>
      <c r="EW243" s="419"/>
      <c r="EX243" s="419"/>
      <c r="EY243" s="419"/>
      <c r="EZ243" s="419"/>
      <c r="FA243" s="420"/>
      <c r="FB243" s="420"/>
      <c r="FC243" s="420"/>
      <c r="FD243" s="420"/>
      <c r="FE243" s="420"/>
      <c r="FF243" s="419"/>
      <c r="FG243" s="419"/>
      <c r="FH243" s="419"/>
      <c r="FI243" s="419"/>
      <c r="FJ243" s="419"/>
      <c r="FK243" s="419"/>
      <c r="FL243" s="419"/>
      <c r="FM243" s="419"/>
      <c r="FN243" s="420"/>
      <c r="FO243" s="423"/>
      <c r="FP243" s="431"/>
      <c r="FQ243" s="431"/>
      <c r="FR243" s="431"/>
      <c r="FS243" s="420"/>
      <c r="FT243" s="420"/>
      <c r="FU243" s="419"/>
      <c r="FV243" s="419"/>
      <c r="FW243" s="419"/>
      <c r="FX243" s="420"/>
      <c r="FY243" s="420"/>
      <c r="FZ243" s="419"/>
      <c r="GA243" s="419"/>
      <c r="GB243" s="419"/>
      <c r="GC243" s="420"/>
      <c r="GD243" s="420"/>
      <c r="GE243" s="419"/>
      <c r="GF243" s="419"/>
      <c r="GG243" s="419"/>
      <c r="GH243" s="420"/>
      <c r="GI243" s="423"/>
      <c r="GJ243" s="437"/>
      <c r="GK243" s="419"/>
      <c r="GL243" s="419"/>
      <c r="GM243" s="420"/>
      <c r="GN243" s="420"/>
      <c r="GO243" s="419"/>
      <c r="GP243" s="419"/>
      <c r="GQ243" s="419"/>
      <c r="GR243" s="420">
        <f t="shared" si="243"/>
        <v>0</v>
      </c>
      <c r="GS243" s="423">
        <f t="shared" si="239"/>
        <v>0</v>
      </c>
      <c r="GT243" s="419"/>
      <c r="GU243" s="419"/>
      <c r="GV243" s="419"/>
      <c r="GW243" s="420">
        <f t="shared" si="240"/>
        <v>0</v>
      </c>
      <c r="GX243" s="420">
        <f t="shared" si="241"/>
        <v>0</v>
      </c>
    </row>
    <row r="244" spans="1:206" ht="15">
      <c r="A244" s="414"/>
      <c r="B244" s="415" t="s">
        <v>594</v>
      </c>
      <c r="C244" s="698"/>
      <c r="D244" s="711"/>
      <c r="E244" s="434" t="s">
        <v>125</v>
      </c>
      <c r="F244" s="417">
        <v>0.06</v>
      </c>
      <c r="G244" s="418">
        <f t="shared" si="219"/>
        <v>350163.07</v>
      </c>
      <c r="H244" s="418">
        <f t="shared" si="220"/>
        <v>0</v>
      </c>
      <c r="I244" s="418">
        <f t="shared" si="220"/>
        <v>21009.79</v>
      </c>
      <c r="J244" s="418">
        <f t="shared" si="221"/>
        <v>350163.16666666698</v>
      </c>
      <c r="K244" s="418">
        <f t="shared" si="217"/>
        <v>350163.16666666698</v>
      </c>
      <c r="L244" s="418">
        <f t="shared" si="218"/>
        <v>9.6666666679084301E-2</v>
      </c>
      <c r="M244" s="424"/>
      <c r="N244" s="424"/>
      <c r="O244" s="424"/>
      <c r="P244" s="424"/>
      <c r="Q244" s="419"/>
      <c r="R244" s="419"/>
      <c r="S244" s="419"/>
      <c r="T244" s="420"/>
      <c r="U244" s="423"/>
      <c r="V244" s="420"/>
      <c r="W244" s="420"/>
      <c r="X244" s="419"/>
      <c r="Y244" s="419"/>
      <c r="Z244" s="423"/>
      <c r="AA244" s="423"/>
      <c r="AB244" s="419"/>
      <c r="AC244" s="423"/>
      <c r="AD244" s="420"/>
      <c r="AE244" s="423"/>
      <c r="AF244" s="444"/>
      <c r="AG244" s="419"/>
      <c r="AH244" s="420"/>
      <c r="AI244" s="420"/>
      <c r="AJ244" s="423"/>
      <c r="AK244" s="444"/>
      <c r="AL244" s="420"/>
      <c r="AM244" s="420"/>
      <c r="AN244" s="420"/>
      <c r="AO244" s="423"/>
      <c r="AP244" s="420"/>
      <c r="AQ244" s="419"/>
      <c r="AR244" s="420"/>
      <c r="AS244" s="420"/>
      <c r="AT244" s="420"/>
      <c r="AU244" s="420"/>
      <c r="AV244" s="420"/>
      <c r="AW244" s="420"/>
      <c r="AX244" s="426"/>
      <c r="AY244" s="420"/>
      <c r="AZ244" s="420"/>
      <c r="BA244" s="420"/>
      <c r="BB244" s="419"/>
      <c r="BC244" s="420"/>
      <c r="BD244" s="427"/>
      <c r="BE244" s="420"/>
      <c r="BF244" s="420"/>
      <c r="BG244" s="420"/>
      <c r="BH244" s="423"/>
      <c r="BI244" s="420"/>
      <c r="BJ244" s="420"/>
      <c r="BK244" s="420"/>
      <c r="BL244" s="420"/>
      <c r="BM244" s="420"/>
      <c r="BN244" s="420"/>
      <c r="BO244" s="419"/>
      <c r="BP244" s="428"/>
      <c r="BQ244" s="420"/>
      <c r="BR244" s="423"/>
      <c r="BS244" s="423"/>
      <c r="BT244" s="420"/>
      <c r="BU244" s="420"/>
      <c r="BV244" s="420"/>
      <c r="BW244" s="420"/>
      <c r="BX244" s="429"/>
      <c r="BY244" s="419"/>
      <c r="BZ244" s="419"/>
      <c r="CA244" s="419"/>
      <c r="CB244" s="420"/>
      <c r="CC244" s="430"/>
      <c r="CD244" s="419"/>
      <c r="CE244" s="419"/>
      <c r="CF244" s="419"/>
      <c r="CG244" s="420"/>
      <c r="CH244" s="423"/>
      <c r="CI244" s="432"/>
      <c r="CJ244" s="432"/>
      <c r="CK244" s="432"/>
      <c r="CL244" s="420"/>
      <c r="CM244" s="423"/>
      <c r="CN244" s="420"/>
      <c r="CO244" s="420"/>
      <c r="CP244" s="420"/>
      <c r="CQ244" s="432"/>
      <c r="CR244" s="432"/>
      <c r="CS244" s="420"/>
      <c r="CT244" s="420"/>
      <c r="CU244" s="420"/>
      <c r="CV244" s="420"/>
      <c r="CW244" s="420"/>
      <c r="CX244" s="419"/>
      <c r="CY244" s="419"/>
      <c r="CZ244" s="419"/>
      <c r="DA244" s="419"/>
      <c r="DB244" s="419"/>
      <c r="DC244" s="419"/>
      <c r="DD244" s="419"/>
      <c r="DE244" s="419"/>
      <c r="DF244" s="420"/>
      <c r="DG244" s="421"/>
      <c r="DH244" s="419"/>
      <c r="DI244" s="419"/>
      <c r="DJ244" s="419"/>
      <c r="DK244" s="420"/>
      <c r="DL244" s="422"/>
      <c r="DM244" s="420"/>
      <c r="DN244" s="420"/>
      <c r="DO244" s="420"/>
      <c r="DP244" s="420"/>
      <c r="DQ244" s="420"/>
      <c r="DR244" s="419"/>
      <c r="DS244" s="419"/>
      <c r="DT244" s="419"/>
      <c r="DU244" s="420"/>
      <c r="DV244" s="423"/>
      <c r="DW244" s="419"/>
      <c r="DX244" s="419"/>
      <c r="DY244" s="419"/>
      <c r="DZ244" s="420"/>
      <c r="EA244" s="423"/>
      <c r="EB244" s="419"/>
      <c r="EC244" s="419"/>
      <c r="ED244" s="420"/>
      <c r="EE244" s="419"/>
      <c r="EF244" s="420"/>
      <c r="EG244" s="419"/>
      <c r="EH244" s="419"/>
      <c r="EI244" s="419"/>
      <c r="EJ244" s="420"/>
      <c r="EK244" s="420"/>
      <c r="EL244" s="419"/>
      <c r="EN244" s="419"/>
      <c r="EO244" s="419"/>
      <c r="EP244" s="419"/>
      <c r="EQ244" s="419"/>
      <c r="ER244" s="419"/>
      <c r="ES244" s="419"/>
      <c r="ET244" s="419"/>
      <c r="EU244" s="419"/>
      <c r="EV244" s="419"/>
      <c r="EW244" s="419"/>
      <c r="EX244" s="419"/>
      <c r="EY244" s="419"/>
      <c r="EZ244" s="419"/>
      <c r="FA244" s="420"/>
      <c r="FB244" s="420"/>
      <c r="FC244" s="420"/>
      <c r="FD244" s="420"/>
      <c r="FE244" s="420"/>
      <c r="FF244" s="419"/>
      <c r="FG244" s="419"/>
      <c r="FH244" s="419"/>
      <c r="FI244" s="419"/>
      <c r="FJ244" s="419"/>
      <c r="FK244" s="419"/>
      <c r="FL244" s="419"/>
      <c r="FM244" s="419"/>
      <c r="FN244" s="420"/>
      <c r="FO244" s="423"/>
      <c r="FP244" s="431"/>
      <c r="FQ244" s="431"/>
      <c r="FR244" s="431"/>
      <c r="FS244" s="420"/>
      <c r="FT244" s="420"/>
      <c r="FU244" s="419"/>
      <c r="FV244" s="419"/>
      <c r="FW244" s="419"/>
      <c r="FX244" s="420"/>
      <c r="FY244" s="420"/>
      <c r="FZ244" s="419"/>
      <c r="GA244" s="419"/>
      <c r="GB244" s="419"/>
      <c r="GC244" s="420"/>
      <c r="GD244" s="420"/>
      <c r="GE244" s="419"/>
      <c r="GF244" s="419"/>
      <c r="GG244" s="419"/>
      <c r="GH244" s="420"/>
      <c r="GI244" s="423"/>
      <c r="GJ244" s="437"/>
      <c r="GK244" s="419"/>
      <c r="GL244" s="419"/>
      <c r="GM244" s="420"/>
      <c r="GN244" s="420"/>
      <c r="GO244" s="419">
        <v>632387.48</v>
      </c>
      <c r="GP244" s="419"/>
      <c r="GQ244" s="419">
        <v>37943.25</v>
      </c>
      <c r="GR244" s="420">
        <f t="shared" si="243"/>
        <v>632387.5</v>
      </c>
      <c r="GS244" s="423">
        <f t="shared" si="239"/>
        <v>2.00000000186265E-2</v>
      </c>
      <c r="GT244" s="419">
        <v>-282224.40999999997</v>
      </c>
      <c r="GU244" s="419"/>
      <c r="GV244" s="419">
        <v>-16933.46</v>
      </c>
      <c r="GW244" s="420">
        <f t="shared" si="240"/>
        <v>-282224.33</v>
      </c>
      <c r="GX244" s="420">
        <f t="shared" si="241"/>
        <v>7.9999999958090498E-2</v>
      </c>
    </row>
    <row r="245" spans="1:206" ht="15">
      <c r="A245" s="414"/>
      <c r="B245" s="415" t="s">
        <v>595</v>
      </c>
      <c r="C245" s="698"/>
      <c r="D245" s="711" t="s">
        <v>155</v>
      </c>
      <c r="E245" s="434" t="s">
        <v>123</v>
      </c>
      <c r="F245" s="417">
        <v>0.13</v>
      </c>
      <c r="G245" s="418">
        <f t="shared" si="219"/>
        <v>0</v>
      </c>
      <c r="H245" s="418">
        <f t="shared" si="220"/>
        <v>0</v>
      </c>
      <c r="I245" s="418">
        <f t="shared" si="220"/>
        <v>0</v>
      </c>
      <c r="J245" s="418">
        <f t="shared" si="221"/>
        <v>0</v>
      </c>
      <c r="K245" s="418">
        <f t="shared" si="217"/>
        <v>0</v>
      </c>
      <c r="L245" s="418">
        <f t="shared" si="218"/>
        <v>0</v>
      </c>
      <c r="M245" s="424"/>
      <c r="N245" s="424"/>
      <c r="O245" s="424"/>
      <c r="P245" s="424"/>
      <c r="Q245" s="419"/>
      <c r="R245" s="419"/>
      <c r="S245" s="419"/>
      <c r="T245" s="420"/>
      <c r="U245" s="423"/>
      <c r="V245" s="420"/>
      <c r="W245" s="420"/>
      <c r="X245" s="419"/>
      <c r="Y245" s="419"/>
      <c r="Z245" s="423"/>
      <c r="AA245" s="423"/>
      <c r="AB245" s="419"/>
      <c r="AC245" s="423"/>
      <c r="AD245" s="420"/>
      <c r="AE245" s="423"/>
      <c r="AF245" s="444"/>
      <c r="AG245" s="419"/>
      <c r="AH245" s="420"/>
      <c r="AI245" s="420"/>
      <c r="AJ245" s="423"/>
      <c r="AK245" s="444"/>
      <c r="AL245" s="420"/>
      <c r="AM245" s="420"/>
      <c r="AN245" s="420"/>
      <c r="AO245" s="423"/>
      <c r="AP245" s="420"/>
      <c r="AQ245" s="419"/>
      <c r="AR245" s="420"/>
      <c r="AS245" s="420"/>
      <c r="AT245" s="420"/>
      <c r="AU245" s="420"/>
      <c r="AV245" s="420"/>
      <c r="AW245" s="420"/>
      <c r="AX245" s="426"/>
      <c r="AY245" s="420"/>
      <c r="AZ245" s="420"/>
      <c r="BA245" s="420"/>
      <c r="BB245" s="419"/>
      <c r="BC245" s="420"/>
      <c r="BD245" s="427"/>
      <c r="BE245" s="420"/>
      <c r="BF245" s="420"/>
      <c r="BG245" s="420"/>
      <c r="BH245" s="423"/>
      <c r="BI245" s="420"/>
      <c r="BJ245" s="420"/>
      <c r="BK245" s="420"/>
      <c r="BL245" s="420"/>
      <c r="BM245" s="420"/>
      <c r="BN245" s="420"/>
      <c r="BO245" s="419"/>
      <c r="BP245" s="428"/>
      <c r="BQ245" s="420"/>
      <c r="BR245" s="423"/>
      <c r="BS245" s="423"/>
      <c r="BT245" s="420"/>
      <c r="BU245" s="420"/>
      <c r="BV245" s="420"/>
      <c r="BW245" s="420"/>
      <c r="BX245" s="429"/>
      <c r="BY245" s="419"/>
      <c r="BZ245" s="419"/>
      <c r="CA245" s="419"/>
      <c r="CB245" s="420"/>
      <c r="CC245" s="430"/>
      <c r="CD245" s="419"/>
      <c r="CE245" s="419"/>
      <c r="CF245" s="419"/>
      <c r="CG245" s="420"/>
      <c r="CH245" s="423"/>
      <c r="CI245" s="432"/>
      <c r="CJ245" s="432"/>
      <c r="CK245" s="432"/>
      <c r="CL245" s="420"/>
      <c r="CM245" s="423"/>
      <c r="CN245" s="420"/>
      <c r="CO245" s="420"/>
      <c r="CP245" s="420"/>
      <c r="CQ245" s="432"/>
      <c r="CR245" s="432"/>
      <c r="CS245" s="420"/>
      <c r="CT245" s="420"/>
      <c r="CU245" s="420"/>
      <c r="CV245" s="420"/>
      <c r="CW245" s="420"/>
      <c r="CX245" s="419"/>
      <c r="CY245" s="419"/>
      <c r="CZ245" s="419"/>
      <c r="DA245" s="419"/>
      <c r="DB245" s="419"/>
      <c r="DC245" s="419"/>
      <c r="DD245" s="419"/>
      <c r="DE245" s="419"/>
      <c r="DF245" s="420"/>
      <c r="DG245" s="421"/>
      <c r="DH245" s="419"/>
      <c r="DI245" s="419"/>
      <c r="DJ245" s="419"/>
      <c r="DK245" s="420"/>
      <c r="DL245" s="422"/>
      <c r="DM245" s="420"/>
      <c r="DN245" s="420"/>
      <c r="DO245" s="420"/>
      <c r="DP245" s="420"/>
      <c r="DQ245" s="420"/>
      <c r="DR245" s="419"/>
      <c r="DS245" s="419"/>
      <c r="DT245" s="419"/>
      <c r="DU245" s="420"/>
      <c r="DV245" s="423"/>
      <c r="DW245" s="419"/>
      <c r="DX245" s="419"/>
      <c r="DY245" s="419"/>
      <c r="DZ245" s="420"/>
      <c r="EA245" s="423"/>
      <c r="EB245" s="419"/>
      <c r="EC245" s="419"/>
      <c r="ED245" s="420"/>
      <c r="EE245" s="419"/>
      <c r="EF245" s="420"/>
      <c r="EG245" s="419"/>
      <c r="EH245" s="419"/>
      <c r="EI245" s="419"/>
      <c r="EJ245" s="420"/>
      <c r="EK245" s="420"/>
      <c r="EL245" s="419"/>
      <c r="EN245" s="419"/>
      <c r="EO245" s="419"/>
      <c r="EP245" s="419"/>
      <c r="EQ245" s="419"/>
      <c r="ER245" s="419"/>
      <c r="ES245" s="419"/>
      <c r="ET245" s="419"/>
      <c r="EU245" s="419"/>
      <c r="EV245" s="419"/>
      <c r="EW245" s="419"/>
      <c r="EX245" s="419"/>
      <c r="EY245" s="419"/>
      <c r="EZ245" s="419"/>
      <c r="FA245" s="420"/>
      <c r="FB245" s="420"/>
      <c r="FC245" s="420"/>
      <c r="FD245" s="420"/>
      <c r="FE245" s="420"/>
      <c r="FF245" s="419"/>
      <c r="FG245" s="419"/>
      <c r="FH245" s="419"/>
      <c r="FI245" s="419"/>
      <c r="FJ245" s="419"/>
      <c r="FK245" s="419"/>
      <c r="FL245" s="419"/>
      <c r="FM245" s="419"/>
      <c r="FN245" s="420"/>
      <c r="FO245" s="423"/>
      <c r="FP245" s="431"/>
      <c r="FQ245" s="431"/>
      <c r="FR245" s="431"/>
      <c r="FS245" s="420"/>
      <c r="FT245" s="420"/>
      <c r="FU245" s="419"/>
      <c r="FV245" s="419"/>
      <c r="FW245" s="419"/>
      <c r="FX245" s="420"/>
      <c r="FY245" s="420"/>
      <c r="FZ245" s="419"/>
      <c r="GA245" s="419"/>
      <c r="GB245" s="419"/>
      <c r="GC245" s="420"/>
      <c r="GD245" s="420"/>
      <c r="GE245" s="419"/>
      <c r="GF245" s="419"/>
      <c r="GG245" s="419"/>
      <c r="GH245" s="420"/>
      <c r="GI245" s="423"/>
      <c r="GJ245" s="437"/>
      <c r="GK245" s="419"/>
      <c r="GL245" s="419"/>
      <c r="GM245" s="420"/>
      <c r="GN245" s="420"/>
      <c r="GO245" s="419"/>
      <c r="GP245" s="419"/>
      <c r="GQ245" s="419"/>
      <c r="GR245" s="420">
        <f t="shared" si="243"/>
        <v>0</v>
      </c>
      <c r="GS245" s="423">
        <f t="shared" si="239"/>
        <v>0</v>
      </c>
      <c r="GT245" s="419"/>
      <c r="GU245" s="419"/>
      <c r="GV245" s="419"/>
      <c r="GW245" s="420">
        <f t="shared" si="240"/>
        <v>0</v>
      </c>
      <c r="GX245" s="420">
        <f t="shared" si="241"/>
        <v>0</v>
      </c>
    </row>
    <row r="246" spans="1:206" ht="15">
      <c r="A246" s="414"/>
      <c r="B246" s="415" t="s">
        <v>595</v>
      </c>
      <c r="C246" s="698"/>
      <c r="D246" s="711"/>
      <c r="E246" s="434" t="s">
        <v>124</v>
      </c>
      <c r="F246" s="417">
        <v>0.09</v>
      </c>
      <c r="G246" s="418">
        <f t="shared" si="219"/>
        <v>0</v>
      </c>
      <c r="H246" s="418">
        <f t="shared" si="220"/>
        <v>0</v>
      </c>
      <c r="I246" s="418">
        <f t="shared" si="220"/>
        <v>0</v>
      </c>
      <c r="J246" s="418">
        <f t="shared" si="221"/>
        <v>0</v>
      </c>
      <c r="K246" s="418">
        <f t="shared" si="217"/>
        <v>0</v>
      </c>
      <c r="L246" s="418">
        <f t="shared" si="218"/>
        <v>0</v>
      </c>
      <c r="M246" s="424"/>
      <c r="N246" s="424"/>
      <c r="O246" s="424"/>
      <c r="P246" s="424"/>
      <c r="Q246" s="419"/>
      <c r="R246" s="419"/>
      <c r="S246" s="419"/>
      <c r="T246" s="420"/>
      <c r="U246" s="423"/>
      <c r="V246" s="420"/>
      <c r="W246" s="420"/>
      <c r="X246" s="419"/>
      <c r="Y246" s="419"/>
      <c r="Z246" s="423"/>
      <c r="AA246" s="423"/>
      <c r="AB246" s="419"/>
      <c r="AC246" s="423"/>
      <c r="AD246" s="420"/>
      <c r="AE246" s="423"/>
      <c r="AF246" s="444"/>
      <c r="AG246" s="419"/>
      <c r="AH246" s="420"/>
      <c r="AI246" s="420"/>
      <c r="AJ246" s="423"/>
      <c r="AK246" s="444"/>
      <c r="AL246" s="420"/>
      <c r="AM246" s="420"/>
      <c r="AN246" s="420"/>
      <c r="AO246" s="423"/>
      <c r="AP246" s="420"/>
      <c r="AQ246" s="419"/>
      <c r="AR246" s="420"/>
      <c r="AS246" s="420"/>
      <c r="AT246" s="420"/>
      <c r="AU246" s="420"/>
      <c r="AV246" s="420"/>
      <c r="AW246" s="420"/>
      <c r="AX246" s="426"/>
      <c r="AY246" s="420"/>
      <c r="AZ246" s="420"/>
      <c r="BA246" s="420"/>
      <c r="BB246" s="419"/>
      <c r="BC246" s="420"/>
      <c r="BD246" s="427"/>
      <c r="BE246" s="420"/>
      <c r="BF246" s="420"/>
      <c r="BG246" s="420"/>
      <c r="BH246" s="423"/>
      <c r="BI246" s="420"/>
      <c r="BJ246" s="420"/>
      <c r="BK246" s="420"/>
      <c r="BL246" s="420"/>
      <c r="BM246" s="420"/>
      <c r="BN246" s="420"/>
      <c r="BO246" s="419"/>
      <c r="BP246" s="428"/>
      <c r="BQ246" s="420"/>
      <c r="BR246" s="423"/>
      <c r="BS246" s="423"/>
      <c r="BT246" s="420"/>
      <c r="BU246" s="420"/>
      <c r="BV246" s="420"/>
      <c r="BW246" s="420"/>
      <c r="BX246" s="429"/>
      <c r="BY246" s="419"/>
      <c r="BZ246" s="419"/>
      <c r="CA246" s="419"/>
      <c r="CB246" s="420"/>
      <c r="CC246" s="430"/>
      <c r="CD246" s="419"/>
      <c r="CE246" s="419"/>
      <c r="CF246" s="419"/>
      <c r="CG246" s="420"/>
      <c r="CH246" s="423"/>
      <c r="CI246" s="432"/>
      <c r="CJ246" s="432"/>
      <c r="CK246" s="432"/>
      <c r="CL246" s="420"/>
      <c r="CM246" s="423"/>
      <c r="CN246" s="420"/>
      <c r="CO246" s="420"/>
      <c r="CP246" s="420"/>
      <c r="CQ246" s="432"/>
      <c r="CR246" s="432"/>
      <c r="CS246" s="420"/>
      <c r="CT246" s="420"/>
      <c r="CU246" s="420"/>
      <c r="CV246" s="420"/>
      <c r="CW246" s="420"/>
      <c r="CX246" s="419"/>
      <c r="CY246" s="419"/>
      <c r="CZ246" s="419"/>
      <c r="DA246" s="419"/>
      <c r="DB246" s="419"/>
      <c r="DC246" s="419"/>
      <c r="DD246" s="419"/>
      <c r="DE246" s="419"/>
      <c r="DF246" s="420"/>
      <c r="DG246" s="421"/>
      <c r="DH246" s="419"/>
      <c r="DI246" s="419"/>
      <c r="DJ246" s="419"/>
      <c r="DK246" s="420"/>
      <c r="DL246" s="422"/>
      <c r="DM246" s="420"/>
      <c r="DN246" s="420"/>
      <c r="DO246" s="420"/>
      <c r="DP246" s="420"/>
      <c r="DQ246" s="420"/>
      <c r="DR246" s="419"/>
      <c r="DS246" s="419"/>
      <c r="DT246" s="419"/>
      <c r="DU246" s="420"/>
      <c r="DV246" s="423"/>
      <c r="DW246" s="419"/>
      <c r="DX246" s="419"/>
      <c r="DY246" s="419"/>
      <c r="DZ246" s="420"/>
      <c r="EA246" s="423"/>
      <c r="EB246" s="419"/>
      <c r="EC246" s="419"/>
      <c r="ED246" s="420"/>
      <c r="EE246" s="419"/>
      <c r="EF246" s="420"/>
      <c r="EG246" s="419"/>
      <c r="EH246" s="419"/>
      <c r="EI246" s="419"/>
      <c r="EJ246" s="420"/>
      <c r="EK246" s="420"/>
      <c r="EL246" s="419"/>
      <c r="EN246" s="419"/>
      <c r="EO246" s="419"/>
      <c r="EP246" s="419"/>
      <c r="EQ246" s="419"/>
      <c r="ER246" s="419"/>
      <c r="ES246" s="419"/>
      <c r="ET246" s="419"/>
      <c r="EU246" s="419"/>
      <c r="EV246" s="419"/>
      <c r="EW246" s="419"/>
      <c r="EX246" s="419"/>
      <c r="EY246" s="419"/>
      <c r="EZ246" s="419"/>
      <c r="FA246" s="420"/>
      <c r="FB246" s="420"/>
      <c r="FC246" s="420"/>
      <c r="FD246" s="420"/>
      <c r="FE246" s="420"/>
      <c r="FF246" s="419"/>
      <c r="FG246" s="419"/>
      <c r="FH246" s="419"/>
      <c r="FI246" s="419"/>
      <c r="FJ246" s="419"/>
      <c r="FK246" s="419"/>
      <c r="FL246" s="419"/>
      <c r="FM246" s="419"/>
      <c r="FN246" s="420"/>
      <c r="FO246" s="423"/>
      <c r="FP246" s="431"/>
      <c r="FQ246" s="431"/>
      <c r="FR246" s="431"/>
      <c r="FS246" s="420"/>
      <c r="FT246" s="420"/>
      <c r="FU246" s="419"/>
      <c r="FV246" s="419"/>
      <c r="FW246" s="419"/>
      <c r="FX246" s="420"/>
      <c r="FY246" s="420"/>
      <c r="FZ246" s="419"/>
      <c r="GA246" s="419"/>
      <c r="GB246" s="419"/>
      <c r="GC246" s="420"/>
      <c r="GD246" s="420"/>
      <c r="GE246" s="419"/>
      <c r="GF246" s="419"/>
      <c r="GG246" s="419"/>
      <c r="GH246" s="420"/>
      <c r="GI246" s="423"/>
      <c r="GJ246" s="437"/>
      <c r="GK246" s="419"/>
      <c r="GL246" s="419"/>
      <c r="GM246" s="420"/>
      <c r="GN246" s="420"/>
      <c r="GO246" s="419"/>
      <c r="GP246" s="419"/>
      <c r="GQ246" s="419"/>
      <c r="GR246" s="420">
        <f t="shared" si="243"/>
        <v>0</v>
      </c>
      <c r="GS246" s="423">
        <f t="shared" si="239"/>
        <v>0</v>
      </c>
      <c r="GT246" s="419"/>
      <c r="GU246" s="419"/>
      <c r="GV246" s="419"/>
      <c r="GW246" s="420">
        <f t="shared" si="240"/>
        <v>0</v>
      </c>
      <c r="GX246" s="420">
        <f t="shared" si="241"/>
        <v>0</v>
      </c>
    </row>
    <row r="247" spans="1:206" ht="15">
      <c r="A247" s="414"/>
      <c r="B247" s="415" t="s">
        <v>596</v>
      </c>
      <c r="C247" s="698"/>
      <c r="D247" s="711"/>
      <c r="E247" s="434" t="s">
        <v>125</v>
      </c>
      <c r="F247" s="417">
        <v>0.06</v>
      </c>
      <c r="G247" s="418">
        <f t="shared" si="219"/>
        <v>255779.81</v>
      </c>
      <c r="H247" s="418">
        <f t="shared" si="220"/>
        <v>0</v>
      </c>
      <c r="I247" s="418">
        <f t="shared" si="220"/>
        <v>15346.79</v>
      </c>
      <c r="J247" s="418">
        <f t="shared" si="221"/>
        <v>255779.83333333299</v>
      </c>
      <c r="K247" s="418">
        <f t="shared" si="217"/>
        <v>255779.83333333299</v>
      </c>
      <c r="L247" s="418">
        <f t="shared" si="218"/>
        <v>2.3333333287155301E-2</v>
      </c>
      <c r="M247" s="424"/>
      <c r="N247" s="424"/>
      <c r="O247" s="424"/>
      <c r="P247" s="424"/>
      <c r="Q247" s="419"/>
      <c r="R247" s="419"/>
      <c r="S247" s="419"/>
      <c r="T247" s="420"/>
      <c r="U247" s="423"/>
      <c r="V247" s="420"/>
      <c r="W247" s="420"/>
      <c r="X247" s="419"/>
      <c r="Y247" s="419"/>
      <c r="Z247" s="423"/>
      <c r="AA247" s="423"/>
      <c r="AB247" s="419"/>
      <c r="AC247" s="423"/>
      <c r="AD247" s="420"/>
      <c r="AE247" s="423"/>
      <c r="AF247" s="444"/>
      <c r="AG247" s="419"/>
      <c r="AH247" s="420"/>
      <c r="AI247" s="420"/>
      <c r="AJ247" s="423"/>
      <c r="AK247" s="444"/>
      <c r="AL247" s="420"/>
      <c r="AM247" s="420"/>
      <c r="AN247" s="420"/>
      <c r="AO247" s="423"/>
      <c r="AP247" s="420"/>
      <c r="AQ247" s="419"/>
      <c r="AR247" s="420"/>
      <c r="AS247" s="420"/>
      <c r="AT247" s="420"/>
      <c r="AU247" s="420"/>
      <c r="AV247" s="420"/>
      <c r="AW247" s="420"/>
      <c r="AX247" s="426"/>
      <c r="AY247" s="420"/>
      <c r="AZ247" s="420"/>
      <c r="BA247" s="420"/>
      <c r="BB247" s="419"/>
      <c r="BC247" s="420"/>
      <c r="BD247" s="427"/>
      <c r="BE247" s="420"/>
      <c r="BF247" s="420"/>
      <c r="BG247" s="420"/>
      <c r="BH247" s="423"/>
      <c r="BI247" s="420"/>
      <c r="BJ247" s="420"/>
      <c r="BK247" s="420"/>
      <c r="BL247" s="420"/>
      <c r="BM247" s="420"/>
      <c r="BN247" s="420"/>
      <c r="BO247" s="419"/>
      <c r="BP247" s="428"/>
      <c r="BQ247" s="420"/>
      <c r="BR247" s="423"/>
      <c r="BS247" s="423"/>
      <c r="BT247" s="420"/>
      <c r="BU247" s="420"/>
      <c r="BV247" s="420"/>
      <c r="BW247" s="420"/>
      <c r="BX247" s="429"/>
      <c r="BY247" s="419"/>
      <c r="BZ247" s="419"/>
      <c r="CA247" s="419"/>
      <c r="CB247" s="420"/>
      <c r="CC247" s="430"/>
      <c r="CD247" s="419"/>
      <c r="CE247" s="419"/>
      <c r="CF247" s="419"/>
      <c r="CG247" s="420"/>
      <c r="CH247" s="423"/>
      <c r="CI247" s="432"/>
      <c r="CJ247" s="432"/>
      <c r="CK247" s="432"/>
      <c r="CL247" s="420"/>
      <c r="CM247" s="423"/>
      <c r="CN247" s="420"/>
      <c r="CO247" s="420"/>
      <c r="CP247" s="420"/>
      <c r="CQ247" s="432"/>
      <c r="CR247" s="432"/>
      <c r="CS247" s="420"/>
      <c r="CT247" s="420"/>
      <c r="CU247" s="420"/>
      <c r="CV247" s="420"/>
      <c r="CW247" s="420"/>
      <c r="CX247" s="419"/>
      <c r="CY247" s="419"/>
      <c r="CZ247" s="419"/>
      <c r="DA247" s="419"/>
      <c r="DB247" s="419"/>
      <c r="DC247" s="419"/>
      <c r="DD247" s="419"/>
      <c r="DE247" s="419"/>
      <c r="DF247" s="420"/>
      <c r="DG247" s="421"/>
      <c r="DH247" s="419"/>
      <c r="DI247" s="419"/>
      <c r="DJ247" s="419"/>
      <c r="DK247" s="420"/>
      <c r="DL247" s="422"/>
      <c r="DM247" s="420"/>
      <c r="DN247" s="420"/>
      <c r="DO247" s="420"/>
      <c r="DP247" s="420"/>
      <c r="DQ247" s="420"/>
      <c r="DR247" s="419"/>
      <c r="DS247" s="419"/>
      <c r="DT247" s="419"/>
      <c r="DU247" s="420"/>
      <c r="DV247" s="423"/>
      <c r="DW247" s="419"/>
      <c r="DX247" s="419"/>
      <c r="DY247" s="419"/>
      <c r="DZ247" s="420"/>
      <c r="EA247" s="423"/>
      <c r="EB247" s="419"/>
      <c r="EC247" s="419"/>
      <c r="ED247" s="420"/>
      <c r="EE247" s="419"/>
      <c r="EF247" s="420"/>
      <c r="EG247" s="419"/>
      <c r="EH247" s="419"/>
      <c r="EI247" s="419"/>
      <c r="EJ247" s="420"/>
      <c r="EK247" s="420"/>
      <c r="EL247" s="419"/>
      <c r="EN247" s="419"/>
      <c r="EO247" s="419"/>
      <c r="EP247" s="419"/>
      <c r="EQ247" s="419"/>
      <c r="ER247" s="419"/>
      <c r="ES247" s="419"/>
      <c r="ET247" s="419"/>
      <c r="EU247" s="419"/>
      <c r="EV247" s="419"/>
      <c r="EW247" s="419"/>
      <c r="EX247" s="419"/>
      <c r="EY247" s="419"/>
      <c r="EZ247" s="419"/>
      <c r="FA247" s="420"/>
      <c r="FB247" s="420"/>
      <c r="FC247" s="420"/>
      <c r="FD247" s="420"/>
      <c r="FE247" s="420"/>
      <c r="FF247" s="419"/>
      <c r="FG247" s="419"/>
      <c r="FH247" s="419"/>
      <c r="FI247" s="419"/>
      <c r="FJ247" s="419"/>
      <c r="FK247" s="419"/>
      <c r="FL247" s="419"/>
      <c r="FM247" s="419"/>
      <c r="FN247" s="420"/>
      <c r="FO247" s="423"/>
      <c r="FP247" s="431"/>
      <c r="FQ247" s="431"/>
      <c r="FR247" s="431"/>
      <c r="FS247" s="420"/>
      <c r="FT247" s="420"/>
      <c r="FU247" s="419"/>
      <c r="FV247" s="419"/>
      <c r="FW247" s="419"/>
      <c r="FX247" s="420"/>
      <c r="FY247" s="420"/>
      <c r="FZ247" s="419"/>
      <c r="GA247" s="419"/>
      <c r="GB247" s="419"/>
      <c r="GC247" s="420"/>
      <c r="GD247" s="420"/>
      <c r="GE247" s="419"/>
      <c r="GF247" s="419"/>
      <c r="GG247" s="419"/>
      <c r="GH247" s="420"/>
      <c r="GI247" s="423"/>
      <c r="GJ247" s="437"/>
      <c r="GK247" s="419"/>
      <c r="GL247" s="419"/>
      <c r="GM247" s="420"/>
      <c r="GN247" s="420"/>
      <c r="GO247" s="419">
        <v>711562.98</v>
      </c>
      <c r="GP247" s="419"/>
      <c r="GQ247" s="419">
        <v>42693.78</v>
      </c>
      <c r="GR247" s="420">
        <f t="shared" si="243"/>
        <v>711563</v>
      </c>
      <c r="GS247" s="423">
        <f t="shared" si="239"/>
        <v>2.00000000186265E-2</v>
      </c>
      <c r="GT247" s="419">
        <v>-455783.17</v>
      </c>
      <c r="GU247" s="419"/>
      <c r="GV247" s="419">
        <v>-27346.99</v>
      </c>
      <c r="GW247" s="420">
        <f t="shared" si="240"/>
        <v>-455783.17</v>
      </c>
      <c r="GX247" s="420">
        <f t="shared" si="241"/>
        <v>0</v>
      </c>
    </row>
    <row r="248" spans="1:206" ht="15">
      <c r="A248" s="414"/>
      <c r="B248" s="415" t="s">
        <v>595</v>
      </c>
      <c r="C248" s="698"/>
      <c r="D248" s="711" t="s">
        <v>156</v>
      </c>
      <c r="E248" s="434" t="s">
        <v>123</v>
      </c>
      <c r="F248" s="417">
        <v>0.13</v>
      </c>
      <c r="G248" s="418">
        <f t="shared" si="219"/>
        <v>0</v>
      </c>
      <c r="H248" s="418">
        <f t="shared" si="220"/>
        <v>0</v>
      </c>
      <c r="I248" s="418">
        <f t="shared" si="220"/>
        <v>0</v>
      </c>
      <c r="J248" s="418">
        <f t="shared" si="221"/>
        <v>0</v>
      </c>
      <c r="K248" s="418">
        <f t="shared" si="217"/>
        <v>0</v>
      </c>
      <c r="L248" s="418">
        <f t="shared" si="218"/>
        <v>0</v>
      </c>
      <c r="M248" s="424"/>
      <c r="N248" s="424"/>
      <c r="O248" s="424"/>
      <c r="P248" s="424"/>
      <c r="Q248" s="419"/>
      <c r="R248" s="419"/>
      <c r="S248" s="419"/>
      <c r="T248" s="420"/>
      <c r="U248" s="423"/>
      <c r="V248" s="420"/>
      <c r="W248" s="420"/>
      <c r="X248" s="419"/>
      <c r="Y248" s="419"/>
      <c r="Z248" s="423"/>
      <c r="AA248" s="423"/>
      <c r="AB248" s="419"/>
      <c r="AC248" s="423"/>
      <c r="AD248" s="420"/>
      <c r="AE248" s="423"/>
      <c r="AF248" s="444"/>
      <c r="AG248" s="419"/>
      <c r="AH248" s="420"/>
      <c r="AI248" s="420"/>
      <c r="AJ248" s="423"/>
      <c r="AK248" s="444"/>
      <c r="AL248" s="420"/>
      <c r="AM248" s="420"/>
      <c r="AN248" s="420"/>
      <c r="AO248" s="423"/>
      <c r="AP248" s="420"/>
      <c r="AQ248" s="419"/>
      <c r="AR248" s="420"/>
      <c r="AS248" s="420"/>
      <c r="AT248" s="420"/>
      <c r="AU248" s="420"/>
      <c r="AV248" s="420"/>
      <c r="AW248" s="420"/>
      <c r="AX248" s="426"/>
      <c r="AY248" s="420"/>
      <c r="AZ248" s="420"/>
      <c r="BA248" s="420"/>
      <c r="BB248" s="419"/>
      <c r="BC248" s="420"/>
      <c r="BD248" s="427"/>
      <c r="BE248" s="420"/>
      <c r="BF248" s="420"/>
      <c r="BG248" s="420"/>
      <c r="BH248" s="423"/>
      <c r="BI248" s="420"/>
      <c r="BJ248" s="420"/>
      <c r="BK248" s="420"/>
      <c r="BL248" s="420"/>
      <c r="BM248" s="420"/>
      <c r="BN248" s="420"/>
      <c r="BO248" s="419"/>
      <c r="BP248" s="428"/>
      <c r="BQ248" s="420"/>
      <c r="BR248" s="423"/>
      <c r="BS248" s="423"/>
      <c r="BT248" s="420"/>
      <c r="BU248" s="420"/>
      <c r="BV248" s="420"/>
      <c r="BW248" s="420"/>
      <c r="BX248" s="429"/>
      <c r="BY248" s="419"/>
      <c r="BZ248" s="419"/>
      <c r="CA248" s="419"/>
      <c r="CB248" s="420"/>
      <c r="CC248" s="430"/>
      <c r="CD248" s="419"/>
      <c r="CE248" s="419"/>
      <c r="CF248" s="419"/>
      <c r="CG248" s="420"/>
      <c r="CH248" s="423"/>
      <c r="CI248" s="432"/>
      <c r="CJ248" s="432"/>
      <c r="CK248" s="432"/>
      <c r="CL248" s="420"/>
      <c r="CM248" s="423"/>
      <c r="CN248" s="420"/>
      <c r="CO248" s="420"/>
      <c r="CP248" s="420"/>
      <c r="CQ248" s="432"/>
      <c r="CR248" s="432"/>
      <c r="CS248" s="420"/>
      <c r="CT248" s="420"/>
      <c r="CU248" s="420"/>
      <c r="CV248" s="420"/>
      <c r="CW248" s="420"/>
      <c r="CX248" s="419"/>
      <c r="CY248" s="419"/>
      <c r="CZ248" s="419"/>
      <c r="DA248" s="419"/>
      <c r="DB248" s="419"/>
      <c r="DC248" s="419"/>
      <c r="DD248" s="419"/>
      <c r="DE248" s="419"/>
      <c r="DF248" s="420"/>
      <c r="DG248" s="421"/>
      <c r="DH248" s="419"/>
      <c r="DI248" s="419"/>
      <c r="DJ248" s="419"/>
      <c r="DK248" s="420"/>
      <c r="DL248" s="422"/>
      <c r="DM248" s="420"/>
      <c r="DN248" s="420"/>
      <c r="DO248" s="420"/>
      <c r="DP248" s="420"/>
      <c r="DQ248" s="420"/>
      <c r="DR248" s="419"/>
      <c r="DS248" s="419"/>
      <c r="DT248" s="419"/>
      <c r="DU248" s="420"/>
      <c r="DV248" s="423"/>
      <c r="DW248" s="419"/>
      <c r="DX248" s="419"/>
      <c r="DY248" s="419"/>
      <c r="DZ248" s="420"/>
      <c r="EA248" s="423"/>
      <c r="EB248" s="419"/>
      <c r="EC248" s="419"/>
      <c r="ED248" s="420"/>
      <c r="EE248" s="419"/>
      <c r="EF248" s="420"/>
      <c r="EG248" s="419"/>
      <c r="EH248" s="419"/>
      <c r="EI248" s="419"/>
      <c r="EJ248" s="420"/>
      <c r="EK248" s="420"/>
      <c r="EL248" s="419"/>
      <c r="EN248" s="419"/>
      <c r="EO248" s="419"/>
      <c r="EP248" s="419"/>
      <c r="EQ248" s="419"/>
      <c r="ER248" s="419"/>
      <c r="ES248" s="419"/>
      <c r="ET248" s="419"/>
      <c r="EU248" s="419"/>
      <c r="EV248" s="419"/>
      <c r="EW248" s="419"/>
      <c r="EX248" s="419"/>
      <c r="EY248" s="419"/>
      <c r="EZ248" s="419"/>
      <c r="FA248" s="420"/>
      <c r="FB248" s="420"/>
      <c r="FC248" s="420"/>
      <c r="FD248" s="420"/>
      <c r="FE248" s="420"/>
      <c r="FF248" s="419"/>
      <c r="FG248" s="419"/>
      <c r="FH248" s="419"/>
      <c r="FI248" s="419"/>
      <c r="FJ248" s="419"/>
      <c r="FK248" s="419"/>
      <c r="FL248" s="419"/>
      <c r="FM248" s="419"/>
      <c r="FN248" s="420"/>
      <c r="FO248" s="423"/>
      <c r="FP248" s="431"/>
      <c r="FQ248" s="431"/>
      <c r="FR248" s="431"/>
      <c r="FS248" s="420"/>
      <c r="FT248" s="420"/>
      <c r="FU248" s="419"/>
      <c r="FV248" s="419"/>
      <c r="FW248" s="419"/>
      <c r="FX248" s="420"/>
      <c r="FY248" s="420"/>
      <c r="FZ248" s="419"/>
      <c r="GA248" s="419"/>
      <c r="GB248" s="419"/>
      <c r="GC248" s="420"/>
      <c r="GD248" s="420"/>
      <c r="GE248" s="419"/>
      <c r="GF248" s="419"/>
      <c r="GG248" s="419"/>
      <c r="GH248" s="420"/>
      <c r="GI248" s="423"/>
      <c r="GJ248" s="437"/>
      <c r="GK248" s="419"/>
      <c r="GL248" s="419"/>
      <c r="GM248" s="420"/>
      <c r="GN248" s="420"/>
      <c r="GO248" s="419"/>
      <c r="GP248" s="419"/>
      <c r="GQ248" s="419"/>
      <c r="GR248" s="420">
        <f t="shared" si="243"/>
        <v>0</v>
      </c>
      <c r="GS248" s="423">
        <f t="shared" si="239"/>
        <v>0</v>
      </c>
      <c r="GT248" s="419"/>
      <c r="GU248" s="419"/>
      <c r="GV248" s="419"/>
      <c r="GW248" s="420">
        <f t="shared" si="240"/>
        <v>0</v>
      </c>
      <c r="GX248" s="420">
        <f t="shared" si="241"/>
        <v>0</v>
      </c>
    </row>
    <row r="249" spans="1:206" ht="15">
      <c r="A249" s="414"/>
      <c r="B249" s="415" t="s">
        <v>595</v>
      </c>
      <c r="C249" s="698"/>
      <c r="D249" s="711"/>
      <c r="E249" s="434" t="s">
        <v>124</v>
      </c>
      <c r="F249" s="417">
        <v>0.09</v>
      </c>
      <c r="G249" s="418">
        <f t="shared" si="219"/>
        <v>0</v>
      </c>
      <c r="H249" s="418">
        <f t="shared" si="220"/>
        <v>0</v>
      </c>
      <c r="I249" s="418">
        <f t="shared" si="220"/>
        <v>0</v>
      </c>
      <c r="J249" s="418">
        <f t="shared" si="221"/>
        <v>0</v>
      </c>
      <c r="K249" s="418">
        <f t="shared" si="217"/>
        <v>0</v>
      </c>
      <c r="L249" s="418">
        <f t="shared" si="218"/>
        <v>0</v>
      </c>
      <c r="M249" s="424"/>
      <c r="N249" s="424"/>
      <c r="O249" s="424"/>
      <c r="P249" s="424"/>
      <c r="Q249" s="419"/>
      <c r="R249" s="419"/>
      <c r="S249" s="419"/>
      <c r="T249" s="420"/>
      <c r="U249" s="423"/>
      <c r="V249" s="420"/>
      <c r="W249" s="420"/>
      <c r="X249" s="419"/>
      <c r="Y249" s="419"/>
      <c r="Z249" s="423"/>
      <c r="AA249" s="423"/>
      <c r="AB249" s="419"/>
      <c r="AC249" s="423"/>
      <c r="AD249" s="420"/>
      <c r="AE249" s="423"/>
      <c r="AF249" s="444"/>
      <c r="AG249" s="419"/>
      <c r="AH249" s="420"/>
      <c r="AI249" s="420"/>
      <c r="AJ249" s="423"/>
      <c r="AK249" s="444"/>
      <c r="AL249" s="420"/>
      <c r="AM249" s="420"/>
      <c r="AN249" s="420"/>
      <c r="AO249" s="423"/>
      <c r="AP249" s="420"/>
      <c r="AQ249" s="419"/>
      <c r="AR249" s="420"/>
      <c r="AS249" s="420"/>
      <c r="AT249" s="420"/>
      <c r="AU249" s="420"/>
      <c r="AV249" s="420"/>
      <c r="AW249" s="420"/>
      <c r="AX249" s="426"/>
      <c r="AY249" s="420"/>
      <c r="AZ249" s="420"/>
      <c r="BA249" s="420"/>
      <c r="BB249" s="419"/>
      <c r="BC249" s="420"/>
      <c r="BD249" s="427"/>
      <c r="BE249" s="420"/>
      <c r="BF249" s="420"/>
      <c r="BG249" s="420"/>
      <c r="BH249" s="423"/>
      <c r="BI249" s="420"/>
      <c r="BJ249" s="420"/>
      <c r="BK249" s="420"/>
      <c r="BL249" s="420"/>
      <c r="BM249" s="420"/>
      <c r="BN249" s="420"/>
      <c r="BO249" s="419"/>
      <c r="BP249" s="428"/>
      <c r="BQ249" s="420"/>
      <c r="BR249" s="423"/>
      <c r="BS249" s="423"/>
      <c r="BT249" s="420"/>
      <c r="BU249" s="420"/>
      <c r="BV249" s="420"/>
      <c r="BW249" s="420"/>
      <c r="BX249" s="429"/>
      <c r="BY249" s="419"/>
      <c r="BZ249" s="419"/>
      <c r="CA249" s="419"/>
      <c r="CB249" s="420"/>
      <c r="CC249" s="430"/>
      <c r="CD249" s="419"/>
      <c r="CE249" s="419"/>
      <c r="CF249" s="419"/>
      <c r="CG249" s="420"/>
      <c r="CH249" s="423"/>
      <c r="CI249" s="432"/>
      <c r="CJ249" s="432"/>
      <c r="CK249" s="432"/>
      <c r="CL249" s="420"/>
      <c r="CM249" s="423"/>
      <c r="CN249" s="420"/>
      <c r="CO249" s="420"/>
      <c r="CP249" s="420"/>
      <c r="CQ249" s="432"/>
      <c r="CR249" s="432"/>
      <c r="CS249" s="420"/>
      <c r="CT249" s="420"/>
      <c r="CU249" s="420"/>
      <c r="CV249" s="420"/>
      <c r="CW249" s="420"/>
      <c r="CX249" s="419"/>
      <c r="CY249" s="419"/>
      <c r="CZ249" s="419"/>
      <c r="DA249" s="419"/>
      <c r="DB249" s="419"/>
      <c r="DC249" s="419"/>
      <c r="DD249" s="419"/>
      <c r="DE249" s="419"/>
      <c r="DF249" s="420"/>
      <c r="DG249" s="421"/>
      <c r="DH249" s="419"/>
      <c r="DI249" s="419"/>
      <c r="DJ249" s="419"/>
      <c r="DK249" s="420"/>
      <c r="DL249" s="422"/>
      <c r="DM249" s="420"/>
      <c r="DN249" s="420"/>
      <c r="DO249" s="420"/>
      <c r="DP249" s="420"/>
      <c r="DQ249" s="420"/>
      <c r="DR249" s="419"/>
      <c r="DS249" s="419"/>
      <c r="DT249" s="419"/>
      <c r="DU249" s="420"/>
      <c r="DV249" s="423"/>
      <c r="DW249" s="419"/>
      <c r="DX249" s="419"/>
      <c r="DY249" s="419"/>
      <c r="DZ249" s="420"/>
      <c r="EA249" s="423"/>
      <c r="EB249" s="419"/>
      <c r="EC249" s="419"/>
      <c r="ED249" s="420"/>
      <c r="EE249" s="419"/>
      <c r="EF249" s="420"/>
      <c r="EG249" s="419"/>
      <c r="EH249" s="419"/>
      <c r="EI249" s="419"/>
      <c r="EJ249" s="420"/>
      <c r="EK249" s="420"/>
      <c r="EL249" s="419"/>
      <c r="EN249" s="419"/>
      <c r="EO249" s="419"/>
      <c r="EP249" s="419"/>
      <c r="EQ249" s="419"/>
      <c r="ER249" s="419"/>
      <c r="ES249" s="419"/>
      <c r="ET249" s="419"/>
      <c r="EU249" s="419"/>
      <c r="EV249" s="419"/>
      <c r="EW249" s="419"/>
      <c r="EX249" s="419"/>
      <c r="EY249" s="419"/>
      <c r="EZ249" s="419"/>
      <c r="FA249" s="420"/>
      <c r="FB249" s="420"/>
      <c r="FC249" s="420"/>
      <c r="FD249" s="420"/>
      <c r="FE249" s="420"/>
      <c r="FF249" s="419"/>
      <c r="FG249" s="419"/>
      <c r="FH249" s="419"/>
      <c r="FI249" s="419"/>
      <c r="FJ249" s="419"/>
      <c r="FK249" s="419"/>
      <c r="FL249" s="419"/>
      <c r="FM249" s="419"/>
      <c r="FN249" s="420"/>
      <c r="FO249" s="423"/>
      <c r="FP249" s="431"/>
      <c r="FQ249" s="431"/>
      <c r="FR249" s="431"/>
      <c r="FS249" s="420"/>
      <c r="FT249" s="420"/>
      <c r="FU249" s="419"/>
      <c r="FV249" s="419"/>
      <c r="FW249" s="419"/>
      <c r="FX249" s="420"/>
      <c r="FY249" s="420"/>
      <c r="FZ249" s="419"/>
      <c r="GA249" s="419"/>
      <c r="GB249" s="419"/>
      <c r="GC249" s="420"/>
      <c r="GD249" s="420"/>
      <c r="GE249" s="419"/>
      <c r="GF249" s="419"/>
      <c r="GG249" s="419"/>
      <c r="GH249" s="420"/>
      <c r="GI249" s="423"/>
      <c r="GJ249" s="437"/>
      <c r="GK249" s="419"/>
      <c r="GL249" s="419"/>
      <c r="GM249" s="420"/>
      <c r="GN249" s="420"/>
      <c r="GO249" s="419"/>
      <c r="GP249" s="419"/>
      <c r="GQ249" s="419"/>
      <c r="GR249" s="420">
        <f t="shared" si="243"/>
        <v>0</v>
      </c>
      <c r="GS249" s="423">
        <f t="shared" si="239"/>
        <v>0</v>
      </c>
      <c r="GT249" s="419"/>
      <c r="GU249" s="419"/>
      <c r="GV249" s="419"/>
      <c r="GW249" s="420">
        <f t="shared" si="240"/>
        <v>0</v>
      </c>
      <c r="GX249" s="420">
        <f t="shared" si="241"/>
        <v>0</v>
      </c>
    </row>
    <row r="250" spans="1:206" ht="15">
      <c r="A250" s="414"/>
      <c r="B250" s="415" t="s">
        <v>596</v>
      </c>
      <c r="C250" s="698"/>
      <c r="D250" s="711"/>
      <c r="E250" s="434" t="s">
        <v>125</v>
      </c>
      <c r="F250" s="417">
        <v>0.06</v>
      </c>
      <c r="G250" s="418">
        <f t="shared" si="219"/>
        <v>255779.81</v>
      </c>
      <c r="H250" s="418">
        <f t="shared" si="220"/>
        <v>0</v>
      </c>
      <c r="I250" s="418">
        <f t="shared" si="220"/>
        <v>15346.79</v>
      </c>
      <c r="J250" s="418">
        <f t="shared" si="221"/>
        <v>255779.83333333299</v>
      </c>
      <c r="K250" s="418">
        <f t="shared" si="217"/>
        <v>255779.83333333299</v>
      </c>
      <c r="L250" s="418">
        <f t="shared" si="218"/>
        <v>2.3333333403570598E-2</v>
      </c>
      <c r="M250" s="424"/>
      <c r="N250" s="424"/>
      <c r="O250" s="424"/>
      <c r="P250" s="424"/>
      <c r="Q250" s="419"/>
      <c r="R250" s="419"/>
      <c r="S250" s="419"/>
      <c r="T250" s="420"/>
      <c r="U250" s="423"/>
      <c r="V250" s="420"/>
      <c r="W250" s="420"/>
      <c r="X250" s="419"/>
      <c r="Y250" s="419"/>
      <c r="Z250" s="423"/>
      <c r="AA250" s="423"/>
      <c r="AB250" s="419"/>
      <c r="AC250" s="423"/>
      <c r="AD250" s="420"/>
      <c r="AE250" s="423"/>
      <c r="AF250" s="444"/>
      <c r="AG250" s="419"/>
      <c r="AH250" s="420"/>
      <c r="AI250" s="420"/>
      <c r="AJ250" s="423"/>
      <c r="AK250" s="444"/>
      <c r="AL250" s="420"/>
      <c r="AM250" s="420"/>
      <c r="AN250" s="420"/>
      <c r="AO250" s="423"/>
      <c r="AP250" s="420"/>
      <c r="AQ250" s="419"/>
      <c r="AR250" s="420"/>
      <c r="AS250" s="420"/>
      <c r="AT250" s="420"/>
      <c r="AU250" s="420"/>
      <c r="AV250" s="420"/>
      <c r="AW250" s="420"/>
      <c r="AX250" s="426"/>
      <c r="AY250" s="420"/>
      <c r="AZ250" s="420"/>
      <c r="BA250" s="420"/>
      <c r="BB250" s="419"/>
      <c r="BC250" s="420"/>
      <c r="BD250" s="427"/>
      <c r="BE250" s="420"/>
      <c r="BF250" s="420"/>
      <c r="BG250" s="420"/>
      <c r="BH250" s="423"/>
      <c r="BI250" s="420"/>
      <c r="BJ250" s="420"/>
      <c r="BK250" s="420"/>
      <c r="BL250" s="420"/>
      <c r="BM250" s="420"/>
      <c r="BN250" s="420"/>
      <c r="BO250" s="419"/>
      <c r="BP250" s="428"/>
      <c r="BQ250" s="420"/>
      <c r="BR250" s="423"/>
      <c r="BS250" s="423"/>
      <c r="BT250" s="420"/>
      <c r="BU250" s="420"/>
      <c r="BV250" s="420"/>
      <c r="BW250" s="420"/>
      <c r="BX250" s="429"/>
      <c r="BY250" s="419"/>
      <c r="BZ250" s="419"/>
      <c r="CA250" s="419"/>
      <c r="CB250" s="420"/>
      <c r="CC250" s="430"/>
      <c r="CD250" s="419"/>
      <c r="CE250" s="419"/>
      <c r="CF250" s="419"/>
      <c r="CG250" s="420"/>
      <c r="CH250" s="423"/>
      <c r="CI250" s="432"/>
      <c r="CJ250" s="432"/>
      <c r="CK250" s="432"/>
      <c r="CL250" s="420"/>
      <c r="CM250" s="423"/>
      <c r="CN250" s="420"/>
      <c r="CO250" s="420"/>
      <c r="CP250" s="420"/>
      <c r="CQ250" s="432"/>
      <c r="CR250" s="432"/>
      <c r="CS250" s="420"/>
      <c r="CT250" s="420"/>
      <c r="CU250" s="420"/>
      <c r="CV250" s="420"/>
      <c r="CW250" s="420"/>
      <c r="CX250" s="419"/>
      <c r="CY250" s="419"/>
      <c r="CZ250" s="419"/>
      <c r="DA250" s="419"/>
      <c r="DB250" s="419"/>
      <c r="DC250" s="419"/>
      <c r="DD250" s="419"/>
      <c r="DE250" s="419"/>
      <c r="DF250" s="420"/>
      <c r="DG250" s="421"/>
      <c r="DH250" s="419"/>
      <c r="DI250" s="419"/>
      <c r="DJ250" s="419"/>
      <c r="DK250" s="420"/>
      <c r="DL250" s="422"/>
      <c r="DM250" s="420"/>
      <c r="DN250" s="420"/>
      <c r="DO250" s="420"/>
      <c r="DP250" s="420"/>
      <c r="DQ250" s="420"/>
      <c r="DR250" s="419"/>
      <c r="DS250" s="419"/>
      <c r="DT250" s="419"/>
      <c r="DU250" s="420"/>
      <c r="DV250" s="423"/>
      <c r="DW250" s="419"/>
      <c r="DX250" s="419"/>
      <c r="DY250" s="419"/>
      <c r="DZ250" s="420"/>
      <c r="EA250" s="423"/>
      <c r="EB250" s="419"/>
      <c r="EC250" s="419"/>
      <c r="ED250" s="420"/>
      <c r="EE250" s="419"/>
      <c r="EF250" s="420"/>
      <c r="EG250" s="419"/>
      <c r="EH250" s="419"/>
      <c r="EI250" s="419"/>
      <c r="EJ250" s="420"/>
      <c r="EK250" s="420"/>
      <c r="EL250" s="419"/>
      <c r="EN250" s="419"/>
      <c r="EO250" s="419"/>
      <c r="EP250" s="419"/>
      <c r="EQ250" s="419"/>
      <c r="ER250" s="419"/>
      <c r="ES250" s="419"/>
      <c r="ET250" s="419"/>
      <c r="EU250" s="419"/>
      <c r="EV250" s="419"/>
      <c r="EW250" s="419"/>
      <c r="EX250" s="419"/>
      <c r="EY250" s="419"/>
      <c r="EZ250" s="419"/>
      <c r="FA250" s="420"/>
      <c r="FB250" s="420"/>
      <c r="FC250" s="420"/>
      <c r="FD250" s="420"/>
      <c r="FE250" s="420"/>
      <c r="FF250" s="419"/>
      <c r="FG250" s="419"/>
      <c r="FH250" s="419"/>
      <c r="FI250" s="419"/>
      <c r="FJ250" s="419"/>
      <c r="FK250" s="419"/>
      <c r="FL250" s="419"/>
      <c r="FM250" s="419"/>
      <c r="FN250" s="420"/>
      <c r="FO250" s="423"/>
      <c r="FP250" s="431"/>
      <c r="FQ250" s="431"/>
      <c r="FR250" s="431"/>
      <c r="FS250" s="420"/>
      <c r="FT250" s="420"/>
      <c r="FU250" s="419"/>
      <c r="FV250" s="419"/>
      <c r="FW250" s="419"/>
      <c r="FX250" s="420"/>
      <c r="FY250" s="420"/>
      <c r="FZ250" s="419"/>
      <c r="GA250" s="419"/>
      <c r="GB250" s="419"/>
      <c r="GC250" s="420"/>
      <c r="GD250" s="420"/>
      <c r="GE250" s="419"/>
      <c r="GF250" s="419"/>
      <c r="GG250" s="419"/>
      <c r="GH250" s="420"/>
      <c r="GI250" s="423"/>
      <c r="GJ250" s="437"/>
      <c r="GK250" s="419"/>
      <c r="GL250" s="419"/>
      <c r="GM250" s="420"/>
      <c r="GN250" s="420"/>
      <c r="GO250" s="419">
        <v>683575.34</v>
      </c>
      <c r="GP250" s="419"/>
      <c r="GQ250" s="419">
        <v>41014.51</v>
      </c>
      <c r="GR250" s="420">
        <f t="shared" si="243"/>
        <v>683575.16666666698</v>
      </c>
      <c r="GS250" s="423">
        <f t="shared" si="239"/>
        <v>-0.173333333223127</v>
      </c>
      <c r="GT250" s="419">
        <v>-427795.53</v>
      </c>
      <c r="GU250" s="419"/>
      <c r="GV250" s="419">
        <v>-25667.72</v>
      </c>
      <c r="GW250" s="420">
        <f t="shared" si="240"/>
        <v>-427795.33</v>
      </c>
      <c r="GX250" s="420">
        <f t="shared" si="241"/>
        <v>0.200000000011642</v>
      </c>
    </row>
    <row r="251" spans="1:206" ht="15">
      <c r="A251" s="414"/>
      <c r="B251" s="415" t="s">
        <v>597</v>
      </c>
      <c r="C251" s="698"/>
      <c r="D251" s="711" t="s">
        <v>157</v>
      </c>
      <c r="E251" s="434" t="s">
        <v>123</v>
      </c>
      <c r="F251" s="417">
        <v>0.13</v>
      </c>
      <c r="G251" s="418">
        <f t="shared" si="219"/>
        <v>0</v>
      </c>
      <c r="H251" s="418">
        <f t="shared" si="220"/>
        <v>0</v>
      </c>
      <c r="I251" s="418">
        <f t="shared" si="220"/>
        <v>0</v>
      </c>
      <c r="J251" s="418">
        <f t="shared" si="221"/>
        <v>0</v>
      </c>
      <c r="K251" s="418">
        <f t="shared" si="217"/>
        <v>0</v>
      </c>
      <c r="L251" s="418">
        <f t="shared" si="218"/>
        <v>0</v>
      </c>
      <c r="M251" s="424"/>
      <c r="N251" s="424"/>
      <c r="O251" s="424"/>
      <c r="P251" s="424"/>
      <c r="Q251" s="419"/>
      <c r="R251" s="419"/>
      <c r="S251" s="419"/>
      <c r="T251" s="420"/>
      <c r="U251" s="423"/>
      <c r="V251" s="420"/>
      <c r="W251" s="420"/>
      <c r="X251" s="419"/>
      <c r="Y251" s="419"/>
      <c r="Z251" s="423"/>
      <c r="AA251" s="423"/>
      <c r="AB251" s="419"/>
      <c r="AC251" s="423"/>
      <c r="AD251" s="420"/>
      <c r="AE251" s="423"/>
      <c r="AF251" s="444"/>
      <c r="AG251" s="419"/>
      <c r="AH251" s="420"/>
      <c r="AI251" s="420"/>
      <c r="AJ251" s="423"/>
      <c r="AK251" s="444"/>
      <c r="AL251" s="420"/>
      <c r="AM251" s="420"/>
      <c r="AN251" s="420"/>
      <c r="AO251" s="423"/>
      <c r="AP251" s="420"/>
      <c r="AQ251" s="419"/>
      <c r="AR251" s="420"/>
      <c r="AS251" s="420"/>
      <c r="AT251" s="420"/>
      <c r="AU251" s="420"/>
      <c r="AV251" s="420"/>
      <c r="AW251" s="420"/>
      <c r="AX251" s="426"/>
      <c r="AY251" s="420"/>
      <c r="AZ251" s="420"/>
      <c r="BA251" s="420"/>
      <c r="BB251" s="419"/>
      <c r="BC251" s="420"/>
      <c r="BD251" s="427"/>
      <c r="BE251" s="420"/>
      <c r="BF251" s="420"/>
      <c r="BG251" s="420"/>
      <c r="BH251" s="423"/>
      <c r="BI251" s="420"/>
      <c r="BJ251" s="420"/>
      <c r="BK251" s="420"/>
      <c r="BL251" s="420"/>
      <c r="BM251" s="420"/>
      <c r="BN251" s="420"/>
      <c r="BO251" s="419"/>
      <c r="BP251" s="428"/>
      <c r="BQ251" s="420"/>
      <c r="BR251" s="423"/>
      <c r="BS251" s="423"/>
      <c r="BT251" s="420"/>
      <c r="BU251" s="420"/>
      <c r="BV251" s="420"/>
      <c r="BW251" s="420"/>
      <c r="BX251" s="429"/>
      <c r="BY251" s="419"/>
      <c r="BZ251" s="419"/>
      <c r="CA251" s="419"/>
      <c r="CB251" s="420"/>
      <c r="CC251" s="430"/>
      <c r="CD251" s="419"/>
      <c r="CE251" s="419"/>
      <c r="CF251" s="419"/>
      <c r="CG251" s="420"/>
      <c r="CH251" s="423"/>
      <c r="CI251" s="432"/>
      <c r="CJ251" s="432"/>
      <c r="CK251" s="432"/>
      <c r="CL251" s="420"/>
      <c r="CM251" s="423"/>
      <c r="CN251" s="420"/>
      <c r="CO251" s="420"/>
      <c r="CP251" s="420"/>
      <c r="CQ251" s="432"/>
      <c r="CR251" s="432"/>
      <c r="CS251" s="420"/>
      <c r="CT251" s="420"/>
      <c r="CU251" s="420"/>
      <c r="CV251" s="420"/>
      <c r="CW251" s="420"/>
      <c r="CX251" s="419"/>
      <c r="CY251" s="419"/>
      <c r="CZ251" s="419"/>
      <c r="DA251" s="419"/>
      <c r="DB251" s="419"/>
      <c r="DC251" s="419"/>
      <c r="DD251" s="419"/>
      <c r="DE251" s="419"/>
      <c r="DF251" s="420"/>
      <c r="DG251" s="421"/>
      <c r="DH251" s="419"/>
      <c r="DI251" s="419"/>
      <c r="DJ251" s="419"/>
      <c r="DK251" s="420"/>
      <c r="DL251" s="422"/>
      <c r="DM251" s="420"/>
      <c r="DN251" s="420"/>
      <c r="DO251" s="420"/>
      <c r="DP251" s="420"/>
      <c r="DQ251" s="420"/>
      <c r="DR251" s="419"/>
      <c r="DS251" s="419"/>
      <c r="DT251" s="419"/>
      <c r="DU251" s="420"/>
      <c r="DV251" s="423"/>
      <c r="DW251" s="419"/>
      <c r="DX251" s="419"/>
      <c r="DY251" s="419"/>
      <c r="DZ251" s="420"/>
      <c r="EA251" s="423"/>
      <c r="EB251" s="419"/>
      <c r="EC251" s="419"/>
      <c r="ED251" s="420"/>
      <c r="EE251" s="419"/>
      <c r="EF251" s="420"/>
      <c r="EG251" s="419"/>
      <c r="EH251" s="419"/>
      <c r="EI251" s="419"/>
      <c r="EJ251" s="420"/>
      <c r="EK251" s="420"/>
      <c r="EL251" s="419"/>
      <c r="EN251" s="419"/>
      <c r="EO251" s="419"/>
      <c r="EP251" s="419"/>
      <c r="EQ251" s="419"/>
      <c r="ER251" s="419"/>
      <c r="ES251" s="419"/>
      <c r="ET251" s="419"/>
      <c r="EU251" s="419"/>
      <c r="EV251" s="419"/>
      <c r="EW251" s="419"/>
      <c r="EX251" s="419"/>
      <c r="EY251" s="419"/>
      <c r="EZ251" s="419"/>
      <c r="FA251" s="420"/>
      <c r="FB251" s="420"/>
      <c r="FC251" s="420"/>
      <c r="FD251" s="420"/>
      <c r="FE251" s="420"/>
      <c r="FF251" s="419"/>
      <c r="FG251" s="419"/>
      <c r="FH251" s="419"/>
      <c r="FI251" s="419"/>
      <c r="FJ251" s="419"/>
      <c r="FK251" s="419"/>
      <c r="FL251" s="419"/>
      <c r="FM251" s="419"/>
      <c r="FN251" s="420"/>
      <c r="FO251" s="423"/>
      <c r="FP251" s="431"/>
      <c r="FQ251" s="431"/>
      <c r="FR251" s="431"/>
      <c r="FS251" s="420"/>
      <c r="FT251" s="420"/>
      <c r="FU251" s="419"/>
      <c r="FV251" s="419"/>
      <c r="FW251" s="419"/>
      <c r="FX251" s="420"/>
      <c r="FY251" s="420"/>
      <c r="FZ251" s="419"/>
      <c r="GA251" s="419"/>
      <c r="GB251" s="419"/>
      <c r="GC251" s="420"/>
      <c r="GD251" s="420"/>
      <c r="GE251" s="419"/>
      <c r="GF251" s="419"/>
      <c r="GG251" s="419"/>
      <c r="GH251" s="420"/>
      <c r="GI251" s="423"/>
      <c r="GJ251" s="437"/>
      <c r="GK251" s="419"/>
      <c r="GL251" s="419"/>
      <c r="GM251" s="420"/>
      <c r="GN251" s="420"/>
      <c r="GO251" s="419"/>
      <c r="GP251" s="419"/>
      <c r="GQ251" s="419"/>
      <c r="GR251" s="420">
        <f t="shared" si="243"/>
        <v>0</v>
      </c>
      <c r="GS251" s="423">
        <f t="shared" si="239"/>
        <v>0</v>
      </c>
      <c r="GT251" s="419"/>
      <c r="GU251" s="419"/>
      <c r="GV251" s="419"/>
      <c r="GW251" s="420">
        <f t="shared" si="240"/>
        <v>0</v>
      </c>
      <c r="GX251" s="420">
        <f t="shared" si="241"/>
        <v>0</v>
      </c>
    </row>
    <row r="252" spans="1:206" ht="15">
      <c r="A252" s="414"/>
      <c r="B252" s="415" t="s">
        <v>597</v>
      </c>
      <c r="C252" s="698"/>
      <c r="D252" s="711"/>
      <c r="E252" s="434" t="s">
        <v>124</v>
      </c>
      <c r="F252" s="417">
        <v>0.09</v>
      </c>
      <c r="G252" s="418">
        <f t="shared" si="219"/>
        <v>0</v>
      </c>
      <c r="H252" s="418">
        <f t="shared" si="220"/>
        <v>0</v>
      </c>
      <c r="I252" s="418">
        <f t="shared" si="220"/>
        <v>0</v>
      </c>
      <c r="J252" s="418">
        <f t="shared" si="221"/>
        <v>0</v>
      </c>
      <c r="K252" s="418">
        <f t="shared" si="217"/>
        <v>0</v>
      </c>
      <c r="L252" s="418">
        <f t="shared" si="218"/>
        <v>0</v>
      </c>
      <c r="M252" s="424"/>
      <c r="N252" s="424"/>
      <c r="O252" s="424"/>
      <c r="P252" s="424"/>
      <c r="Q252" s="419"/>
      <c r="R252" s="419"/>
      <c r="S252" s="419"/>
      <c r="T252" s="420"/>
      <c r="U252" s="423"/>
      <c r="V252" s="420"/>
      <c r="W252" s="420"/>
      <c r="X252" s="419"/>
      <c r="Y252" s="419"/>
      <c r="Z252" s="423"/>
      <c r="AA252" s="423"/>
      <c r="AB252" s="419"/>
      <c r="AC252" s="423"/>
      <c r="AD252" s="420"/>
      <c r="AE252" s="423"/>
      <c r="AF252" s="444"/>
      <c r="AG252" s="419"/>
      <c r="AH252" s="420"/>
      <c r="AI252" s="420"/>
      <c r="AJ252" s="423"/>
      <c r="AK252" s="444"/>
      <c r="AL252" s="420"/>
      <c r="AM252" s="420"/>
      <c r="AN252" s="420"/>
      <c r="AO252" s="423"/>
      <c r="AP252" s="420"/>
      <c r="AQ252" s="419"/>
      <c r="AR252" s="420"/>
      <c r="AS252" s="420"/>
      <c r="AT252" s="420"/>
      <c r="AU252" s="420"/>
      <c r="AV252" s="420"/>
      <c r="AW252" s="420"/>
      <c r="AX252" s="426"/>
      <c r="AY252" s="420"/>
      <c r="AZ252" s="420"/>
      <c r="BA252" s="420"/>
      <c r="BB252" s="419"/>
      <c r="BC252" s="420"/>
      <c r="BD252" s="427"/>
      <c r="BE252" s="420"/>
      <c r="BF252" s="420"/>
      <c r="BG252" s="420"/>
      <c r="BH252" s="423"/>
      <c r="BI252" s="420"/>
      <c r="BJ252" s="420"/>
      <c r="BK252" s="420"/>
      <c r="BL252" s="420"/>
      <c r="BM252" s="420"/>
      <c r="BN252" s="420"/>
      <c r="BO252" s="419"/>
      <c r="BP252" s="428"/>
      <c r="BQ252" s="420"/>
      <c r="BR252" s="423"/>
      <c r="BS252" s="423"/>
      <c r="BT252" s="420"/>
      <c r="BU252" s="420"/>
      <c r="BV252" s="420"/>
      <c r="BW252" s="420"/>
      <c r="BX252" s="429"/>
      <c r="BY252" s="419"/>
      <c r="BZ252" s="419"/>
      <c r="CA252" s="419"/>
      <c r="CB252" s="420"/>
      <c r="CC252" s="430"/>
      <c r="CD252" s="419"/>
      <c r="CE252" s="419"/>
      <c r="CF252" s="419"/>
      <c r="CG252" s="420"/>
      <c r="CH252" s="423"/>
      <c r="CI252" s="432"/>
      <c r="CJ252" s="432"/>
      <c r="CK252" s="432"/>
      <c r="CL252" s="420"/>
      <c r="CM252" s="423"/>
      <c r="CN252" s="420"/>
      <c r="CO252" s="420"/>
      <c r="CP252" s="420"/>
      <c r="CQ252" s="432"/>
      <c r="CR252" s="432"/>
      <c r="CS252" s="420"/>
      <c r="CT252" s="420"/>
      <c r="CU252" s="420"/>
      <c r="CV252" s="420"/>
      <c r="CW252" s="420"/>
      <c r="CX252" s="419"/>
      <c r="CY252" s="419"/>
      <c r="CZ252" s="419"/>
      <c r="DA252" s="419"/>
      <c r="DB252" s="419"/>
      <c r="DC252" s="419"/>
      <c r="DD252" s="419"/>
      <c r="DE252" s="419"/>
      <c r="DF252" s="420"/>
      <c r="DG252" s="421"/>
      <c r="DH252" s="419"/>
      <c r="DI252" s="419"/>
      <c r="DJ252" s="419"/>
      <c r="DK252" s="420"/>
      <c r="DL252" s="422"/>
      <c r="DM252" s="420"/>
      <c r="DN252" s="420"/>
      <c r="DO252" s="420"/>
      <c r="DP252" s="420"/>
      <c r="DQ252" s="420"/>
      <c r="DR252" s="419"/>
      <c r="DS252" s="419"/>
      <c r="DT252" s="419"/>
      <c r="DU252" s="420"/>
      <c r="DV252" s="423"/>
      <c r="DW252" s="419"/>
      <c r="DX252" s="419"/>
      <c r="DY252" s="419"/>
      <c r="DZ252" s="420"/>
      <c r="EA252" s="423"/>
      <c r="EB252" s="419"/>
      <c r="EC252" s="419"/>
      <c r="ED252" s="420"/>
      <c r="EE252" s="419"/>
      <c r="EF252" s="420"/>
      <c r="EG252" s="419"/>
      <c r="EH252" s="419"/>
      <c r="EI252" s="419"/>
      <c r="EJ252" s="420"/>
      <c r="EK252" s="420"/>
      <c r="EL252" s="419"/>
      <c r="EN252" s="419"/>
      <c r="EO252" s="419"/>
      <c r="EP252" s="419"/>
      <c r="EQ252" s="419"/>
      <c r="ER252" s="419"/>
      <c r="ES252" s="419"/>
      <c r="ET252" s="419"/>
      <c r="EU252" s="419"/>
      <c r="EV252" s="419"/>
      <c r="EW252" s="419"/>
      <c r="EX252" s="419"/>
      <c r="EY252" s="419"/>
      <c r="EZ252" s="419"/>
      <c r="FA252" s="420"/>
      <c r="FB252" s="420"/>
      <c r="FC252" s="420"/>
      <c r="FD252" s="420"/>
      <c r="FE252" s="420"/>
      <c r="FF252" s="419"/>
      <c r="FG252" s="419"/>
      <c r="FH252" s="419"/>
      <c r="FI252" s="419"/>
      <c r="FJ252" s="419"/>
      <c r="FK252" s="419"/>
      <c r="FL252" s="419"/>
      <c r="FM252" s="419"/>
      <c r="FN252" s="420"/>
      <c r="FO252" s="423"/>
      <c r="FP252" s="431"/>
      <c r="FQ252" s="431"/>
      <c r="FR252" s="431"/>
      <c r="FS252" s="420"/>
      <c r="FT252" s="420"/>
      <c r="FU252" s="419"/>
      <c r="FV252" s="419"/>
      <c r="FW252" s="419"/>
      <c r="FX252" s="420"/>
      <c r="FY252" s="420"/>
      <c r="FZ252" s="419"/>
      <c r="GA252" s="419"/>
      <c r="GB252" s="419"/>
      <c r="GC252" s="420"/>
      <c r="GD252" s="420"/>
      <c r="GE252" s="419"/>
      <c r="GF252" s="419"/>
      <c r="GG252" s="419"/>
      <c r="GH252" s="420"/>
      <c r="GI252" s="423"/>
      <c r="GJ252" s="437"/>
      <c r="GK252" s="419"/>
      <c r="GL252" s="419"/>
      <c r="GM252" s="420"/>
      <c r="GN252" s="420"/>
      <c r="GO252" s="419"/>
      <c r="GP252" s="419"/>
      <c r="GQ252" s="419"/>
      <c r="GR252" s="420">
        <f t="shared" si="243"/>
        <v>0</v>
      </c>
      <c r="GS252" s="423">
        <f t="shared" si="239"/>
        <v>0</v>
      </c>
      <c r="GT252" s="419"/>
      <c r="GU252" s="419"/>
      <c r="GV252" s="419"/>
      <c r="GW252" s="420">
        <f t="shared" si="240"/>
        <v>0</v>
      </c>
      <c r="GX252" s="420">
        <f t="shared" si="241"/>
        <v>0</v>
      </c>
    </row>
    <row r="253" spans="1:206" ht="15">
      <c r="A253" s="414"/>
      <c r="B253" s="415" t="s">
        <v>597</v>
      </c>
      <c r="C253" s="698"/>
      <c r="D253" s="711"/>
      <c r="E253" s="434" t="s">
        <v>125</v>
      </c>
      <c r="F253" s="417">
        <v>0.06</v>
      </c>
      <c r="G253" s="418">
        <f t="shared" si="219"/>
        <v>258779.47</v>
      </c>
      <c r="H253" s="418">
        <f t="shared" si="220"/>
        <v>0</v>
      </c>
      <c r="I253" s="418">
        <f t="shared" si="220"/>
        <v>15526.77</v>
      </c>
      <c r="J253" s="418">
        <f t="shared" si="221"/>
        <v>258779.5</v>
      </c>
      <c r="K253" s="418">
        <f t="shared" si="217"/>
        <v>258779.5</v>
      </c>
      <c r="L253" s="418">
        <f t="shared" si="218"/>
        <v>2.9999999998835802E-2</v>
      </c>
      <c r="M253" s="424"/>
      <c r="N253" s="424"/>
      <c r="O253" s="424"/>
      <c r="P253" s="424"/>
      <c r="Q253" s="419"/>
      <c r="R253" s="419"/>
      <c r="S253" s="419"/>
      <c r="T253" s="420"/>
      <c r="U253" s="423"/>
      <c r="V253" s="420"/>
      <c r="W253" s="420"/>
      <c r="X253" s="419"/>
      <c r="Y253" s="419"/>
      <c r="Z253" s="423"/>
      <c r="AA253" s="423"/>
      <c r="AB253" s="419"/>
      <c r="AC253" s="423"/>
      <c r="AD253" s="420"/>
      <c r="AE253" s="423"/>
      <c r="AF253" s="444"/>
      <c r="AG253" s="419"/>
      <c r="AH253" s="420"/>
      <c r="AI253" s="420"/>
      <c r="AJ253" s="423"/>
      <c r="AK253" s="444"/>
      <c r="AL253" s="420"/>
      <c r="AM253" s="420"/>
      <c r="AN253" s="420"/>
      <c r="AO253" s="423"/>
      <c r="AP253" s="420"/>
      <c r="AQ253" s="419"/>
      <c r="AR253" s="420"/>
      <c r="AS253" s="420"/>
      <c r="AT253" s="420"/>
      <c r="AU253" s="420"/>
      <c r="AV253" s="420"/>
      <c r="AW253" s="420"/>
      <c r="AX253" s="426"/>
      <c r="AY253" s="420"/>
      <c r="AZ253" s="420"/>
      <c r="BA253" s="420"/>
      <c r="BB253" s="419"/>
      <c r="BC253" s="420"/>
      <c r="BD253" s="427"/>
      <c r="BE253" s="420"/>
      <c r="BF253" s="420"/>
      <c r="BG253" s="420"/>
      <c r="BH253" s="423"/>
      <c r="BI253" s="420"/>
      <c r="BJ253" s="420"/>
      <c r="BK253" s="420"/>
      <c r="BL253" s="420"/>
      <c r="BM253" s="420"/>
      <c r="BN253" s="420"/>
      <c r="BO253" s="419"/>
      <c r="BP253" s="428"/>
      <c r="BQ253" s="420"/>
      <c r="BR253" s="423"/>
      <c r="BS253" s="423"/>
      <c r="BT253" s="420"/>
      <c r="BU253" s="420"/>
      <c r="BV253" s="420"/>
      <c r="BW253" s="420"/>
      <c r="BX253" s="429"/>
      <c r="BY253" s="419"/>
      <c r="BZ253" s="419"/>
      <c r="CA253" s="419"/>
      <c r="CB253" s="420"/>
      <c r="CC253" s="430"/>
      <c r="CD253" s="419"/>
      <c r="CE253" s="419"/>
      <c r="CF253" s="419"/>
      <c r="CG253" s="420"/>
      <c r="CH253" s="423"/>
      <c r="CI253" s="432"/>
      <c r="CJ253" s="432"/>
      <c r="CK253" s="432"/>
      <c r="CL253" s="420"/>
      <c r="CM253" s="423"/>
      <c r="CN253" s="420"/>
      <c r="CO253" s="420"/>
      <c r="CP253" s="420"/>
      <c r="CQ253" s="432"/>
      <c r="CR253" s="432"/>
      <c r="CS253" s="420"/>
      <c r="CT253" s="420"/>
      <c r="CU253" s="420"/>
      <c r="CV253" s="420"/>
      <c r="CW253" s="420"/>
      <c r="CX253" s="419"/>
      <c r="CY253" s="419"/>
      <c r="CZ253" s="419"/>
      <c r="DA253" s="419"/>
      <c r="DB253" s="419"/>
      <c r="DC253" s="419"/>
      <c r="DD253" s="419"/>
      <c r="DE253" s="419"/>
      <c r="DF253" s="420"/>
      <c r="DG253" s="421"/>
      <c r="DH253" s="419"/>
      <c r="DI253" s="419"/>
      <c r="DJ253" s="419"/>
      <c r="DK253" s="420"/>
      <c r="DL253" s="422"/>
      <c r="DM253" s="420"/>
      <c r="DN253" s="420"/>
      <c r="DO253" s="420"/>
      <c r="DP253" s="420"/>
      <c r="DQ253" s="420"/>
      <c r="DR253" s="419"/>
      <c r="DS253" s="419"/>
      <c r="DT253" s="419"/>
      <c r="DU253" s="420"/>
      <c r="DV253" s="423"/>
      <c r="DW253" s="419"/>
      <c r="DX253" s="419"/>
      <c r="DY253" s="419"/>
      <c r="DZ253" s="420"/>
      <c r="EA253" s="423"/>
      <c r="EB253" s="419"/>
      <c r="EC253" s="419"/>
      <c r="ED253" s="420"/>
      <c r="EE253" s="419"/>
      <c r="EF253" s="420"/>
      <c r="EG253" s="419"/>
      <c r="EH253" s="419"/>
      <c r="EI253" s="419"/>
      <c r="EJ253" s="420"/>
      <c r="EK253" s="420"/>
      <c r="EL253" s="419"/>
      <c r="EN253" s="419"/>
      <c r="EO253" s="419"/>
      <c r="EP253" s="419"/>
      <c r="EQ253" s="419"/>
      <c r="ER253" s="419"/>
      <c r="ES253" s="419"/>
      <c r="ET253" s="419"/>
      <c r="EU253" s="419"/>
      <c r="EV253" s="419"/>
      <c r="EW253" s="419"/>
      <c r="EX253" s="419"/>
      <c r="EY253" s="419"/>
      <c r="EZ253" s="419"/>
      <c r="FA253" s="420"/>
      <c r="FB253" s="420"/>
      <c r="FC253" s="420"/>
      <c r="FD253" s="420"/>
      <c r="FE253" s="420"/>
      <c r="FF253" s="419"/>
      <c r="FG253" s="419"/>
      <c r="FH253" s="419"/>
      <c r="FI253" s="419"/>
      <c r="FJ253" s="419"/>
      <c r="FK253" s="419"/>
      <c r="FL253" s="419"/>
      <c r="FM253" s="419"/>
      <c r="FN253" s="420"/>
      <c r="FO253" s="423"/>
      <c r="FP253" s="431"/>
      <c r="FQ253" s="431"/>
      <c r="FR253" s="431"/>
      <c r="FS253" s="420"/>
      <c r="FT253" s="420"/>
      <c r="FU253" s="419"/>
      <c r="FV253" s="419"/>
      <c r="FW253" s="419"/>
      <c r="FX253" s="420"/>
      <c r="FY253" s="420"/>
      <c r="FZ253" s="419"/>
      <c r="GA253" s="419"/>
      <c r="GB253" s="419"/>
      <c r="GC253" s="420"/>
      <c r="GD253" s="420"/>
      <c r="GE253" s="419"/>
      <c r="GF253" s="419"/>
      <c r="GG253" s="419"/>
      <c r="GH253" s="420"/>
      <c r="GI253" s="423"/>
      <c r="GJ253" s="437"/>
      <c r="GK253" s="419"/>
      <c r="GL253" s="419"/>
      <c r="GM253" s="420"/>
      <c r="GN253" s="420"/>
      <c r="GO253" s="419">
        <v>412684.03</v>
      </c>
      <c r="GP253" s="419"/>
      <c r="GQ253" s="419">
        <v>24761.040000000001</v>
      </c>
      <c r="GR253" s="420">
        <f t="shared" si="243"/>
        <v>412684</v>
      </c>
      <c r="GS253" s="423">
        <f t="shared" si="239"/>
        <v>-2.9999999969731999E-2</v>
      </c>
      <c r="GT253" s="419">
        <v>-153904.56</v>
      </c>
      <c r="GU253" s="419"/>
      <c r="GV253" s="419">
        <v>-9234.27</v>
      </c>
      <c r="GW253" s="420">
        <f t="shared" si="240"/>
        <v>-153904.5</v>
      </c>
      <c r="GX253" s="420">
        <f t="shared" si="241"/>
        <v>5.9999999997671701E-2</v>
      </c>
    </row>
    <row r="254" spans="1:206" ht="15">
      <c r="A254" s="414"/>
      <c r="B254" s="415" t="s">
        <v>596</v>
      </c>
      <c r="C254" s="698"/>
      <c r="D254" s="711" t="s">
        <v>158</v>
      </c>
      <c r="E254" s="434" t="s">
        <v>123</v>
      </c>
      <c r="F254" s="417">
        <v>0.13</v>
      </c>
      <c r="G254" s="418">
        <f t="shared" si="219"/>
        <v>0</v>
      </c>
      <c r="H254" s="418">
        <f t="shared" si="220"/>
        <v>0</v>
      </c>
      <c r="I254" s="418">
        <f t="shared" si="220"/>
        <v>0</v>
      </c>
      <c r="J254" s="418">
        <f t="shared" si="221"/>
        <v>0</v>
      </c>
      <c r="K254" s="418">
        <f t="shared" si="217"/>
        <v>0</v>
      </c>
      <c r="L254" s="418">
        <f t="shared" si="218"/>
        <v>0</v>
      </c>
      <c r="M254" s="424"/>
      <c r="N254" s="424"/>
      <c r="O254" s="424"/>
      <c r="P254" s="424"/>
      <c r="Q254" s="419"/>
      <c r="R254" s="419"/>
      <c r="S254" s="419"/>
      <c r="T254" s="420"/>
      <c r="U254" s="423"/>
      <c r="V254" s="420"/>
      <c r="W254" s="420"/>
      <c r="X254" s="419"/>
      <c r="Y254" s="419"/>
      <c r="Z254" s="423"/>
      <c r="AA254" s="423"/>
      <c r="AB254" s="419"/>
      <c r="AC254" s="423"/>
      <c r="AD254" s="420"/>
      <c r="AE254" s="423"/>
      <c r="AF254" s="444"/>
      <c r="AG254" s="419"/>
      <c r="AH254" s="420"/>
      <c r="AI254" s="420"/>
      <c r="AJ254" s="423"/>
      <c r="AK254" s="444"/>
      <c r="AL254" s="420"/>
      <c r="AM254" s="420"/>
      <c r="AN254" s="420"/>
      <c r="AO254" s="423"/>
      <c r="AP254" s="420"/>
      <c r="AQ254" s="419"/>
      <c r="AR254" s="420"/>
      <c r="AS254" s="420"/>
      <c r="AT254" s="420"/>
      <c r="AU254" s="420"/>
      <c r="AV254" s="420"/>
      <c r="AW254" s="420"/>
      <c r="AX254" s="426"/>
      <c r="AY254" s="420"/>
      <c r="AZ254" s="420"/>
      <c r="BA254" s="420"/>
      <c r="BB254" s="419"/>
      <c r="BC254" s="420"/>
      <c r="BD254" s="427"/>
      <c r="BE254" s="420"/>
      <c r="BF254" s="420"/>
      <c r="BG254" s="420"/>
      <c r="BH254" s="423"/>
      <c r="BI254" s="420"/>
      <c r="BJ254" s="420"/>
      <c r="BK254" s="420"/>
      <c r="BL254" s="420"/>
      <c r="BM254" s="420"/>
      <c r="BN254" s="420"/>
      <c r="BO254" s="419"/>
      <c r="BP254" s="428"/>
      <c r="BQ254" s="420"/>
      <c r="BR254" s="423"/>
      <c r="BS254" s="423"/>
      <c r="BT254" s="420"/>
      <c r="BU254" s="420"/>
      <c r="BV254" s="420"/>
      <c r="BW254" s="420"/>
      <c r="BX254" s="429"/>
      <c r="BY254" s="419"/>
      <c r="BZ254" s="419"/>
      <c r="CA254" s="419"/>
      <c r="CB254" s="420"/>
      <c r="CC254" s="430"/>
      <c r="CD254" s="419"/>
      <c r="CE254" s="419"/>
      <c r="CF254" s="419"/>
      <c r="CG254" s="420"/>
      <c r="CH254" s="423"/>
      <c r="CI254" s="432"/>
      <c r="CJ254" s="432"/>
      <c r="CK254" s="432"/>
      <c r="CL254" s="420"/>
      <c r="CM254" s="423"/>
      <c r="CN254" s="420"/>
      <c r="CO254" s="420"/>
      <c r="CP254" s="420"/>
      <c r="CQ254" s="432"/>
      <c r="CR254" s="432"/>
      <c r="CS254" s="420"/>
      <c r="CT254" s="420"/>
      <c r="CU254" s="420"/>
      <c r="CV254" s="420"/>
      <c r="CW254" s="420"/>
      <c r="CX254" s="419"/>
      <c r="CY254" s="419"/>
      <c r="CZ254" s="419"/>
      <c r="DA254" s="419"/>
      <c r="DB254" s="419"/>
      <c r="DC254" s="419"/>
      <c r="DD254" s="419"/>
      <c r="DE254" s="419"/>
      <c r="DF254" s="420"/>
      <c r="DG254" s="421"/>
      <c r="DH254" s="419"/>
      <c r="DI254" s="419"/>
      <c r="DJ254" s="419"/>
      <c r="DK254" s="420"/>
      <c r="DL254" s="422"/>
      <c r="DM254" s="420"/>
      <c r="DN254" s="420"/>
      <c r="DO254" s="420"/>
      <c r="DP254" s="420"/>
      <c r="DQ254" s="420"/>
      <c r="DR254" s="419"/>
      <c r="DS254" s="419"/>
      <c r="DT254" s="419"/>
      <c r="DU254" s="420"/>
      <c r="DV254" s="423"/>
      <c r="DW254" s="419"/>
      <c r="DX254" s="419"/>
      <c r="DY254" s="419"/>
      <c r="DZ254" s="420"/>
      <c r="EA254" s="423"/>
      <c r="EB254" s="419"/>
      <c r="EC254" s="419"/>
      <c r="ED254" s="420"/>
      <c r="EE254" s="419"/>
      <c r="EF254" s="420"/>
      <c r="EG254" s="419"/>
      <c r="EH254" s="419"/>
      <c r="EI254" s="419"/>
      <c r="EJ254" s="420"/>
      <c r="EK254" s="420"/>
      <c r="EL254" s="419"/>
      <c r="EN254" s="419"/>
      <c r="EO254" s="419"/>
      <c r="EP254" s="419"/>
      <c r="EQ254" s="419"/>
      <c r="ER254" s="419"/>
      <c r="ES254" s="419"/>
      <c r="ET254" s="419"/>
      <c r="EU254" s="419"/>
      <c r="EV254" s="419"/>
      <c r="EW254" s="419"/>
      <c r="EX254" s="419"/>
      <c r="EY254" s="419"/>
      <c r="EZ254" s="419"/>
      <c r="FA254" s="420"/>
      <c r="FB254" s="420"/>
      <c r="FC254" s="420"/>
      <c r="FD254" s="420"/>
      <c r="FE254" s="420"/>
      <c r="FF254" s="419"/>
      <c r="FG254" s="419"/>
      <c r="FH254" s="419"/>
      <c r="FI254" s="419"/>
      <c r="FJ254" s="419"/>
      <c r="FK254" s="419"/>
      <c r="FL254" s="419"/>
      <c r="FM254" s="419"/>
      <c r="FN254" s="420"/>
      <c r="FO254" s="423"/>
      <c r="FP254" s="431"/>
      <c r="FQ254" s="431"/>
      <c r="FR254" s="431"/>
      <c r="FS254" s="420"/>
      <c r="FT254" s="420"/>
      <c r="FU254" s="419"/>
      <c r="FV254" s="419"/>
      <c r="FW254" s="419"/>
      <c r="FX254" s="420"/>
      <c r="FY254" s="420"/>
      <c r="FZ254" s="419"/>
      <c r="GA254" s="419"/>
      <c r="GB254" s="419"/>
      <c r="GC254" s="420"/>
      <c r="GD254" s="420"/>
      <c r="GE254" s="419"/>
      <c r="GF254" s="419"/>
      <c r="GG254" s="419"/>
      <c r="GH254" s="420"/>
      <c r="GI254" s="423"/>
      <c r="GJ254" s="437"/>
      <c r="GK254" s="419"/>
      <c r="GL254" s="419"/>
      <c r="GM254" s="420"/>
      <c r="GN254" s="420"/>
      <c r="GO254" s="419"/>
      <c r="GP254" s="419"/>
      <c r="GQ254" s="419"/>
      <c r="GR254" s="420">
        <f t="shared" si="243"/>
        <v>0</v>
      </c>
      <c r="GS254" s="423">
        <f t="shared" si="239"/>
        <v>0</v>
      </c>
      <c r="GT254" s="419"/>
      <c r="GU254" s="419"/>
      <c r="GV254" s="419"/>
      <c r="GW254" s="420">
        <f t="shared" si="240"/>
        <v>0</v>
      </c>
      <c r="GX254" s="420">
        <f t="shared" si="241"/>
        <v>0</v>
      </c>
    </row>
    <row r="255" spans="1:206" ht="15">
      <c r="A255" s="414"/>
      <c r="B255" s="415" t="s">
        <v>596</v>
      </c>
      <c r="C255" s="698"/>
      <c r="D255" s="711"/>
      <c r="E255" s="434" t="s">
        <v>124</v>
      </c>
      <c r="F255" s="417">
        <v>0.09</v>
      </c>
      <c r="G255" s="418">
        <f t="shared" si="219"/>
        <v>0</v>
      </c>
      <c r="H255" s="418">
        <f t="shared" si="220"/>
        <v>0</v>
      </c>
      <c r="I255" s="418">
        <f t="shared" si="220"/>
        <v>0</v>
      </c>
      <c r="J255" s="418">
        <f t="shared" si="221"/>
        <v>0</v>
      </c>
      <c r="K255" s="418">
        <f t="shared" si="217"/>
        <v>0</v>
      </c>
      <c r="L255" s="418">
        <f t="shared" si="218"/>
        <v>0</v>
      </c>
      <c r="M255" s="424"/>
      <c r="N255" s="424"/>
      <c r="O255" s="424"/>
      <c r="P255" s="424"/>
      <c r="Q255" s="419"/>
      <c r="R255" s="419"/>
      <c r="S255" s="419"/>
      <c r="T255" s="420"/>
      <c r="U255" s="423"/>
      <c r="V255" s="420"/>
      <c r="W255" s="420"/>
      <c r="X255" s="419"/>
      <c r="Y255" s="419"/>
      <c r="Z255" s="423"/>
      <c r="AA255" s="423"/>
      <c r="AB255" s="419"/>
      <c r="AC255" s="423"/>
      <c r="AD255" s="420"/>
      <c r="AE255" s="423"/>
      <c r="AF255" s="444"/>
      <c r="AG255" s="419"/>
      <c r="AH255" s="420"/>
      <c r="AI255" s="420"/>
      <c r="AJ255" s="423"/>
      <c r="AK255" s="444"/>
      <c r="AL255" s="420"/>
      <c r="AM255" s="420"/>
      <c r="AN255" s="420"/>
      <c r="AO255" s="423"/>
      <c r="AP255" s="420"/>
      <c r="AQ255" s="419"/>
      <c r="AR255" s="420"/>
      <c r="AS255" s="420"/>
      <c r="AT255" s="420"/>
      <c r="AU255" s="420"/>
      <c r="AV255" s="420"/>
      <c r="AW255" s="420"/>
      <c r="AX255" s="426"/>
      <c r="AY255" s="420"/>
      <c r="AZ255" s="420"/>
      <c r="BA255" s="420"/>
      <c r="BB255" s="419"/>
      <c r="BC255" s="420"/>
      <c r="BD255" s="427"/>
      <c r="BE255" s="420"/>
      <c r="BF255" s="420"/>
      <c r="BG255" s="420"/>
      <c r="BH255" s="423"/>
      <c r="BI255" s="420"/>
      <c r="BJ255" s="420"/>
      <c r="BK255" s="420"/>
      <c r="BL255" s="420"/>
      <c r="BM255" s="420"/>
      <c r="BN255" s="420"/>
      <c r="BO255" s="419"/>
      <c r="BP255" s="428"/>
      <c r="BQ255" s="420"/>
      <c r="BR255" s="423"/>
      <c r="BS255" s="423"/>
      <c r="BT255" s="420"/>
      <c r="BU255" s="420"/>
      <c r="BV255" s="420"/>
      <c r="BW255" s="420"/>
      <c r="BX255" s="429"/>
      <c r="BY255" s="419"/>
      <c r="BZ255" s="419"/>
      <c r="CA255" s="419"/>
      <c r="CB255" s="420"/>
      <c r="CC255" s="430"/>
      <c r="CD255" s="419"/>
      <c r="CE255" s="419"/>
      <c r="CF255" s="419"/>
      <c r="CG255" s="420"/>
      <c r="CH255" s="423"/>
      <c r="CI255" s="432"/>
      <c r="CJ255" s="432"/>
      <c r="CK255" s="432"/>
      <c r="CL255" s="420"/>
      <c r="CM255" s="423"/>
      <c r="CN255" s="420"/>
      <c r="CO255" s="420"/>
      <c r="CP255" s="420"/>
      <c r="CQ255" s="432"/>
      <c r="CR255" s="432"/>
      <c r="CS255" s="420"/>
      <c r="CT255" s="420"/>
      <c r="CU255" s="420"/>
      <c r="CV255" s="420"/>
      <c r="CW255" s="420"/>
      <c r="CX255" s="419"/>
      <c r="CY255" s="419"/>
      <c r="CZ255" s="419"/>
      <c r="DA255" s="419"/>
      <c r="DB255" s="419"/>
      <c r="DC255" s="419"/>
      <c r="DD255" s="419"/>
      <c r="DE255" s="419"/>
      <c r="DF255" s="420"/>
      <c r="DG255" s="421"/>
      <c r="DH255" s="419"/>
      <c r="DI255" s="419"/>
      <c r="DJ255" s="419"/>
      <c r="DK255" s="420"/>
      <c r="DL255" s="422"/>
      <c r="DM255" s="420"/>
      <c r="DN255" s="420"/>
      <c r="DO255" s="420"/>
      <c r="DP255" s="420"/>
      <c r="DQ255" s="420"/>
      <c r="DR255" s="419"/>
      <c r="DS255" s="419"/>
      <c r="DT255" s="419"/>
      <c r="DU255" s="420"/>
      <c r="DV255" s="423"/>
      <c r="DW255" s="419"/>
      <c r="DX255" s="419"/>
      <c r="DY255" s="419"/>
      <c r="DZ255" s="420"/>
      <c r="EA255" s="423"/>
      <c r="EB255" s="419"/>
      <c r="EC255" s="419"/>
      <c r="ED255" s="420"/>
      <c r="EE255" s="419"/>
      <c r="EF255" s="420"/>
      <c r="EG255" s="419"/>
      <c r="EH255" s="419"/>
      <c r="EI255" s="419"/>
      <c r="EJ255" s="420"/>
      <c r="EK255" s="420"/>
      <c r="EL255" s="419"/>
      <c r="EN255" s="419"/>
      <c r="EO255" s="419"/>
      <c r="EP255" s="419"/>
      <c r="EQ255" s="419"/>
      <c r="ER255" s="419"/>
      <c r="ES255" s="419"/>
      <c r="ET255" s="419"/>
      <c r="EU255" s="419"/>
      <c r="EV255" s="419"/>
      <c r="EW255" s="419"/>
      <c r="EX255" s="419"/>
      <c r="EY255" s="419"/>
      <c r="EZ255" s="419"/>
      <c r="FA255" s="420"/>
      <c r="FB255" s="420"/>
      <c r="FC255" s="420"/>
      <c r="FD255" s="420"/>
      <c r="FE255" s="420"/>
      <c r="FF255" s="419"/>
      <c r="FG255" s="419"/>
      <c r="FH255" s="419"/>
      <c r="FI255" s="419"/>
      <c r="FJ255" s="419"/>
      <c r="FK255" s="419"/>
      <c r="FL255" s="419"/>
      <c r="FM255" s="419"/>
      <c r="FN255" s="420"/>
      <c r="FO255" s="423"/>
      <c r="FP255" s="431"/>
      <c r="FQ255" s="431"/>
      <c r="FR255" s="431"/>
      <c r="FS255" s="420"/>
      <c r="FT255" s="420"/>
      <c r="FU255" s="419"/>
      <c r="FV255" s="419"/>
      <c r="FW255" s="419"/>
      <c r="FX255" s="420"/>
      <c r="FY255" s="420"/>
      <c r="FZ255" s="419"/>
      <c r="GA255" s="419"/>
      <c r="GB255" s="419"/>
      <c r="GC255" s="420"/>
      <c r="GD255" s="420"/>
      <c r="GE255" s="419"/>
      <c r="GF255" s="419"/>
      <c r="GG255" s="419"/>
      <c r="GH255" s="420"/>
      <c r="GI255" s="423"/>
      <c r="GJ255" s="437"/>
      <c r="GK255" s="419"/>
      <c r="GL255" s="419"/>
      <c r="GM255" s="420"/>
      <c r="GN255" s="420"/>
      <c r="GO255" s="419"/>
      <c r="GP255" s="419"/>
      <c r="GQ255" s="419"/>
      <c r="GR255" s="420">
        <f t="shared" si="243"/>
        <v>0</v>
      </c>
      <c r="GS255" s="423">
        <f t="shared" si="239"/>
        <v>0</v>
      </c>
      <c r="GT255" s="419"/>
      <c r="GU255" s="419"/>
      <c r="GV255" s="419"/>
      <c r="GW255" s="420">
        <f t="shared" si="240"/>
        <v>0</v>
      </c>
      <c r="GX255" s="420">
        <f t="shared" si="241"/>
        <v>0</v>
      </c>
    </row>
    <row r="256" spans="1:206" ht="15">
      <c r="A256" s="414"/>
      <c r="B256" s="415" t="s">
        <v>595</v>
      </c>
      <c r="C256" s="698"/>
      <c r="D256" s="711"/>
      <c r="E256" s="434" t="s">
        <v>125</v>
      </c>
      <c r="F256" s="417">
        <v>0.06</v>
      </c>
      <c r="G256" s="418">
        <f t="shared" si="219"/>
        <v>296501.27</v>
      </c>
      <c r="H256" s="418">
        <f t="shared" si="220"/>
        <v>0</v>
      </c>
      <c r="I256" s="418">
        <f t="shared" si="220"/>
        <v>17790.080000000002</v>
      </c>
      <c r="J256" s="418">
        <f t="shared" si="221"/>
        <v>296501.33333333302</v>
      </c>
      <c r="K256" s="418">
        <f t="shared" si="217"/>
        <v>296501.33333333302</v>
      </c>
      <c r="L256" s="418">
        <f t="shared" si="218"/>
        <v>6.3333333353512003E-2</v>
      </c>
      <c r="M256" s="424"/>
      <c r="N256" s="424"/>
      <c r="O256" s="424"/>
      <c r="P256" s="424"/>
      <c r="Q256" s="419"/>
      <c r="R256" s="419"/>
      <c r="S256" s="419"/>
      <c r="T256" s="420"/>
      <c r="U256" s="423"/>
      <c r="V256" s="420"/>
      <c r="W256" s="420"/>
      <c r="X256" s="419"/>
      <c r="Y256" s="419"/>
      <c r="Z256" s="423"/>
      <c r="AA256" s="423"/>
      <c r="AB256" s="419"/>
      <c r="AC256" s="423"/>
      <c r="AD256" s="420"/>
      <c r="AE256" s="423"/>
      <c r="AF256" s="444"/>
      <c r="AG256" s="419"/>
      <c r="AH256" s="420"/>
      <c r="AI256" s="420"/>
      <c r="AJ256" s="423"/>
      <c r="AK256" s="444"/>
      <c r="AL256" s="420"/>
      <c r="AM256" s="420"/>
      <c r="AN256" s="420"/>
      <c r="AO256" s="423"/>
      <c r="AP256" s="420"/>
      <c r="AQ256" s="419"/>
      <c r="AR256" s="420"/>
      <c r="AS256" s="420"/>
      <c r="AT256" s="420"/>
      <c r="AU256" s="420"/>
      <c r="AV256" s="420"/>
      <c r="AW256" s="420"/>
      <c r="AX256" s="426"/>
      <c r="AY256" s="420"/>
      <c r="AZ256" s="420"/>
      <c r="BA256" s="420"/>
      <c r="BB256" s="419"/>
      <c r="BC256" s="420"/>
      <c r="BD256" s="427"/>
      <c r="BE256" s="420"/>
      <c r="BF256" s="420"/>
      <c r="BG256" s="420"/>
      <c r="BH256" s="423"/>
      <c r="BI256" s="420"/>
      <c r="BJ256" s="420"/>
      <c r="BK256" s="420"/>
      <c r="BL256" s="420"/>
      <c r="BM256" s="420"/>
      <c r="BN256" s="420"/>
      <c r="BO256" s="419"/>
      <c r="BP256" s="428"/>
      <c r="BQ256" s="420"/>
      <c r="BR256" s="423"/>
      <c r="BS256" s="423"/>
      <c r="BT256" s="420"/>
      <c r="BU256" s="420"/>
      <c r="BV256" s="420"/>
      <c r="BW256" s="420"/>
      <c r="BX256" s="429"/>
      <c r="BY256" s="419"/>
      <c r="BZ256" s="419"/>
      <c r="CA256" s="419"/>
      <c r="CB256" s="420"/>
      <c r="CC256" s="430"/>
      <c r="CD256" s="419"/>
      <c r="CE256" s="419"/>
      <c r="CF256" s="419"/>
      <c r="CG256" s="420"/>
      <c r="CH256" s="423"/>
      <c r="CI256" s="432"/>
      <c r="CJ256" s="432"/>
      <c r="CK256" s="432"/>
      <c r="CL256" s="420"/>
      <c r="CM256" s="423"/>
      <c r="CN256" s="420"/>
      <c r="CO256" s="420"/>
      <c r="CP256" s="420"/>
      <c r="CQ256" s="432"/>
      <c r="CR256" s="432"/>
      <c r="CS256" s="420"/>
      <c r="CT256" s="420"/>
      <c r="CU256" s="420"/>
      <c r="CV256" s="420"/>
      <c r="CW256" s="420"/>
      <c r="CX256" s="419"/>
      <c r="CY256" s="419"/>
      <c r="CZ256" s="419"/>
      <c r="DA256" s="419"/>
      <c r="DB256" s="419"/>
      <c r="DC256" s="419"/>
      <c r="DD256" s="419"/>
      <c r="DE256" s="419"/>
      <c r="DF256" s="420"/>
      <c r="DG256" s="421"/>
      <c r="DH256" s="419"/>
      <c r="DI256" s="419"/>
      <c r="DJ256" s="419"/>
      <c r="DK256" s="420"/>
      <c r="DL256" s="422"/>
      <c r="DM256" s="420"/>
      <c r="DN256" s="420"/>
      <c r="DO256" s="420"/>
      <c r="DP256" s="420"/>
      <c r="DQ256" s="420"/>
      <c r="DR256" s="419"/>
      <c r="DS256" s="419"/>
      <c r="DT256" s="419"/>
      <c r="DU256" s="420"/>
      <c r="DV256" s="423"/>
      <c r="DW256" s="419"/>
      <c r="DX256" s="419"/>
      <c r="DY256" s="419"/>
      <c r="DZ256" s="420"/>
      <c r="EA256" s="423"/>
      <c r="EB256" s="419"/>
      <c r="EC256" s="419"/>
      <c r="ED256" s="420"/>
      <c r="EE256" s="419"/>
      <c r="EF256" s="420"/>
      <c r="EG256" s="419"/>
      <c r="EH256" s="419"/>
      <c r="EI256" s="419"/>
      <c r="EJ256" s="420"/>
      <c r="EK256" s="420"/>
      <c r="EL256" s="419"/>
      <c r="EN256" s="419"/>
      <c r="EO256" s="419"/>
      <c r="EP256" s="419"/>
      <c r="EQ256" s="419"/>
      <c r="ER256" s="419"/>
      <c r="ES256" s="419"/>
      <c r="ET256" s="419"/>
      <c r="EU256" s="419"/>
      <c r="EV256" s="419"/>
      <c r="EW256" s="419"/>
      <c r="EX256" s="419"/>
      <c r="EY256" s="419"/>
      <c r="EZ256" s="419"/>
      <c r="FA256" s="420"/>
      <c r="FB256" s="420"/>
      <c r="FC256" s="420"/>
      <c r="FD256" s="420"/>
      <c r="FE256" s="420"/>
      <c r="FF256" s="419"/>
      <c r="FG256" s="419"/>
      <c r="FH256" s="419"/>
      <c r="FI256" s="419"/>
      <c r="FJ256" s="419"/>
      <c r="FK256" s="419"/>
      <c r="FL256" s="419"/>
      <c r="FM256" s="419"/>
      <c r="FN256" s="420"/>
      <c r="FO256" s="423"/>
      <c r="FP256" s="431"/>
      <c r="FQ256" s="431"/>
      <c r="FR256" s="431"/>
      <c r="FS256" s="420"/>
      <c r="FT256" s="420"/>
      <c r="FU256" s="419"/>
      <c r="FV256" s="419"/>
      <c r="FW256" s="419"/>
      <c r="FX256" s="420"/>
      <c r="FY256" s="420"/>
      <c r="FZ256" s="419"/>
      <c r="GA256" s="419"/>
      <c r="GB256" s="419"/>
      <c r="GC256" s="420"/>
      <c r="GD256" s="420"/>
      <c r="GE256" s="419"/>
      <c r="GF256" s="419"/>
      <c r="GG256" s="419"/>
      <c r="GH256" s="420"/>
      <c r="GI256" s="423"/>
      <c r="GJ256" s="437"/>
      <c r="GK256" s="419"/>
      <c r="GL256" s="419"/>
      <c r="GM256" s="420"/>
      <c r="GN256" s="420"/>
      <c r="GO256" s="419">
        <v>1874917.48</v>
      </c>
      <c r="GP256" s="419"/>
      <c r="GQ256" s="419">
        <v>112495.05</v>
      </c>
      <c r="GR256" s="420">
        <f t="shared" si="243"/>
        <v>1874917.5</v>
      </c>
      <c r="GS256" s="423">
        <f t="shared" si="239"/>
        <v>2.0000000251457099E-2</v>
      </c>
      <c r="GT256" s="419">
        <v>-1578416.21</v>
      </c>
      <c r="GU256" s="419"/>
      <c r="GV256" s="419">
        <v>-94704.97</v>
      </c>
      <c r="GW256" s="420">
        <f t="shared" si="240"/>
        <v>-1578416.17</v>
      </c>
      <c r="GX256" s="420">
        <f t="shared" si="241"/>
        <v>4.0000000037252903E-2</v>
      </c>
    </row>
    <row r="257" spans="1:206" ht="15">
      <c r="A257" s="414"/>
      <c r="B257" s="415" t="s">
        <v>598</v>
      </c>
      <c r="C257" s="698"/>
      <c r="D257" s="711" t="s">
        <v>599</v>
      </c>
      <c r="E257" s="434" t="s">
        <v>123</v>
      </c>
      <c r="F257" s="417">
        <v>0.13</v>
      </c>
      <c r="G257" s="418">
        <f t="shared" si="219"/>
        <v>0</v>
      </c>
      <c r="H257" s="418">
        <f t="shared" si="220"/>
        <v>0</v>
      </c>
      <c r="I257" s="418">
        <f t="shared" si="220"/>
        <v>0</v>
      </c>
      <c r="J257" s="418">
        <f t="shared" si="221"/>
        <v>0</v>
      </c>
      <c r="K257" s="418">
        <f t="shared" si="217"/>
        <v>0</v>
      </c>
      <c r="L257" s="418">
        <f t="shared" si="218"/>
        <v>0</v>
      </c>
      <c r="M257" s="424"/>
      <c r="N257" s="424"/>
      <c r="O257" s="424"/>
      <c r="P257" s="424"/>
      <c r="Q257" s="419"/>
      <c r="R257" s="419"/>
      <c r="S257" s="419"/>
      <c r="T257" s="420"/>
      <c r="U257" s="423"/>
      <c r="V257" s="420"/>
      <c r="W257" s="420"/>
      <c r="X257" s="419"/>
      <c r="Y257" s="419"/>
      <c r="Z257" s="423"/>
      <c r="AA257" s="423"/>
      <c r="AB257" s="419"/>
      <c r="AC257" s="423"/>
      <c r="AD257" s="420"/>
      <c r="AE257" s="423"/>
      <c r="AF257" s="444"/>
      <c r="AG257" s="419"/>
      <c r="AH257" s="420"/>
      <c r="AI257" s="420"/>
      <c r="AJ257" s="423"/>
      <c r="AK257" s="444"/>
      <c r="AL257" s="420"/>
      <c r="AM257" s="420"/>
      <c r="AN257" s="420"/>
      <c r="AO257" s="423"/>
      <c r="AP257" s="420"/>
      <c r="AQ257" s="419"/>
      <c r="AR257" s="420"/>
      <c r="AS257" s="420"/>
      <c r="AT257" s="420"/>
      <c r="AU257" s="420"/>
      <c r="AV257" s="420"/>
      <c r="AW257" s="420"/>
      <c r="AX257" s="426"/>
      <c r="AY257" s="420"/>
      <c r="AZ257" s="420"/>
      <c r="BA257" s="420"/>
      <c r="BB257" s="419"/>
      <c r="BC257" s="420"/>
      <c r="BD257" s="427"/>
      <c r="BE257" s="420"/>
      <c r="BF257" s="420"/>
      <c r="BG257" s="420"/>
      <c r="BH257" s="423"/>
      <c r="BI257" s="420"/>
      <c r="BJ257" s="420"/>
      <c r="BK257" s="420"/>
      <c r="BL257" s="420"/>
      <c r="BM257" s="420"/>
      <c r="BN257" s="420"/>
      <c r="BO257" s="419"/>
      <c r="BP257" s="428"/>
      <c r="BQ257" s="420"/>
      <c r="BR257" s="423"/>
      <c r="BS257" s="423"/>
      <c r="BT257" s="420"/>
      <c r="BU257" s="420"/>
      <c r="BV257" s="420"/>
      <c r="BW257" s="420"/>
      <c r="BX257" s="429"/>
      <c r="BY257" s="419"/>
      <c r="BZ257" s="419"/>
      <c r="CA257" s="419"/>
      <c r="CB257" s="420"/>
      <c r="CC257" s="430"/>
      <c r="CD257" s="419"/>
      <c r="CE257" s="419"/>
      <c r="CF257" s="419"/>
      <c r="CG257" s="420"/>
      <c r="CH257" s="423"/>
      <c r="CI257" s="432"/>
      <c r="CJ257" s="432"/>
      <c r="CK257" s="432"/>
      <c r="CL257" s="420"/>
      <c r="CM257" s="423"/>
      <c r="CN257" s="420"/>
      <c r="CO257" s="420"/>
      <c r="CP257" s="420"/>
      <c r="CQ257" s="432"/>
      <c r="CR257" s="432"/>
      <c r="CS257" s="420"/>
      <c r="CT257" s="420"/>
      <c r="CU257" s="420"/>
      <c r="CV257" s="420"/>
      <c r="CW257" s="420"/>
      <c r="CX257" s="419"/>
      <c r="CY257" s="419"/>
      <c r="CZ257" s="419"/>
      <c r="DA257" s="419"/>
      <c r="DB257" s="419"/>
      <c r="DC257" s="419"/>
      <c r="DD257" s="419"/>
      <c r="DE257" s="419"/>
      <c r="DF257" s="420"/>
      <c r="DG257" s="421"/>
      <c r="DH257" s="419"/>
      <c r="DI257" s="419"/>
      <c r="DJ257" s="419"/>
      <c r="DK257" s="420"/>
      <c r="DL257" s="422"/>
      <c r="DM257" s="420"/>
      <c r="DN257" s="420"/>
      <c r="DO257" s="420"/>
      <c r="DP257" s="420"/>
      <c r="DQ257" s="420"/>
      <c r="DR257" s="419"/>
      <c r="DS257" s="419"/>
      <c r="DT257" s="419"/>
      <c r="DU257" s="420"/>
      <c r="DV257" s="423"/>
      <c r="DW257" s="419"/>
      <c r="DX257" s="419"/>
      <c r="DY257" s="419"/>
      <c r="DZ257" s="420"/>
      <c r="EA257" s="423"/>
      <c r="EB257" s="419"/>
      <c r="EC257" s="419"/>
      <c r="ED257" s="420"/>
      <c r="EE257" s="419"/>
      <c r="EF257" s="420"/>
      <c r="EG257" s="419"/>
      <c r="EH257" s="419"/>
      <c r="EI257" s="419"/>
      <c r="EJ257" s="420"/>
      <c r="EK257" s="420"/>
      <c r="EL257" s="419"/>
      <c r="EN257" s="419"/>
      <c r="EO257" s="419"/>
      <c r="EP257" s="419"/>
      <c r="EQ257" s="419"/>
      <c r="ER257" s="419"/>
      <c r="ES257" s="419"/>
      <c r="ET257" s="419"/>
      <c r="EU257" s="419"/>
      <c r="EV257" s="419"/>
      <c r="EW257" s="419"/>
      <c r="EX257" s="419"/>
      <c r="EY257" s="419"/>
      <c r="EZ257" s="419"/>
      <c r="FA257" s="420"/>
      <c r="FB257" s="420"/>
      <c r="FC257" s="420"/>
      <c r="FD257" s="420"/>
      <c r="FE257" s="420"/>
      <c r="FF257" s="419"/>
      <c r="FG257" s="419"/>
      <c r="FH257" s="419"/>
      <c r="FI257" s="419"/>
      <c r="FJ257" s="419"/>
      <c r="FK257" s="419"/>
      <c r="FL257" s="419"/>
      <c r="FM257" s="419"/>
      <c r="FN257" s="420"/>
      <c r="FO257" s="423"/>
      <c r="FP257" s="431"/>
      <c r="FQ257" s="431"/>
      <c r="FR257" s="431"/>
      <c r="FS257" s="420"/>
      <c r="FT257" s="420"/>
      <c r="FU257" s="419"/>
      <c r="FV257" s="419"/>
      <c r="FW257" s="419"/>
      <c r="FX257" s="420"/>
      <c r="FY257" s="420"/>
      <c r="FZ257" s="419"/>
      <c r="GA257" s="419"/>
      <c r="GB257" s="419"/>
      <c r="GC257" s="420"/>
      <c r="GD257" s="420"/>
      <c r="GE257" s="419"/>
      <c r="GF257" s="419"/>
      <c r="GG257" s="419"/>
      <c r="GH257" s="420"/>
      <c r="GI257" s="423"/>
      <c r="GJ257" s="437"/>
      <c r="GK257" s="419"/>
      <c r="GL257" s="419"/>
      <c r="GM257" s="420"/>
      <c r="GN257" s="420"/>
      <c r="GO257" s="419"/>
      <c r="GP257" s="419"/>
      <c r="GQ257" s="419"/>
      <c r="GR257" s="420">
        <f t="shared" si="243"/>
        <v>0</v>
      </c>
      <c r="GS257" s="423">
        <f t="shared" si="239"/>
        <v>0</v>
      </c>
      <c r="GT257" s="419"/>
      <c r="GU257" s="419"/>
      <c r="GV257" s="419"/>
      <c r="GW257" s="420">
        <f t="shared" si="240"/>
        <v>0</v>
      </c>
      <c r="GX257" s="420">
        <f t="shared" si="241"/>
        <v>0</v>
      </c>
    </row>
    <row r="258" spans="1:206" ht="15">
      <c r="A258" s="414"/>
      <c r="B258" s="415" t="s">
        <v>598</v>
      </c>
      <c r="C258" s="698"/>
      <c r="D258" s="711"/>
      <c r="E258" s="434" t="s">
        <v>124</v>
      </c>
      <c r="F258" s="417">
        <v>0.09</v>
      </c>
      <c r="G258" s="418">
        <f t="shared" si="219"/>
        <v>0</v>
      </c>
      <c r="H258" s="418">
        <f t="shared" si="220"/>
        <v>0</v>
      </c>
      <c r="I258" s="418">
        <f t="shared" si="220"/>
        <v>0</v>
      </c>
      <c r="J258" s="418">
        <f t="shared" si="221"/>
        <v>0</v>
      </c>
      <c r="K258" s="418">
        <f t="shared" si="217"/>
        <v>0</v>
      </c>
      <c r="L258" s="418">
        <f t="shared" si="218"/>
        <v>0</v>
      </c>
      <c r="M258" s="424"/>
      <c r="N258" s="424"/>
      <c r="O258" s="424"/>
      <c r="P258" s="424"/>
      <c r="Q258" s="419"/>
      <c r="R258" s="419"/>
      <c r="S258" s="419"/>
      <c r="T258" s="420"/>
      <c r="U258" s="423"/>
      <c r="V258" s="420"/>
      <c r="W258" s="420"/>
      <c r="X258" s="419"/>
      <c r="Y258" s="419"/>
      <c r="Z258" s="423"/>
      <c r="AA258" s="423"/>
      <c r="AB258" s="419"/>
      <c r="AC258" s="423"/>
      <c r="AD258" s="420"/>
      <c r="AE258" s="423"/>
      <c r="AF258" s="444"/>
      <c r="AG258" s="419"/>
      <c r="AH258" s="420"/>
      <c r="AI258" s="420"/>
      <c r="AJ258" s="423"/>
      <c r="AK258" s="444"/>
      <c r="AL258" s="420"/>
      <c r="AM258" s="420"/>
      <c r="AN258" s="420"/>
      <c r="AO258" s="423"/>
      <c r="AP258" s="420"/>
      <c r="AQ258" s="419"/>
      <c r="AR258" s="420"/>
      <c r="AS258" s="420"/>
      <c r="AT258" s="420"/>
      <c r="AU258" s="420"/>
      <c r="AV258" s="420"/>
      <c r="AW258" s="420"/>
      <c r="AX258" s="426"/>
      <c r="AY258" s="420"/>
      <c r="AZ258" s="420"/>
      <c r="BA258" s="420"/>
      <c r="BB258" s="419"/>
      <c r="BC258" s="420"/>
      <c r="BD258" s="427"/>
      <c r="BE258" s="420"/>
      <c r="BF258" s="420"/>
      <c r="BG258" s="420"/>
      <c r="BH258" s="423"/>
      <c r="BI258" s="420"/>
      <c r="BJ258" s="420"/>
      <c r="BK258" s="420"/>
      <c r="BL258" s="420"/>
      <c r="BM258" s="420"/>
      <c r="BN258" s="420"/>
      <c r="BO258" s="419"/>
      <c r="BP258" s="428"/>
      <c r="BQ258" s="420"/>
      <c r="BR258" s="423"/>
      <c r="BS258" s="423"/>
      <c r="BT258" s="420"/>
      <c r="BU258" s="420"/>
      <c r="BV258" s="420"/>
      <c r="BW258" s="420"/>
      <c r="BX258" s="429"/>
      <c r="BY258" s="419"/>
      <c r="BZ258" s="419"/>
      <c r="CA258" s="419"/>
      <c r="CB258" s="420"/>
      <c r="CC258" s="430"/>
      <c r="CD258" s="419"/>
      <c r="CE258" s="419"/>
      <c r="CF258" s="419"/>
      <c r="CG258" s="420"/>
      <c r="CH258" s="423"/>
      <c r="CI258" s="432"/>
      <c r="CJ258" s="432"/>
      <c r="CK258" s="432"/>
      <c r="CL258" s="420"/>
      <c r="CM258" s="423"/>
      <c r="CN258" s="420"/>
      <c r="CO258" s="420"/>
      <c r="CP258" s="420"/>
      <c r="CQ258" s="432"/>
      <c r="CR258" s="432"/>
      <c r="CS258" s="420"/>
      <c r="CT258" s="420"/>
      <c r="CU258" s="420"/>
      <c r="CV258" s="420"/>
      <c r="CW258" s="420"/>
      <c r="CX258" s="419"/>
      <c r="CY258" s="419"/>
      <c r="CZ258" s="419"/>
      <c r="DA258" s="419"/>
      <c r="DB258" s="419"/>
      <c r="DC258" s="419"/>
      <c r="DD258" s="419"/>
      <c r="DE258" s="419"/>
      <c r="DF258" s="420"/>
      <c r="DG258" s="421"/>
      <c r="DH258" s="419"/>
      <c r="DI258" s="419"/>
      <c r="DJ258" s="419"/>
      <c r="DK258" s="420"/>
      <c r="DL258" s="422"/>
      <c r="DM258" s="420"/>
      <c r="DN258" s="420"/>
      <c r="DO258" s="420"/>
      <c r="DP258" s="420"/>
      <c r="DQ258" s="420"/>
      <c r="DR258" s="419"/>
      <c r="DS258" s="419"/>
      <c r="DT258" s="419"/>
      <c r="DU258" s="420"/>
      <c r="DV258" s="423"/>
      <c r="DW258" s="419"/>
      <c r="DX258" s="419"/>
      <c r="DY258" s="419"/>
      <c r="DZ258" s="420"/>
      <c r="EA258" s="423"/>
      <c r="EB258" s="419"/>
      <c r="EC258" s="419"/>
      <c r="ED258" s="420"/>
      <c r="EE258" s="419"/>
      <c r="EF258" s="420"/>
      <c r="EG258" s="419"/>
      <c r="EH258" s="419"/>
      <c r="EI258" s="419"/>
      <c r="EJ258" s="420"/>
      <c r="EK258" s="420"/>
      <c r="EL258" s="419"/>
      <c r="EN258" s="419"/>
      <c r="EO258" s="419"/>
      <c r="EP258" s="419"/>
      <c r="EQ258" s="419"/>
      <c r="ER258" s="419"/>
      <c r="ES258" s="419"/>
      <c r="ET258" s="419"/>
      <c r="EU258" s="419"/>
      <c r="EV258" s="419"/>
      <c r="EW258" s="419"/>
      <c r="EX258" s="419"/>
      <c r="EY258" s="419"/>
      <c r="EZ258" s="419"/>
      <c r="FA258" s="420"/>
      <c r="FB258" s="420"/>
      <c r="FC258" s="420"/>
      <c r="FD258" s="420"/>
      <c r="FE258" s="420"/>
      <c r="FF258" s="419"/>
      <c r="FG258" s="419"/>
      <c r="FH258" s="419"/>
      <c r="FI258" s="419"/>
      <c r="FJ258" s="419"/>
      <c r="FK258" s="419"/>
      <c r="FL258" s="419"/>
      <c r="FM258" s="419"/>
      <c r="FN258" s="420"/>
      <c r="FO258" s="423"/>
      <c r="FP258" s="431"/>
      <c r="FQ258" s="431"/>
      <c r="FR258" s="431"/>
      <c r="FS258" s="420"/>
      <c r="FT258" s="420"/>
      <c r="FU258" s="419"/>
      <c r="FV258" s="419"/>
      <c r="FW258" s="419"/>
      <c r="FX258" s="420"/>
      <c r="FY258" s="420"/>
      <c r="FZ258" s="419"/>
      <c r="GA258" s="419"/>
      <c r="GB258" s="419"/>
      <c r="GC258" s="420"/>
      <c r="GD258" s="420"/>
      <c r="GE258" s="419"/>
      <c r="GF258" s="419"/>
      <c r="GG258" s="419"/>
      <c r="GH258" s="420"/>
      <c r="GI258" s="423"/>
      <c r="GJ258" s="437"/>
      <c r="GK258" s="419"/>
      <c r="GL258" s="419"/>
      <c r="GM258" s="420"/>
      <c r="GN258" s="420"/>
      <c r="GO258" s="419"/>
      <c r="GP258" s="419"/>
      <c r="GQ258" s="419"/>
      <c r="GR258" s="420">
        <f t="shared" si="243"/>
        <v>0</v>
      </c>
      <c r="GS258" s="423">
        <f t="shared" si="239"/>
        <v>0</v>
      </c>
      <c r="GT258" s="419"/>
      <c r="GU258" s="419"/>
      <c r="GV258" s="419"/>
      <c r="GW258" s="420">
        <f t="shared" si="240"/>
        <v>0</v>
      </c>
      <c r="GX258" s="420">
        <f t="shared" si="241"/>
        <v>0</v>
      </c>
    </row>
    <row r="259" spans="1:206" ht="15">
      <c r="A259" s="414"/>
      <c r="B259" s="415" t="s">
        <v>598</v>
      </c>
      <c r="C259" s="699"/>
      <c r="D259" s="711"/>
      <c r="E259" s="434" t="s">
        <v>125</v>
      </c>
      <c r="F259" s="417">
        <v>0.06</v>
      </c>
      <c r="G259" s="418">
        <f t="shared" si="219"/>
        <v>197334.22</v>
      </c>
      <c r="H259" s="418">
        <f t="shared" si="220"/>
        <v>0</v>
      </c>
      <c r="I259" s="418">
        <f t="shared" si="220"/>
        <v>11840.05</v>
      </c>
      <c r="J259" s="418">
        <f t="shared" si="221"/>
        <v>197334.16666666701</v>
      </c>
      <c r="K259" s="418">
        <f t="shared" si="217"/>
        <v>197334.16666666701</v>
      </c>
      <c r="L259" s="418">
        <f t="shared" si="218"/>
        <v>-5.3333333344198798E-2</v>
      </c>
      <c r="M259" s="424"/>
      <c r="N259" s="424"/>
      <c r="O259" s="424"/>
      <c r="P259" s="424"/>
      <c r="Q259" s="419"/>
      <c r="R259" s="419"/>
      <c r="S259" s="419"/>
      <c r="T259" s="420"/>
      <c r="U259" s="423"/>
      <c r="V259" s="420"/>
      <c r="W259" s="420"/>
      <c r="X259" s="419"/>
      <c r="Y259" s="419"/>
      <c r="Z259" s="423"/>
      <c r="AA259" s="423"/>
      <c r="AB259" s="419"/>
      <c r="AC259" s="423"/>
      <c r="AD259" s="420"/>
      <c r="AE259" s="423"/>
      <c r="AF259" s="444"/>
      <c r="AG259" s="419"/>
      <c r="AH259" s="420"/>
      <c r="AI259" s="420"/>
      <c r="AJ259" s="423"/>
      <c r="AK259" s="444"/>
      <c r="AL259" s="420"/>
      <c r="AM259" s="420"/>
      <c r="AN259" s="420"/>
      <c r="AO259" s="423"/>
      <c r="AP259" s="420"/>
      <c r="AQ259" s="419"/>
      <c r="AR259" s="420"/>
      <c r="AS259" s="420"/>
      <c r="AT259" s="420"/>
      <c r="AU259" s="420"/>
      <c r="AV259" s="420"/>
      <c r="AW259" s="420"/>
      <c r="AX259" s="426"/>
      <c r="AY259" s="420"/>
      <c r="AZ259" s="420"/>
      <c r="BA259" s="420"/>
      <c r="BB259" s="419"/>
      <c r="BC259" s="420"/>
      <c r="BD259" s="427"/>
      <c r="BE259" s="420"/>
      <c r="BF259" s="420"/>
      <c r="BG259" s="420"/>
      <c r="BH259" s="423"/>
      <c r="BI259" s="420"/>
      <c r="BJ259" s="420"/>
      <c r="BK259" s="420"/>
      <c r="BL259" s="420"/>
      <c r="BM259" s="420"/>
      <c r="BN259" s="420"/>
      <c r="BO259" s="419"/>
      <c r="BP259" s="428"/>
      <c r="BQ259" s="420"/>
      <c r="BR259" s="423"/>
      <c r="BS259" s="423"/>
      <c r="BT259" s="420"/>
      <c r="BU259" s="420"/>
      <c r="BV259" s="420"/>
      <c r="BW259" s="420"/>
      <c r="BX259" s="429"/>
      <c r="BY259" s="419"/>
      <c r="BZ259" s="419"/>
      <c r="CA259" s="419"/>
      <c r="CB259" s="420"/>
      <c r="CC259" s="430"/>
      <c r="CD259" s="419"/>
      <c r="CE259" s="419"/>
      <c r="CF259" s="419"/>
      <c r="CG259" s="420"/>
      <c r="CH259" s="423"/>
      <c r="CI259" s="432"/>
      <c r="CJ259" s="432"/>
      <c r="CK259" s="432"/>
      <c r="CL259" s="420"/>
      <c r="CM259" s="423"/>
      <c r="CN259" s="420"/>
      <c r="CO259" s="420"/>
      <c r="CP259" s="420"/>
      <c r="CQ259" s="432"/>
      <c r="CR259" s="432"/>
      <c r="CS259" s="420"/>
      <c r="CT259" s="420"/>
      <c r="CU259" s="420"/>
      <c r="CV259" s="420"/>
      <c r="CW259" s="420"/>
      <c r="CX259" s="419"/>
      <c r="CY259" s="419"/>
      <c r="CZ259" s="419"/>
      <c r="DA259" s="419"/>
      <c r="DB259" s="419"/>
      <c r="DC259" s="419"/>
      <c r="DD259" s="419"/>
      <c r="DE259" s="419"/>
      <c r="DF259" s="420"/>
      <c r="DG259" s="421"/>
      <c r="DH259" s="419"/>
      <c r="DI259" s="419"/>
      <c r="DJ259" s="419"/>
      <c r="DK259" s="420"/>
      <c r="DL259" s="422"/>
      <c r="DM259" s="420"/>
      <c r="DN259" s="420"/>
      <c r="DO259" s="420"/>
      <c r="DP259" s="420"/>
      <c r="DQ259" s="420"/>
      <c r="DR259" s="419"/>
      <c r="DS259" s="419"/>
      <c r="DT259" s="419"/>
      <c r="DU259" s="420"/>
      <c r="DV259" s="423"/>
      <c r="DW259" s="419"/>
      <c r="DX259" s="419"/>
      <c r="DY259" s="419"/>
      <c r="DZ259" s="420"/>
      <c r="EA259" s="423"/>
      <c r="EB259" s="419"/>
      <c r="EC259" s="419"/>
      <c r="ED259" s="420"/>
      <c r="EE259" s="419"/>
      <c r="EF259" s="420"/>
      <c r="EG259" s="419"/>
      <c r="EH259" s="419"/>
      <c r="EI259" s="419"/>
      <c r="EJ259" s="420"/>
      <c r="EK259" s="420"/>
      <c r="EL259" s="419"/>
      <c r="EN259" s="419"/>
      <c r="EO259" s="419"/>
      <c r="EP259" s="419"/>
      <c r="EQ259" s="419"/>
      <c r="ER259" s="419"/>
      <c r="ES259" s="419"/>
      <c r="ET259" s="419"/>
      <c r="EU259" s="419"/>
      <c r="EV259" s="419"/>
      <c r="EW259" s="419"/>
      <c r="EX259" s="419"/>
      <c r="EY259" s="419"/>
      <c r="EZ259" s="419"/>
      <c r="FA259" s="420"/>
      <c r="FB259" s="420"/>
      <c r="FC259" s="420"/>
      <c r="FD259" s="420"/>
      <c r="FE259" s="420"/>
      <c r="FF259" s="419"/>
      <c r="FG259" s="419"/>
      <c r="FH259" s="419"/>
      <c r="FI259" s="419"/>
      <c r="FJ259" s="419"/>
      <c r="FK259" s="419"/>
      <c r="FL259" s="419"/>
      <c r="FM259" s="419"/>
      <c r="FN259" s="420"/>
      <c r="FO259" s="423"/>
      <c r="FP259" s="431"/>
      <c r="FQ259" s="431"/>
      <c r="FR259" s="431"/>
      <c r="FS259" s="420"/>
      <c r="FT259" s="420"/>
      <c r="FU259" s="419"/>
      <c r="FV259" s="419"/>
      <c r="FW259" s="419"/>
      <c r="FX259" s="420"/>
      <c r="FY259" s="420"/>
      <c r="FZ259" s="419"/>
      <c r="GA259" s="419"/>
      <c r="GB259" s="419"/>
      <c r="GC259" s="420"/>
      <c r="GD259" s="420"/>
      <c r="GE259" s="419"/>
      <c r="GF259" s="419"/>
      <c r="GG259" s="419"/>
      <c r="GH259" s="420"/>
      <c r="GI259" s="423"/>
      <c r="GJ259" s="437"/>
      <c r="GK259" s="419"/>
      <c r="GL259" s="419"/>
      <c r="GM259" s="420"/>
      <c r="GN259" s="420"/>
      <c r="GO259" s="419">
        <v>12998.5</v>
      </c>
      <c r="GP259" s="419"/>
      <c r="GQ259" s="419">
        <v>779.91</v>
      </c>
      <c r="GR259" s="420">
        <f t="shared" si="243"/>
        <v>12998.5</v>
      </c>
      <c r="GS259" s="423">
        <f t="shared" si="239"/>
        <v>0</v>
      </c>
      <c r="GT259" s="419">
        <v>184335.72</v>
      </c>
      <c r="GU259" s="419"/>
      <c r="GV259" s="419">
        <v>11060.14</v>
      </c>
      <c r="GW259" s="420">
        <f t="shared" si="240"/>
        <v>184335.67</v>
      </c>
      <c r="GX259" s="420">
        <f t="shared" si="241"/>
        <v>-4.9999999988358503E-2</v>
      </c>
    </row>
    <row r="260" spans="1:206" ht="15">
      <c r="A260" s="414"/>
      <c r="B260" s="415" t="s">
        <v>600</v>
      </c>
      <c r="C260" s="700" t="s">
        <v>601</v>
      </c>
      <c r="D260" s="704" t="s">
        <v>171</v>
      </c>
      <c r="E260" s="434" t="s">
        <v>123</v>
      </c>
      <c r="F260" s="417">
        <v>0.13</v>
      </c>
      <c r="G260" s="418">
        <f t="shared" ref="G260:G323" si="244">SUM(M260,P260:Q260,V260,AA260,AF260,AK260,AP260,AU260,AZ260,BE260,BJ260,BO260,BT260,BY260,CD260,CI260,CN260,CS260,CX260,DC260,DH260,DM260,DR260,DW260,EB260,EG260,EL260,EQ260,EV260,FA260,FF260,FK260,FP260,FU260,FZ260,GE260,GJ260,GO260,GT260)</f>
        <v>774185.03</v>
      </c>
      <c r="H260" s="418">
        <f t="shared" ref="H260:I323" si="245">SUM(N260,R260,W260,AB260,AG260,AL260,AQ260,AV260,BA260,BF260,BK260,BP260,BU260,BZ260,CE260,CJ260,CO260,CT260,CY260,DD260,DI260,DN260,DS260,DX260,EC260,EH260,EM260,ER260,EW260,FB260,FG260,FL260,FQ260,FV260,GA260,GF260,GK260,GP260,GU260)</f>
        <v>16703919.550000001</v>
      </c>
      <c r="I260" s="418">
        <f t="shared" si="245"/>
        <v>100644.05</v>
      </c>
      <c r="J260" s="418">
        <f t="shared" si="221"/>
        <v>774185</v>
      </c>
      <c r="K260" s="418">
        <f t="shared" si="217"/>
        <v>-15929734.550000001</v>
      </c>
      <c r="L260" s="418">
        <f t="shared" si="218"/>
        <v>-3.0000000027939702E-2</v>
      </c>
      <c r="M260" s="424"/>
      <c r="N260" s="424"/>
      <c r="O260" s="424"/>
      <c r="P260" s="424"/>
      <c r="Q260" s="419"/>
      <c r="R260" s="419"/>
      <c r="S260" s="419"/>
      <c r="T260" s="420"/>
      <c r="U260" s="423"/>
      <c r="V260" s="420"/>
      <c r="W260" s="420"/>
      <c r="X260" s="419"/>
      <c r="Y260" s="419"/>
      <c r="Z260" s="423"/>
      <c r="AA260" s="423"/>
      <c r="AB260" s="419"/>
      <c r="AC260" s="423"/>
      <c r="AD260" s="420"/>
      <c r="AE260" s="423"/>
      <c r="AF260" s="444"/>
      <c r="AG260" s="419"/>
      <c r="AH260" s="420"/>
      <c r="AI260" s="420"/>
      <c r="AJ260" s="423"/>
      <c r="AK260" s="444"/>
      <c r="AL260" s="420"/>
      <c r="AM260" s="420"/>
      <c r="AN260" s="420"/>
      <c r="AO260" s="423"/>
      <c r="AP260" s="420"/>
      <c r="AQ260" s="419"/>
      <c r="AR260" s="420"/>
      <c r="AS260" s="420"/>
      <c r="AT260" s="420"/>
      <c r="AU260" s="420"/>
      <c r="AV260" s="420"/>
      <c r="AW260" s="420"/>
      <c r="AX260" s="426"/>
      <c r="AY260" s="420"/>
      <c r="AZ260" s="420"/>
      <c r="BA260" s="420"/>
      <c r="BB260" s="419"/>
      <c r="BC260" s="420"/>
      <c r="BD260" s="427"/>
      <c r="BE260" s="420"/>
      <c r="BF260" s="420"/>
      <c r="BG260" s="420"/>
      <c r="BH260" s="423"/>
      <c r="BI260" s="420"/>
      <c r="BJ260" s="420"/>
      <c r="BK260" s="420"/>
      <c r="BL260" s="420"/>
      <c r="BM260" s="420"/>
      <c r="BN260" s="420"/>
      <c r="BO260" s="419"/>
      <c r="BP260" s="428"/>
      <c r="BQ260" s="420"/>
      <c r="BR260" s="423"/>
      <c r="BS260" s="423"/>
      <c r="BT260" s="420"/>
      <c r="BU260" s="420"/>
      <c r="BV260" s="420"/>
      <c r="BW260" s="420"/>
      <c r="BX260" s="429"/>
      <c r="BY260" s="419"/>
      <c r="BZ260" s="419"/>
      <c r="CA260" s="419"/>
      <c r="CB260" s="420"/>
      <c r="CC260" s="430"/>
      <c r="CD260" s="419"/>
      <c r="CE260" s="419"/>
      <c r="CF260" s="419"/>
      <c r="CG260" s="420"/>
      <c r="CH260" s="423"/>
      <c r="CI260" s="432"/>
      <c r="CJ260" s="432"/>
      <c r="CK260" s="432"/>
      <c r="CL260" s="420"/>
      <c r="CM260" s="423"/>
      <c r="CN260" s="420"/>
      <c r="CO260" s="420"/>
      <c r="CP260" s="420"/>
      <c r="CQ260" s="432"/>
      <c r="CR260" s="432"/>
      <c r="CS260" s="420"/>
      <c r="CT260" s="420"/>
      <c r="CU260" s="420"/>
      <c r="CV260" s="420"/>
      <c r="CW260" s="420"/>
      <c r="CX260" s="419"/>
      <c r="CY260" s="419"/>
      <c r="CZ260" s="419"/>
      <c r="DA260" s="419"/>
      <c r="DB260" s="419"/>
      <c r="DC260" s="419"/>
      <c r="DD260" s="419"/>
      <c r="DE260" s="419"/>
      <c r="DF260" s="420"/>
      <c r="DG260" s="421"/>
      <c r="DH260" s="419"/>
      <c r="DI260" s="419"/>
      <c r="DJ260" s="419"/>
      <c r="DK260" s="420"/>
      <c r="DL260" s="422"/>
      <c r="DM260" s="420"/>
      <c r="DN260" s="420"/>
      <c r="DO260" s="420"/>
      <c r="DP260" s="420"/>
      <c r="DQ260" s="420"/>
      <c r="DR260" s="419"/>
      <c r="DS260" s="419"/>
      <c r="DT260" s="419"/>
      <c r="DU260" s="420"/>
      <c r="DV260" s="423"/>
      <c r="DW260" s="419"/>
      <c r="DX260" s="419"/>
      <c r="DY260" s="419"/>
      <c r="DZ260" s="420"/>
      <c r="EA260" s="423"/>
      <c r="EB260" s="419"/>
      <c r="EC260" s="419"/>
      <c r="ED260" s="420"/>
      <c r="EE260" s="419"/>
      <c r="EF260" s="420"/>
      <c r="EG260" s="419"/>
      <c r="EH260" s="419"/>
      <c r="EI260" s="419"/>
      <c r="EJ260" s="420"/>
      <c r="EK260" s="420"/>
      <c r="EL260" s="419"/>
      <c r="EN260" s="419"/>
      <c r="EO260" s="419"/>
      <c r="EP260" s="419"/>
      <c r="EQ260" s="419"/>
      <c r="ER260" s="419"/>
      <c r="ES260" s="419"/>
      <c r="ET260" s="419"/>
      <c r="EU260" s="419"/>
      <c r="EV260" s="419"/>
      <c r="EW260" s="419"/>
      <c r="EX260" s="419"/>
      <c r="EY260" s="419"/>
      <c r="EZ260" s="419"/>
      <c r="FA260" s="420"/>
      <c r="FB260" s="420"/>
      <c r="FC260" s="420"/>
      <c r="FD260" s="420"/>
      <c r="FE260" s="420"/>
      <c r="FF260" s="419"/>
      <c r="FG260" s="419"/>
      <c r="FH260" s="419"/>
      <c r="FI260" s="419"/>
      <c r="FJ260" s="419"/>
      <c r="FK260" s="419"/>
      <c r="FL260" s="419"/>
      <c r="FM260" s="419"/>
      <c r="FN260" s="420"/>
      <c r="FO260" s="423"/>
      <c r="FP260" s="431"/>
      <c r="FQ260" s="431"/>
      <c r="FR260" s="431"/>
      <c r="FS260" s="420"/>
      <c r="FT260" s="420"/>
      <c r="FU260" s="419"/>
      <c r="FV260" s="419"/>
      <c r="FW260" s="419"/>
      <c r="FX260" s="420"/>
      <c r="FY260" s="420"/>
      <c r="FZ260" s="419"/>
      <c r="GA260" s="420">
        <v>5004424.78</v>
      </c>
      <c r="GB260" s="419"/>
      <c r="GC260" s="420">
        <f t="shared" si="233"/>
        <v>0</v>
      </c>
      <c r="GD260" s="420">
        <f t="shared" si="234"/>
        <v>0</v>
      </c>
      <c r="GE260" s="419"/>
      <c r="GF260" s="419"/>
      <c r="GG260" s="419"/>
      <c r="GH260" s="420">
        <f t="shared" si="235"/>
        <v>0</v>
      </c>
      <c r="GI260" s="423">
        <f t="shared" si="236"/>
        <v>0</v>
      </c>
      <c r="GJ260" s="419">
        <f>490469.03+283716</f>
        <v>774185.03</v>
      </c>
      <c r="GK260" s="419">
        <f>490469.03+283716+1730619.47</f>
        <v>2504804.5</v>
      </c>
      <c r="GL260" s="419">
        <f>63760.97+36883.08</f>
        <v>100644.05</v>
      </c>
      <c r="GM260" s="420">
        <f t="shared" si="237"/>
        <v>774185</v>
      </c>
      <c r="GN260" s="420">
        <f t="shared" si="238"/>
        <v>-3.0000000027939702E-2</v>
      </c>
      <c r="GO260" s="419"/>
      <c r="GP260" s="420">
        <v>9194690.2699999996</v>
      </c>
      <c r="GQ260" s="419"/>
      <c r="GR260" s="420">
        <f t="shared" si="243"/>
        <v>0</v>
      </c>
      <c r="GS260" s="423">
        <f t="shared" ref="GS260:GS323" si="246">GR260-GO260</f>
        <v>0</v>
      </c>
      <c r="GT260" s="419"/>
      <c r="GU260" s="419"/>
      <c r="GV260" s="419"/>
      <c r="GW260" s="420">
        <f t="shared" ref="GW260:GW323" si="247">ROUND(GV260/F260,2)</f>
        <v>0</v>
      </c>
      <c r="GX260" s="420">
        <f t="shared" ref="GX260:GX323" si="248">GW260-GT260</f>
        <v>0</v>
      </c>
    </row>
    <row r="261" spans="1:206" ht="15">
      <c r="A261" s="414"/>
      <c r="B261" s="415" t="s">
        <v>602</v>
      </c>
      <c r="C261" s="700"/>
      <c r="D261" s="705"/>
      <c r="E261" s="434" t="s">
        <v>124</v>
      </c>
      <c r="F261" s="417">
        <v>0.09</v>
      </c>
      <c r="G261" s="418">
        <f t="shared" si="244"/>
        <v>30280168.530000001</v>
      </c>
      <c r="H261" s="418">
        <f t="shared" si="245"/>
        <v>1441124.37</v>
      </c>
      <c r="I261" s="418">
        <f t="shared" si="245"/>
        <v>2725215.17</v>
      </c>
      <c r="J261" s="418">
        <f t="shared" si="221"/>
        <v>30280168.555555601</v>
      </c>
      <c r="K261" s="418">
        <f t="shared" si="217"/>
        <v>28839044.1855556</v>
      </c>
      <c r="L261" s="418">
        <f t="shared" si="218"/>
        <v>2.5555558502674099E-2</v>
      </c>
      <c r="M261" s="424"/>
      <c r="N261" s="424"/>
      <c r="O261" s="424"/>
      <c r="P261" s="424"/>
      <c r="Q261" s="419"/>
      <c r="R261" s="419"/>
      <c r="S261" s="419"/>
      <c r="T261" s="420"/>
      <c r="U261" s="423"/>
      <c r="V261" s="420"/>
      <c r="W261" s="420"/>
      <c r="X261" s="419"/>
      <c r="Y261" s="419"/>
      <c r="Z261" s="423"/>
      <c r="AA261" s="423"/>
      <c r="AB261" s="419"/>
      <c r="AC261" s="423"/>
      <c r="AD261" s="420"/>
      <c r="AE261" s="423"/>
      <c r="AF261" s="444"/>
      <c r="AG261" s="419"/>
      <c r="AH261" s="420"/>
      <c r="AI261" s="420"/>
      <c r="AJ261" s="423"/>
      <c r="AK261" s="444"/>
      <c r="AL261" s="420"/>
      <c r="AM261" s="420"/>
      <c r="AN261" s="420"/>
      <c r="AO261" s="423"/>
      <c r="AP261" s="420"/>
      <c r="AQ261" s="419"/>
      <c r="AR261" s="420"/>
      <c r="AS261" s="420"/>
      <c r="AT261" s="420"/>
      <c r="AU261" s="420"/>
      <c r="AV261" s="420"/>
      <c r="AW261" s="420"/>
      <c r="AX261" s="426"/>
      <c r="AY261" s="420"/>
      <c r="AZ261" s="420"/>
      <c r="BA261" s="420"/>
      <c r="BB261" s="419"/>
      <c r="BC261" s="420"/>
      <c r="BD261" s="427"/>
      <c r="BE261" s="420"/>
      <c r="BF261" s="420"/>
      <c r="BG261" s="420"/>
      <c r="BH261" s="423"/>
      <c r="BI261" s="420"/>
      <c r="BJ261" s="420"/>
      <c r="BK261" s="420"/>
      <c r="BL261" s="420"/>
      <c r="BM261" s="420"/>
      <c r="BN261" s="420"/>
      <c r="BO261" s="419"/>
      <c r="BP261" s="428"/>
      <c r="BQ261" s="420"/>
      <c r="BR261" s="423"/>
      <c r="BS261" s="423"/>
      <c r="BT261" s="420"/>
      <c r="BU261" s="420"/>
      <c r="BV261" s="420"/>
      <c r="BW261" s="420"/>
      <c r="BX261" s="429"/>
      <c r="BY261" s="419"/>
      <c r="BZ261" s="419"/>
      <c r="CA261" s="419"/>
      <c r="CB261" s="420"/>
      <c r="CC261" s="430"/>
      <c r="CD261" s="419"/>
      <c r="CE261" s="419"/>
      <c r="CF261" s="419"/>
      <c r="CG261" s="420"/>
      <c r="CH261" s="423"/>
      <c r="CI261" s="432"/>
      <c r="CJ261" s="432"/>
      <c r="CK261" s="432"/>
      <c r="CL261" s="420"/>
      <c r="CM261" s="423"/>
      <c r="CN261" s="420"/>
      <c r="CO261" s="420"/>
      <c r="CP261" s="420"/>
      <c r="CQ261" s="432"/>
      <c r="CR261" s="432"/>
      <c r="CS261" s="420"/>
      <c r="CT261" s="420"/>
      <c r="CU261" s="420"/>
      <c r="CV261" s="420"/>
      <c r="CW261" s="420"/>
      <c r="CX261" s="419"/>
      <c r="CY261" s="419"/>
      <c r="CZ261" s="419"/>
      <c r="DA261" s="419"/>
      <c r="DB261" s="419"/>
      <c r="DC261" s="419"/>
      <c r="DD261" s="419"/>
      <c r="DE261" s="419"/>
      <c r="DF261" s="420"/>
      <c r="DG261" s="421"/>
      <c r="DH261" s="419"/>
      <c r="DI261" s="419"/>
      <c r="DJ261" s="419"/>
      <c r="DK261" s="420"/>
      <c r="DL261" s="422"/>
      <c r="DM261" s="420"/>
      <c r="DN261" s="420"/>
      <c r="DO261" s="420"/>
      <c r="DP261" s="420"/>
      <c r="DQ261" s="420"/>
      <c r="DR261" s="419"/>
      <c r="DS261" s="419"/>
      <c r="DT261" s="419"/>
      <c r="DU261" s="420"/>
      <c r="DV261" s="423"/>
      <c r="DW261" s="419"/>
      <c r="DX261" s="419"/>
      <c r="DY261" s="419"/>
      <c r="DZ261" s="420"/>
      <c r="EA261" s="423"/>
      <c r="EB261" s="419"/>
      <c r="EC261" s="419"/>
      <c r="ED261" s="420"/>
      <c r="EE261" s="419"/>
      <c r="EF261" s="420"/>
      <c r="EG261" s="419"/>
      <c r="EH261" s="419"/>
      <c r="EI261" s="419"/>
      <c r="EJ261" s="420"/>
      <c r="EK261" s="420"/>
      <c r="EL261" s="419"/>
      <c r="EN261" s="419"/>
      <c r="EO261" s="419"/>
      <c r="EP261" s="419"/>
      <c r="EQ261" s="419"/>
      <c r="ER261" s="419"/>
      <c r="ES261" s="419"/>
      <c r="ET261" s="419"/>
      <c r="EU261" s="419"/>
      <c r="EV261" s="419"/>
      <c r="EW261" s="419"/>
      <c r="EX261" s="419"/>
      <c r="EY261" s="419"/>
      <c r="EZ261" s="419"/>
      <c r="FA261" s="420"/>
      <c r="FB261" s="420"/>
      <c r="FC261" s="420"/>
      <c r="FD261" s="420"/>
      <c r="FE261" s="420"/>
      <c r="FF261" s="419"/>
      <c r="FG261" s="419"/>
      <c r="FH261" s="419"/>
      <c r="FI261" s="419"/>
      <c r="FJ261" s="419"/>
      <c r="FK261" s="419"/>
      <c r="FL261" s="419"/>
      <c r="FM261" s="419"/>
      <c r="FN261" s="420"/>
      <c r="FO261" s="423"/>
      <c r="FP261" s="431"/>
      <c r="FQ261" s="431"/>
      <c r="FR261" s="431"/>
      <c r="FS261" s="420"/>
      <c r="FT261" s="420"/>
      <c r="FU261" s="419"/>
      <c r="FV261" s="419"/>
      <c r="FW261" s="419"/>
      <c r="FX261" s="420"/>
      <c r="FY261" s="420"/>
      <c r="FZ261" s="419">
        <v>18300396.02</v>
      </c>
      <c r="GA261" s="419"/>
      <c r="GB261" s="419">
        <v>1647035.64</v>
      </c>
      <c r="GC261" s="420">
        <f t="shared" si="233"/>
        <v>18300396</v>
      </c>
      <c r="GD261" s="420">
        <f t="shared" si="234"/>
        <v>-1.9999999552965199E-2</v>
      </c>
      <c r="GE261" s="419">
        <v>11251492.18</v>
      </c>
      <c r="GF261" s="419"/>
      <c r="GG261" s="419">
        <v>1012634.3</v>
      </c>
      <c r="GH261" s="420">
        <f t="shared" si="235"/>
        <v>11251492.2222222</v>
      </c>
      <c r="GI261" s="423">
        <f t="shared" si="236"/>
        <v>4.2222224175930002E-2</v>
      </c>
      <c r="GJ261" s="419">
        <f>612684+115596.33</f>
        <v>728280.33</v>
      </c>
      <c r="GK261" s="419">
        <f>612684+115596.33+712844.04</f>
        <v>1441124.37</v>
      </c>
      <c r="GL261" s="419">
        <f>55141.56+10403.67</f>
        <v>65545.23</v>
      </c>
      <c r="GM261" s="420">
        <f t="shared" si="237"/>
        <v>728280.33333333302</v>
      </c>
      <c r="GN261" s="420">
        <f t="shared" si="238"/>
        <v>3.3333334140479599E-3</v>
      </c>
      <c r="GO261" s="419"/>
      <c r="GP261" s="419"/>
      <c r="GQ261" s="419"/>
      <c r="GR261" s="420">
        <f t="shared" ref="GR261:GR324" si="249">GQ261/F261</f>
        <v>0</v>
      </c>
      <c r="GS261" s="423">
        <f t="shared" si="246"/>
        <v>0</v>
      </c>
      <c r="GT261" s="419"/>
      <c r="GU261" s="419"/>
      <c r="GV261" s="419"/>
      <c r="GW261" s="420">
        <f t="shared" si="247"/>
        <v>0</v>
      </c>
      <c r="GX261" s="420">
        <f t="shared" si="248"/>
        <v>0</v>
      </c>
    </row>
    <row r="262" spans="1:206" ht="15">
      <c r="A262" s="414"/>
      <c r="B262" s="415" t="s">
        <v>603</v>
      </c>
      <c r="C262" s="700"/>
      <c r="D262" s="707"/>
      <c r="E262" s="434" t="s">
        <v>125</v>
      </c>
      <c r="F262" s="417">
        <v>0.06</v>
      </c>
      <c r="G262" s="418">
        <f t="shared" si="244"/>
        <v>3449202.4004138899</v>
      </c>
      <c r="H262" s="418">
        <f t="shared" si="245"/>
        <v>0</v>
      </c>
      <c r="I262" s="418">
        <f t="shared" si="245"/>
        <v>206952.14</v>
      </c>
      <c r="J262" s="418">
        <f t="shared" si="221"/>
        <v>3449202.3333333302</v>
      </c>
      <c r="K262" s="418">
        <f t="shared" si="217"/>
        <v>3449202.3333333302</v>
      </c>
      <c r="L262" s="418">
        <f t="shared" si="218"/>
        <v>-6.7080554086714997E-2</v>
      </c>
      <c r="M262" s="424"/>
      <c r="N262" s="424"/>
      <c r="O262" s="424"/>
      <c r="P262" s="424"/>
      <c r="Q262" s="419"/>
      <c r="R262" s="419"/>
      <c r="S262" s="419"/>
      <c r="T262" s="420"/>
      <c r="U262" s="423"/>
      <c r="V262" s="420"/>
      <c r="W262" s="420"/>
      <c r="X262" s="419"/>
      <c r="Y262" s="419"/>
      <c r="Z262" s="423"/>
      <c r="AA262" s="423"/>
      <c r="AB262" s="419"/>
      <c r="AC262" s="423"/>
      <c r="AD262" s="420"/>
      <c r="AE262" s="423"/>
      <c r="AF262" s="444"/>
      <c r="AG262" s="419"/>
      <c r="AH262" s="420"/>
      <c r="AI262" s="420"/>
      <c r="AJ262" s="423"/>
      <c r="AK262" s="444"/>
      <c r="AL262" s="420"/>
      <c r="AM262" s="420"/>
      <c r="AN262" s="420"/>
      <c r="AO262" s="423"/>
      <c r="AP262" s="420"/>
      <c r="AQ262" s="419"/>
      <c r="AR262" s="420"/>
      <c r="AS262" s="420"/>
      <c r="AT262" s="420"/>
      <c r="AU262" s="420"/>
      <c r="AV262" s="420"/>
      <c r="AW262" s="420"/>
      <c r="AX262" s="426"/>
      <c r="AY262" s="420"/>
      <c r="AZ262" s="420"/>
      <c r="BA262" s="420"/>
      <c r="BB262" s="419"/>
      <c r="BC262" s="420"/>
      <c r="BD262" s="427"/>
      <c r="BE262" s="420"/>
      <c r="BF262" s="420"/>
      <c r="BG262" s="420"/>
      <c r="BH262" s="423"/>
      <c r="BI262" s="420"/>
      <c r="BJ262" s="420"/>
      <c r="BK262" s="420"/>
      <c r="BL262" s="420"/>
      <c r="BM262" s="420"/>
      <c r="BN262" s="420"/>
      <c r="BO262" s="419"/>
      <c r="BP262" s="428"/>
      <c r="BQ262" s="420"/>
      <c r="BR262" s="423"/>
      <c r="BS262" s="423"/>
      <c r="BT262" s="420"/>
      <c r="BU262" s="420"/>
      <c r="BV262" s="420"/>
      <c r="BW262" s="420"/>
      <c r="BX262" s="429"/>
      <c r="BY262" s="419"/>
      <c r="BZ262" s="419"/>
      <c r="CA262" s="419"/>
      <c r="CB262" s="420"/>
      <c r="CC262" s="430"/>
      <c r="CD262" s="419"/>
      <c r="CE262" s="419"/>
      <c r="CF262" s="419"/>
      <c r="CG262" s="420"/>
      <c r="CH262" s="423"/>
      <c r="CI262" s="432"/>
      <c r="CJ262" s="432"/>
      <c r="CK262" s="432"/>
      <c r="CL262" s="420"/>
      <c r="CM262" s="423"/>
      <c r="CN262" s="420"/>
      <c r="CO262" s="420"/>
      <c r="CP262" s="420"/>
      <c r="CQ262" s="432"/>
      <c r="CR262" s="432"/>
      <c r="CS262" s="420"/>
      <c r="CT262" s="420"/>
      <c r="CU262" s="420"/>
      <c r="CV262" s="420"/>
      <c r="CW262" s="420"/>
      <c r="CX262" s="419"/>
      <c r="CY262" s="419"/>
      <c r="CZ262" s="419"/>
      <c r="DA262" s="419"/>
      <c r="DB262" s="419"/>
      <c r="DC262" s="419"/>
      <c r="DD262" s="419"/>
      <c r="DE262" s="419"/>
      <c r="DF262" s="420"/>
      <c r="DG262" s="421"/>
      <c r="DH262" s="419"/>
      <c r="DI262" s="419"/>
      <c r="DJ262" s="419"/>
      <c r="DK262" s="420"/>
      <c r="DL262" s="422"/>
      <c r="DM262" s="420"/>
      <c r="DN262" s="420"/>
      <c r="DO262" s="420"/>
      <c r="DP262" s="420"/>
      <c r="DQ262" s="420"/>
      <c r="DR262" s="419"/>
      <c r="DS262" s="419"/>
      <c r="DT262" s="419"/>
      <c r="DU262" s="420"/>
      <c r="DV262" s="423"/>
      <c r="DW262" s="419"/>
      <c r="DX262" s="419"/>
      <c r="DY262" s="419"/>
      <c r="DZ262" s="420"/>
      <c r="EA262" s="423"/>
      <c r="EB262" s="419"/>
      <c r="EC262" s="419"/>
      <c r="ED262" s="420"/>
      <c r="EE262" s="419"/>
      <c r="EF262" s="420"/>
      <c r="EG262" s="419"/>
      <c r="EH262" s="419"/>
      <c r="EI262" s="419"/>
      <c r="EJ262" s="420"/>
      <c r="EK262" s="420"/>
      <c r="EL262" s="419"/>
      <c r="EN262" s="419"/>
      <c r="EO262" s="419"/>
      <c r="EP262" s="419"/>
      <c r="EQ262" s="419"/>
      <c r="ER262" s="419"/>
      <c r="ES262" s="419"/>
      <c r="ET262" s="419"/>
      <c r="EU262" s="419"/>
      <c r="EV262" s="419"/>
      <c r="EW262" s="419"/>
      <c r="EX262" s="419"/>
      <c r="EY262" s="419"/>
      <c r="EZ262" s="419"/>
      <c r="FA262" s="420"/>
      <c r="FB262" s="420"/>
      <c r="FC262" s="420"/>
      <c r="FD262" s="420"/>
      <c r="FE262" s="420"/>
      <c r="FF262" s="419"/>
      <c r="FG262" s="419"/>
      <c r="FH262" s="419"/>
      <c r="FI262" s="419"/>
      <c r="FJ262" s="419"/>
      <c r="FK262" s="419"/>
      <c r="FL262" s="419"/>
      <c r="FM262" s="419"/>
      <c r="FN262" s="420"/>
      <c r="FO262" s="423"/>
      <c r="FP262" s="431"/>
      <c r="FQ262" s="431"/>
      <c r="FR262" s="431"/>
      <c r="FS262" s="420"/>
      <c r="FT262" s="420"/>
      <c r="FU262" s="419"/>
      <c r="FV262" s="419"/>
      <c r="FW262" s="419"/>
      <c r="FX262" s="420"/>
      <c r="FY262" s="420"/>
      <c r="FZ262" s="419"/>
      <c r="GA262" s="419"/>
      <c r="GB262" s="419"/>
      <c r="GC262" s="420">
        <f t="shared" si="233"/>
        <v>0</v>
      </c>
      <c r="GD262" s="420">
        <f t="shared" si="234"/>
        <v>0</v>
      </c>
      <c r="GE262" s="419"/>
      <c r="GF262" s="419"/>
      <c r="GG262" s="419"/>
      <c r="GH262" s="420">
        <f t="shared" si="235"/>
        <v>0</v>
      </c>
      <c r="GI262" s="423">
        <f t="shared" si="236"/>
        <v>0</v>
      </c>
      <c r="GJ262" s="419">
        <v>10891.900413887501</v>
      </c>
      <c r="GK262" s="419"/>
      <c r="GL262" s="419">
        <v>653.51</v>
      </c>
      <c r="GM262" s="420">
        <f t="shared" si="237"/>
        <v>10891.833333333299</v>
      </c>
      <c r="GN262" s="420">
        <f t="shared" si="238"/>
        <v>-6.7080554166750503E-2</v>
      </c>
      <c r="GO262" s="419">
        <v>3324489.55</v>
      </c>
      <c r="GP262" s="419"/>
      <c r="GQ262" s="419">
        <v>199469.37</v>
      </c>
      <c r="GR262" s="420">
        <f t="shared" si="249"/>
        <v>3324489.5</v>
      </c>
      <c r="GS262" s="423">
        <f t="shared" si="246"/>
        <v>-4.9999999813735499E-2</v>
      </c>
      <c r="GT262" s="419">
        <v>113820.95</v>
      </c>
      <c r="GU262" s="419"/>
      <c r="GV262" s="419">
        <v>6829.26</v>
      </c>
      <c r="GW262" s="420">
        <f t="shared" si="247"/>
        <v>113821</v>
      </c>
      <c r="GX262" s="420">
        <f t="shared" si="248"/>
        <v>5.0000000002910397E-2</v>
      </c>
    </row>
    <row r="263" spans="1:206" ht="15">
      <c r="A263" s="414"/>
      <c r="B263" s="415"/>
      <c r="C263" s="697" t="s">
        <v>604</v>
      </c>
      <c r="D263" s="467" t="s">
        <v>605</v>
      </c>
      <c r="E263" s="460" t="s">
        <v>604</v>
      </c>
      <c r="F263" s="461">
        <v>0.13</v>
      </c>
      <c r="G263" s="418">
        <f t="shared" si="244"/>
        <v>43875574.399999999</v>
      </c>
      <c r="H263" s="418">
        <f t="shared" si="245"/>
        <v>43875574.390000001</v>
      </c>
      <c r="I263" s="418">
        <f t="shared" si="245"/>
        <v>5703824.6969999997</v>
      </c>
      <c r="J263" s="418">
        <f t="shared" si="221"/>
        <v>43875574.592307702</v>
      </c>
      <c r="K263" s="418">
        <f>I263/F263-H263</f>
        <v>0.202307693660259</v>
      </c>
      <c r="L263" s="418">
        <f t="shared" si="218"/>
        <v>0.19230769574642201</v>
      </c>
      <c r="M263" s="424"/>
      <c r="N263" s="424"/>
      <c r="O263" s="424"/>
      <c r="P263" s="424"/>
      <c r="Q263" s="419"/>
      <c r="R263" s="419"/>
      <c r="S263" s="419"/>
      <c r="T263" s="437"/>
      <c r="U263" s="423"/>
      <c r="V263" s="437"/>
      <c r="W263" s="437"/>
      <c r="X263" s="419"/>
      <c r="Y263" s="419"/>
      <c r="Z263" s="423"/>
      <c r="AA263" s="423"/>
      <c r="AB263" s="419"/>
      <c r="AC263" s="419"/>
      <c r="AD263" s="437"/>
      <c r="AE263" s="423"/>
      <c r="AF263" s="419"/>
      <c r="AG263" s="419"/>
      <c r="AH263" s="419"/>
      <c r="AI263" s="437"/>
      <c r="AJ263" s="423"/>
      <c r="AK263" s="419"/>
      <c r="AL263" s="437"/>
      <c r="AM263" s="419"/>
      <c r="AN263" s="437"/>
      <c r="AO263" s="423"/>
      <c r="AP263" s="419"/>
      <c r="AQ263" s="419"/>
      <c r="AR263" s="437"/>
      <c r="AS263" s="437"/>
      <c r="AT263" s="437"/>
      <c r="AU263" s="437"/>
      <c r="AV263" s="437"/>
      <c r="AW263" s="437"/>
      <c r="AX263" s="462"/>
      <c r="AY263" s="437"/>
      <c r="AZ263" s="437"/>
      <c r="BA263" s="437"/>
      <c r="BB263" s="419"/>
      <c r="BC263" s="437"/>
      <c r="BD263" s="427"/>
      <c r="BE263" s="437"/>
      <c r="BF263" s="437"/>
      <c r="BG263" s="437"/>
      <c r="BH263" s="423"/>
      <c r="BI263" s="437"/>
      <c r="BJ263" s="437"/>
      <c r="BK263" s="437"/>
      <c r="BL263" s="437"/>
      <c r="BM263" s="437"/>
      <c r="BN263" s="437"/>
      <c r="BO263" s="437"/>
      <c r="BP263" s="463"/>
      <c r="BQ263" s="437"/>
      <c r="BR263" s="423"/>
      <c r="BS263" s="423"/>
      <c r="BT263" s="437"/>
      <c r="BU263" s="437"/>
      <c r="BV263" s="437"/>
      <c r="BW263" s="437"/>
      <c r="BX263" s="463"/>
      <c r="BY263" s="419"/>
      <c r="BZ263" s="419"/>
      <c r="CA263" s="419"/>
      <c r="CB263" s="437"/>
      <c r="CC263" s="464"/>
      <c r="CD263" s="419"/>
      <c r="CE263" s="419"/>
      <c r="CF263" s="419"/>
      <c r="CG263" s="437"/>
      <c r="CH263" s="423"/>
      <c r="CI263" s="431"/>
      <c r="CJ263" s="431"/>
      <c r="CK263" s="431"/>
      <c r="CL263" s="437"/>
      <c r="CM263" s="423"/>
      <c r="CN263" s="437"/>
      <c r="CO263" s="437"/>
      <c r="CP263" s="437"/>
      <c r="CQ263" s="465"/>
      <c r="CR263" s="465"/>
      <c r="CS263" s="437"/>
      <c r="CT263" s="437"/>
      <c r="CU263" s="437"/>
      <c r="CV263" s="437"/>
      <c r="CW263" s="437"/>
      <c r="CX263" s="419"/>
      <c r="CY263" s="419"/>
      <c r="CZ263" s="419"/>
      <c r="DA263" s="419"/>
      <c r="DB263" s="419"/>
      <c r="DC263" s="419"/>
      <c r="DD263" s="419"/>
      <c r="DE263" s="419"/>
      <c r="DF263" s="420"/>
      <c r="DG263" s="421"/>
      <c r="DH263" s="419"/>
      <c r="DI263" s="419"/>
      <c r="DJ263" s="419"/>
      <c r="DK263" s="437"/>
      <c r="DL263" s="466"/>
      <c r="DM263" s="437"/>
      <c r="DN263" s="437"/>
      <c r="DO263" s="437"/>
      <c r="DP263" s="437"/>
      <c r="DQ263" s="437"/>
      <c r="DR263" s="419"/>
      <c r="DS263" s="419"/>
      <c r="DT263" s="419"/>
      <c r="DU263" s="437"/>
      <c r="DV263" s="423"/>
      <c r="DW263" s="419"/>
      <c r="DX263" s="419"/>
      <c r="DY263" s="419"/>
      <c r="DZ263" s="437"/>
      <c r="EA263" s="423"/>
      <c r="EB263" s="419"/>
      <c r="EC263" s="419"/>
      <c r="ED263" s="437"/>
      <c r="EE263" s="419"/>
      <c r="EF263" s="437"/>
      <c r="EG263" s="419"/>
      <c r="EH263" s="437">
        <v>22112369.18</v>
      </c>
      <c r="EI263" s="419"/>
      <c r="EJ263" s="437"/>
      <c r="EK263" s="437"/>
      <c r="EL263" s="437">
        <v>49579399.079999998</v>
      </c>
      <c r="EM263" s="402"/>
      <c r="EN263" s="437">
        <v>3570713.8870000001</v>
      </c>
      <c r="EO263" s="437">
        <f>ROUND(EN263/F263,2)</f>
        <v>27467029.899999999</v>
      </c>
      <c r="EP263" s="437">
        <f t="shared" si="192"/>
        <v>-22112369.18</v>
      </c>
      <c r="EQ263" s="437">
        <v>-5703824.6799999997</v>
      </c>
      <c r="ER263" s="437">
        <v>21763205.210000001</v>
      </c>
      <c r="ES263" s="437">
        <f>-741497.21+2874608.02</f>
        <v>2133110.81</v>
      </c>
      <c r="ET263" s="437">
        <f t="shared" si="193"/>
        <v>16408544.689999999</v>
      </c>
      <c r="EU263" s="419">
        <f t="shared" si="194"/>
        <v>22112369.370000001</v>
      </c>
      <c r="EV263" s="419"/>
      <c r="EW263" s="419"/>
      <c r="EX263" s="419"/>
      <c r="EY263" s="419">
        <f t="shared" si="222"/>
        <v>0</v>
      </c>
      <c r="EZ263" s="419">
        <f t="shared" si="242"/>
        <v>0</v>
      </c>
      <c r="FA263" s="437"/>
      <c r="FB263" s="437"/>
      <c r="FC263" s="437"/>
      <c r="FD263" s="437">
        <f t="shared" si="223"/>
        <v>0</v>
      </c>
      <c r="FE263" s="437">
        <f t="shared" si="224"/>
        <v>0</v>
      </c>
      <c r="FF263" s="419"/>
      <c r="FG263" s="419"/>
      <c r="FH263" s="419"/>
      <c r="FI263" s="419">
        <f t="shared" si="225"/>
        <v>0</v>
      </c>
      <c r="FJ263" s="419">
        <f t="shared" si="226"/>
        <v>0</v>
      </c>
      <c r="FK263" s="419"/>
      <c r="FL263" s="419"/>
      <c r="FM263" s="419"/>
      <c r="FN263" s="420">
        <f t="shared" si="227"/>
        <v>0</v>
      </c>
      <c r="FO263" s="423">
        <f t="shared" si="228"/>
        <v>0</v>
      </c>
      <c r="FP263" s="419"/>
      <c r="FQ263" s="419"/>
      <c r="FR263" s="419"/>
      <c r="FS263" s="420">
        <f t="shared" si="229"/>
        <v>0</v>
      </c>
      <c r="FT263" s="420">
        <f t="shared" si="230"/>
        <v>0</v>
      </c>
      <c r="FU263" s="419"/>
      <c r="FV263" s="419"/>
      <c r="FW263" s="419"/>
      <c r="FX263" s="420">
        <f t="shared" si="231"/>
        <v>0</v>
      </c>
      <c r="FY263" s="420">
        <f t="shared" si="232"/>
        <v>0</v>
      </c>
      <c r="FZ263" s="419"/>
      <c r="GA263" s="419"/>
      <c r="GB263" s="419"/>
      <c r="GC263" s="420">
        <f t="shared" si="233"/>
        <v>0</v>
      </c>
      <c r="GD263" s="420">
        <f t="shared" si="234"/>
        <v>0</v>
      </c>
      <c r="GE263" s="419"/>
      <c r="GF263" s="419"/>
      <c r="GG263" s="419"/>
      <c r="GH263" s="420">
        <f t="shared" si="235"/>
        <v>0</v>
      </c>
      <c r="GI263" s="423">
        <f t="shared" si="236"/>
        <v>0</v>
      </c>
      <c r="GJ263" s="419"/>
      <c r="GK263" s="419"/>
      <c r="GL263" s="419"/>
      <c r="GM263" s="420">
        <f t="shared" si="237"/>
        <v>0</v>
      </c>
      <c r="GN263" s="420">
        <f t="shared" si="238"/>
        <v>0</v>
      </c>
      <c r="GO263" s="419"/>
      <c r="GP263" s="419"/>
      <c r="GQ263" s="419"/>
      <c r="GR263" s="420">
        <f t="shared" si="249"/>
        <v>0</v>
      </c>
      <c r="GS263" s="423">
        <f t="shared" si="246"/>
        <v>0</v>
      </c>
      <c r="GT263" s="419"/>
      <c r="GU263" s="419"/>
      <c r="GV263" s="419"/>
      <c r="GW263" s="420">
        <f t="shared" si="247"/>
        <v>0</v>
      </c>
      <c r="GX263" s="420">
        <f t="shared" si="248"/>
        <v>0</v>
      </c>
    </row>
    <row r="264" spans="1:206" ht="15">
      <c r="A264" s="414"/>
      <c r="B264" s="415" t="s">
        <v>606</v>
      </c>
      <c r="C264" s="698"/>
      <c r="D264" s="467" t="s">
        <v>607</v>
      </c>
      <c r="E264" s="434" t="s">
        <v>604</v>
      </c>
      <c r="F264" s="417">
        <v>0.13</v>
      </c>
      <c r="G264" s="418">
        <f t="shared" si="244"/>
        <v>24002686.25</v>
      </c>
      <c r="H264" s="418">
        <f t="shared" si="245"/>
        <v>24002686.25</v>
      </c>
      <c r="I264" s="418">
        <f t="shared" si="245"/>
        <v>3120349.22</v>
      </c>
      <c r="J264" s="418">
        <f t="shared" si="221"/>
        <v>24002686.307692301</v>
      </c>
      <c r="K264" s="418">
        <f t="shared" si="217"/>
        <v>5.76923042535782E-2</v>
      </c>
      <c r="L264" s="418">
        <f t="shared" si="218"/>
        <v>5.76923042535782E-2</v>
      </c>
      <c r="M264" s="424"/>
      <c r="N264" s="424"/>
      <c r="O264" s="424"/>
      <c r="P264" s="424"/>
      <c r="Q264" s="419"/>
      <c r="R264" s="419"/>
      <c r="S264" s="419"/>
      <c r="T264" s="420"/>
      <c r="U264" s="423"/>
      <c r="V264" s="420"/>
      <c r="W264" s="420"/>
      <c r="X264" s="419"/>
      <c r="Y264" s="419"/>
      <c r="Z264" s="423"/>
      <c r="AA264" s="423"/>
      <c r="AB264" s="419"/>
      <c r="AC264" s="419"/>
      <c r="AD264" s="420"/>
      <c r="AE264" s="423"/>
      <c r="AF264" s="419"/>
      <c r="AG264" s="419"/>
      <c r="AH264" s="419"/>
      <c r="AI264" s="420"/>
      <c r="AJ264" s="423"/>
      <c r="AK264" s="419"/>
      <c r="AL264" s="420"/>
      <c r="AM264" s="419"/>
      <c r="AN264" s="420"/>
      <c r="AO264" s="423"/>
      <c r="AP264" s="419"/>
      <c r="AQ264" s="419"/>
      <c r="AR264" s="420"/>
      <c r="AS264" s="420"/>
      <c r="AT264" s="420"/>
      <c r="AU264" s="420"/>
      <c r="AV264" s="420"/>
      <c r="AW264" s="420"/>
      <c r="AX264" s="426"/>
      <c r="AY264" s="420"/>
      <c r="AZ264" s="420"/>
      <c r="BA264" s="420"/>
      <c r="BB264" s="419"/>
      <c r="BC264" s="420"/>
      <c r="BD264" s="427"/>
      <c r="BE264" s="420"/>
      <c r="BF264" s="420"/>
      <c r="BG264" s="420"/>
      <c r="BH264" s="423"/>
      <c r="BI264" s="420"/>
      <c r="BJ264" s="420"/>
      <c r="BK264" s="420"/>
      <c r="BL264" s="420"/>
      <c r="BM264" s="420"/>
      <c r="BN264" s="420"/>
      <c r="BO264" s="420"/>
      <c r="BP264" s="429"/>
      <c r="BQ264" s="420"/>
      <c r="BR264" s="423"/>
      <c r="BS264" s="423"/>
      <c r="BT264" s="420"/>
      <c r="BU264" s="420"/>
      <c r="BV264" s="420"/>
      <c r="BW264" s="420"/>
      <c r="BX264" s="429"/>
      <c r="BY264" s="419"/>
      <c r="BZ264" s="419"/>
      <c r="CA264" s="419"/>
      <c r="CB264" s="420"/>
      <c r="CC264" s="430"/>
      <c r="CD264" s="419"/>
      <c r="CE264" s="419"/>
      <c r="CF264" s="419"/>
      <c r="CG264" s="420"/>
      <c r="CH264" s="423"/>
      <c r="CI264" s="431"/>
      <c r="CJ264" s="431"/>
      <c r="CK264" s="431"/>
      <c r="CL264" s="420"/>
      <c r="CM264" s="423"/>
      <c r="CN264" s="420"/>
      <c r="CO264" s="420"/>
      <c r="CP264" s="420"/>
      <c r="CQ264" s="432"/>
      <c r="CR264" s="432"/>
      <c r="CS264" s="420"/>
      <c r="CT264" s="420"/>
      <c r="CU264" s="420"/>
      <c r="CV264" s="420"/>
      <c r="CW264" s="420"/>
      <c r="CX264" s="419"/>
      <c r="CY264" s="419"/>
      <c r="CZ264" s="419"/>
      <c r="DA264" s="419"/>
      <c r="DB264" s="419"/>
      <c r="DC264" s="419"/>
      <c r="DD264" s="419"/>
      <c r="DE264" s="419"/>
      <c r="DF264" s="420"/>
      <c r="DG264" s="421"/>
      <c r="DH264" s="419"/>
      <c r="DI264" s="419"/>
      <c r="DJ264" s="419"/>
      <c r="DK264" s="420"/>
      <c r="DL264" s="422"/>
      <c r="DM264" s="420"/>
      <c r="DN264" s="420"/>
      <c r="DO264" s="420"/>
      <c r="DP264" s="420"/>
      <c r="DQ264" s="420"/>
      <c r="DR264" s="419"/>
      <c r="DS264" s="419"/>
      <c r="DT264" s="419"/>
      <c r="DU264" s="420"/>
      <c r="DV264" s="423"/>
      <c r="DW264" s="419"/>
      <c r="DX264" s="419"/>
      <c r="DY264" s="419"/>
      <c r="DZ264" s="420"/>
      <c r="EA264" s="423"/>
      <c r="EB264" s="419"/>
      <c r="EC264" s="419"/>
      <c r="ED264" s="420"/>
      <c r="EE264" s="419"/>
      <c r="EF264" s="420"/>
      <c r="EG264" s="419"/>
      <c r="EH264" s="419"/>
      <c r="EI264" s="419"/>
      <c r="EJ264" s="420"/>
      <c r="EK264" s="420"/>
      <c r="EL264" s="420">
        <v>8604736.5800000001</v>
      </c>
      <c r="EM264" s="420">
        <v>8339279.7599999998</v>
      </c>
      <c r="EN264" s="420">
        <v>1118615.76</v>
      </c>
      <c r="EO264" s="419">
        <f t="shared" si="191"/>
        <v>8604736.6199999992</v>
      </c>
      <c r="EP264" s="437">
        <f t="shared" si="192"/>
        <v>0.04</v>
      </c>
      <c r="EQ264" s="419">
        <v>15397949.67</v>
      </c>
      <c r="ER264" s="419">
        <v>15663406.49</v>
      </c>
      <c r="ES264" s="419">
        <v>2001733.46</v>
      </c>
      <c r="ET264" s="419">
        <f t="shared" si="193"/>
        <v>15397949.689999999</v>
      </c>
      <c r="EU264" s="419">
        <f t="shared" si="194"/>
        <v>0.02</v>
      </c>
      <c r="EV264" s="419"/>
      <c r="EW264" s="419"/>
      <c r="EX264" s="419"/>
      <c r="EY264" s="419">
        <f t="shared" si="222"/>
        <v>0</v>
      </c>
      <c r="EZ264" s="419">
        <f t="shared" si="242"/>
        <v>0</v>
      </c>
      <c r="FA264" s="420"/>
      <c r="FB264" s="420"/>
      <c r="FC264" s="420"/>
      <c r="FD264" s="420">
        <f t="shared" si="223"/>
        <v>0</v>
      </c>
      <c r="FE264" s="420">
        <f t="shared" si="224"/>
        <v>0</v>
      </c>
      <c r="FF264" s="419"/>
      <c r="FG264" s="419"/>
      <c r="FH264" s="419"/>
      <c r="FI264" s="419">
        <f t="shared" si="225"/>
        <v>0</v>
      </c>
      <c r="FJ264" s="419">
        <f t="shared" si="226"/>
        <v>0</v>
      </c>
      <c r="FK264" s="419"/>
      <c r="FL264" s="419"/>
      <c r="FM264" s="419"/>
      <c r="FN264" s="420">
        <f t="shared" si="227"/>
        <v>0</v>
      </c>
      <c r="FO264" s="423">
        <f t="shared" si="228"/>
        <v>0</v>
      </c>
      <c r="FP264" s="419"/>
      <c r="FQ264" s="419"/>
      <c r="FR264" s="419"/>
      <c r="FS264" s="420">
        <f t="shared" si="229"/>
        <v>0</v>
      </c>
      <c r="FT264" s="420">
        <f t="shared" si="230"/>
        <v>0</v>
      </c>
      <c r="FU264" s="419"/>
      <c r="FV264" s="419"/>
      <c r="FW264" s="419"/>
      <c r="FX264" s="420">
        <f t="shared" si="231"/>
        <v>0</v>
      </c>
      <c r="FY264" s="420">
        <f t="shared" si="232"/>
        <v>0</v>
      </c>
      <c r="FZ264" s="419"/>
      <c r="GA264" s="419"/>
      <c r="GB264" s="419"/>
      <c r="GC264" s="420">
        <f t="shared" si="233"/>
        <v>0</v>
      </c>
      <c r="GD264" s="420">
        <f t="shared" si="234"/>
        <v>0</v>
      </c>
      <c r="GE264" s="419"/>
      <c r="GF264" s="419"/>
      <c r="GG264" s="419"/>
      <c r="GH264" s="420">
        <f t="shared" si="235"/>
        <v>0</v>
      </c>
      <c r="GI264" s="423">
        <f t="shared" si="236"/>
        <v>0</v>
      </c>
      <c r="GJ264" s="419"/>
      <c r="GK264" s="419"/>
      <c r="GL264" s="419"/>
      <c r="GM264" s="420">
        <f t="shared" si="237"/>
        <v>0</v>
      </c>
      <c r="GN264" s="420">
        <f t="shared" si="238"/>
        <v>0</v>
      </c>
      <c r="GO264" s="419"/>
      <c r="GP264" s="419"/>
      <c r="GQ264" s="419"/>
      <c r="GR264" s="420">
        <f t="shared" si="249"/>
        <v>0</v>
      </c>
      <c r="GS264" s="423">
        <f t="shared" si="246"/>
        <v>0</v>
      </c>
      <c r="GT264" s="419"/>
      <c r="GU264" s="419"/>
      <c r="GV264" s="419"/>
      <c r="GW264" s="420">
        <f t="shared" si="247"/>
        <v>0</v>
      </c>
      <c r="GX264" s="420">
        <f t="shared" si="248"/>
        <v>0</v>
      </c>
    </row>
    <row r="265" spans="1:206" ht="15">
      <c r="A265" s="414"/>
      <c r="B265" s="415"/>
      <c r="C265" s="698"/>
      <c r="D265" s="467" t="s">
        <v>608</v>
      </c>
      <c r="E265" s="434" t="s">
        <v>604</v>
      </c>
      <c r="F265" s="417">
        <v>0.13</v>
      </c>
      <c r="G265" s="418">
        <f t="shared" si="244"/>
        <v>36367253.68</v>
      </c>
      <c r="H265" s="418">
        <f t="shared" si="245"/>
        <v>36367253.68</v>
      </c>
      <c r="I265" s="418">
        <f t="shared" si="245"/>
        <v>4727742.9784000004</v>
      </c>
      <c r="J265" s="418">
        <f t="shared" si="221"/>
        <v>36367253.68</v>
      </c>
      <c r="K265" s="418">
        <f t="shared" si="217"/>
        <v>0</v>
      </c>
      <c r="L265" s="418">
        <f t="shared" si="218"/>
        <v>0</v>
      </c>
      <c r="M265" s="424"/>
      <c r="N265" s="424"/>
      <c r="O265" s="424"/>
      <c r="P265" s="424"/>
      <c r="Q265" s="419"/>
      <c r="R265" s="419"/>
      <c r="S265" s="419"/>
      <c r="T265" s="420"/>
      <c r="U265" s="423"/>
      <c r="V265" s="420"/>
      <c r="W265" s="420"/>
      <c r="X265" s="419"/>
      <c r="Y265" s="419"/>
      <c r="Z265" s="423"/>
      <c r="AA265" s="423"/>
      <c r="AB265" s="419"/>
      <c r="AC265" s="419"/>
      <c r="AD265" s="420"/>
      <c r="AE265" s="423"/>
      <c r="AF265" s="419"/>
      <c r="AG265" s="419"/>
      <c r="AH265" s="419"/>
      <c r="AI265" s="420"/>
      <c r="AJ265" s="423"/>
      <c r="AK265" s="419"/>
      <c r="AL265" s="420"/>
      <c r="AM265" s="419"/>
      <c r="AN265" s="420"/>
      <c r="AO265" s="423"/>
      <c r="AP265" s="419"/>
      <c r="AQ265" s="419"/>
      <c r="AR265" s="420"/>
      <c r="AS265" s="420"/>
      <c r="AT265" s="420"/>
      <c r="AU265" s="420"/>
      <c r="AV265" s="420"/>
      <c r="AW265" s="420"/>
      <c r="AX265" s="426"/>
      <c r="AY265" s="420"/>
      <c r="AZ265" s="420"/>
      <c r="BA265" s="420"/>
      <c r="BB265" s="419"/>
      <c r="BC265" s="420"/>
      <c r="BD265" s="427"/>
      <c r="BE265" s="420"/>
      <c r="BF265" s="420"/>
      <c r="BG265" s="420"/>
      <c r="BH265" s="423"/>
      <c r="BI265" s="420"/>
      <c r="BJ265" s="420"/>
      <c r="BK265" s="420"/>
      <c r="BL265" s="420"/>
      <c r="BM265" s="420"/>
      <c r="BN265" s="420"/>
      <c r="BO265" s="420"/>
      <c r="BP265" s="429"/>
      <c r="BQ265" s="420"/>
      <c r="BR265" s="423"/>
      <c r="BS265" s="423"/>
      <c r="BT265" s="420"/>
      <c r="BU265" s="420"/>
      <c r="BV265" s="420"/>
      <c r="BW265" s="420"/>
      <c r="BX265" s="429"/>
      <c r="BY265" s="419"/>
      <c r="BZ265" s="419"/>
      <c r="CA265" s="419"/>
      <c r="CB265" s="420"/>
      <c r="CC265" s="430"/>
      <c r="CD265" s="419"/>
      <c r="CE265" s="419"/>
      <c r="CF265" s="419"/>
      <c r="CG265" s="420"/>
      <c r="CH265" s="423"/>
      <c r="CI265" s="431"/>
      <c r="CJ265" s="431"/>
      <c r="CK265" s="431"/>
      <c r="CL265" s="420"/>
      <c r="CM265" s="423"/>
      <c r="CN265" s="420"/>
      <c r="CO265" s="420"/>
      <c r="CP265" s="420"/>
      <c r="CQ265" s="432"/>
      <c r="CR265" s="432"/>
      <c r="CS265" s="420"/>
      <c r="CT265" s="420"/>
      <c r="CU265" s="420"/>
      <c r="CV265" s="420"/>
      <c r="CW265" s="420"/>
      <c r="CX265" s="419"/>
      <c r="CY265" s="419"/>
      <c r="CZ265" s="419"/>
      <c r="DA265" s="419"/>
      <c r="DB265" s="419"/>
      <c r="DC265" s="419"/>
      <c r="DD265" s="419"/>
      <c r="DE265" s="419"/>
      <c r="DF265" s="420"/>
      <c r="DG265" s="421"/>
      <c r="DH265" s="419"/>
      <c r="DI265" s="419"/>
      <c r="DJ265" s="419"/>
      <c r="DK265" s="420"/>
      <c r="DL265" s="422"/>
      <c r="DM265" s="420"/>
      <c r="DN265" s="420"/>
      <c r="DO265" s="420"/>
      <c r="DP265" s="420"/>
      <c r="DQ265" s="420"/>
      <c r="DR265" s="419"/>
      <c r="DS265" s="419"/>
      <c r="DT265" s="419"/>
      <c r="DU265" s="420"/>
      <c r="DV265" s="423"/>
      <c r="DW265" s="419"/>
      <c r="DX265" s="419"/>
      <c r="DY265" s="419"/>
      <c r="DZ265" s="420"/>
      <c r="EA265" s="423"/>
      <c r="EB265" s="419"/>
      <c r="EC265" s="419"/>
      <c r="ED265" s="420"/>
      <c r="EE265" s="419"/>
      <c r="EF265" s="420"/>
      <c r="EG265" s="419"/>
      <c r="EH265" s="419"/>
      <c r="EI265" s="419"/>
      <c r="EJ265" s="420"/>
      <c r="EK265" s="420"/>
      <c r="EL265" s="419">
        <v>36367253.68</v>
      </c>
      <c r="EM265" s="419">
        <v>36367253.68</v>
      </c>
      <c r="EN265" s="419">
        <v>4727742.9784000004</v>
      </c>
      <c r="EO265" s="419">
        <f t="shared" si="191"/>
        <v>36367253.68</v>
      </c>
      <c r="EP265" s="419">
        <f t="shared" si="192"/>
        <v>0</v>
      </c>
      <c r="EQ265" s="419"/>
      <c r="ER265" s="419"/>
      <c r="ES265" s="419"/>
      <c r="ET265" s="419">
        <f t="shared" si="193"/>
        <v>0</v>
      </c>
      <c r="EU265" s="419">
        <f t="shared" si="194"/>
        <v>0</v>
      </c>
      <c r="EV265" s="419"/>
      <c r="EW265" s="419"/>
      <c r="EX265" s="419"/>
      <c r="EY265" s="419">
        <f t="shared" si="222"/>
        <v>0</v>
      </c>
      <c r="EZ265" s="419">
        <f t="shared" si="242"/>
        <v>0</v>
      </c>
      <c r="FA265" s="420"/>
      <c r="FB265" s="420"/>
      <c r="FC265" s="420"/>
      <c r="FD265" s="420">
        <f t="shared" si="223"/>
        <v>0</v>
      </c>
      <c r="FE265" s="420">
        <f t="shared" si="224"/>
        <v>0</v>
      </c>
      <c r="FF265" s="419"/>
      <c r="FG265" s="419"/>
      <c r="FH265" s="419"/>
      <c r="FI265" s="419">
        <f t="shared" si="225"/>
        <v>0</v>
      </c>
      <c r="FJ265" s="419">
        <f t="shared" si="226"/>
        <v>0</v>
      </c>
      <c r="FK265" s="419"/>
      <c r="FL265" s="419"/>
      <c r="FM265" s="419"/>
      <c r="FN265" s="420">
        <f t="shared" si="227"/>
        <v>0</v>
      </c>
      <c r="FO265" s="423">
        <f t="shared" si="228"/>
        <v>0</v>
      </c>
      <c r="FP265" s="419"/>
      <c r="FQ265" s="419"/>
      <c r="FR265" s="419"/>
      <c r="FS265" s="420">
        <f t="shared" si="229"/>
        <v>0</v>
      </c>
      <c r="FT265" s="420">
        <f t="shared" si="230"/>
        <v>0</v>
      </c>
      <c r="FU265" s="419"/>
      <c r="FV265" s="419"/>
      <c r="FW265" s="419"/>
      <c r="FX265" s="420">
        <f t="shared" si="231"/>
        <v>0</v>
      </c>
      <c r="FY265" s="420">
        <f t="shared" si="232"/>
        <v>0</v>
      </c>
      <c r="FZ265" s="419"/>
      <c r="GA265" s="419"/>
      <c r="GB265" s="419"/>
      <c r="GC265" s="420">
        <f t="shared" si="233"/>
        <v>0</v>
      </c>
      <c r="GD265" s="420">
        <f t="shared" si="234"/>
        <v>0</v>
      </c>
      <c r="GE265" s="419"/>
      <c r="GF265" s="419"/>
      <c r="GG265" s="419"/>
      <c r="GH265" s="420">
        <f t="shared" si="235"/>
        <v>0</v>
      </c>
      <c r="GI265" s="423">
        <f t="shared" si="236"/>
        <v>0</v>
      </c>
      <c r="GJ265" s="419"/>
      <c r="GK265" s="419"/>
      <c r="GL265" s="419"/>
      <c r="GM265" s="420">
        <f t="shared" si="237"/>
        <v>0</v>
      </c>
      <c r="GN265" s="420">
        <f t="shared" si="238"/>
        <v>0</v>
      </c>
      <c r="GO265" s="419"/>
      <c r="GP265" s="419"/>
      <c r="GQ265" s="419"/>
      <c r="GR265" s="420">
        <f t="shared" si="249"/>
        <v>0</v>
      </c>
      <c r="GS265" s="423">
        <f t="shared" si="246"/>
        <v>0</v>
      </c>
      <c r="GT265" s="419"/>
      <c r="GU265" s="419"/>
      <c r="GV265" s="419"/>
      <c r="GW265" s="420">
        <f t="shared" si="247"/>
        <v>0</v>
      </c>
      <c r="GX265" s="420">
        <f t="shared" si="248"/>
        <v>0</v>
      </c>
    </row>
    <row r="266" spans="1:206" ht="14.25" customHeight="1">
      <c r="A266" s="414"/>
      <c r="B266" s="415"/>
      <c r="C266" s="698"/>
      <c r="D266" s="467" t="s">
        <v>609</v>
      </c>
      <c r="E266" s="434" t="s">
        <v>604</v>
      </c>
      <c r="F266" s="417">
        <v>0.13</v>
      </c>
      <c r="G266" s="418">
        <f t="shared" si="244"/>
        <v>60928012.700000003</v>
      </c>
      <c r="H266" s="418">
        <f t="shared" si="245"/>
        <v>60928012.719999999</v>
      </c>
      <c r="I266" s="418">
        <f t="shared" si="245"/>
        <v>7920641.7291999999</v>
      </c>
      <c r="J266" s="418">
        <f t="shared" si="221"/>
        <v>60928013.301538497</v>
      </c>
      <c r="K266" s="418">
        <f t="shared" ref="K266:K348" si="250">I266/F266-H266</f>
        <v>0.58153846114873897</v>
      </c>
      <c r="L266" s="418">
        <f t="shared" si="218"/>
        <v>0.60153845697641395</v>
      </c>
      <c r="M266" s="424"/>
      <c r="N266" s="424"/>
      <c r="O266" s="424"/>
      <c r="P266" s="424"/>
      <c r="Q266" s="419"/>
      <c r="R266" s="419"/>
      <c r="S266" s="419"/>
      <c r="T266" s="420"/>
      <c r="U266" s="423"/>
      <c r="V266" s="420"/>
      <c r="W266" s="420"/>
      <c r="X266" s="419"/>
      <c r="Y266" s="419"/>
      <c r="Z266" s="423"/>
      <c r="AA266" s="423"/>
      <c r="AB266" s="419"/>
      <c r="AC266" s="419"/>
      <c r="AD266" s="420"/>
      <c r="AE266" s="423"/>
      <c r="AF266" s="419"/>
      <c r="AG266" s="419"/>
      <c r="AH266" s="419"/>
      <c r="AI266" s="420"/>
      <c r="AJ266" s="423"/>
      <c r="AK266" s="419"/>
      <c r="AL266" s="420"/>
      <c r="AM266" s="419"/>
      <c r="AN266" s="420"/>
      <c r="AO266" s="423"/>
      <c r="AP266" s="419"/>
      <c r="AQ266" s="419"/>
      <c r="AR266" s="420"/>
      <c r="AS266" s="420"/>
      <c r="AT266" s="420"/>
      <c r="AU266" s="420"/>
      <c r="AV266" s="420"/>
      <c r="AW266" s="420"/>
      <c r="AX266" s="426"/>
      <c r="AY266" s="420"/>
      <c r="AZ266" s="420"/>
      <c r="BA266" s="420"/>
      <c r="BB266" s="419"/>
      <c r="BC266" s="420"/>
      <c r="BD266" s="427"/>
      <c r="BE266" s="420"/>
      <c r="BF266" s="420"/>
      <c r="BG266" s="420"/>
      <c r="BH266" s="423"/>
      <c r="BI266" s="420"/>
      <c r="BJ266" s="420"/>
      <c r="BK266" s="420"/>
      <c r="BL266" s="420"/>
      <c r="BM266" s="420"/>
      <c r="BN266" s="420"/>
      <c r="BO266" s="420"/>
      <c r="BP266" s="429"/>
      <c r="BQ266" s="420"/>
      <c r="BR266" s="423"/>
      <c r="BS266" s="423"/>
      <c r="BT266" s="420"/>
      <c r="BU266" s="420"/>
      <c r="BV266" s="420"/>
      <c r="BW266" s="420"/>
      <c r="BX266" s="429"/>
      <c r="BY266" s="419"/>
      <c r="BZ266" s="419"/>
      <c r="CA266" s="419"/>
      <c r="CB266" s="420"/>
      <c r="CC266" s="430"/>
      <c r="CD266" s="419"/>
      <c r="CE266" s="419"/>
      <c r="CF266" s="419"/>
      <c r="CG266" s="420"/>
      <c r="CH266" s="423"/>
      <c r="CI266" s="431"/>
      <c r="CJ266" s="431"/>
      <c r="CK266" s="431"/>
      <c r="CL266" s="420"/>
      <c r="CM266" s="423"/>
      <c r="CN266" s="420"/>
      <c r="CO266" s="420"/>
      <c r="CP266" s="420"/>
      <c r="CQ266" s="432"/>
      <c r="CR266" s="432"/>
      <c r="CS266" s="420"/>
      <c r="CT266" s="420"/>
      <c r="CU266" s="420"/>
      <c r="CV266" s="420"/>
      <c r="CW266" s="420"/>
      <c r="CX266" s="419"/>
      <c r="CY266" s="419"/>
      <c r="CZ266" s="419"/>
      <c r="DA266" s="419"/>
      <c r="DB266" s="419"/>
      <c r="DC266" s="419"/>
      <c r="DD266" s="419"/>
      <c r="DE266" s="419"/>
      <c r="DF266" s="420"/>
      <c r="DG266" s="421"/>
      <c r="DH266" s="419"/>
      <c r="DI266" s="419"/>
      <c r="DJ266" s="419"/>
      <c r="DK266" s="420"/>
      <c r="DL266" s="422"/>
      <c r="DM266" s="420"/>
      <c r="DN266" s="420"/>
      <c r="DO266" s="420"/>
      <c r="DP266" s="420"/>
      <c r="DQ266" s="420"/>
      <c r="DR266" s="419"/>
      <c r="DS266" s="419"/>
      <c r="DT266" s="419"/>
      <c r="DU266" s="420"/>
      <c r="DV266" s="423"/>
      <c r="DW266" s="419"/>
      <c r="DX266" s="419"/>
      <c r="DY266" s="419"/>
      <c r="DZ266" s="420"/>
      <c r="EA266" s="423"/>
      <c r="EB266" s="419"/>
      <c r="EC266" s="419"/>
      <c r="ED266" s="420"/>
      <c r="EE266" s="419"/>
      <c r="EF266" s="420"/>
      <c r="EG266" s="419"/>
      <c r="EH266" s="419"/>
      <c r="EI266" s="419"/>
      <c r="EJ266" s="420"/>
      <c r="EK266" s="420"/>
      <c r="EL266" s="419">
        <v>60692171.840000004</v>
      </c>
      <c r="EM266" s="419">
        <v>34751869.039999999</v>
      </c>
      <c r="EN266" s="419">
        <v>7889982.3392000003</v>
      </c>
      <c r="EO266" s="419">
        <f t="shared" si="191"/>
        <v>60692171.840000004</v>
      </c>
      <c r="EP266" s="419">
        <f t="shared" si="192"/>
        <v>0</v>
      </c>
      <c r="EQ266" s="419"/>
      <c r="ER266" s="419"/>
      <c r="ES266" s="419"/>
      <c r="ET266" s="419">
        <f t="shared" si="193"/>
        <v>0</v>
      </c>
      <c r="EU266" s="419">
        <f t="shared" si="194"/>
        <v>0</v>
      </c>
      <c r="EV266" s="419"/>
      <c r="EW266" s="419">
        <v>25940302.82</v>
      </c>
      <c r="EX266" s="419"/>
      <c r="EY266" s="419">
        <f t="shared" si="222"/>
        <v>0</v>
      </c>
      <c r="EZ266" s="419">
        <f t="shared" si="242"/>
        <v>0</v>
      </c>
      <c r="FA266" s="420"/>
      <c r="FB266" s="420"/>
      <c r="FC266" s="420"/>
      <c r="FD266" s="420">
        <f t="shared" si="223"/>
        <v>0</v>
      </c>
      <c r="FE266" s="420">
        <f t="shared" si="224"/>
        <v>0</v>
      </c>
      <c r="FF266" s="419">
        <v>235840.859999999</v>
      </c>
      <c r="FG266" s="419">
        <v>235840.859999999</v>
      </c>
      <c r="FH266" s="419">
        <v>30659.390000000101</v>
      </c>
      <c r="FI266" s="419">
        <f t="shared" si="225"/>
        <v>235841.461538462</v>
      </c>
      <c r="FJ266" s="419">
        <f t="shared" si="226"/>
        <v>0.6</v>
      </c>
      <c r="FK266" s="419"/>
      <c r="FL266" s="419"/>
      <c r="FM266" s="419"/>
      <c r="FN266" s="420">
        <f t="shared" si="227"/>
        <v>0</v>
      </c>
      <c r="FO266" s="423">
        <f t="shared" si="228"/>
        <v>0</v>
      </c>
      <c r="FP266" s="419"/>
      <c r="FQ266" s="419"/>
      <c r="FR266" s="419"/>
      <c r="FS266" s="420">
        <f t="shared" si="229"/>
        <v>0</v>
      </c>
      <c r="FT266" s="420">
        <f t="shared" si="230"/>
        <v>0</v>
      </c>
      <c r="FU266" s="419"/>
      <c r="FV266" s="419"/>
      <c r="FW266" s="419"/>
      <c r="FX266" s="420">
        <f t="shared" si="231"/>
        <v>0</v>
      </c>
      <c r="FY266" s="420">
        <f t="shared" si="232"/>
        <v>0</v>
      </c>
      <c r="FZ266" s="419"/>
      <c r="GA266" s="419"/>
      <c r="GB266" s="419"/>
      <c r="GC266" s="420">
        <f t="shared" si="233"/>
        <v>0</v>
      </c>
      <c r="GD266" s="420">
        <f t="shared" si="234"/>
        <v>0</v>
      </c>
      <c r="GE266" s="419"/>
      <c r="GF266" s="419"/>
      <c r="GG266" s="419"/>
      <c r="GH266" s="420">
        <f t="shared" si="235"/>
        <v>0</v>
      </c>
      <c r="GI266" s="423">
        <f t="shared" si="236"/>
        <v>0</v>
      </c>
      <c r="GJ266" s="419"/>
      <c r="GK266" s="419"/>
      <c r="GL266" s="419"/>
      <c r="GM266" s="420">
        <f t="shared" si="237"/>
        <v>0</v>
      </c>
      <c r="GN266" s="420">
        <f t="shared" si="238"/>
        <v>0</v>
      </c>
      <c r="GO266" s="419"/>
      <c r="GP266" s="419"/>
      <c r="GQ266" s="419"/>
      <c r="GR266" s="420">
        <f t="shared" si="249"/>
        <v>0</v>
      </c>
      <c r="GS266" s="423">
        <f t="shared" si="246"/>
        <v>0</v>
      </c>
      <c r="GT266" s="419"/>
      <c r="GU266" s="419"/>
      <c r="GV266" s="419"/>
      <c r="GW266" s="420">
        <f t="shared" si="247"/>
        <v>0</v>
      </c>
      <c r="GX266" s="420">
        <f t="shared" si="248"/>
        <v>0</v>
      </c>
    </row>
    <row r="267" spans="1:206" ht="15">
      <c r="A267" s="414"/>
      <c r="B267" s="415"/>
      <c r="C267" s="698"/>
      <c r="D267" s="467" t="s">
        <v>610</v>
      </c>
      <c r="E267" s="434" t="s">
        <v>604</v>
      </c>
      <c r="F267" s="417">
        <v>0.13</v>
      </c>
      <c r="G267" s="418">
        <f t="shared" si="244"/>
        <v>15073769.9</v>
      </c>
      <c r="H267" s="418">
        <f t="shared" si="245"/>
        <v>15073769.92</v>
      </c>
      <c r="I267" s="418">
        <f t="shared" si="245"/>
        <v>1959590.09</v>
      </c>
      <c r="J267" s="418">
        <f t="shared" si="221"/>
        <v>15073769.9230769</v>
      </c>
      <c r="K267" s="418">
        <f t="shared" si="250"/>
        <v>3.0769240111112599E-3</v>
      </c>
      <c r="L267" s="418">
        <f t="shared" si="218"/>
        <v>2.3076923564076399E-2</v>
      </c>
      <c r="M267" s="424"/>
      <c r="N267" s="424"/>
      <c r="O267" s="424"/>
      <c r="P267" s="424"/>
      <c r="Q267" s="419"/>
      <c r="R267" s="419"/>
      <c r="S267" s="419"/>
      <c r="T267" s="420"/>
      <c r="U267" s="423"/>
      <c r="V267" s="420"/>
      <c r="W267" s="420"/>
      <c r="X267" s="419"/>
      <c r="Y267" s="419"/>
      <c r="Z267" s="423"/>
      <c r="AA267" s="423"/>
      <c r="AB267" s="419"/>
      <c r="AC267" s="419"/>
      <c r="AD267" s="420"/>
      <c r="AE267" s="423"/>
      <c r="AF267" s="419"/>
      <c r="AG267" s="419"/>
      <c r="AH267" s="419"/>
      <c r="AI267" s="420"/>
      <c r="AJ267" s="423"/>
      <c r="AK267" s="419"/>
      <c r="AL267" s="420"/>
      <c r="AM267" s="419"/>
      <c r="AN267" s="420"/>
      <c r="AO267" s="423"/>
      <c r="AP267" s="419"/>
      <c r="AQ267" s="419"/>
      <c r="AR267" s="420"/>
      <c r="AS267" s="420"/>
      <c r="AT267" s="420"/>
      <c r="AU267" s="420"/>
      <c r="AV267" s="420"/>
      <c r="AW267" s="420"/>
      <c r="AX267" s="426"/>
      <c r="AY267" s="420"/>
      <c r="AZ267" s="420"/>
      <c r="BA267" s="420"/>
      <c r="BB267" s="419"/>
      <c r="BC267" s="420"/>
      <c r="BD267" s="427"/>
      <c r="BE267" s="420"/>
      <c r="BF267" s="420"/>
      <c r="BG267" s="420"/>
      <c r="BH267" s="423"/>
      <c r="BI267" s="420"/>
      <c r="BJ267" s="420"/>
      <c r="BK267" s="420"/>
      <c r="BL267" s="420"/>
      <c r="BM267" s="420"/>
      <c r="BN267" s="420"/>
      <c r="BO267" s="420"/>
      <c r="BP267" s="429"/>
      <c r="BQ267" s="420"/>
      <c r="BR267" s="423"/>
      <c r="BS267" s="423"/>
      <c r="BT267" s="420"/>
      <c r="BU267" s="420"/>
      <c r="BV267" s="420"/>
      <c r="BW267" s="420"/>
      <c r="BX267" s="429"/>
      <c r="BY267" s="419"/>
      <c r="BZ267" s="419"/>
      <c r="CA267" s="419"/>
      <c r="CB267" s="420"/>
      <c r="CC267" s="430"/>
      <c r="CD267" s="419"/>
      <c r="CE267" s="419"/>
      <c r="CF267" s="419"/>
      <c r="CG267" s="420"/>
      <c r="CH267" s="423"/>
      <c r="CI267" s="431"/>
      <c r="CJ267" s="431"/>
      <c r="CK267" s="431"/>
      <c r="CL267" s="420"/>
      <c r="CM267" s="423"/>
      <c r="CN267" s="420"/>
      <c r="CO267" s="420"/>
      <c r="CP267" s="420"/>
      <c r="CQ267" s="432"/>
      <c r="CR267" s="432"/>
      <c r="CS267" s="420"/>
      <c r="CT267" s="420"/>
      <c r="CU267" s="420"/>
      <c r="CV267" s="420"/>
      <c r="CW267" s="420"/>
      <c r="CX267" s="419"/>
      <c r="CY267" s="419"/>
      <c r="CZ267" s="419"/>
      <c r="DA267" s="419"/>
      <c r="DB267" s="419"/>
      <c r="DC267" s="419"/>
      <c r="DD267" s="419"/>
      <c r="DE267" s="419"/>
      <c r="DF267" s="420"/>
      <c r="DG267" s="421"/>
      <c r="DH267" s="419"/>
      <c r="DI267" s="419"/>
      <c r="DJ267" s="419"/>
      <c r="DK267" s="420"/>
      <c r="DL267" s="422"/>
      <c r="DM267" s="420"/>
      <c r="DN267" s="420"/>
      <c r="DO267" s="420"/>
      <c r="DP267" s="420"/>
      <c r="DQ267" s="420"/>
      <c r="DR267" s="419"/>
      <c r="DS267" s="419"/>
      <c r="DT267" s="419"/>
      <c r="DU267" s="420"/>
      <c r="DV267" s="423"/>
      <c r="DW267" s="419"/>
      <c r="DX267" s="419"/>
      <c r="DY267" s="419"/>
      <c r="DZ267" s="420"/>
      <c r="EA267" s="423"/>
      <c r="EB267" s="419"/>
      <c r="EC267" s="419"/>
      <c r="ED267" s="420"/>
      <c r="EE267" s="419"/>
      <c r="EF267" s="420"/>
      <c r="EG267" s="419"/>
      <c r="EH267" s="419"/>
      <c r="EI267" s="419"/>
      <c r="EJ267" s="420"/>
      <c r="EK267" s="420"/>
      <c r="EL267" s="419"/>
      <c r="EM267" s="419"/>
      <c r="EN267" s="419"/>
      <c r="EO267" s="419"/>
      <c r="EP267" s="419"/>
      <c r="EQ267" s="437">
        <v>15073769.9</v>
      </c>
      <c r="ER267" s="437">
        <v>15073769.92</v>
      </c>
      <c r="ES267" s="420">
        <v>1959590.09</v>
      </c>
      <c r="ET267" s="419">
        <f>ROUND(ES267/F267,2)</f>
        <v>15073769.92</v>
      </c>
      <c r="EU267" s="419">
        <f>ROUND(ET267-EQ267,2)</f>
        <v>0.02</v>
      </c>
      <c r="EV267" s="419"/>
      <c r="EW267" s="419"/>
      <c r="EX267" s="419"/>
      <c r="EY267" s="419">
        <f t="shared" si="222"/>
        <v>0</v>
      </c>
      <c r="EZ267" s="419">
        <f t="shared" si="242"/>
        <v>0</v>
      </c>
      <c r="FA267" s="420"/>
      <c r="FB267" s="420"/>
      <c r="FC267" s="420"/>
      <c r="FD267" s="420">
        <f t="shared" si="223"/>
        <v>0</v>
      </c>
      <c r="FE267" s="420">
        <f t="shared" si="224"/>
        <v>0</v>
      </c>
      <c r="FF267" s="419"/>
      <c r="FG267" s="419"/>
      <c r="FH267" s="419"/>
      <c r="FI267" s="419">
        <f t="shared" si="225"/>
        <v>0</v>
      </c>
      <c r="FJ267" s="419">
        <f t="shared" si="226"/>
        <v>0</v>
      </c>
      <c r="FK267" s="419"/>
      <c r="FL267" s="419"/>
      <c r="FM267" s="419"/>
      <c r="FN267" s="420">
        <f t="shared" si="227"/>
        <v>0</v>
      </c>
      <c r="FO267" s="423">
        <f t="shared" si="228"/>
        <v>0</v>
      </c>
      <c r="FP267" s="419"/>
      <c r="FQ267" s="419"/>
      <c r="FR267" s="419"/>
      <c r="FS267" s="420">
        <f t="shared" si="229"/>
        <v>0</v>
      </c>
      <c r="FT267" s="420">
        <f t="shared" si="230"/>
        <v>0</v>
      </c>
      <c r="FU267" s="419"/>
      <c r="FV267" s="419"/>
      <c r="FW267" s="419"/>
      <c r="FX267" s="420">
        <f t="shared" si="231"/>
        <v>0</v>
      </c>
      <c r="FY267" s="420">
        <f t="shared" si="232"/>
        <v>0</v>
      </c>
      <c r="FZ267" s="419"/>
      <c r="GA267" s="419"/>
      <c r="GB267" s="419"/>
      <c r="GC267" s="420">
        <f t="shared" si="233"/>
        <v>0</v>
      </c>
      <c r="GD267" s="420">
        <f t="shared" si="234"/>
        <v>0</v>
      </c>
      <c r="GE267" s="419"/>
      <c r="GF267" s="419"/>
      <c r="GG267" s="419"/>
      <c r="GH267" s="420">
        <f t="shared" si="235"/>
        <v>0</v>
      </c>
      <c r="GI267" s="423">
        <f t="shared" si="236"/>
        <v>0</v>
      </c>
      <c r="GJ267" s="419"/>
      <c r="GK267" s="419"/>
      <c r="GL267" s="419"/>
      <c r="GM267" s="420">
        <f t="shared" si="237"/>
        <v>0</v>
      </c>
      <c r="GN267" s="420">
        <f t="shared" si="238"/>
        <v>0</v>
      </c>
      <c r="GO267" s="419"/>
      <c r="GP267" s="419"/>
      <c r="GQ267" s="419"/>
      <c r="GR267" s="420">
        <f t="shared" si="249"/>
        <v>0</v>
      </c>
      <c r="GS267" s="423">
        <f t="shared" si="246"/>
        <v>0</v>
      </c>
      <c r="GT267" s="419"/>
      <c r="GU267" s="419"/>
      <c r="GV267" s="419"/>
      <c r="GW267" s="420">
        <f t="shared" si="247"/>
        <v>0</v>
      </c>
      <c r="GX267" s="420">
        <f t="shared" si="248"/>
        <v>0</v>
      </c>
    </row>
    <row r="268" spans="1:206" ht="15">
      <c r="A268" s="414"/>
      <c r="B268" s="415"/>
      <c r="C268" s="698"/>
      <c r="D268" s="467" t="s">
        <v>611</v>
      </c>
      <c r="E268" s="434" t="s">
        <v>604</v>
      </c>
      <c r="F268" s="417">
        <v>0.13</v>
      </c>
      <c r="G268" s="418">
        <f t="shared" si="244"/>
        <v>6011570</v>
      </c>
      <c r="H268" s="418">
        <f t="shared" si="245"/>
        <v>6011570</v>
      </c>
      <c r="I268" s="418">
        <f t="shared" si="245"/>
        <v>781504.08</v>
      </c>
      <c r="J268" s="418">
        <f t="shared" si="221"/>
        <v>6011569.8461538497</v>
      </c>
      <c r="K268" s="418">
        <f t="shared" si="250"/>
        <v>-0.15384615398943399</v>
      </c>
      <c r="L268" s="418">
        <f t="shared" si="218"/>
        <v>-0.15384615398943399</v>
      </c>
      <c r="M268" s="424"/>
      <c r="N268" s="424"/>
      <c r="O268" s="424"/>
      <c r="P268" s="424"/>
      <c r="Q268" s="419"/>
      <c r="R268" s="419"/>
      <c r="S268" s="419"/>
      <c r="T268" s="437"/>
      <c r="U268" s="423"/>
      <c r="V268" s="437"/>
      <c r="W268" s="437"/>
      <c r="X268" s="419"/>
      <c r="Y268" s="419"/>
      <c r="Z268" s="423"/>
      <c r="AA268" s="423"/>
      <c r="AB268" s="419"/>
      <c r="AC268" s="419"/>
      <c r="AD268" s="437"/>
      <c r="AE268" s="423"/>
      <c r="AF268" s="419"/>
      <c r="AG268" s="419"/>
      <c r="AH268" s="419"/>
      <c r="AI268" s="437"/>
      <c r="AJ268" s="423"/>
      <c r="AK268" s="419"/>
      <c r="AL268" s="437"/>
      <c r="AM268" s="419"/>
      <c r="AN268" s="437"/>
      <c r="AO268" s="423"/>
      <c r="AP268" s="419"/>
      <c r="AQ268" s="419"/>
      <c r="AR268" s="437"/>
      <c r="AS268" s="437"/>
      <c r="AT268" s="437"/>
      <c r="AU268" s="437"/>
      <c r="AV268" s="437"/>
      <c r="AW268" s="437"/>
      <c r="AX268" s="462"/>
      <c r="AY268" s="437"/>
      <c r="AZ268" s="437"/>
      <c r="BA268" s="437"/>
      <c r="BB268" s="419"/>
      <c r="BC268" s="437"/>
      <c r="BD268" s="427"/>
      <c r="BE268" s="437"/>
      <c r="BF268" s="437"/>
      <c r="BG268" s="437"/>
      <c r="BH268" s="423"/>
      <c r="BI268" s="437"/>
      <c r="BJ268" s="437"/>
      <c r="BK268" s="437"/>
      <c r="BL268" s="437"/>
      <c r="BM268" s="437"/>
      <c r="BN268" s="437"/>
      <c r="BO268" s="437"/>
      <c r="BP268" s="463"/>
      <c r="BQ268" s="437"/>
      <c r="BR268" s="423"/>
      <c r="BS268" s="423"/>
      <c r="BT268" s="437"/>
      <c r="BU268" s="437"/>
      <c r="BV268" s="437"/>
      <c r="BW268" s="437"/>
      <c r="BX268" s="463"/>
      <c r="BY268" s="419"/>
      <c r="BZ268" s="419"/>
      <c r="CA268" s="419"/>
      <c r="CB268" s="437"/>
      <c r="CC268" s="464"/>
      <c r="CD268" s="419"/>
      <c r="CE268" s="419"/>
      <c r="CF268" s="419"/>
      <c r="CG268" s="437"/>
      <c r="CH268" s="423"/>
      <c r="CI268" s="431"/>
      <c r="CJ268" s="431"/>
      <c r="CK268" s="431"/>
      <c r="CL268" s="437"/>
      <c r="CM268" s="423"/>
      <c r="CN268" s="437"/>
      <c r="CO268" s="437"/>
      <c r="CP268" s="437"/>
      <c r="CQ268" s="465"/>
      <c r="CR268" s="465"/>
      <c r="CS268" s="437"/>
      <c r="CT268" s="437"/>
      <c r="CU268" s="437"/>
      <c r="CV268" s="437"/>
      <c r="CW268" s="437"/>
      <c r="CX268" s="419"/>
      <c r="CY268" s="419"/>
      <c r="CZ268" s="419"/>
      <c r="DA268" s="419"/>
      <c r="DB268" s="419"/>
      <c r="DC268" s="419"/>
      <c r="DD268" s="419"/>
      <c r="DE268" s="419"/>
      <c r="DF268" s="420"/>
      <c r="DG268" s="421"/>
      <c r="DH268" s="419"/>
      <c r="DI268" s="419"/>
      <c r="DJ268" s="419"/>
      <c r="DK268" s="437"/>
      <c r="DL268" s="466"/>
      <c r="DM268" s="437"/>
      <c r="DN268" s="437"/>
      <c r="DO268" s="437"/>
      <c r="DP268" s="437"/>
      <c r="DQ268" s="437"/>
      <c r="DR268" s="419"/>
      <c r="DS268" s="419"/>
      <c r="DT268" s="419"/>
      <c r="DU268" s="437"/>
      <c r="DV268" s="423"/>
      <c r="DW268" s="419"/>
      <c r="DX268" s="419"/>
      <c r="DY268" s="419"/>
      <c r="DZ268" s="437"/>
      <c r="EA268" s="423"/>
      <c r="EB268" s="419"/>
      <c r="EC268" s="419"/>
      <c r="ED268" s="437"/>
      <c r="EE268" s="419"/>
      <c r="EF268" s="437"/>
      <c r="EG268" s="419"/>
      <c r="EH268" s="419"/>
      <c r="EI268" s="419"/>
      <c r="EJ268" s="437"/>
      <c r="EK268" s="437"/>
      <c r="EL268" s="419"/>
      <c r="EM268" s="419"/>
      <c r="EN268" s="419"/>
      <c r="EO268" s="419"/>
      <c r="EP268" s="419"/>
      <c r="EQ268" s="437">
        <v>6011570</v>
      </c>
      <c r="ER268" s="437">
        <v>6011570</v>
      </c>
      <c r="ES268" s="437">
        <v>781504.08</v>
      </c>
      <c r="ET268" s="419">
        <f>ROUND(ES268/F268,2)</f>
        <v>6011569.8499999996</v>
      </c>
      <c r="EU268" s="419">
        <f>ROUND(ET268-EQ268,2)</f>
        <v>-0.15</v>
      </c>
      <c r="EV268" s="419"/>
      <c r="EW268" s="419"/>
      <c r="EX268" s="419"/>
      <c r="EY268" s="419">
        <f t="shared" si="222"/>
        <v>0</v>
      </c>
      <c r="EZ268" s="419">
        <f t="shared" si="242"/>
        <v>0</v>
      </c>
      <c r="FA268" s="437"/>
      <c r="FB268" s="437"/>
      <c r="FC268" s="437"/>
      <c r="FD268" s="437">
        <f t="shared" si="223"/>
        <v>0</v>
      </c>
      <c r="FE268" s="437">
        <f t="shared" si="224"/>
        <v>0</v>
      </c>
      <c r="FF268" s="419"/>
      <c r="FG268" s="419"/>
      <c r="FH268" s="419"/>
      <c r="FI268" s="419">
        <f t="shared" si="225"/>
        <v>0</v>
      </c>
      <c r="FJ268" s="419">
        <f t="shared" si="226"/>
        <v>0</v>
      </c>
      <c r="FK268" s="419"/>
      <c r="FL268" s="419"/>
      <c r="FM268" s="419"/>
      <c r="FN268" s="420">
        <f t="shared" si="227"/>
        <v>0</v>
      </c>
      <c r="FO268" s="423">
        <f t="shared" si="228"/>
        <v>0</v>
      </c>
      <c r="FP268" s="419"/>
      <c r="FQ268" s="419"/>
      <c r="FR268" s="419"/>
      <c r="FS268" s="420">
        <f t="shared" si="229"/>
        <v>0</v>
      </c>
      <c r="FT268" s="420">
        <f t="shared" si="230"/>
        <v>0</v>
      </c>
      <c r="FU268" s="419"/>
      <c r="FV268" s="419"/>
      <c r="FW268" s="419"/>
      <c r="FX268" s="420">
        <f t="shared" si="231"/>
        <v>0</v>
      </c>
      <c r="FY268" s="420">
        <f t="shared" si="232"/>
        <v>0</v>
      </c>
      <c r="FZ268" s="419"/>
      <c r="GA268" s="419"/>
      <c r="GB268" s="419"/>
      <c r="GC268" s="420">
        <f t="shared" si="233"/>
        <v>0</v>
      </c>
      <c r="GD268" s="420">
        <f t="shared" si="234"/>
        <v>0</v>
      </c>
      <c r="GE268" s="419"/>
      <c r="GF268" s="419"/>
      <c r="GG268" s="419"/>
      <c r="GH268" s="420">
        <f t="shared" si="235"/>
        <v>0</v>
      </c>
      <c r="GI268" s="423">
        <f t="shared" si="236"/>
        <v>0</v>
      </c>
      <c r="GJ268" s="419"/>
      <c r="GK268" s="419"/>
      <c r="GL268" s="419"/>
      <c r="GM268" s="420">
        <f t="shared" si="237"/>
        <v>0</v>
      </c>
      <c r="GN268" s="420">
        <f t="shared" si="238"/>
        <v>0</v>
      </c>
      <c r="GO268" s="419"/>
      <c r="GP268" s="419"/>
      <c r="GQ268" s="419"/>
      <c r="GR268" s="420">
        <f t="shared" si="249"/>
        <v>0</v>
      </c>
      <c r="GS268" s="423">
        <f t="shared" si="246"/>
        <v>0</v>
      </c>
      <c r="GT268" s="419"/>
      <c r="GU268" s="419"/>
      <c r="GV268" s="419"/>
      <c r="GW268" s="420">
        <f t="shared" si="247"/>
        <v>0</v>
      </c>
      <c r="GX268" s="420">
        <f t="shared" si="248"/>
        <v>0</v>
      </c>
    </row>
    <row r="269" spans="1:206" ht="15">
      <c r="A269" s="414"/>
      <c r="B269" s="415" t="s">
        <v>612</v>
      </c>
      <c r="C269" s="698"/>
      <c r="D269" s="467" t="s">
        <v>613</v>
      </c>
      <c r="E269" s="434" t="s">
        <v>604</v>
      </c>
      <c r="F269" s="417">
        <v>0.13</v>
      </c>
      <c r="G269" s="418">
        <f t="shared" si="244"/>
        <v>63189042.289999999</v>
      </c>
      <c r="H269" s="418">
        <f t="shared" si="245"/>
        <v>63189042.289999999</v>
      </c>
      <c r="I269" s="418">
        <f t="shared" si="245"/>
        <v>8214575.4900000002</v>
      </c>
      <c r="J269" s="418">
        <f t="shared" si="221"/>
        <v>63189042.230769202</v>
      </c>
      <c r="K269" s="418">
        <f t="shared" si="250"/>
        <v>-5.9230767190456397E-2</v>
      </c>
      <c r="L269" s="418">
        <f t="shared" si="218"/>
        <v>-5.9230767190456397E-2</v>
      </c>
      <c r="M269" s="424"/>
      <c r="N269" s="424"/>
      <c r="O269" s="424"/>
      <c r="P269" s="424"/>
      <c r="Q269" s="419"/>
      <c r="R269" s="419"/>
      <c r="S269" s="419"/>
      <c r="T269" s="420"/>
      <c r="U269" s="423"/>
      <c r="V269" s="420"/>
      <c r="W269" s="420"/>
      <c r="X269" s="419"/>
      <c r="Y269" s="419"/>
      <c r="Z269" s="423"/>
      <c r="AA269" s="423"/>
      <c r="AB269" s="419"/>
      <c r="AC269" s="419"/>
      <c r="AD269" s="420"/>
      <c r="AE269" s="423"/>
      <c r="AF269" s="419"/>
      <c r="AG269" s="419"/>
      <c r="AH269" s="419"/>
      <c r="AI269" s="420"/>
      <c r="AJ269" s="423"/>
      <c r="AK269" s="419"/>
      <c r="AL269" s="420"/>
      <c r="AM269" s="419"/>
      <c r="AN269" s="420"/>
      <c r="AO269" s="423"/>
      <c r="AP269" s="419"/>
      <c r="AQ269" s="419"/>
      <c r="AR269" s="420"/>
      <c r="AS269" s="420"/>
      <c r="AT269" s="420"/>
      <c r="AU269" s="420"/>
      <c r="AV269" s="420"/>
      <c r="AW269" s="420"/>
      <c r="AX269" s="426"/>
      <c r="AY269" s="420"/>
      <c r="AZ269" s="420"/>
      <c r="BA269" s="420"/>
      <c r="BB269" s="419"/>
      <c r="BC269" s="420"/>
      <c r="BD269" s="427"/>
      <c r="BE269" s="420"/>
      <c r="BF269" s="420"/>
      <c r="BG269" s="420"/>
      <c r="BH269" s="423"/>
      <c r="BI269" s="420"/>
      <c r="BJ269" s="420"/>
      <c r="BK269" s="420"/>
      <c r="BL269" s="420"/>
      <c r="BM269" s="420"/>
      <c r="BN269" s="420"/>
      <c r="BO269" s="420"/>
      <c r="BP269" s="429"/>
      <c r="BQ269" s="420"/>
      <c r="BR269" s="423"/>
      <c r="BS269" s="423"/>
      <c r="BT269" s="420"/>
      <c r="BU269" s="420"/>
      <c r="BV269" s="420"/>
      <c r="BW269" s="420"/>
      <c r="BX269" s="429"/>
      <c r="BY269" s="419"/>
      <c r="BZ269" s="419"/>
      <c r="CA269" s="419"/>
      <c r="CB269" s="420"/>
      <c r="CC269" s="430"/>
      <c r="CD269" s="419"/>
      <c r="CE269" s="419"/>
      <c r="CF269" s="419"/>
      <c r="CG269" s="420"/>
      <c r="CH269" s="423"/>
      <c r="CI269" s="431"/>
      <c r="CJ269" s="431"/>
      <c r="CK269" s="431"/>
      <c r="CL269" s="420"/>
      <c r="CM269" s="423"/>
      <c r="CN269" s="420"/>
      <c r="CO269" s="420"/>
      <c r="CP269" s="420"/>
      <c r="CQ269" s="432"/>
      <c r="CR269" s="432"/>
      <c r="CS269" s="420"/>
      <c r="CT269" s="420"/>
      <c r="CU269" s="420"/>
      <c r="CV269" s="420"/>
      <c r="CW269" s="420"/>
      <c r="CX269" s="419"/>
      <c r="CY269" s="419"/>
      <c r="CZ269" s="419"/>
      <c r="DA269" s="419"/>
      <c r="DB269" s="419"/>
      <c r="DC269" s="419"/>
      <c r="DD269" s="419"/>
      <c r="DE269" s="419"/>
      <c r="DF269" s="420"/>
      <c r="DG269" s="421"/>
      <c r="DH269" s="419"/>
      <c r="DI269" s="419"/>
      <c r="DJ269" s="419"/>
      <c r="DK269" s="420"/>
      <c r="DL269" s="422"/>
      <c r="DM269" s="420"/>
      <c r="DN269" s="420"/>
      <c r="DO269" s="420"/>
      <c r="DP269" s="420"/>
      <c r="DQ269" s="420"/>
      <c r="DR269" s="419"/>
      <c r="DS269" s="419"/>
      <c r="DT269" s="419"/>
      <c r="DU269" s="420"/>
      <c r="DV269" s="423"/>
      <c r="DW269" s="419"/>
      <c r="DX269" s="419"/>
      <c r="DY269" s="419"/>
      <c r="DZ269" s="420"/>
      <c r="EA269" s="423"/>
      <c r="EB269" s="419"/>
      <c r="EC269" s="419"/>
      <c r="ED269" s="420"/>
      <c r="EE269" s="419"/>
      <c r="EF269" s="420"/>
      <c r="EG269" s="419"/>
      <c r="EH269" s="419"/>
      <c r="EI269" s="419"/>
      <c r="EJ269" s="420"/>
      <c r="EK269" s="420"/>
      <c r="EL269" s="444">
        <v>22712166.93</v>
      </c>
      <c r="EM269" s="419">
        <v>22326484.789999999</v>
      </c>
      <c r="EN269" s="444">
        <v>2952581.7</v>
      </c>
      <c r="EO269" s="419">
        <f>ROUND(EN269/F269,2)</f>
        <v>22712166.920000002</v>
      </c>
      <c r="EP269" s="437">
        <f>ROUND(EO269-EL269,2)</f>
        <v>-0.01</v>
      </c>
      <c r="EQ269" s="420"/>
      <c r="ER269" s="420"/>
      <c r="ES269" s="420"/>
      <c r="ET269" s="419"/>
      <c r="EU269" s="419"/>
      <c r="EV269" s="419">
        <v>40476875.359999999</v>
      </c>
      <c r="EW269" s="419">
        <v>40862557.5</v>
      </c>
      <c r="EX269" s="419">
        <v>5261993.79</v>
      </c>
      <c r="EY269" s="419">
        <f t="shared" si="222"/>
        <v>40476875.310000002</v>
      </c>
      <c r="EZ269" s="419">
        <f t="shared" si="242"/>
        <v>-0.05</v>
      </c>
      <c r="FA269" s="420"/>
      <c r="FB269" s="420"/>
      <c r="FC269" s="420"/>
      <c r="FD269" s="420">
        <f t="shared" si="223"/>
        <v>0</v>
      </c>
      <c r="FE269" s="420">
        <f t="shared" si="224"/>
        <v>0</v>
      </c>
      <c r="FF269" s="419"/>
      <c r="FG269" s="419"/>
      <c r="FH269" s="419"/>
      <c r="FI269" s="419">
        <f t="shared" si="225"/>
        <v>0</v>
      </c>
      <c r="FJ269" s="419">
        <f t="shared" si="226"/>
        <v>0</v>
      </c>
      <c r="FK269" s="419"/>
      <c r="FL269" s="419"/>
      <c r="FM269" s="419"/>
      <c r="FN269" s="420">
        <f t="shared" si="227"/>
        <v>0</v>
      </c>
      <c r="FO269" s="423">
        <f t="shared" si="228"/>
        <v>0</v>
      </c>
      <c r="FP269" s="419"/>
      <c r="FQ269" s="419"/>
      <c r="FR269" s="419"/>
      <c r="FS269" s="420">
        <f t="shared" si="229"/>
        <v>0</v>
      </c>
      <c r="FT269" s="420">
        <f t="shared" si="230"/>
        <v>0</v>
      </c>
      <c r="FU269" s="419"/>
      <c r="FV269" s="419"/>
      <c r="FW269" s="419"/>
      <c r="FX269" s="420">
        <f t="shared" si="231"/>
        <v>0</v>
      </c>
      <c r="FY269" s="420">
        <f t="shared" si="232"/>
        <v>0</v>
      </c>
      <c r="FZ269" s="419"/>
      <c r="GA269" s="419"/>
      <c r="GB269" s="419"/>
      <c r="GC269" s="420">
        <f t="shared" si="233"/>
        <v>0</v>
      </c>
      <c r="GD269" s="420">
        <f t="shared" si="234"/>
        <v>0</v>
      </c>
      <c r="GE269" s="419"/>
      <c r="GF269" s="419"/>
      <c r="GG269" s="419"/>
      <c r="GH269" s="420">
        <f t="shared" si="235"/>
        <v>0</v>
      </c>
      <c r="GI269" s="423">
        <f t="shared" si="236"/>
        <v>0</v>
      </c>
      <c r="GJ269" s="419"/>
      <c r="GK269" s="419"/>
      <c r="GL269" s="419"/>
      <c r="GM269" s="420">
        <f t="shared" si="237"/>
        <v>0</v>
      </c>
      <c r="GN269" s="420">
        <f t="shared" si="238"/>
        <v>0</v>
      </c>
      <c r="GO269" s="419"/>
      <c r="GP269" s="419"/>
      <c r="GQ269" s="419"/>
      <c r="GR269" s="420">
        <f t="shared" si="249"/>
        <v>0</v>
      </c>
      <c r="GS269" s="423">
        <f t="shared" si="246"/>
        <v>0</v>
      </c>
      <c r="GT269" s="419"/>
      <c r="GU269" s="419"/>
      <c r="GV269" s="419"/>
      <c r="GW269" s="420">
        <f t="shared" si="247"/>
        <v>0</v>
      </c>
      <c r="GX269" s="420">
        <f t="shared" si="248"/>
        <v>0</v>
      </c>
    </row>
    <row r="270" spans="1:206" ht="15">
      <c r="A270" s="414"/>
      <c r="B270" s="415"/>
      <c r="C270" s="698"/>
      <c r="D270" s="467" t="s">
        <v>614</v>
      </c>
      <c r="E270" s="434" t="s">
        <v>604</v>
      </c>
      <c r="F270" s="417">
        <v>0.13</v>
      </c>
      <c r="G270" s="418">
        <f t="shared" si="244"/>
        <v>42641200.399999999</v>
      </c>
      <c r="H270" s="418">
        <f t="shared" si="245"/>
        <v>42641200.399999999</v>
      </c>
      <c r="I270" s="418">
        <f t="shared" si="245"/>
        <v>5543356.0199999996</v>
      </c>
      <c r="J270" s="418">
        <f t="shared" si="221"/>
        <v>42641200.153846197</v>
      </c>
      <c r="K270" s="418">
        <f t="shared" si="250"/>
        <v>-0.24615384638309501</v>
      </c>
      <c r="L270" s="418">
        <f t="shared" si="218"/>
        <v>-0.24615384638309501</v>
      </c>
      <c r="M270" s="424"/>
      <c r="N270" s="424"/>
      <c r="O270" s="424"/>
      <c r="P270" s="424"/>
      <c r="Q270" s="419"/>
      <c r="R270" s="419"/>
      <c r="S270" s="419"/>
      <c r="T270" s="420"/>
      <c r="U270" s="423"/>
      <c r="V270" s="420"/>
      <c r="W270" s="420"/>
      <c r="X270" s="419"/>
      <c r="Y270" s="419"/>
      <c r="Z270" s="423"/>
      <c r="AA270" s="423"/>
      <c r="AB270" s="419"/>
      <c r="AC270" s="419"/>
      <c r="AD270" s="420"/>
      <c r="AE270" s="423"/>
      <c r="AF270" s="419"/>
      <c r="AG270" s="419"/>
      <c r="AH270" s="419"/>
      <c r="AI270" s="420"/>
      <c r="AJ270" s="423"/>
      <c r="AK270" s="419"/>
      <c r="AL270" s="420"/>
      <c r="AM270" s="419"/>
      <c r="AN270" s="420"/>
      <c r="AO270" s="423"/>
      <c r="AP270" s="419"/>
      <c r="AQ270" s="419"/>
      <c r="AR270" s="420"/>
      <c r="AS270" s="420"/>
      <c r="AT270" s="420"/>
      <c r="AU270" s="420"/>
      <c r="AV270" s="420"/>
      <c r="AW270" s="420"/>
      <c r="AX270" s="426"/>
      <c r="AY270" s="420"/>
      <c r="AZ270" s="420"/>
      <c r="BA270" s="420"/>
      <c r="BB270" s="419"/>
      <c r="BC270" s="420"/>
      <c r="BD270" s="427"/>
      <c r="BE270" s="420"/>
      <c r="BF270" s="420"/>
      <c r="BG270" s="420"/>
      <c r="BH270" s="423"/>
      <c r="BI270" s="420"/>
      <c r="BJ270" s="420"/>
      <c r="BK270" s="420"/>
      <c r="BL270" s="420"/>
      <c r="BM270" s="420"/>
      <c r="BN270" s="420"/>
      <c r="BO270" s="420"/>
      <c r="BP270" s="429"/>
      <c r="BQ270" s="420"/>
      <c r="BR270" s="423"/>
      <c r="BS270" s="423"/>
      <c r="BT270" s="420"/>
      <c r="BU270" s="420"/>
      <c r="BV270" s="420"/>
      <c r="BW270" s="420"/>
      <c r="BX270" s="429"/>
      <c r="BY270" s="419"/>
      <c r="BZ270" s="419"/>
      <c r="CA270" s="419"/>
      <c r="CB270" s="420"/>
      <c r="CC270" s="430"/>
      <c r="CD270" s="419"/>
      <c r="CE270" s="419"/>
      <c r="CF270" s="419"/>
      <c r="CG270" s="420"/>
      <c r="CH270" s="423"/>
      <c r="CI270" s="431"/>
      <c r="CJ270" s="431"/>
      <c r="CK270" s="431"/>
      <c r="CL270" s="420"/>
      <c r="CM270" s="423"/>
      <c r="CN270" s="420"/>
      <c r="CO270" s="420"/>
      <c r="CP270" s="420"/>
      <c r="CQ270" s="432"/>
      <c r="CR270" s="432"/>
      <c r="CS270" s="420"/>
      <c r="CT270" s="420"/>
      <c r="CU270" s="420"/>
      <c r="CV270" s="420"/>
      <c r="CW270" s="420"/>
      <c r="CX270" s="419"/>
      <c r="CY270" s="419"/>
      <c r="CZ270" s="419"/>
      <c r="DA270" s="419"/>
      <c r="DB270" s="419"/>
      <c r="DC270" s="419"/>
      <c r="DD270" s="419"/>
      <c r="DE270" s="419"/>
      <c r="DF270" s="420"/>
      <c r="DG270" s="421"/>
      <c r="DH270" s="419"/>
      <c r="DI270" s="419"/>
      <c r="DJ270" s="419"/>
      <c r="DK270" s="420"/>
      <c r="DL270" s="422"/>
      <c r="DM270" s="420"/>
      <c r="DN270" s="420"/>
      <c r="DO270" s="420"/>
      <c r="DP270" s="420"/>
      <c r="DQ270" s="420"/>
      <c r="DR270" s="419"/>
      <c r="DS270" s="419"/>
      <c r="DT270" s="419"/>
      <c r="DU270" s="420"/>
      <c r="DV270" s="423"/>
      <c r="DW270" s="419"/>
      <c r="DX270" s="419"/>
      <c r="DY270" s="419"/>
      <c r="DZ270" s="420"/>
      <c r="EA270" s="423"/>
      <c r="EB270" s="419"/>
      <c r="EC270" s="419"/>
      <c r="ED270" s="420"/>
      <c r="EE270" s="419"/>
      <c r="EF270" s="420"/>
      <c r="EG270" s="419"/>
      <c r="EH270" s="419"/>
      <c r="EI270" s="419"/>
      <c r="EJ270" s="420"/>
      <c r="EK270" s="420"/>
      <c r="EL270" s="419"/>
      <c r="EM270" s="419"/>
      <c r="EN270" s="419"/>
      <c r="EO270" s="419"/>
      <c r="EP270" s="419"/>
      <c r="EQ270" s="420"/>
      <c r="ER270" s="420"/>
      <c r="ES270" s="420"/>
      <c r="ET270" s="419"/>
      <c r="EU270" s="419"/>
      <c r="EV270" s="419">
        <v>42641200.399999999</v>
      </c>
      <c r="EW270" s="419">
        <v>42641200.399999999</v>
      </c>
      <c r="EX270" s="419">
        <v>5543356.0199999996</v>
      </c>
      <c r="EY270" s="419">
        <f t="shared" si="222"/>
        <v>42641200.149999999</v>
      </c>
      <c r="EZ270" s="419">
        <f t="shared" si="242"/>
        <v>-0.25</v>
      </c>
      <c r="FA270" s="420"/>
      <c r="FB270" s="420"/>
      <c r="FC270" s="420"/>
      <c r="FD270" s="420">
        <f t="shared" si="223"/>
        <v>0</v>
      </c>
      <c r="FE270" s="420">
        <f t="shared" si="224"/>
        <v>0</v>
      </c>
      <c r="FF270" s="419"/>
      <c r="FG270" s="419"/>
      <c r="FH270" s="419"/>
      <c r="FI270" s="419">
        <f t="shared" si="225"/>
        <v>0</v>
      </c>
      <c r="FJ270" s="419">
        <f t="shared" si="226"/>
        <v>0</v>
      </c>
      <c r="FK270" s="419"/>
      <c r="FL270" s="419"/>
      <c r="FM270" s="419"/>
      <c r="FN270" s="420">
        <f t="shared" si="227"/>
        <v>0</v>
      </c>
      <c r="FO270" s="423">
        <f t="shared" si="228"/>
        <v>0</v>
      </c>
      <c r="FP270" s="419"/>
      <c r="FQ270" s="419"/>
      <c r="FR270" s="419"/>
      <c r="FS270" s="420">
        <f t="shared" si="229"/>
        <v>0</v>
      </c>
      <c r="FT270" s="420">
        <f t="shared" si="230"/>
        <v>0</v>
      </c>
      <c r="FU270" s="419"/>
      <c r="FV270" s="419"/>
      <c r="FW270" s="419"/>
      <c r="FX270" s="420">
        <f t="shared" si="231"/>
        <v>0</v>
      </c>
      <c r="FY270" s="420">
        <f t="shared" si="232"/>
        <v>0</v>
      </c>
      <c r="FZ270" s="419"/>
      <c r="GA270" s="419"/>
      <c r="GB270" s="419"/>
      <c r="GC270" s="420">
        <f t="shared" si="233"/>
        <v>0</v>
      </c>
      <c r="GD270" s="420">
        <f t="shared" si="234"/>
        <v>0</v>
      </c>
      <c r="GE270" s="419"/>
      <c r="GF270" s="419"/>
      <c r="GG270" s="419"/>
      <c r="GH270" s="420">
        <f t="shared" si="235"/>
        <v>0</v>
      </c>
      <c r="GI270" s="423">
        <f t="shared" si="236"/>
        <v>0</v>
      </c>
      <c r="GJ270" s="419"/>
      <c r="GK270" s="419"/>
      <c r="GL270" s="419"/>
      <c r="GM270" s="420">
        <f t="shared" si="237"/>
        <v>0</v>
      </c>
      <c r="GN270" s="420">
        <f t="shared" si="238"/>
        <v>0</v>
      </c>
      <c r="GO270" s="419"/>
      <c r="GP270" s="419"/>
      <c r="GQ270" s="419"/>
      <c r="GR270" s="420">
        <f t="shared" si="249"/>
        <v>0</v>
      </c>
      <c r="GS270" s="423">
        <f t="shared" si="246"/>
        <v>0</v>
      </c>
      <c r="GT270" s="419"/>
      <c r="GU270" s="419"/>
      <c r="GV270" s="419"/>
      <c r="GW270" s="420">
        <f t="shared" si="247"/>
        <v>0</v>
      </c>
      <c r="GX270" s="420">
        <f t="shared" si="248"/>
        <v>0</v>
      </c>
    </row>
    <row r="271" spans="1:206" ht="15">
      <c r="A271" s="414"/>
      <c r="B271" s="415"/>
      <c r="C271" s="698"/>
      <c r="D271" s="467" t="s">
        <v>615</v>
      </c>
      <c r="E271" s="434" t="s">
        <v>604</v>
      </c>
      <c r="F271" s="417">
        <v>0.13</v>
      </c>
      <c r="G271" s="418">
        <f t="shared" si="244"/>
        <v>6031306.2599999998</v>
      </c>
      <c r="H271" s="418">
        <f t="shared" si="245"/>
        <v>6031306.2599999998</v>
      </c>
      <c r="I271" s="418">
        <f t="shared" si="245"/>
        <v>784069.84</v>
      </c>
      <c r="J271" s="418">
        <f t="shared" si="221"/>
        <v>6031306.4615384601</v>
      </c>
      <c r="K271" s="418">
        <f t="shared" si="250"/>
        <v>0.20153846126049799</v>
      </c>
      <c r="L271" s="418">
        <f t="shared" si="218"/>
        <v>0.20153846126049799</v>
      </c>
      <c r="M271" s="424"/>
      <c r="N271" s="424"/>
      <c r="O271" s="424"/>
      <c r="P271" s="424"/>
      <c r="Q271" s="419"/>
      <c r="R271" s="419"/>
      <c r="S271" s="419"/>
      <c r="T271" s="420"/>
      <c r="U271" s="423"/>
      <c r="V271" s="420"/>
      <c r="W271" s="420"/>
      <c r="X271" s="419"/>
      <c r="Y271" s="419"/>
      <c r="Z271" s="423"/>
      <c r="AA271" s="423"/>
      <c r="AB271" s="419"/>
      <c r="AC271" s="419"/>
      <c r="AD271" s="420"/>
      <c r="AE271" s="423"/>
      <c r="AF271" s="419"/>
      <c r="AG271" s="419"/>
      <c r="AH271" s="419"/>
      <c r="AI271" s="420"/>
      <c r="AJ271" s="423"/>
      <c r="AK271" s="419"/>
      <c r="AL271" s="420"/>
      <c r="AM271" s="419"/>
      <c r="AN271" s="420"/>
      <c r="AO271" s="423"/>
      <c r="AP271" s="419"/>
      <c r="AQ271" s="419"/>
      <c r="AR271" s="420"/>
      <c r="AS271" s="420"/>
      <c r="AT271" s="420"/>
      <c r="AU271" s="420"/>
      <c r="AV271" s="420"/>
      <c r="AW271" s="420"/>
      <c r="AX271" s="426"/>
      <c r="AY271" s="420"/>
      <c r="AZ271" s="420"/>
      <c r="BA271" s="420"/>
      <c r="BB271" s="419"/>
      <c r="BC271" s="420"/>
      <c r="BD271" s="427"/>
      <c r="BE271" s="420"/>
      <c r="BF271" s="420"/>
      <c r="BG271" s="420"/>
      <c r="BH271" s="423"/>
      <c r="BI271" s="420"/>
      <c r="BJ271" s="420"/>
      <c r="BK271" s="420"/>
      <c r="BL271" s="420"/>
      <c r="BM271" s="420"/>
      <c r="BN271" s="420"/>
      <c r="BO271" s="420"/>
      <c r="BP271" s="429"/>
      <c r="BQ271" s="420"/>
      <c r="BR271" s="423"/>
      <c r="BS271" s="423"/>
      <c r="BT271" s="420"/>
      <c r="BU271" s="420"/>
      <c r="BV271" s="420"/>
      <c r="BW271" s="420"/>
      <c r="BX271" s="429"/>
      <c r="BY271" s="419"/>
      <c r="BZ271" s="419"/>
      <c r="CA271" s="419"/>
      <c r="CB271" s="420"/>
      <c r="CC271" s="430"/>
      <c r="CD271" s="419"/>
      <c r="CE271" s="419"/>
      <c r="CF271" s="419"/>
      <c r="CG271" s="420"/>
      <c r="CH271" s="423"/>
      <c r="CI271" s="431"/>
      <c r="CJ271" s="431"/>
      <c r="CK271" s="431"/>
      <c r="CL271" s="420"/>
      <c r="CM271" s="423"/>
      <c r="CN271" s="420"/>
      <c r="CO271" s="420"/>
      <c r="CP271" s="420"/>
      <c r="CQ271" s="432"/>
      <c r="CR271" s="432"/>
      <c r="CS271" s="420"/>
      <c r="CT271" s="420"/>
      <c r="CU271" s="420"/>
      <c r="CV271" s="420"/>
      <c r="CW271" s="420"/>
      <c r="CX271" s="419"/>
      <c r="CY271" s="419"/>
      <c r="CZ271" s="419"/>
      <c r="DA271" s="419"/>
      <c r="DB271" s="419"/>
      <c r="DC271" s="419"/>
      <c r="DD271" s="419"/>
      <c r="DE271" s="419"/>
      <c r="DF271" s="420"/>
      <c r="DG271" s="421"/>
      <c r="DH271" s="419"/>
      <c r="DI271" s="419"/>
      <c r="DJ271" s="419"/>
      <c r="DK271" s="420"/>
      <c r="DL271" s="422"/>
      <c r="DM271" s="420"/>
      <c r="DN271" s="420"/>
      <c r="DO271" s="420"/>
      <c r="DP271" s="420"/>
      <c r="DQ271" s="420"/>
      <c r="DR271" s="419"/>
      <c r="DS271" s="419"/>
      <c r="DT271" s="419"/>
      <c r="DU271" s="420"/>
      <c r="DV271" s="423"/>
      <c r="DW271" s="419"/>
      <c r="DX271" s="419"/>
      <c r="DY271" s="419"/>
      <c r="DZ271" s="420"/>
      <c r="EA271" s="423"/>
      <c r="EB271" s="419"/>
      <c r="EC271" s="419"/>
      <c r="ED271" s="420"/>
      <c r="EE271" s="419"/>
      <c r="EF271" s="420"/>
      <c r="EG271" s="419"/>
      <c r="EH271" s="419"/>
      <c r="EI271" s="419"/>
      <c r="EJ271" s="420"/>
      <c r="EK271" s="420"/>
      <c r="EL271" s="419"/>
      <c r="EM271" s="419"/>
      <c r="EN271" s="419"/>
      <c r="EO271" s="419"/>
      <c r="EP271" s="419"/>
      <c r="EQ271" s="420"/>
      <c r="ER271" s="420"/>
      <c r="ES271" s="420"/>
      <c r="ET271" s="419"/>
      <c r="EU271" s="419"/>
      <c r="EV271" s="455">
        <v>6031306.2599999998</v>
      </c>
      <c r="EW271" s="455">
        <v>6031306.2599999998</v>
      </c>
      <c r="EX271" s="455">
        <v>784069.84</v>
      </c>
      <c r="EY271" s="419">
        <f t="shared" si="222"/>
        <v>6031306.46</v>
      </c>
      <c r="EZ271" s="419">
        <f t="shared" si="242"/>
        <v>0.2</v>
      </c>
      <c r="FA271" s="420"/>
      <c r="FB271" s="420"/>
      <c r="FC271" s="420"/>
      <c r="FD271" s="420">
        <f t="shared" si="223"/>
        <v>0</v>
      </c>
      <c r="FE271" s="420">
        <f t="shared" si="224"/>
        <v>0</v>
      </c>
      <c r="FF271" s="419"/>
      <c r="FG271" s="419"/>
      <c r="FH271" s="419"/>
      <c r="FI271" s="419">
        <f t="shared" si="225"/>
        <v>0</v>
      </c>
      <c r="FJ271" s="419">
        <f t="shared" si="226"/>
        <v>0</v>
      </c>
      <c r="FK271" s="419"/>
      <c r="FL271" s="419"/>
      <c r="FM271" s="419"/>
      <c r="FN271" s="420">
        <f t="shared" si="227"/>
        <v>0</v>
      </c>
      <c r="FO271" s="423">
        <f t="shared" si="228"/>
        <v>0</v>
      </c>
      <c r="FP271" s="419"/>
      <c r="FQ271" s="419"/>
      <c r="FR271" s="419"/>
      <c r="FS271" s="420">
        <f t="shared" si="229"/>
        <v>0</v>
      </c>
      <c r="FT271" s="420">
        <f t="shared" si="230"/>
        <v>0</v>
      </c>
      <c r="FU271" s="419"/>
      <c r="FV271" s="419"/>
      <c r="FW271" s="419"/>
      <c r="FX271" s="420">
        <f t="shared" si="231"/>
        <v>0</v>
      </c>
      <c r="FY271" s="420">
        <f t="shared" si="232"/>
        <v>0</v>
      </c>
      <c r="FZ271" s="419"/>
      <c r="GA271" s="419"/>
      <c r="GB271" s="419"/>
      <c r="GC271" s="420">
        <f t="shared" si="233"/>
        <v>0</v>
      </c>
      <c r="GD271" s="420">
        <f t="shared" si="234"/>
        <v>0</v>
      </c>
      <c r="GE271" s="419"/>
      <c r="GF271" s="419"/>
      <c r="GG271" s="419"/>
      <c r="GH271" s="420">
        <f t="shared" si="235"/>
        <v>0</v>
      </c>
      <c r="GI271" s="423">
        <f t="shared" si="236"/>
        <v>0</v>
      </c>
      <c r="GJ271" s="419"/>
      <c r="GK271" s="419"/>
      <c r="GL271" s="419"/>
      <c r="GM271" s="420">
        <f t="shared" si="237"/>
        <v>0</v>
      </c>
      <c r="GN271" s="420">
        <f t="shared" si="238"/>
        <v>0</v>
      </c>
      <c r="GO271" s="419"/>
      <c r="GP271" s="419"/>
      <c r="GQ271" s="419"/>
      <c r="GR271" s="420">
        <f t="shared" si="249"/>
        <v>0</v>
      </c>
      <c r="GS271" s="423">
        <f t="shared" si="246"/>
        <v>0</v>
      </c>
      <c r="GT271" s="419"/>
      <c r="GU271" s="419"/>
      <c r="GV271" s="419"/>
      <c r="GW271" s="420">
        <f t="shared" si="247"/>
        <v>0</v>
      </c>
      <c r="GX271" s="420">
        <f t="shared" si="248"/>
        <v>0</v>
      </c>
    </row>
    <row r="272" spans="1:206" ht="15">
      <c r="A272" s="414"/>
      <c r="B272" s="415" t="s">
        <v>606</v>
      </c>
      <c r="C272" s="698"/>
      <c r="D272" s="467" t="s">
        <v>616</v>
      </c>
      <c r="E272" s="434" t="s">
        <v>604</v>
      </c>
      <c r="F272" s="417">
        <v>0.13</v>
      </c>
      <c r="G272" s="418">
        <f t="shared" si="244"/>
        <v>14585223.210000001</v>
      </c>
      <c r="H272" s="418">
        <f t="shared" si="245"/>
        <v>14585223.210000001</v>
      </c>
      <c r="I272" s="418">
        <f t="shared" si="245"/>
        <v>1896078.99</v>
      </c>
      <c r="J272" s="418">
        <f t="shared" si="221"/>
        <v>14585223</v>
      </c>
      <c r="K272" s="418">
        <f t="shared" si="250"/>
        <v>-0.21000000089407</v>
      </c>
      <c r="L272" s="418">
        <f t="shared" si="218"/>
        <v>-0.21000000089407</v>
      </c>
      <c r="M272" s="424"/>
      <c r="N272" s="424"/>
      <c r="O272" s="424"/>
      <c r="P272" s="424"/>
      <c r="Q272" s="419"/>
      <c r="R272" s="419"/>
      <c r="S272" s="419"/>
      <c r="T272" s="420"/>
      <c r="U272" s="423"/>
      <c r="V272" s="420"/>
      <c r="W272" s="420"/>
      <c r="X272" s="419"/>
      <c r="Y272" s="419"/>
      <c r="Z272" s="423"/>
      <c r="AA272" s="423"/>
      <c r="AB272" s="419"/>
      <c r="AC272" s="419"/>
      <c r="AD272" s="420"/>
      <c r="AE272" s="423"/>
      <c r="AF272" s="419"/>
      <c r="AG272" s="419"/>
      <c r="AH272" s="419"/>
      <c r="AI272" s="420"/>
      <c r="AJ272" s="423"/>
      <c r="AK272" s="419"/>
      <c r="AL272" s="420"/>
      <c r="AM272" s="419"/>
      <c r="AN272" s="420"/>
      <c r="AO272" s="423"/>
      <c r="AP272" s="419"/>
      <c r="AQ272" s="419"/>
      <c r="AR272" s="420"/>
      <c r="AS272" s="420"/>
      <c r="AT272" s="420"/>
      <c r="AU272" s="420"/>
      <c r="AV272" s="420"/>
      <c r="AW272" s="420"/>
      <c r="AX272" s="426"/>
      <c r="AY272" s="420"/>
      <c r="AZ272" s="420"/>
      <c r="BA272" s="420"/>
      <c r="BB272" s="419"/>
      <c r="BC272" s="420"/>
      <c r="BD272" s="427"/>
      <c r="BE272" s="420"/>
      <c r="BF272" s="420"/>
      <c r="BG272" s="420"/>
      <c r="BH272" s="423"/>
      <c r="BI272" s="420"/>
      <c r="BJ272" s="420"/>
      <c r="BK272" s="420"/>
      <c r="BL272" s="420"/>
      <c r="BM272" s="420"/>
      <c r="BN272" s="420"/>
      <c r="BO272" s="420"/>
      <c r="BP272" s="429"/>
      <c r="BQ272" s="420"/>
      <c r="BR272" s="423"/>
      <c r="BS272" s="423"/>
      <c r="BT272" s="420"/>
      <c r="BU272" s="420"/>
      <c r="BV272" s="420"/>
      <c r="BW272" s="420"/>
      <c r="BX272" s="429"/>
      <c r="BY272" s="419"/>
      <c r="BZ272" s="419"/>
      <c r="CA272" s="419"/>
      <c r="CB272" s="420"/>
      <c r="CC272" s="430"/>
      <c r="CD272" s="419"/>
      <c r="CE272" s="419"/>
      <c r="CF272" s="419"/>
      <c r="CG272" s="420"/>
      <c r="CH272" s="423"/>
      <c r="CI272" s="431"/>
      <c r="CJ272" s="431"/>
      <c r="CK272" s="431"/>
      <c r="CL272" s="420"/>
      <c r="CM272" s="423"/>
      <c r="CN272" s="420"/>
      <c r="CO272" s="420"/>
      <c r="CP272" s="420"/>
      <c r="CQ272" s="432"/>
      <c r="CR272" s="432"/>
      <c r="CS272" s="420"/>
      <c r="CT272" s="420"/>
      <c r="CU272" s="420"/>
      <c r="CV272" s="420"/>
      <c r="CW272" s="420"/>
      <c r="CX272" s="419"/>
      <c r="CY272" s="419"/>
      <c r="CZ272" s="419"/>
      <c r="DA272" s="419"/>
      <c r="DB272" s="419"/>
      <c r="DC272" s="419"/>
      <c r="DD272" s="419"/>
      <c r="DE272" s="419"/>
      <c r="DF272" s="420"/>
      <c r="DG272" s="421"/>
      <c r="DH272" s="419"/>
      <c r="DI272" s="419"/>
      <c r="DJ272" s="419"/>
      <c r="DK272" s="420"/>
      <c r="DL272" s="422"/>
      <c r="DM272" s="420"/>
      <c r="DN272" s="420"/>
      <c r="DO272" s="420"/>
      <c r="DP272" s="420"/>
      <c r="DQ272" s="420"/>
      <c r="DR272" s="419"/>
      <c r="DS272" s="419"/>
      <c r="DT272" s="419"/>
      <c r="DU272" s="420"/>
      <c r="DV272" s="423"/>
      <c r="DW272" s="419"/>
      <c r="DX272" s="419"/>
      <c r="DY272" s="419"/>
      <c r="DZ272" s="420"/>
      <c r="EA272" s="423"/>
      <c r="EB272" s="419"/>
      <c r="EC272" s="419"/>
      <c r="ED272" s="420"/>
      <c r="EE272" s="419"/>
      <c r="EF272" s="420"/>
      <c r="EG272" s="419"/>
      <c r="EH272" s="419"/>
      <c r="EI272" s="419"/>
      <c r="EJ272" s="420"/>
      <c r="EK272" s="420"/>
      <c r="EL272" s="419"/>
      <c r="EM272" s="419"/>
      <c r="EN272" s="419"/>
      <c r="EO272" s="419"/>
      <c r="EP272" s="419"/>
      <c r="EQ272" s="420"/>
      <c r="ER272" s="420"/>
      <c r="ES272" s="420"/>
      <c r="ET272" s="419"/>
      <c r="EU272" s="419"/>
      <c r="EV272" s="455"/>
      <c r="EW272" s="455"/>
      <c r="EX272" s="455"/>
      <c r="EY272" s="419"/>
      <c r="EZ272" s="419"/>
      <c r="FA272" s="420">
        <v>7713807.5</v>
      </c>
      <c r="FB272" s="420">
        <v>7713807.5</v>
      </c>
      <c r="FC272" s="420">
        <v>1002794.95</v>
      </c>
      <c r="FD272" s="420">
        <f t="shared" si="223"/>
        <v>7713807.3099999996</v>
      </c>
      <c r="FE272" s="420">
        <f t="shared" si="224"/>
        <v>-0.19</v>
      </c>
      <c r="FF272" s="419"/>
      <c r="FG272" s="419"/>
      <c r="FH272" s="419"/>
      <c r="FI272" s="419">
        <f t="shared" si="225"/>
        <v>0</v>
      </c>
      <c r="FJ272" s="419">
        <f t="shared" si="226"/>
        <v>0</v>
      </c>
      <c r="FK272" s="419"/>
      <c r="FL272" s="419"/>
      <c r="FM272" s="419"/>
      <c r="FN272" s="420">
        <f t="shared" si="227"/>
        <v>0</v>
      </c>
      <c r="FO272" s="423">
        <f t="shared" si="228"/>
        <v>0</v>
      </c>
      <c r="FP272" s="431">
        <v>6871415.71</v>
      </c>
      <c r="FQ272" s="431">
        <v>6871415.71</v>
      </c>
      <c r="FR272" s="431">
        <v>893284.04</v>
      </c>
      <c r="FS272" s="420">
        <f t="shared" si="229"/>
        <v>6871415.6900000004</v>
      </c>
      <c r="FT272" s="420">
        <f t="shared" si="230"/>
        <v>-1.9999999552965199E-2</v>
      </c>
      <c r="FU272" s="419"/>
      <c r="FV272" s="419"/>
      <c r="FW272" s="419"/>
      <c r="FX272" s="420">
        <f t="shared" si="231"/>
        <v>0</v>
      </c>
      <c r="FY272" s="420">
        <f t="shared" si="232"/>
        <v>0</v>
      </c>
      <c r="FZ272" s="419"/>
      <c r="GA272" s="419"/>
      <c r="GB272" s="419"/>
      <c r="GC272" s="420">
        <f t="shared" si="233"/>
        <v>0</v>
      </c>
      <c r="GD272" s="420">
        <f t="shared" si="234"/>
        <v>0</v>
      </c>
      <c r="GE272" s="419"/>
      <c r="GF272" s="419"/>
      <c r="GG272" s="419"/>
      <c r="GH272" s="420">
        <f t="shared" si="235"/>
        <v>0</v>
      </c>
      <c r="GI272" s="423">
        <f t="shared" si="236"/>
        <v>0</v>
      </c>
      <c r="GJ272" s="419"/>
      <c r="GK272" s="419"/>
      <c r="GL272" s="419"/>
      <c r="GM272" s="420">
        <f t="shared" si="237"/>
        <v>0</v>
      </c>
      <c r="GN272" s="420">
        <f t="shared" si="238"/>
        <v>0</v>
      </c>
      <c r="GO272" s="419"/>
      <c r="GP272" s="419"/>
      <c r="GQ272" s="419"/>
      <c r="GR272" s="420">
        <f t="shared" si="249"/>
        <v>0</v>
      </c>
      <c r="GS272" s="423">
        <f t="shared" si="246"/>
        <v>0</v>
      </c>
      <c r="GT272" s="419"/>
      <c r="GU272" s="419"/>
      <c r="GV272" s="419"/>
      <c r="GW272" s="420">
        <f t="shared" si="247"/>
        <v>0</v>
      </c>
      <c r="GX272" s="420">
        <f t="shared" si="248"/>
        <v>0</v>
      </c>
    </row>
    <row r="273" spans="1:206" ht="15">
      <c r="A273" s="414"/>
      <c r="B273" s="415"/>
      <c r="C273" s="698"/>
      <c r="D273" s="467" t="s">
        <v>617</v>
      </c>
      <c r="E273" s="434" t="s">
        <v>604</v>
      </c>
      <c r="F273" s="417">
        <v>0.13</v>
      </c>
      <c r="G273" s="418">
        <f t="shared" si="244"/>
        <v>26945165.039999999</v>
      </c>
      <c r="H273" s="418">
        <f t="shared" si="245"/>
        <v>26945165.039999999</v>
      </c>
      <c r="I273" s="418">
        <f t="shared" si="245"/>
        <v>3502871.46</v>
      </c>
      <c r="J273" s="418">
        <f t="shared" si="221"/>
        <v>26945165.076923098</v>
      </c>
      <c r="K273" s="418">
        <f t="shared" si="250"/>
        <v>3.6923076957464197E-2</v>
      </c>
      <c r="L273" s="418">
        <f t="shared" si="218"/>
        <v>3.6923076957464197E-2</v>
      </c>
      <c r="M273" s="424"/>
      <c r="N273" s="424"/>
      <c r="O273" s="424"/>
      <c r="P273" s="424"/>
      <c r="Q273" s="419"/>
      <c r="R273" s="419"/>
      <c r="S273" s="419"/>
      <c r="T273" s="420"/>
      <c r="U273" s="423"/>
      <c r="V273" s="420"/>
      <c r="W273" s="420"/>
      <c r="X273" s="419"/>
      <c r="Y273" s="419"/>
      <c r="Z273" s="423"/>
      <c r="AA273" s="423"/>
      <c r="AB273" s="419"/>
      <c r="AC273" s="419"/>
      <c r="AD273" s="420"/>
      <c r="AE273" s="423"/>
      <c r="AF273" s="419"/>
      <c r="AG273" s="419"/>
      <c r="AH273" s="419"/>
      <c r="AI273" s="420"/>
      <c r="AJ273" s="423"/>
      <c r="AK273" s="419"/>
      <c r="AL273" s="420"/>
      <c r="AM273" s="419"/>
      <c r="AN273" s="420"/>
      <c r="AO273" s="423"/>
      <c r="AP273" s="419"/>
      <c r="AQ273" s="419"/>
      <c r="AR273" s="420"/>
      <c r="AS273" s="420"/>
      <c r="AT273" s="420"/>
      <c r="AU273" s="420"/>
      <c r="AV273" s="420"/>
      <c r="AW273" s="420"/>
      <c r="AX273" s="426"/>
      <c r="AY273" s="420"/>
      <c r="AZ273" s="420"/>
      <c r="BA273" s="420"/>
      <c r="BB273" s="419"/>
      <c r="BC273" s="420"/>
      <c r="BD273" s="427"/>
      <c r="BE273" s="420"/>
      <c r="BF273" s="420"/>
      <c r="BG273" s="420"/>
      <c r="BH273" s="423"/>
      <c r="BI273" s="420"/>
      <c r="BJ273" s="420"/>
      <c r="BK273" s="420"/>
      <c r="BL273" s="420"/>
      <c r="BM273" s="420"/>
      <c r="BN273" s="420"/>
      <c r="BO273" s="420"/>
      <c r="BP273" s="429"/>
      <c r="BQ273" s="420"/>
      <c r="BR273" s="423"/>
      <c r="BS273" s="423"/>
      <c r="BT273" s="420"/>
      <c r="BU273" s="420"/>
      <c r="BV273" s="420"/>
      <c r="BW273" s="420"/>
      <c r="BX273" s="429"/>
      <c r="BY273" s="419"/>
      <c r="BZ273" s="419"/>
      <c r="CA273" s="419"/>
      <c r="CB273" s="420"/>
      <c r="CC273" s="430"/>
      <c r="CD273" s="419"/>
      <c r="CE273" s="419"/>
      <c r="CF273" s="419"/>
      <c r="CG273" s="420"/>
      <c r="CH273" s="423"/>
      <c r="CI273" s="431"/>
      <c r="CJ273" s="431"/>
      <c r="CK273" s="431"/>
      <c r="CL273" s="420"/>
      <c r="CM273" s="423"/>
      <c r="CN273" s="420"/>
      <c r="CO273" s="420"/>
      <c r="CP273" s="420"/>
      <c r="CQ273" s="432"/>
      <c r="CR273" s="432"/>
      <c r="CS273" s="420"/>
      <c r="CT273" s="420"/>
      <c r="CU273" s="420"/>
      <c r="CV273" s="420"/>
      <c r="CW273" s="420"/>
      <c r="CX273" s="419"/>
      <c r="CY273" s="419"/>
      <c r="CZ273" s="419"/>
      <c r="DA273" s="419"/>
      <c r="DB273" s="419"/>
      <c r="DC273" s="419"/>
      <c r="DD273" s="419"/>
      <c r="DE273" s="419"/>
      <c r="DF273" s="420"/>
      <c r="DG273" s="421"/>
      <c r="DH273" s="419"/>
      <c r="DI273" s="419"/>
      <c r="DJ273" s="419"/>
      <c r="DK273" s="420"/>
      <c r="DL273" s="422"/>
      <c r="DM273" s="420"/>
      <c r="DN273" s="420"/>
      <c r="DO273" s="420"/>
      <c r="DP273" s="420"/>
      <c r="DQ273" s="420"/>
      <c r="DR273" s="419"/>
      <c r="DS273" s="419"/>
      <c r="DT273" s="419"/>
      <c r="DU273" s="420"/>
      <c r="DV273" s="423"/>
      <c r="DW273" s="419"/>
      <c r="DX273" s="419"/>
      <c r="DY273" s="419"/>
      <c r="DZ273" s="420"/>
      <c r="EA273" s="423"/>
      <c r="EB273" s="419"/>
      <c r="EC273" s="419"/>
      <c r="ED273" s="420"/>
      <c r="EE273" s="419"/>
      <c r="EF273" s="420"/>
      <c r="EG273" s="419"/>
      <c r="EH273" s="419"/>
      <c r="EI273" s="419"/>
      <c r="EJ273" s="420"/>
      <c r="EK273" s="420"/>
      <c r="EL273" s="419"/>
      <c r="EM273" s="419"/>
      <c r="EN273" s="419"/>
      <c r="EO273" s="419"/>
      <c r="EP273" s="419"/>
      <c r="EQ273" s="420"/>
      <c r="ER273" s="420"/>
      <c r="ES273" s="420"/>
      <c r="ET273" s="419"/>
      <c r="EU273" s="419"/>
      <c r="EV273" s="455"/>
      <c r="EW273" s="455"/>
      <c r="EX273" s="455"/>
      <c r="EY273" s="419"/>
      <c r="EZ273" s="419"/>
      <c r="FA273" s="420"/>
      <c r="FB273" s="420"/>
      <c r="FC273" s="420"/>
      <c r="FD273" s="420"/>
      <c r="FE273" s="420"/>
      <c r="FF273" s="419">
        <v>26945165.039999999</v>
      </c>
      <c r="FG273" s="419">
        <v>26945165.039999999</v>
      </c>
      <c r="FH273" s="419">
        <v>3502871.46</v>
      </c>
      <c r="FI273" s="419">
        <f t="shared" si="225"/>
        <v>26945165.076923098</v>
      </c>
      <c r="FJ273" s="419">
        <f t="shared" si="226"/>
        <v>0.04</v>
      </c>
      <c r="FK273" s="419"/>
      <c r="FL273" s="419"/>
      <c r="FM273" s="419"/>
      <c r="FN273" s="420">
        <f t="shared" si="227"/>
        <v>0</v>
      </c>
      <c r="FO273" s="423">
        <f t="shared" si="228"/>
        <v>0</v>
      </c>
      <c r="FP273" s="419"/>
      <c r="FQ273" s="419"/>
      <c r="FR273" s="419"/>
      <c r="FS273" s="420">
        <f t="shared" si="229"/>
        <v>0</v>
      </c>
      <c r="FT273" s="420">
        <f t="shared" si="230"/>
        <v>0</v>
      </c>
      <c r="FU273" s="419"/>
      <c r="FV273" s="419"/>
      <c r="FW273" s="419"/>
      <c r="FX273" s="420">
        <f t="shared" si="231"/>
        <v>0</v>
      </c>
      <c r="FY273" s="420">
        <f t="shared" si="232"/>
        <v>0</v>
      </c>
      <c r="FZ273" s="419"/>
      <c r="GA273" s="419"/>
      <c r="GB273" s="419"/>
      <c r="GC273" s="420">
        <f t="shared" si="233"/>
        <v>0</v>
      </c>
      <c r="GD273" s="420">
        <f t="shared" si="234"/>
        <v>0</v>
      </c>
      <c r="GE273" s="419"/>
      <c r="GF273" s="419"/>
      <c r="GG273" s="419"/>
      <c r="GH273" s="420">
        <f t="shared" si="235"/>
        <v>0</v>
      </c>
      <c r="GI273" s="423">
        <f t="shared" si="236"/>
        <v>0</v>
      </c>
      <c r="GJ273" s="419"/>
      <c r="GK273" s="419"/>
      <c r="GL273" s="419"/>
      <c r="GM273" s="420">
        <f t="shared" si="237"/>
        <v>0</v>
      </c>
      <c r="GN273" s="420">
        <f t="shared" si="238"/>
        <v>0</v>
      </c>
      <c r="GO273" s="419"/>
      <c r="GP273" s="419"/>
      <c r="GQ273" s="419"/>
      <c r="GR273" s="420">
        <f t="shared" si="249"/>
        <v>0</v>
      </c>
      <c r="GS273" s="423">
        <f t="shared" si="246"/>
        <v>0</v>
      </c>
      <c r="GT273" s="419"/>
      <c r="GU273" s="419"/>
      <c r="GV273" s="419"/>
      <c r="GW273" s="420">
        <f t="shared" si="247"/>
        <v>0</v>
      </c>
      <c r="GX273" s="420">
        <f t="shared" si="248"/>
        <v>0</v>
      </c>
    </row>
    <row r="274" spans="1:206" ht="15">
      <c r="A274" s="414"/>
      <c r="B274" s="415"/>
      <c r="C274" s="698"/>
      <c r="D274" s="467" t="s">
        <v>618</v>
      </c>
      <c r="E274" s="434" t="s">
        <v>604</v>
      </c>
      <c r="F274" s="417">
        <v>0.13</v>
      </c>
      <c r="G274" s="418">
        <f t="shared" si="244"/>
        <v>18309841.079999998</v>
      </c>
      <c r="H274" s="418">
        <f t="shared" si="245"/>
        <v>18309841.079999998</v>
      </c>
      <c r="I274" s="418">
        <f t="shared" si="245"/>
        <v>2380279.2799999998</v>
      </c>
      <c r="J274" s="418">
        <f t="shared" si="221"/>
        <v>18309840.615384601</v>
      </c>
      <c r="K274" s="418">
        <f t="shared" si="250"/>
        <v>-0.46461538225412402</v>
      </c>
      <c r="L274" s="418">
        <f>J274-G274</f>
        <v>-0.46461538225412402</v>
      </c>
      <c r="M274" s="424"/>
      <c r="N274" s="424"/>
      <c r="O274" s="424"/>
      <c r="P274" s="424"/>
      <c r="Q274" s="419"/>
      <c r="R274" s="419"/>
      <c r="S274" s="419"/>
      <c r="T274" s="420"/>
      <c r="U274" s="423"/>
      <c r="V274" s="420"/>
      <c r="W274" s="420"/>
      <c r="X274" s="419"/>
      <c r="Y274" s="419"/>
      <c r="Z274" s="423"/>
      <c r="AA274" s="423"/>
      <c r="AB274" s="419"/>
      <c r="AC274" s="419"/>
      <c r="AD274" s="420"/>
      <c r="AE274" s="423"/>
      <c r="AF274" s="419"/>
      <c r="AG274" s="419"/>
      <c r="AH274" s="419"/>
      <c r="AI274" s="420"/>
      <c r="AJ274" s="423"/>
      <c r="AK274" s="419"/>
      <c r="AL274" s="420"/>
      <c r="AM274" s="419"/>
      <c r="AN274" s="420"/>
      <c r="AO274" s="423"/>
      <c r="AP274" s="419"/>
      <c r="AQ274" s="419"/>
      <c r="AR274" s="420"/>
      <c r="AS274" s="420"/>
      <c r="AT274" s="420"/>
      <c r="AU274" s="420"/>
      <c r="AV274" s="420"/>
      <c r="AW274" s="420"/>
      <c r="AX274" s="426"/>
      <c r="AY274" s="420"/>
      <c r="AZ274" s="420"/>
      <c r="BA274" s="420"/>
      <c r="BB274" s="419"/>
      <c r="BC274" s="420"/>
      <c r="BD274" s="427"/>
      <c r="BE274" s="420"/>
      <c r="BF274" s="420"/>
      <c r="BG274" s="420"/>
      <c r="BH274" s="423"/>
      <c r="BI274" s="420"/>
      <c r="BJ274" s="420"/>
      <c r="BK274" s="420"/>
      <c r="BL274" s="420"/>
      <c r="BM274" s="420"/>
      <c r="BN274" s="420"/>
      <c r="BO274" s="420"/>
      <c r="BP274" s="429"/>
      <c r="BQ274" s="420"/>
      <c r="BR274" s="423"/>
      <c r="BS274" s="423"/>
      <c r="BT274" s="420"/>
      <c r="BU274" s="420"/>
      <c r="BV274" s="420"/>
      <c r="BW274" s="420"/>
      <c r="BX274" s="429"/>
      <c r="BY274" s="419"/>
      <c r="BZ274" s="419"/>
      <c r="CA274" s="419"/>
      <c r="CB274" s="420"/>
      <c r="CC274" s="430"/>
      <c r="CD274" s="419"/>
      <c r="CE274" s="419"/>
      <c r="CF274" s="419"/>
      <c r="CG274" s="420"/>
      <c r="CH274" s="423"/>
      <c r="CI274" s="431"/>
      <c r="CJ274" s="431"/>
      <c r="CK274" s="431"/>
      <c r="CL274" s="420"/>
      <c r="CM274" s="423"/>
      <c r="CN274" s="420"/>
      <c r="CO274" s="420"/>
      <c r="CP274" s="420"/>
      <c r="CQ274" s="432"/>
      <c r="CR274" s="432"/>
      <c r="CS274" s="420"/>
      <c r="CT274" s="420"/>
      <c r="CU274" s="420"/>
      <c r="CV274" s="420"/>
      <c r="CW274" s="420"/>
      <c r="CX274" s="419"/>
      <c r="CY274" s="419"/>
      <c r="CZ274" s="419"/>
      <c r="DA274" s="419"/>
      <c r="DB274" s="419"/>
      <c r="DC274" s="419"/>
      <c r="DD274" s="419"/>
      <c r="DE274" s="419"/>
      <c r="DF274" s="420"/>
      <c r="DG274" s="421"/>
      <c r="DH274" s="419"/>
      <c r="DI274" s="419"/>
      <c r="DJ274" s="419"/>
      <c r="DK274" s="420"/>
      <c r="DL274" s="422"/>
      <c r="DM274" s="420"/>
      <c r="DN274" s="420"/>
      <c r="DO274" s="420"/>
      <c r="DP274" s="420"/>
      <c r="DQ274" s="420"/>
      <c r="DR274" s="419"/>
      <c r="DS274" s="419"/>
      <c r="DT274" s="419"/>
      <c r="DU274" s="420"/>
      <c r="DV274" s="423"/>
      <c r="DW274" s="419"/>
      <c r="DX274" s="419"/>
      <c r="DY274" s="419"/>
      <c r="DZ274" s="420"/>
      <c r="EA274" s="423"/>
      <c r="EB274" s="419"/>
      <c r="EC274" s="419"/>
      <c r="ED274" s="420"/>
      <c r="EE274" s="419"/>
      <c r="EF274" s="420"/>
      <c r="EG274" s="419"/>
      <c r="EH274" s="419"/>
      <c r="EI274" s="419"/>
      <c r="EJ274" s="420"/>
      <c r="EK274" s="420"/>
      <c r="EL274" s="419"/>
      <c r="EM274" s="419"/>
      <c r="EN274" s="419"/>
      <c r="EO274" s="419"/>
      <c r="EP274" s="419"/>
      <c r="EQ274" s="420"/>
      <c r="ER274" s="420"/>
      <c r="ES274" s="420"/>
      <c r="ET274" s="419"/>
      <c r="EU274" s="419"/>
      <c r="EV274" s="455"/>
      <c r="EW274" s="455"/>
      <c r="EX274" s="455"/>
      <c r="EY274" s="419"/>
      <c r="EZ274" s="419"/>
      <c r="FA274" s="420"/>
      <c r="FB274" s="420"/>
      <c r="FC274" s="420"/>
      <c r="FD274" s="420"/>
      <c r="FE274" s="420"/>
      <c r="FF274" s="419"/>
      <c r="FG274" s="419"/>
      <c r="FH274" s="419"/>
      <c r="FI274" s="419"/>
      <c r="FJ274" s="419"/>
      <c r="FK274" s="419">
        <v>9154920.8699999992</v>
      </c>
      <c r="FL274" s="419">
        <v>9154920.8699999992</v>
      </c>
      <c r="FM274" s="419">
        <v>1190139.69</v>
      </c>
      <c r="FN274" s="420">
        <f t="shared" si="227"/>
        <v>9154920.6899999995</v>
      </c>
      <c r="FO274" s="423">
        <f t="shared" si="228"/>
        <v>-0.18</v>
      </c>
      <c r="FP274" s="431">
        <v>9154920.2100000009</v>
      </c>
      <c r="FQ274" s="431">
        <v>9154920.2100000009</v>
      </c>
      <c r="FR274" s="431">
        <v>1190139.5900000001</v>
      </c>
      <c r="FS274" s="420">
        <f t="shared" si="229"/>
        <v>9154919.9199999999</v>
      </c>
      <c r="FT274" s="420">
        <f t="shared" si="230"/>
        <v>-0.29000000096857498</v>
      </c>
      <c r="FU274" s="419"/>
      <c r="FV274" s="419"/>
      <c r="FW274" s="419"/>
      <c r="FX274" s="420">
        <f t="shared" si="231"/>
        <v>0</v>
      </c>
      <c r="FY274" s="420">
        <f t="shared" si="232"/>
        <v>0</v>
      </c>
      <c r="FZ274" s="419"/>
      <c r="GA274" s="419"/>
      <c r="GB274" s="419"/>
      <c r="GC274" s="420">
        <f t="shared" si="233"/>
        <v>0</v>
      </c>
      <c r="GD274" s="420">
        <f t="shared" si="234"/>
        <v>0</v>
      </c>
      <c r="GE274" s="419"/>
      <c r="GF274" s="419"/>
      <c r="GG274" s="419"/>
      <c r="GH274" s="420">
        <f t="shared" si="235"/>
        <v>0</v>
      </c>
      <c r="GI274" s="423">
        <f t="shared" si="236"/>
        <v>0</v>
      </c>
      <c r="GJ274" s="419"/>
      <c r="GK274" s="419"/>
      <c r="GL274" s="419"/>
      <c r="GM274" s="420">
        <f t="shared" si="237"/>
        <v>0</v>
      </c>
      <c r="GN274" s="420">
        <f t="shared" si="238"/>
        <v>0</v>
      </c>
      <c r="GO274" s="419"/>
      <c r="GP274" s="419"/>
      <c r="GQ274" s="419"/>
      <c r="GR274" s="420">
        <f t="shared" si="249"/>
        <v>0</v>
      </c>
      <c r="GS274" s="423">
        <f t="shared" si="246"/>
        <v>0</v>
      </c>
      <c r="GT274" s="419"/>
      <c r="GU274" s="419"/>
      <c r="GV274" s="419"/>
      <c r="GW274" s="420">
        <f t="shared" si="247"/>
        <v>0</v>
      </c>
      <c r="GX274" s="420">
        <f t="shared" si="248"/>
        <v>0</v>
      </c>
    </row>
    <row r="275" spans="1:206" ht="15">
      <c r="A275" s="414"/>
      <c r="B275" s="415"/>
      <c r="C275" s="698"/>
      <c r="D275" s="467" t="s">
        <v>619</v>
      </c>
      <c r="E275" s="434" t="s">
        <v>604</v>
      </c>
      <c r="F275" s="417">
        <v>0.13</v>
      </c>
      <c r="G275" s="418">
        <f t="shared" si="244"/>
        <v>30624479.620000001</v>
      </c>
      <c r="H275" s="418">
        <f t="shared" si="245"/>
        <v>30624479.620000001</v>
      </c>
      <c r="I275" s="418">
        <f t="shared" si="245"/>
        <v>3981182.38</v>
      </c>
      <c r="J275" s="418">
        <f t="shared" si="221"/>
        <v>30624479.846153799</v>
      </c>
      <c r="K275" s="418">
        <f t="shared" si="250"/>
        <v>0.22615384310483899</v>
      </c>
      <c r="L275" s="418">
        <f t="shared" ref="L275:L280" si="251">J275-G275</f>
        <v>0.22615384310483899</v>
      </c>
      <c r="M275" s="424"/>
      <c r="N275" s="424"/>
      <c r="O275" s="424"/>
      <c r="P275" s="424"/>
      <c r="Q275" s="419"/>
      <c r="R275" s="419"/>
      <c r="S275" s="419"/>
      <c r="T275" s="420"/>
      <c r="U275" s="423"/>
      <c r="V275" s="420"/>
      <c r="W275" s="420"/>
      <c r="X275" s="419"/>
      <c r="Y275" s="419"/>
      <c r="Z275" s="423"/>
      <c r="AA275" s="423"/>
      <c r="AB275" s="419"/>
      <c r="AC275" s="419"/>
      <c r="AD275" s="420"/>
      <c r="AE275" s="423"/>
      <c r="AF275" s="419"/>
      <c r="AG275" s="419"/>
      <c r="AH275" s="419"/>
      <c r="AI275" s="420"/>
      <c r="AJ275" s="423"/>
      <c r="AK275" s="419"/>
      <c r="AL275" s="420"/>
      <c r="AM275" s="419"/>
      <c r="AN275" s="420"/>
      <c r="AO275" s="423"/>
      <c r="AP275" s="419"/>
      <c r="AQ275" s="419"/>
      <c r="AR275" s="420"/>
      <c r="AS275" s="420"/>
      <c r="AT275" s="420"/>
      <c r="AU275" s="420"/>
      <c r="AV275" s="420"/>
      <c r="AW275" s="420"/>
      <c r="AX275" s="426"/>
      <c r="AY275" s="420"/>
      <c r="AZ275" s="420"/>
      <c r="BA275" s="420"/>
      <c r="BB275" s="419"/>
      <c r="BC275" s="420"/>
      <c r="BD275" s="427"/>
      <c r="BE275" s="420"/>
      <c r="BF275" s="420"/>
      <c r="BG275" s="420"/>
      <c r="BH275" s="423"/>
      <c r="BI275" s="420"/>
      <c r="BJ275" s="420"/>
      <c r="BK275" s="420"/>
      <c r="BL275" s="420"/>
      <c r="BM275" s="420"/>
      <c r="BN275" s="420"/>
      <c r="BO275" s="420"/>
      <c r="BP275" s="429"/>
      <c r="BQ275" s="420"/>
      <c r="BR275" s="423"/>
      <c r="BS275" s="423"/>
      <c r="BT275" s="420"/>
      <c r="BU275" s="420"/>
      <c r="BV275" s="420"/>
      <c r="BW275" s="420"/>
      <c r="BX275" s="429"/>
      <c r="BY275" s="419"/>
      <c r="BZ275" s="419"/>
      <c r="CA275" s="419"/>
      <c r="CB275" s="420"/>
      <c r="CC275" s="430"/>
      <c r="CD275" s="419"/>
      <c r="CE275" s="419"/>
      <c r="CF275" s="419"/>
      <c r="CG275" s="420"/>
      <c r="CH275" s="423"/>
      <c r="CI275" s="431"/>
      <c r="CJ275" s="431"/>
      <c r="CK275" s="431"/>
      <c r="CL275" s="420"/>
      <c r="CM275" s="423"/>
      <c r="CN275" s="420"/>
      <c r="CO275" s="420"/>
      <c r="CP275" s="420"/>
      <c r="CQ275" s="432"/>
      <c r="CR275" s="432"/>
      <c r="CS275" s="420"/>
      <c r="CT275" s="420"/>
      <c r="CU275" s="420"/>
      <c r="CV275" s="420"/>
      <c r="CW275" s="420"/>
      <c r="CX275" s="419"/>
      <c r="CY275" s="419"/>
      <c r="CZ275" s="419"/>
      <c r="DA275" s="419"/>
      <c r="DB275" s="419"/>
      <c r="DC275" s="419"/>
      <c r="DD275" s="419"/>
      <c r="DE275" s="419"/>
      <c r="DF275" s="420"/>
      <c r="DG275" s="421"/>
      <c r="DH275" s="419"/>
      <c r="DI275" s="419"/>
      <c r="DJ275" s="419"/>
      <c r="DK275" s="420"/>
      <c r="DL275" s="422"/>
      <c r="DM275" s="420"/>
      <c r="DN275" s="420"/>
      <c r="DO275" s="420"/>
      <c r="DP275" s="420"/>
      <c r="DQ275" s="420"/>
      <c r="DR275" s="419"/>
      <c r="DS275" s="419"/>
      <c r="DT275" s="419"/>
      <c r="DU275" s="420"/>
      <c r="DV275" s="423"/>
      <c r="DW275" s="419"/>
      <c r="DX275" s="419"/>
      <c r="DY275" s="419"/>
      <c r="DZ275" s="420"/>
      <c r="EA275" s="423"/>
      <c r="EB275" s="419"/>
      <c r="EC275" s="419"/>
      <c r="ED275" s="420"/>
      <c r="EE275" s="419"/>
      <c r="EF275" s="420"/>
      <c r="EG275" s="419"/>
      <c r="EH275" s="419"/>
      <c r="EI275" s="419"/>
      <c r="EJ275" s="420"/>
      <c r="EK275" s="420"/>
      <c r="EL275" s="419"/>
      <c r="EM275" s="419"/>
      <c r="EN275" s="419"/>
      <c r="EO275" s="419"/>
      <c r="EP275" s="419"/>
      <c r="EQ275" s="420"/>
      <c r="ER275" s="420"/>
      <c r="ES275" s="420"/>
      <c r="ET275" s="419"/>
      <c r="EU275" s="419"/>
      <c r="EV275" s="455"/>
      <c r="EW275" s="455"/>
      <c r="EX275" s="455"/>
      <c r="EY275" s="419"/>
      <c r="EZ275" s="419"/>
      <c r="FA275" s="420"/>
      <c r="FB275" s="420"/>
      <c r="FC275" s="420"/>
      <c r="FD275" s="420"/>
      <c r="FE275" s="420"/>
      <c r="FF275" s="419"/>
      <c r="FG275" s="419"/>
      <c r="FH275" s="419"/>
      <c r="FI275" s="419"/>
      <c r="FJ275" s="419"/>
      <c r="FK275" s="419">
        <v>30624479.620000001</v>
      </c>
      <c r="FL275" s="419">
        <v>30624479.620000001</v>
      </c>
      <c r="FM275" s="419">
        <v>3981182.38</v>
      </c>
      <c r="FN275" s="420">
        <f t="shared" si="227"/>
        <v>30624479.850000001</v>
      </c>
      <c r="FO275" s="423">
        <f t="shared" si="228"/>
        <v>0.23</v>
      </c>
      <c r="FP275" s="419"/>
      <c r="FQ275" s="419"/>
      <c r="FR275" s="419"/>
      <c r="FS275" s="420">
        <f t="shared" si="229"/>
        <v>0</v>
      </c>
      <c r="FT275" s="420">
        <f t="shared" si="230"/>
        <v>0</v>
      </c>
      <c r="FU275" s="419"/>
      <c r="FV275" s="419"/>
      <c r="FW275" s="419"/>
      <c r="FX275" s="420">
        <f t="shared" si="231"/>
        <v>0</v>
      </c>
      <c r="FY275" s="420">
        <f t="shared" si="232"/>
        <v>0</v>
      </c>
      <c r="FZ275" s="419"/>
      <c r="GA275" s="419"/>
      <c r="GB275" s="419"/>
      <c r="GC275" s="420">
        <f t="shared" si="233"/>
        <v>0</v>
      </c>
      <c r="GD275" s="420">
        <f t="shared" si="234"/>
        <v>0</v>
      </c>
      <c r="GE275" s="419"/>
      <c r="GF275" s="419"/>
      <c r="GG275" s="419"/>
      <c r="GH275" s="420">
        <f t="shared" si="235"/>
        <v>0</v>
      </c>
      <c r="GI275" s="423">
        <f t="shared" si="236"/>
        <v>0</v>
      </c>
      <c r="GJ275" s="419"/>
      <c r="GK275" s="419"/>
      <c r="GL275" s="419"/>
      <c r="GM275" s="420">
        <f t="shared" si="237"/>
        <v>0</v>
      </c>
      <c r="GN275" s="420">
        <f t="shared" si="238"/>
        <v>0</v>
      </c>
      <c r="GO275" s="419"/>
      <c r="GP275" s="419"/>
      <c r="GQ275" s="419"/>
      <c r="GR275" s="420">
        <f t="shared" si="249"/>
        <v>0</v>
      </c>
      <c r="GS275" s="423">
        <f t="shared" si="246"/>
        <v>0</v>
      </c>
      <c r="GT275" s="419"/>
      <c r="GU275" s="419"/>
      <c r="GV275" s="419"/>
      <c r="GW275" s="420">
        <f t="shared" si="247"/>
        <v>0</v>
      </c>
      <c r="GX275" s="420">
        <f t="shared" si="248"/>
        <v>0</v>
      </c>
    </row>
    <row r="276" spans="1:206" ht="15">
      <c r="A276" s="414"/>
      <c r="B276" s="415"/>
      <c r="C276" s="698"/>
      <c r="D276" s="467" t="s">
        <v>620</v>
      </c>
      <c r="E276" s="434" t="s">
        <v>604</v>
      </c>
      <c r="F276" s="417">
        <v>0.13</v>
      </c>
      <c r="G276" s="418">
        <f t="shared" si="244"/>
        <v>30131234.050000001</v>
      </c>
      <c r="H276" s="418">
        <f t="shared" si="245"/>
        <v>30131234.050000001</v>
      </c>
      <c r="I276" s="418">
        <f t="shared" si="245"/>
        <v>3917059.38</v>
      </c>
      <c r="J276" s="418">
        <f t="shared" si="221"/>
        <v>30131226</v>
      </c>
      <c r="K276" s="418">
        <f t="shared" si="250"/>
        <v>-8.0500000044703501</v>
      </c>
      <c r="L276" s="418">
        <f t="shared" si="251"/>
        <v>-8.0500000044703501</v>
      </c>
      <c r="M276" s="424"/>
      <c r="N276" s="424"/>
      <c r="O276" s="424"/>
      <c r="P276" s="424"/>
      <c r="Q276" s="419"/>
      <c r="R276" s="419"/>
      <c r="S276" s="419"/>
      <c r="T276" s="420"/>
      <c r="U276" s="423"/>
      <c r="V276" s="420"/>
      <c r="W276" s="420"/>
      <c r="X276" s="419"/>
      <c r="Y276" s="419"/>
      <c r="Z276" s="423"/>
      <c r="AA276" s="423"/>
      <c r="AB276" s="419"/>
      <c r="AC276" s="419"/>
      <c r="AD276" s="420"/>
      <c r="AE276" s="423"/>
      <c r="AF276" s="419"/>
      <c r="AG276" s="419"/>
      <c r="AH276" s="419"/>
      <c r="AI276" s="420"/>
      <c r="AJ276" s="423"/>
      <c r="AK276" s="419"/>
      <c r="AL276" s="420"/>
      <c r="AM276" s="419"/>
      <c r="AN276" s="420"/>
      <c r="AO276" s="423"/>
      <c r="AP276" s="419"/>
      <c r="AQ276" s="419"/>
      <c r="AR276" s="420"/>
      <c r="AS276" s="420"/>
      <c r="AT276" s="420"/>
      <c r="AU276" s="420"/>
      <c r="AV276" s="420"/>
      <c r="AW276" s="420"/>
      <c r="AX276" s="426"/>
      <c r="AY276" s="420"/>
      <c r="AZ276" s="420"/>
      <c r="BA276" s="420"/>
      <c r="BB276" s="419"/>
      <c r="BC276" s="420"/>
      <c r="BD276" s="427"/>
      <c r="BE276" s="420"/>
      <c r="BF276" s="420"/>
      <c r="BG276" s="420"/>
      <c r="BH276" s="423"/>
      <c r="BI276" s="420"/>
      <c r="BJ276" s="420"/>
      <c r="BK276" s="420"/>
      <c r="BL276" s="420"/>
      <c r="BM276" s="420"/>
      <c r="BN276" s="420"/>
      <c r="BO276" s="420"/>
      <c r="BP276" s="429"/>
      <c r="BQ276" s="420"/>
      <c r="BR276" s="423"/>
      <c r="BS276" s="423"/>
      <c r="BT276" s="420"/>
      <c r="BU276" s="420"/>
      <c r="BV276" s="420"/>
      <c r="BW276" s="420"/>
      <c r="BX276" s="429"/>
      <c r="BY276" s="419"/>
      <c r="BZ276" s="419"/>
      <c r="CA276" s="419"/>
      <c r="CB276" s="420"/>
      <c r="CC276" s="430"/>
      <c r="CD276" s="419"/>
      <c r="CE276" s="419"/>
      <c r="CF276" s="419"/>
      <c r="CG276" s="420"/>
      <c r="CH276" s="423"/>
      <c r="CI276" s="431"/>
      <c r="CJ276" s="431"/>
      <c r="CK276" s="431"/>
      <c r="CL276" s="420"/>
      <c r="CM276" s="423"/>
      <c r="CN276" s="420"/>
      <c r="CO276" s="420"/>
      <c r="CP276" s="420"/>
      <c r="CQ276" s="432"/>
      <c r="CR276" s="432"/>
      <c r="CS276" s="420"/>
      <c r="CT276" s="420"/>
      <c r="CU276" s="420"/>
      <c r="CV276" s="420"/>
      <c r="CW276" s="420"/>
      <c r="CX276" s="419"/>
      <c r="CY276" s="419"/>
      <c r="CZ276" s="419"/>
      <c r="DA276" s="419"/>
      <c r="DB276" s="419"/>
      <c r="DC276" s="419"/>
      <c r="DD276" s="419"/>
      <c r="DE276" s="419"/>
      <c r="DF276" s="420"/>
      <c r="DG276" s="421"/>
      <c r="DH276" s="419"/>
      <c r="DI276" s="419"/>
      <c r="DJ276" s="419"/>
      <c r="DK276" s="420"/>
      <c r="DL276" s="422"/>
      <c r="DM276" s="420"/>
      <c r="DN276" s="420"/>
      <c r="DO276" s="420"/>
      <c r="DP276" s="420"/>
      <c r="DQ276" s="420"/>
      <c r="DR276" s="419"/>
      <c r="DS276" s="419"/>
      <c r="DT276" s="419"/>
      <c r="DU276" s="420"/>
      <c r="DV276" s="423"/>
      <c r="DW276" s="419"/>
      <c r="DX276" s="419"/>
      <c r="DY276" s="419"/>
      <c r="DZ276" s="420"/>
      <c r="EA276" s="423"/>
      <c r="EB276" s="419"/>
      <c r="EC276" s="419"/>
      <c r="ED276" s="420"/>
      <c r="EE276" s="419"/>
      <c r="EF276" s="420"/>
      <c r="EG276" s="419"/>
      <c r="EH276" s="419"/>
      <c r="EI276" s="419"/>
      <c r="EJ276" s="420"/>
      <c r="EK276" s="420"/>
      <c r="EL276" s="419"/>
      <c r="EM276" s="419"/>
      <c r="EN276" s="419"/>
      <c r="EO276" s="419"/>
      <c r="EP276" s="419"/>
      <c r="EQ276" s="420"/>
      <c r="ER276" s="420"/>
      <c r="ES276" s="420"/>
      <c r="ET276" s="419"/>
      <c r="EU276" s="419"/>
      <c r="EV276" s="455"/>
      <c r="EW276" s="455"/>
      <c r="EX276" s="455"/>
      <c r="EY276" s="419"/>
      <c r="EZ276" s="419"/>
      <c r="FA276" s="420"/>
      <c r="FB276" s="420"/>
      <c r="FC276" s="420"/>
      <c r="FD276" s="420"/>
      <c r="FE276" s="420"/>
      <c r="FF276" s="419"/>
      <c r="FG276" s="419"/>
      <c r="FH276" s="419"/>
      <c r="FI276" s="419"/>
      <c r="FJ276" s="419"/>
      <c r="FK276" s="419">
        <v>27823747.219500002</v>
      </c>
      <c r="FL276" s="419">
        <v>12952799.460000001</v>
      </c>
      <c r="FM276" s="419">
        <v>3617087.1587350001</v>
      </c>
      <c r="FN276" s="420">
        <f t="shared" si="227"/>
        <v>27823747.370000001</v>
      </c>
      <c r="FO276" s="423">
        <f t="shared" si="228"/>
        <v>0.15</v>
      </c>
      <c r="FP276" s="431">
        <v>-1485153.21</v>
      </c>
      <c r="FQ276" s="431">
        <v>13385794.550000001</v>
      </c>
      <c r="FR276" s="431">
        <v>-193069.96</v>
      </c>
      <c r="FS276" s="420">
        <f t="shared" si="229"/>
        <v>-1485153.54</v>
      </c>
      <c r="FT276" s="420">
        <f t="shared" si="230"/>
        <v>-0.33000000007450597</v>
      </c>
      <c r="FU276" s="420">
        <f>-26338594.0095+30131234.05</f>
        <v>3792640.0405000001</v>
      </c>
      <c r="FV276" s="419">
        <f>-26338594.01+30131234.05</f>
        <v>3792640.04</v>
      </c>
      <c r="FW276" s="420">
        <f>-3424017.198735+3917059.38</f>
        <v>493042.18126500002</v>
      </c>
      <c r="FX276" s="420">
        <f t="shared" si="231"/>
        <v>3792632.16</v>
      </c>
      <c r="FY276" s="420">
        <f t="shared" si="232"/>
        <v>-7.8804999999702003</v>
      </c>
      <c r="FZ276" s="419"/>
      <c r="GA276" s="419"/>
      <c r="GB276" s="419"/>
      <c r="GC276" s="420">
        <f t="shared" si="233"/>
        <v>0</v>
      </c>
      <c r="GD276" s="420">
        <f t="shared" si="234"/>
        <v>0</v>
      </c>
      <c r="GE276" s="419"/>
      <c r="GF276" s="419"/>
      <c r="GG276" s="419"/>
      <c r="GH276" s="420">
        <f t="shared" si="235"/>
        <v>0</v>
      </c>
      <c r="GI276" s="423">
        <f t="shared" si="236"/>
        <v>0</v>
      </c>
      <c r="GJ276" s="419"/>
      <c r="GK276" s="419"/>
      <c r="GL276" s="419"/>
      <c r="GM276" s="420">
        <f t="shared" si="237"/>
        <v>0</v>
      </c>
      <c r="GN276" s="420">
        <f t="shared" si="238"/>
        <v>0</v>
      </c>
      <c r="GO276" s="419"/>
      <c r="GP276" s="419"/>
      <c r="GQ276" s="419"/>
      <c r="GR276" s="420">
        <f t="shared" si="249"/>
        <v>0</v>
      </c>
      <c r="GS276" s="423">
        <f t="shared" si="246"/>
        <v>0</v>
      </c>
      <c r="GT276" s="419"/>
      <c r="GU276" s="419"/>
      <c r="GV276" s="419"/>
      <c r="GW276" s="420">
        <f t="shared" si="247"/>
        <v>0</v>
      </c>
      <c r="GX276" s="420">
        <f t="shared" si="248"/>
        <v>0</v>
      </c>
    </row>
    <row r="277" spans="1:206" ht="15">
      <c r="A277" s="414"/>
      <c r="B277" s="415"/>
      <c r="C277" s="698"/>
      <c r="D277" s="467" t="s">
        <v>621</v>
      </c>
      <c r="E277" s="434" t="s">
        <v>604</v>
      </c>
      <c r="F277" s="417">
        <v>0.13</v>
      </c>
      <c r="G277" s="418">
        <f t="shared" si="244"/>
        <v>23371800.920000002</v>
      </c>
      <c r="H277" s="418">
        <f t="shared" si="245"/>
        <v>23371800.920000002</v>
      </c>
      <c r="I277" s="418">
        <f t="shared" si="245"/>
        <v>3038334.08</v>
      </c>
      <c r="J277" s="418">
        <f t="shared" ref="J277:J349" si="252">I277/F277</f>
        <v>23371800.615384601</v>
      </c>
      <c r="K277" s="418">
        <f t="shared" si="250"/>
        <v>-0.30461538583040199</v>
      </c>
      <c r="L277" s="418">
        <f t="shared" si="251"/>
        <v>-0.30461538210511202</v>
      </c>
      <c r="M277" s="424"/>
      <c r="N277" s="424"/>
      <c r="O277" s="424"/>
      <c r="P277" s="424"/>
      <c r="Q277" s="419"/>
      <c r="R277" s="419"/>
      <c r="S277" s="419"/>
      <c r="T277" s="420"/>
      <c r="U277" s="423"/>
      <c r="V277" s="420"/>
      <c r="W277" s="420"/>
      <c r="X277" s="419"/>
      <c r="Y277" s="419"/>
      <c r="Z277" s="423"/>
      <c r="AA277" s="423"/>
      <c r="AB277" s="419"/>
      <c r="AC277" s="419"/>
      <c r="AD277" s="420"/>
      <c r="AE277" s="423"/>
      <c r="AF277" s="419"/>
      <c r="AG277" s="419"/>
      <c r="AH277" s="419"/>
      <c r="AI277" s="420"/>
      <c r="AJ277" s="423"/>
      <c r="AK277" s="419"/>
      <c r="AL277" s="420"/>
      <c r="AM277" s="419"/>
      <c r="AN277" s="420"/>
      <c r="AO277" s="423"/>
      <c r="AP277" s="419"/>
      <c r="AQ277" s="419"/>
      <c r="AR277" s="420"/>
      <c r="AS277" s="420"/>
      <c r="AT277" s="420"/>
      <c r="AU277" s="420"/>
      <c r="AV277" s="420"/>
      <c r="AW277" s="420"/>
      <c r="AX277" s="426"/>
      <c r="AY277" s="420"/>
      <c r="AZ277" s="420"/>
      <c r="BA277" s="420"/>
      <c r="BB277" s="419"/>
      <c r="BC277" s="420"/>
      <c r="BD277" s="427"/>
      <c r="BE277" s="420"/>
      <c r="BF277" s="420"/>
      <c r="BG277" s="420"/>
      <c r="BH277" s="423"/>
      <c r="BI277" s="420"/>
      <c r="BJ277" s="420"/>
      <c r="BK277" s="420"/>
      <c r="BL277" s="420"/>
      <c r="BM277" s="420"/>
      <c r="BN277" s="420"/>
      <c r="BO277" s="420"/>
      <c r="BP277" s="429"/>
      <c r="BQ277" s="420"/>
      <c r="BR277" s="423"/>
      <c r="BS277" s="423"/>
      <c r="BT277" s="420"/>
      <c r="BU277" s="420"/>
      <c r="BV277" s="420"/>
      <c r="BW277" s="420"/>
      <c r="BX277" s="429"/>
      <c r="BY277" s="419"/>
      <c r="BZ277" s="419"/>
      <c r="CA277" s="419"/>
      <c r="CB277" s="420"/>
      <c r="CC277" s="430"/>
      <c r="CD277" s="419"/>
      <c r="CE277" s="419"/>
      <c r="CF277" s="419"/>
      <c r="CG277" s="420"/>
      <c r="CH277" s="423"/>
      <c r="CI277" s="431"/>
      <c r="CJ277" s="431"/>
      <c r="CK277" s="431"/>
      <c r="CL277" s="420"/>
      <c r="CM277" s="423"/>
      <c r="CN277" s="420"/>
      <c r="CO277" s="420"/>
      <c r="CP277" s="420"/>
      <c r="CQ277" s="432"/>
      <c r="CR277" s="432"/>
      <c r="CS277" s="420"/>
      <c r="CT277" s="420"/>
      <c r="CU277" s="420"/>
      <c r="CV277" s="420"/>
      <c r="CW277" s="420"/>
      <c r="CX277" s="419"/>
      <c r="CY277" s="419"/>
      <c r="CZ277" s="419"/>
      <c r="DA277" s="419"/>
      <c r="DB277" s="419"/>
      <c r="DC277" s="419"/>
      <c r="DD277" s="419"/>
      <c r="DE277" s="419"/>
      <c r="DF277" s="420"/>
      <c r="DG277" s="421"/>
      <c r="DH277" s="419"/>
      <c r="DI277" s="419"/>
      <c r="DJ277" s="419"/>
      <c r="DK277" s="420"/>
      <c r="DL277" s="422"/>
      <c r="DM277" s="420"/>
      <c r="DN277" s="420"/>
      <c r="DO277" s="420"/>
      <c r="DP277" s="420"/>
      <c r="DQ277" s="420"/>
      <c r="DR277" s="419"/>
      <c r="DS277" s="419"/>
      <c r="DT277" s="419"/>
      <c r="DU277" s="420"/>
      <c r="DV277" s="423"/>
      <c r="DW277" s="419"/>
      <c r="DX277" s="419"/>
      <c r="DY277" s="419"/>
      <c r="DZ277" s="420"/>
      <c r="EA277" s="423"/>
      <c r="EB277" s="419"/>
      <c r="EC277" s="419"/>
      <c r="ED277" s="420"/>
      <c r="EE277" s="419"/>
      <c r="EF277" s="420"/>
      <c r="EG277" s="419"/>
      <c r="EH277" s="419"/>
      <c r="EI277" s="419"/>
      <c r="EJ277" s="420"/>
      <c r="EK277" s="420"/>
      <c r="EL277" s="419"/>
      <c r="EM277" s="419"/>
      <c r="EN277" s="419"/>
      <c r="EO277" s="419"/>
      <c r="EP277" s="419"/>
      <c r="EQ277" s="420"/>
      <c r="ER277" s="420"/>
      <c r="ES277" s="420"/>
      <c r="ET277" s="419"/>
      <c r="EU277" s="419"/>
      <c r="EV277" s="455"/>
      <c r="EW277" s="455"/>
      <c r="EX277" s="455"/>
      <c r="EY277" s="419"/>
      <c r="EZ277" s="419"/>
      <c r="FA277" s="420"/>
      <c r="FB277" s="420"/>
      <c r="FC277" s="420"/>
      <c r="FD277" s="420"/>
      <c r="FE277" s="420"/>
      <c r="FF277" s="419"/>
      <c r="FG277" s="419"/>
      <c r="FH277" s="419"/>
      <c r="FI277" s="419"/>
      <c r="FJ277" s="419"/>
      <c r="FK277" s="419">
        <v>11104203.560000001</v>
      </c>
      <c r="FL277" s="419">
        <v>11104203.560000001</v>
      </c>
      <c r="FM277" s="419">
        <v>1443546.44</v>
      </c>
      <c r="FN277" s="420">
        <f t="shared" si="227"/>
        <v>11104203.380000001</v>
      </c>
      <c r="FO277" s="423">
        <f t="shared" si="228"/>
        <v>-0.18</v>
      </c>
      <c r="FP277" s="431">
        <v>12896426.66</v>
      </c>
      <c r="FQ277" s="431">
        <v>0</v>
      </c>
      <c r="FR277" s="431">
        <v>1676535.47</v>
      </c>
      <c r="FS277" s="420">
        <f t="shared" si="229"/>
        <v>12896426.689999999</v>
      </c>
      <c r="FT277" s="420">
        <f t="shared" si="230"/>
        <v>2.9999999329447701E-2</v>
      </c>
      <c r="FU277" s="419">
        <v>-628829.30000000098</v>
      </c>
      <c r="FV277" s="419">
        <v>12267597.359999999</v>
      </c>
      <c r="FW277" s="419">
        <v>-81747.830000000104</v>
      </c>
      <c r="FX277" s="420">
        <f t="shared" si="231"/>
        <v>-628829.46</v>
      </c>
      <c r="FY277" s="420">
        <f t="shared" si="232"/>
        <v>-0.15999999898485801</v>
      </c>
      <c r="FZ277" s="419"/>
      <c r="GA277" s="419"/>
      <c r="GB277" s="419"/>
      <c r="GC277" s="420">
        <f t="shared" ref="GC277:GC349" si="253">ROUND(GB277/F277,2)</f>
        <v>0</v>
      </c>
      <c r="GD277" s="420">
        <f t="shared" ref="GD277:GD349" si="254">GC277-FZ277</f>
        <v>0</v>
      </c>
      <c r="GE277" s="419"/>
      <c r="GF277" s="419"/>
      <c r="GG277" s="419"/>
      <c r="GH277" s="420">
        <f t="shared" si="235"/>
        <v>0</v>
      </c>
      <c r="GI277" s="423">
        <f t="shared" si="236"/>
        <v>0</v>
      </c>
      <c r="GJ277" s="419"/>
      <c r="GK277" s="419"/>
      <c r="GL277" s="419"/>
      <c r="GM277" s="420">
        <f t="shared" si="237"/>
        <v>0</v>
      </c>
      <c r="GN277" s="420">
        <f t="shared" si="238"/>
        <v>0</v>
      </c>
      <c r="GO277" s="419"/>
      <c r="GP277" s="419"/>
      <c r="GQ277" s="419"/>
      <c r="GR277" s="420">
        <f t="shared" si="249"/>
        <v>0</v>
      </c>
      <c r="GS277" s="423">
        <f t="shared" si="246"/>
        <v>0</v>
      </c>
      <c r="GT277" s="419"/>
      <c r="GU277" s="419"/>
      <c r="GV277" s="419"/>
      <c r="GW277" s="420">
        <f t="shared" si="247"/>
        <v>0</v>
      </c>
      <c r="GX277" s="420">
        <f t="shared" si="248"/>
        <v>0</v>
      </c>
    </row>
    <row r="278" spans="1:206" ht="15">
      <c r="A278" s="414"/>
      <c r="B278" s="415"/>
      <c r="C278" s="698"/>
      <c r="D278" s="467" t="s">
        <v>622</v>
      </c>
      <c r="E278" s="434" t="s">
        <v>604</v>
      </c>
      <c r="F278" s="417">
        <v>0.13</v>
      </c>
      <c r="G278" s="418">
        <f t="shared" si="244"/>
        <v>23434595</v>
      </c>
      <c r="H278" s="418">
        <f t="shared" si="245"/>
        <v>23434595</v>
      </c>
      <c r="I278" s="418">
        <f t="shared" si="245"/>
        <v>3046497.32</v>
      </c>
      <c r="J278" s="418">
        <f t="shared" si="252"/>
        <v>23434594.769230802</v>
      </c>
      <c r="K278" s="418">
        <f t="shared" si="250"/>
        <v>-0.23076923191547399</v>
      </c>
      <c r="L278" s="418">
        <f t="shared" si="251"/>
        <v>-0.23076923191547399</v>
      </c>
      <c r="M278" s="424"/>
      <c r="N278" s="424"/>
      <c r="O278" s="424"/>
      <c r="P278" s="424"/>
      <c r="Q278" s="419"/>
      <c r="R278" s="419"/>
      <c r="S278" s="419"/>
      <c r="T278" s="420"/>
      <c r="U278" s="423"/>
      <c r="V278" s="420"/>
      <c r="W278" s="420"/>
      <c r="X278" s="419"/>
      <c r="Y278" s="419"/>
      <c r="Z278" s="423"/>
      <c r="AA278" s="423"/>
      <c r="AB278" s="419"/>
      <c r="AC278" s="419"/>
      <c r="AD278" s="420"/>
      <c r="AE278" s="423"/>
      <c r="AF278" s="419"/>
      <c r="AG278" s="419"/>
      <c r="AH278" s="419"/>
      <c r="AI278" s="420"/>
      <c r="AJ278" s="423"/>
      <c r="AK278" s="419"/>
      <c r="AL278" s="420"/>
      <c r="AM278" s="419"/>
      <c r="AN278" s="420"/>
      <c r="AO278" s="423"/>
      <c r="AP278" s="419"/>
      <c r="AQ278" s="419"/>
      <c r="AR278" s="420"/>
      <c r="AS278" s="420"/>
      <c r="AT278" s="420"/>
      <c r="AU278" s="420"/>
      <c r="AV278" s="420"/>
      <c r="AW278" s="420"/>
      <c r="AX278" s="426"/>
      <c r="AY278" s="420"/>
      <c r="AZ278" s="420"/>
      <c r="BA278" s="420"/>
      <c r="BB278" s="419"/>
      <c r="BC278" s="420"/>
      <c r="BD278" s="427"/>
      <c r="BE278" s="420"/>
      <c r="BF278" s="420"/>
      <c r="BG278" s="420"/>
      <c r="BH278" s="423"/>
      <c r="BI278" s="420"/>
      <c r="BJ278" s="420"/>
      <c r="BK278" s="420"/>
      <c r="BL278" s="420"/>
      <c r="BM278" s="420"/>
      <c r="BN278" s="420"/>
      <c r="BO278" s="420"/>
      <c r="BP278" s="429"/>
      <c r="BQ278" s="420"/>
      <c r="BR278" s="423"/>
      <c r="BS278" s="423"/>
      <c r="BT278" s="420"/>
      <c r="BU278" s="420"/>
      <c r="BV278" s="420"/>
      <c r="BW278" s="420"/>
      <c r="BX278" s="429"/>
      <c r="BY278" s="419"/>
      <c r="BZ278" s="419"/>
      <c r="CA278" s="419"/>
      <c r="CB278" s="420"/>
      <c r="CC278" s="430"/>
      <c r="CD278" s="419"/>
      <c r="CE278" s="419"/>
      <c r="CF278" s="419"/>
      <c r="CG278" s="420"/>
      <c r="CH278" s="423"/>
      <c r="CI278" s="431"/>
      <c r="CJ278" s="431"/>
      <c r="CK278" s="431"/>
      <c r="CL278" s="420"/>
      <c r="CM278" s="423"/>
      <c r="CN278" s="420"/>
      <c r="CO278" s="420"/>
      <c r="CP278" s="420"/>
      <c r="CQ278" s="432"/>
      <c r="CR278" s="432"/>
      <c r="CS278" s="420"/>
      <c r="CT278" s="420"/>
      <c r="CU278" s="420"/>
      <c r="CV278" s="420"/>
      <c r="CW278" s="420"/>
      <c r="CX278" s="419"/>
      <c r="CY278" s="419"/>
      <c r="CZ278" s="419"/>
      <c r="DA278" s="419"/>
      <c r="DB278" s="419"/>
      <c r="DC278" s="419"/>
      <c r="DD278" s="419"/>
      <c r="DE278" s="419"/>
      <c r="DF278" s="420"/>
      <c r="DG278" s="421"/>
      <c r="DH278" s="419"/>
      <c r="DI278" s="419"/>
      <c r="DJ278" s="419"/>
      <c r="DK278" s="420"/>
      <c r="DL278" s="422"/>
      <c r="DM278" s="420"/>
      <c r="DN278" s="420"/>
      <c r="DO278" s="420"/>
      <c r="DP278" s="420"/>
      <c r="DQ278" s="420"/>
      <c r="DR278" s="419"/>
      <c r="DS278" s="419"/>
      <c r="DT278" s="419"/>
      <c r="DU278" s="420"/>
      <c r="DV278" s="423"/>
      <c r="DW278" s="419"/>
      <c r="DX278" s="419"/>
      <c r="DY278" s="419"/>
      <c r="DZ278" s="420"/>
      <c r="EA278" s="423"/>
      <c r="EB278" s="419"/>
      <c r="EC278" s="419"/>
      <c r="ED278" s="420"/>
      <c r="EE278" s="419"/>
      <c r="EF278" s="420"/>
      <c r="EG278" s="419"/>
      <c r="EH278" s="419"/>
      <c r="EI278" s="419"/>
      <c r="EJ278" s="420"/>
      <c r="EK278" s="420"/>
      <c r="EL278" s="419"/>
      <c r="EM278" s="419"/>
      <c r="EN278" s="419"/>
      <c r="EO278" s="419"/>
      <c r="EP278" s="419"/>
      <c r="EQ278" s="420"/>
      <c r="ER278" s="420"/>
      <c r="ES278" s="420"/>
      <c r="ET278" s="419"/>
      <c r="EU278" s="419"/>
      <c r="EV278" s="455"/>
      <c r="EW278" s="455"/>
      <c r="EX278" s="455"/>
      <c r="EY278" s="419"/>
      <c r="EZ278" s="419"/>
      <c r="FA278" s="420"/>
      <c r="FB278" s="420"/>
      <c r="FC278" s="420"/>
      <c r="FD278" s="420"/>
      <c r="FE278" s="420"/>
      <c r="FF278" s="419"/>
      <c r="FG278" s="419"/>
      <c r="FH278" s="419"/>
      <c r="FI278" s="419"/>
      <c r="FJ278" s="419"/>
      <c r="FK278" s="419">
        <v>6754771.6699999999</v>
      </c>
      <c r="FL278" s="419">
        <v>6754771.6699999999</v>
      </c>
      <c r="FM278" s="419">
        <v>878120.31</v>
      </c>
      <c r="FN278" s="420">
        <f t="shared" si="227"/>
        <v>6754771.6200000001</v>
      </c>
      <c r="FO278" s="423">
        <f t="shared" si="228"/>
        <v>-0.05</v>
      </c>
      <c r="FP278" s="431">
        <v>16679823.33</v>
      </c>
      <c r="FQ278" s="431">
        <v>16679823.33</v>
      </c>
      <c r="FR278" s="431">
        <v>2168377.0099999998</v>
      </c>
      <c r="FS278" s="420">
        <f t="shared" si="229"/>
        <v>16679823.15</v>
      </c>
      <c r="FT278" s="420">
        <f t="shared" si="230"/>
        <v>-0.179999999701977</v>
      </c>
      <c r="FU278" s="419"/>
      <c r="FV278" s="419"/>
      <c r="FW278" s="419"/>
      <c r="FX278" s="420">
        <f t="shared" si="231"/>
        <v>0</v>
      </c>
      <c r="FY278" s="420">
        <f t="shared" si="232"/>
        <v>0</v>
      </c>
      <c r="FZ278" s="419"/>
      <c r="GA278" s="419"/>
      <c r="GB278" s="419"/>
      <c r="GC278" s="420">
        <f t="shared" si="253"/>
        <v>0</v>
      </c>
      <c r="GD278" s="420">
        <f t="shared" si="254"/>
        <v>0</v>
      </c>
      <c r="GE278" s="419"/>
      <c r="GF278" s="419"/>
      <c r="GG278" s="419"/>
      <c r="GH278" s="420">
        <f t="shared" si="235"/>
        <v>0</v>
      </c>
      <c r="GI278" s="423">
        <f t="shared" si="236"/>
        <v>0</v>
      </c>
      <c r="GJ278" s="419"/>
      <c r="GK278" s="419"/>
      <c r="GL278" s="419"/>
      <c r="GM278" s="420">
        <f t="shared" si="237"/>
        <v>0</v>
      </c>
      <c r="GN278" s="420">
        <f t="shared" si="238"/>
        <v>0</v>
      </c>
      <c r="GO278" s="419"/>
      <c r="GP278" s="419"/>
      <c r="GQ278" s="419"/>
      <c r="GR278" s="420">
        <f t="shared" si="249"/>
        <v>0</v>
      </c>
      <c r="GS278" s="423">
        <f t="shared" si="246"/>
        <v>0</v>
      </c>
      <c r="GT278" s="419"/>
      <c r="GU278" s="419"/>
      <c r="GV278" s="419"/>
      <c r="GW278" s="420">
        <f t="shared" si="247"/>
        <v>0</v>
      </c>
      <c r="GX278" s="420">
        <f t="shared" si="248"/>
        <v>0</v>
      </c>
    </row>
    <row r="279" spans="1:206" ht="15">
      <c r="A279" s="414"/>
      <c r="B279" s="415"/>
      <c r="C279" s="698"/>
      <c r="D279" s="467" t="s">
        <v>623</v>
      </c>
      <c r="E279" s="434" t="s">
        <v>604</v>
      </c>
      <c r="F279" s="417">
        <v>0.13</v>
      </c>
      <c r="G279" s="418">
        <f t="shared" si="244"/>
        <v>30129181.969999999</v>
      </c>
      <c r="H279" s="418">
        <f t="shared" si="245"/>
        <v>30129181.969999999</v>
      </c>
      <c r="I279" s="418">
        <f t="shared" si="245"/>
        <v>3916793.63</v>
      </c>
      <c r="J279" s="418">
        <f t="shared" si="252"/>
        <v>30129181.769230802</v>
      </c>
      <c r="K279" s="418">
        <f t="shared" si="250"/>
        <v>-0.20076923072338099</v>
      </c>
      <c r="L279" s="418">
        <f t="shared" si="251"/>
        <v>-0.20076923072338099</v>
      </c>
      <c r="M279" s="424"/>
      <c r="N279" s="424"/>
      <c r="O279" s="424"/>
      <c r="P279" s="424"/>
      <c r="Q279" s="419"/>
      <c r="R279" s="419"/>
      <c r="S279" s="419"/>
      <c r="T279" s="420"/>
      <c r="U279" s="423"/>
      <c r="V279" s="420"/>
      <c r="W279" s="420"/>
      <c r="X279" s="419"/>
      <c r="Y279" s="419"/>
      <c r="Z279" s="423"/>
      <c r="AA279" s="423"/>
      <c r="AB279" s="419"/>
      <c r="AC279" s="419"/>
      <c r="AD279" s="420"/>
      <c r="AE279" s="423"/>
      <c r="AF279" s="419"/>
      <c r="AG279" s="419"/>
      <c r="AH279" s="419"/>
      <c r="AI279" s="420"/>
      <c r="AJ279" s="423"/>
      <c r="AK279" s="419"/>
      <c r="AL279" s="420"/>
      <c r="AM279" s="419"/>
      <c r="AN279" s="420"/>
      <c r="AO279" s="423"/>
      <c r="AP279" s="419"/>
      <c r="AQ279" s="419"/>
      <c r="AR279" s="420"/>
      <c r="AS279" s="420"/>
      <c r="AT279" s="420"/>
      <c r="AU279" s="420"/>
      <c r="AV279" s="420"/>
      <c r="AW279" s="420"/>
      <c r="AX279" s="426"/>
      <c r="AY279" s="420"/>
      <c r="AZ279" s="420"/>
      <c r="BA279" s="420"/>
      <c r="BB279" s="419"/>
      <c r="BC279" s="420"/>
      <c r="BD279" s="427"/>
      <c r="BE279" s="420"/>
      <c r="BF279" s="420"/>
      <c r="BG279" s="420"/>
      <c r="BH279" s="423"/>
      <c r="BI279" s="420"/>
      <c r="BJ279" s="420"/>
      <c r="BK279" s="420"/>
      <c r="BL279" s="420"/>
      <c r="BM279" s="420"/>
      <c r="BN279" s="420"/>
      <c r="BO279" s="420"/>
      <c r="BP279" s="429"/>
      <c r="BQ279" s="420"/>
      <c r="BR279" s="423"/>
      <c r="BS279" s="423"/>
      <c r="BT279" s="420"/>
      <c r="BU279" s="420"/>
      <c r="BV279" s="420"/>
      <c r="BW279" s="420"/>
      <c r="BX279" s="429"/>
      <c r="BY279" s="419"/>
      <c r="BZ279" s="419"/>
      <c r="CA279" s="419"/>
      <c r="CB279" s="420"/>
      <c r="CC279" s="430"/>
      <c r="CD279" s="419"/>
      <c r="CE279" s="419"/>
      <c r="CF279" s="419"/>
      <c r="CG279" s="420"/>
      <c r="CH279" s="423"/>
      <c r="CI279" s="431"/>
      <c r="CJ279" s="431"/>
      <c r="CK279" s="431"/>
      <c r="CL279" s="420"/>
      <c r="CM279" s="423"/>
      <c r="CN279" s="420"/>
      <c r="CO279" s="420"/>
      <c r="CP279" s="420"/>
      <c r="CQ279" s="432"/>
      <c r="CR279" s="432"/>
      <c r="CS279" s="420"/>
      <c r="CT279" s="420"/>
      <c r="CU279" s="420"/>
      <c r="CV279" s="420"/>
      <c r="CW279" s="420"/>
      <c r="CX279" s="419"/>
      <c r="CY279" s="419"/>
      <c r="CZ279" s="419"/>
      <c r="DA279" s="419"/>
      <c r="DB279" s="419"/>
      <c r="DC279" s="419"/>
      <c r="DD279" s="419"/>
      <c r="DE279" s="419"/>
      <c r="DF279" s="420"/>
      <c r="DG279" s="421"/>
      <c r="DH279" s="419"/>
      <c r="DI279" s="419"/>
      <c r="DJ279" s="419"/>
      <c r="DK279" s="420"/>
      <c r="DL279" s="422"/>
      <c r="DM279" s="420"/>
      <c r="DN279" s="420"/>
      <c r="DO279" s="420"/>
      <c r="DP279" s="420"/>
      <c r="DQ279" s="420"/>
      <c r="DR279" s="419"/>
      <c r="DS279" s="419"/>
      <c r="DT279" s="419"/>
      <c r="DU279" s="420"/>
      <c r="DV279" s="423"/>
      <c r="DW279" s="419"/>
      <c r="DX279" s="419"/>
      <c r="DY279" s="419"/>
      <c r="DZ279" s="420"/>
      <c r="EA279" s="423"/>
      <c r="EB279" s="419"/>
      <c r="EC279" s="419"/>
      <c r="ED279" s="420"/>
      <c r="EE279" s="419"/>
      <c r="EF279" s="420"/>
      <c r="EG279" s="419"/>
      <c r="EH279" s="419"/>
      <c r="EI279" s="419"/>
      <c r="EJ279" s="420"/>
      <c r="EK279" s="420"/>
      <c r="EL279" s="419"/>
      <c r="EM279" s="419"/>
      <c r="EN279" s="419"/>
      <c r="EO279" s="419"/>
      <c r="EP279" s="419"/>
      <c r="EQ279" s="420"/>
      <c r="ER279" s="420"/>
      <c r="ES279" s="420"/>
      <c r="ET279" s="419"/>
      <c r="EU279" s="419"/>
      <c r="EV279" s="455"/>
      <c r="EW279" s="455"/>
      <c r="EX279" s="455"/>
      <c r="EY279" s="419"/>
      <c r="EZ279" s="419"/>
      <c r="FA279" s="420"/>
      <c r="FB279" s="420"/>
      <c r="FC279" s="420"/>
      <c r="FD279" s="420"/>
      <c r="FE279" s="420"/>
      <c r="FF279" s="419"/>
      <c r="FG279" s="419"/>
      <c r="FH279" s="419"/>
      <c r="FI279" s="419"/>
      <c r="FJ279" s="419"/>
      <c r="FK279" s="419">
        <v>27519946.489999998</v>
      </c>
      <c r="FL279" s="419"/>
      <c r="FM279" s="419">
        <v>3577593.04</v>
      </c>
      <c r="FN279" s="420">
        <f t="shared" si="227"/>
        <v>27519946.460000001</v>
      </c>
      <c r="FO279" s="423">
        <f t="shared" si="228"/>
        <v>-0.03</v>
      </c>
      <c r="FP279" s="431">
        <v>2609235.48</v>
      </c>
      <c r="FQ279" s="431">
        <v>30129181.969999999</v>
      </c>
      <c r="FR279" s="431">
        <v>339200.59</v>
      </c>
      <c r="FS279" s="420">
        <f t="shared" si="229"/>
        <v>2609235.31</v>
      </c>
      <c r="FT279" s="420">
        <f t="shared" si="230"/>
        <v>-0.169999999925494</v>
      </c>
      <c r="FU279" s="419"/>
      <c r="FV279" s="419"/>
      <c r="FW279" s="419"/>
      <c r="FX279" s="420">
        <f t="shared" si="231"/>
        <v>0</v>
      </c>
      <c r="FY279" s="420">
        <f t="shared" si="232"/>
        <v>0</v>
      </c>
      <c r="FZ279" s="419"/>
      <c r="GA279" s="419"/>
      <c r="GB279" s="419"/>
      <c r="GC279" s="420">
        <f t="shared" si="253"/>
        <v>0</v>
      </c>
      <c r="GD279" s="420">
        <f t="shared" si="254"/>
        <v>0</v>
      </c>
      <c r="GE279" s="419"/>
      <c r="GF279" s="419"/>
      <c r="GG279" s="419"/>
      <c r="GH279" s="420">
        <f t="shared" si="235"/>
        <v>0</v>
      </c>
      <c r="GI279" s="423">
        <f t="shared" si="236"/>
        <v>0</v>
      </c>
      <c r="GJ279" s="419"/>
      <c r="GK279" s="419"/>
      <c r="GL279" s="419"/>
      <c r="GM279" s="420">
        <f t="shared" si="237"/>
        <v>0</v>
      </c>
      <c r="GN279" s="420">
        <f t="shared" si="238"/>
        <v>0</v>
      </c>
      <c r="GO279" s="419"/>
      <c r="GP279" s="419"/>
      <c r="GQ279" s="419"/>
      <c r="GR279" s="420">
        <f t="shared" si="249"/>
        <v>0</v>
      </c>
      <c r="GS279" s="423">
        <f t="shared" si="246"/>
        <v>0</v>
      </c>
      <c r="GT279" s="419"/>
      <c r="GU279" s="419"/>
      <c r="GV279" s="419"/>
      <c r="GW279" s="420">
        <f t="shared" si="247"/>
        <v>0</v>
      </c>
      <c r="GX279" s="420">
        <f t="shared" si="248"/>
        <v>0</v>
      </c>
    </row>
    <row r="280" spans="1:206" ht="15">
      <c r="A280" s="414"/>
      <c r="B280" s="415"/>
      <c r="C280" s="698"/>
      <c r="D280" s="467" t="s">
        <v>624</v>
      </c>
      <c r="E280" s="434" t="s">
        <v>604</v>
      </c>
      <c r="F280" s="417">
        <v>0.13</v>
      </c>
      <c r="G280" s="418">
        <f t="shared" si="244"/>
        <v>27506517.265500002</v>
      </c>
      <c r="H280" s="418">
        <f t="shared" si="245"/>
        <v>27506517.27</v>
      </c>
      <c r="I280" s="418">
        <f t="shared" si="245"/>
        <v>3575847.2345150001</v>
      </c>
      <c r="J280" s="418">
        <f t="shared" si="252"/>
        <v>27506517.188576899</v>
      </c>
      <c r="K280" s="418">
        <f t="shared" si="250"/>
        <v>-8.14230777323246E-2</v>
      </c>
      <c r="L280" s="418">
        <f t="shared" si="251"/>
        <v>-7.6923079788684803E-2</v>
      </c>
      <c r="M280" s="424"/>
      <c r="N280" s="424"/>
      <c r="O280" s="424"/>
      <c r="P280" s="424"/>
      <c r="Q280" s="419"/>
      <c r="R280" s="419"/>
      <c r="S280" s="419"/>
      <c r="T280" s="420"/>
      <c r="U280" s="423"/>
      <c r="V280" s="420"/>
      <c r="W280" s="420"/>
      <c r="X280" s="419"/>
      <c r="Y280" s="419"/>
      <c r="Z280" s="423"/>
      <c r="AA280" s="423"/>
      <c r="AB280" s="419"/>
      <c r="AC280" s="419"/>
      <c r="AD280" s="420"/>
      <c r="AE280" s="423"/>
      <c r="AF280" s="419"/>
      <c r="AG280" s="419"/>
      <c r="AH280" s="419"/>
      <c r="AI280" s="420"/>
      <c r="AJ280" s="423"/>
      <c r="AK280" s="419"/>
      <c r="AL280" s="420"/>
      <c r="AM280" s="419"/>
      <c r="AN280" s="420"/>
      <c r="AO280" s="423"/>
      <c r="AP280" s="419"/>
      <c r="AQ280" s="419"/>
      <c r="AR280" s="420"/>
      <c r="AS280" s="420"/>
      <c r="AT280" s="420"/>
      <c r="AU280" s="420"/>
      <c r="AV280" s="420"/>
      <c r="AW280" s="420"/>
      <c r="AX280" s="426"/>
      <c r="AY280" s="420"/>
      <c r="AZ280" s="420"/>
      <c r="BA280" s="420"/>
      <c r="BB280" s="419"/>
      <c r="BC280" s="420"/>
      <c r="BD280" s="427"/>
      <c r="BE280" s="420"/>
      <c r="BF280" s="420"/>
      <c r="BG280" s="420"/>
      <c r="BH280" s="423"/>
      <c r="BI280" s="420"/>
      <c r="BJ280" s="420"/>
      <c r="BK280" s="420"/>
      <c r="BL280" s="420"/>
      <c r="BM280" s="420"/>
      <c r="BN280" s="420"/>
      <c r="BO280" s="420"/>
      <c r="BP280" s="429"/>
      <c r="BQ280" s="420"/>
      <c r="BR280" s="423"/>
      <c r="BS280" s="423"/>
      <c r="BT280" s="420"/>
      <c r="BU280" s="420"/>
      <c r="BV280" s="420"/>
      <c r="BW280" s="420"/>
      <c r="BX280" s="429"/>
      <c r="BY280" s="419"/>
      <c r="BZ280" s="419"/>
      <c r="CA280" s="419"/>
      <c r="CB280" s="420"/>
      <c r="CC280" s="430"/>
      <c r="CD280" s="419"/>
      <c r="CE280" s="419"/>
      <c r="CF280" s="419"/>
      <c r="CG280" s="420"/>
      <c r="CH280" s="423"/>
      <c r="CI280" s="431"/>
      <c r="CJ280" s="431"/>
      <c r="CK280" s="431"/>
      <c r="CL280" s="420"/>
      <c r="CM280" s="423"/>
      <c r="CN280" s="420"/>
      <c r="CO280" s="420"/>
      <c r="CP280" s="420"/>
      <c r="CQ280" s="432"/>
      <c r="CR280" s="432"/>
      <c r="CS280" s="420"/>
      <c r="CT280" s="420"/>
      <c r="CU280" s="420"/>
      <c r="CV280" s="420"/>
      <c r="CW280" s="420"/>
      <c r="CX280" s="419"/>
      <c r="CY280" s="419"/>
      <c r="CZ280" s="419"/>
      <c r="DA280" s="419"/>
      <c r="DB280" s="419"/>
      <c r="DC280" s="419"/>
      <c r="DD280" s="419"/>
      <c r="DE280" s="419"/>
      <c r="DF280" s="420"/>
      <c r="DG280" s="421"/>
      <c r="DH280" s="419"/>
      <c r="DI280" s="419"/>
      <c r="DJ280" s="419"/>
      <c r="DK280" s="420"/>
      <c r="DL280" s="422"/>
      <c r="DM280" s="420"/>
      <c r="DN280" s="420"/>
      <c r="DO280" s="420"/>
      <c r="DP280" s="420"/>
      <c r="DQ280" s="420"/>
      <c r="DR280" s="419"/>
      <c r="DS280" s="419"/>
      <c r="DT280" s="419"/>
      <c r="DU280" s="420"/>
      <c r="DV280" s="423"/>
      <c r="DW280" s="419"/>
      <c r="DX280" s="419"/>
      <c r="DY280" s="419"/>
      <c r="DZ280" s="420"/>
      <c r="EA280" s="423"/>
      <c r="EB280" s="419"/>
      <c r="EC280" s="419"/>
      <c r="ED280" s="420"/>
      <c r="EE280" s="419"/>
      <c r="EF280" s="420"/>
      <c r="EG280" s="419"/>
      <c r="EH280" s="419"/>
      <c r="EI280" s="419"/>
      <c r="EJ280" s="420"/>
      <c r="EK280" s="420"/>
      <c r="EL280" s="419"/>
      <c r="EM280" s="419"/>
      <c r="EN280" s="419"/>
      <c r="EO280" s="419"/>
      <c r="EP280" s="419"/>
      <c r="EQ280" s="420"/>
      <c r="ER280" s="420"/>
      <c r="ES280" s="420"/>
      <c r="ET280" s="419"/>
      <c r="EU280" s="419"/>
      <c r="EV280" s="455"/>
      <c r="EW280" s="455"/>
      <c r="EX280" s="455"/>
      <c r="EY280" s="419"/>
      <c r="EZ280" s="419"/>
      <c r="FA280" s="420"/>
      <c r="FB280" s="420"/>
      <c r="FC280" s="420"/>
      <c r="FD280" s="420"/>
      <c r="FE280" s="420"/>
      <c r="FF280" s="419"/>
      <c r="FG280" s="419"/>
      <c r="FH280" s="419"/>
      <c r="FI280" s="419"/>
      <c r="FJ280" s="419"/>
      <c r="FK280" s="419">
        <v>22675908.265500002</v>
      </c>
      <c r="FL280" s="419"/>
      <c r="FM280" s="419">
        <v>2947868.074515</v>
      </c>
      <c r="FN280" s="420">
        <f t="shared" si="227"/>
        <v>22675908.27</v>
      </c>
      <c r="FO280" s="423">
        <f t="shared" si="228"/>
        <v>0</v>
      </c>
      <c r="FP280" s="431">
        <v>4862465.1858274303</v>
      </c>
      <c r="FQ280" s="431">
        <v>0</v>
      </c>
      <c r="FR280" s="431">
        <v>632120.47415756597</v>
      </c>
      <c r="FS280" s="420">
        <f t="shared" si="229"/>
        <v>4862465.1900000004</v>
      </c>
      <c r="FT280" s="420">
        <f t="shared" si="230"/>
        <v>4.1725700721144702E-3</v>
      </c>
      <c r="FU280" s="420">
        <v>-31856.185827430301</v>
      </c>
      <c r="FV280" s="419">
        <v>27506517.27</v>
      </c>
      <c r="FW280" s="420">
        <v>-4141.3141575659401</v>
      </c>
      <c r="FX280" s="420">
        <f t="shared" ref="FX280:FX349" si="255">ROUND(FW280/F280,2)</f>
        <v>-31856.26</v>
      </c>
      <c r="FY280" s="420">
        <f t="shared" ref="FY280:FY349" si="256">FX280-FU280</f>
        <v>-7.4172569697111598E-2</v>
      </c>
      <c r="FZ280" s="419"/>
      <c r="GA280" s="419"/>
      <c r="GB280" s="419"/>
      <c r="GC280" s="420">
        <f t="shared" si="253"/>
        <v>0</v>
      </c>
      <c r="GD280" s="420">
        <f t="shared" si="254"/>
        <v>0</v>
      </c>
      <c r="GE280" s="419"/>
      <c r="GF280" s="419"/>
      <c r="GG280" s="419"/>
      <c r="GH280" s="420">
        <f t="shared" si="235"/>
        <v>0</v>
      </c>
      <c r="GI280" s="423">
        <f t="shared" si="236"/>
        <v>0</v>
      </c>
      <c r="GJ280" s="419"/>
      <c r="GK280" s="419"/>
      <c r="GL280" s="419"/>
      <c r="GM280" s="420">
        <f t="shared" si="237"/>
        <v>0</v>
      </c>
      <c r="GN280" s="420">
        <f t="shared" si="238"/>
        <v>0</v>
      </c>
      <c r="GO280" s="419"/>
      <c r="GP280" s="420">
        <v>5743139.4400000004</v>
      </c>
      <c r="GQ280" s="419"/>
      <c r="GR280" s="420">
        <f t="shared" si="249"/>
        <v>0</v>
      </c>
      <c r="GS280" s="423">
        <f t="shared" si="246"/>
        <v>0</v>
      </c>
      <c r="GT280" s="419"/>
      <c r="GU280" s="420">
        <v>-5743139.4400000004</v>
      </c>
      <c r="GV280" s="419"/>
      <c r="GW280" s="420">
        <f t="shared" si="247"/>
        <v>0</v>
      </c>
      <c r="GX280" s="420">
        <f t="shared" si="248"/>
        <v>0</v>
      </c>
    </row>
    <row r="281" spans="1:206" ht="15">
      <c r="A281" s="414"/>
      <c r="B281" s="415"/>
      <c r="C281" s="698"/>
      <c r="D281" s="467" t="s">
        <v>625</v>
      </c>
      <c r="E281" s="434" t="s">
        <v>604</v>
      </c>
      <c r="F281" s="417">
        <v>0.13</v>
      </c>
      <c r="G281" s="418">
        <f t="shared" si="244"/>
        <v>1873612.05</v>
      </c>
      <c r="H281" s="418">
        <f t="shared" si="245"/>
        <v>1873612.05</v>
      </c>
      <c r="I281" s="418">
        <f t="shared" si="245"/>
        <v>243569.58</v>
      </c>
      <c r="J281" s="418">
        <f t="shared" si="252"/>
        <v>1873612.15384615</v>
      </c>
      <c r="K281" s="418">
        <f t="shared" si="250"/>
        <v>0.103846153710037</v>
      </c>
      <c r="L281" s="418">
        <f t="shared" si="218"/>
        <v>0.103846153710037</v>
      </c>
      <c r="M281" s="424"/>
      <c r="N281" s="424"/>
      <c r="O281" s="424"/>
      <c r="P281" s="424"/>
      <c r="Q281" s="419"/>
      <c r="R281" s="419"/>
      <c r="S281" s="419"/>
      <c r="T281" s="420"/>
      <c r="U281" s="423"/>
      <c r="V281" s="420"/>
      <c r="W281" s="420"/>
      <c r="X281" s="419"/>
      <c r="Y281" s="419"/>
      <c r="Z281" s="423"/>
      <c r="AA281" s="423"/>
      <c r="AB281" s="419"/>
      <c r="AC281" s="419"/>
      <c r="AD281" s="420"/>
      <c r="AE281" s="423"/>
      <c r="AF281" s="419"/>
      <c r="AG281" s="419"/>
      <c r="AH281" s="419"/>
      <c r="AI281" s="420"/>
      <c r="AJ281" s="423"/>
      <c r="AK281" s="419"/>
      <c r="AL281" s="420"/>
      <c r="AM281" s="419"/>
      <c r="AN281" s="420"/>
      <c r="AO281" s="423"/>
      <c r="AP281" s="419"/>
      <c r="AQ281" s="419"/>
      <c r="AR281" s="420"/>
      <c r="AS281" s="420"/>
      <c r="AT281" s="420"/>
      <c r="AU281" s="420"/>
      <c r="AV281" s="420"/>
      <c r="AW281" s="420"/>
      <c r="AX281" s="426"/>
      <c r="AY281" s="420"/>
      <c r="AZ281" s="420"/>
      <c r="BA281" s="420"/>
      <c r="BB281" s="419"/>
      <c r="BC281" s="420"/>
      <c r="BD281" s="427"/>
      <c r="BE281" s="420"/>
      <c r="BF281" s="420"/>
      <c r="BG281" s="420"/>
      <c r="BH281" s="423"/>
      <c r="BI281" s="420"/>
      <c r="BJ281" s="420"/>
      <c r="BK281" s="420"/>
      <c r="BL281" s="420"/>
      <c r="BM281" s="420"/>
      <c r="BN281" s="420"/>
      <c r="BO281" s="420"/>
      <c r="BP281" s="429"/>
      <c r="BQ281" s="420"/>
      <c r="BR281" s="423"/>
      <c r="BS281" s="423"/>
      <c r="BT281" s="420"/>
      <c r="BU281" s="420"/>
      <c r="BV281" s="420"/>
      <c r="BW281" s="420"/>
      <c r="BX281" s="429"/>
      <c r="BY281" s="419"/>
      <c r="BZ281" s="419"/>
      <c r="CA281" s="419"/>
      <c r="CB281" s="420"/>
      <c r="CC281" s="430"/>
      <c r="CD281" s="419"/>
      <c r="CE281" s="419"/>
      <c r="CF281" s="419"/>
      <c r="CG281" s="420"/>
      <c r="CH281" s="423"/>
      <c r="CI281" s="431"/>
      <c r="CJ281" s="431"/>
      <c r="CK281" s="431"/>
      <c r="CL281" s="420"/>
      <c r="CM281" s="423"/>
      <c r="CN281" s="420"/>
      <c r="CO281" s="420"/>
      <c r="CP281" s="420"/>
      <c r="CQ281" s="432"/>
      <c r="CR281" s="432"/>
      <c r="CS281" s="420"/>
      <c r="CT281" s="420"/>
      <c r="CU281" s="420"/>
      <c r="CV281" s="420"/>
      <c r="CW281" s="420"/>
      <c r="CX281" s="419"/>
      <c r="CY281" s="419"/>
      <c r="CZ281" s="419"/>
      <c r="DA281" s="419"/>
      <c r="DB281" s="419"/>
      <c r="DC281" s="419"/>
      <c r="DD281" s="419"/>
      <c r="DE281" s="419"/>
      <c r="DF281" s="420"/>
      <c r="DG281" s="421"/>
      <c r="DH281" s="419"/>
      <c r="DI281" s="419"/>
      <c r="DJ281" s="419"/>
      <c r="DK281" s="420"/>
      <c r="DL281" s="422"/>
      <c r="DM281" s="420"/>
      <c r="DN281" s="420"/>
      <c r="DO281" s="420"/>
      <c r="DP281" s="420"/>
      <c r="DQ281" s="420"/>
      <c r="DR281" s="419"/>
      <c r="DS281" s="419"/>
      <c r="DT281" s="419"/>
      <c r="DU281" s="420"/>
      <c r="DV281" s="423"/>
      <c r="DW281" s="419"/>
      <c r="DX281" s="419"/>
      <c r="DY281" s="419"/>
      <c r="DZ281" s="420"/>
      <c r="EA281" s="423"/>
      <c r="EB281" s="419"/>
      <c r="EC281" s="419"/>
      <c r="ED281" s="420"/>
      <c r="EE281" s="419"/>
      <c r="EF281" s="420"/>
      <c r="EG281" s="419"/>
      <c r="EH281" s="419"/>
      <c r="EI281" s="419"/>
      <c r="EJ281" s="420"/>
      <c r="EK281" s="420"/>
      <c r="EL281" s="419"/>
      <c r="EM281" s="419"/>
      <c r="EN281" s="419"/>
      <c r="EO281" s="419"/>
      <c r="EP281" s="419"/>
      <c r="EQ281" s="420"/>
      <c r="ER281" s="420"/>
      <c r="ES281" s="420"/>
      <c r="ET281" s="419"/>
      <c r="EU281" s="419"/>
      <c r="EV281" s="455"/>
      <c r="EW281" s="455"/>
      <c r="EX281" s="455"/>
      <c r="EY281" s="419"/>
      <c r="EZ281" s="419"/>
      <c r="FA281" s="420"/>
      <c r="FB281" s="420"/>
      <c r="FC281" s="420"/>
      <c r="FD281" s="420"/>
      <c r="FE281" s="420"/>
      <c r="FF281" s="419">
        <v>4283681.42</v>
      </c>
      <c r="FG281" s="419">
        <v>4283681.42</v>
      </c>
      <c r="FH281" s="419">
        <v>556878.57999999996</v>
      </c>
      <c r="FI281" s="419">
        <f t="shared" si="225"/>
        <v>4283681.3846153803</v>
      </c>
      <c r="FJ281" s="419">
        <f t="shared" si="226"/>
        <v>-0.04</v>
      </c>
      <c r="FK281" s="419"/>
      <c r="FL281" s="419"/>
      <c r="FM281" s="419"/>
      <c r="FN281" s="420">
        <f t="shared" si="227"/>
        <v>0</v>
      </c>
      <c r="FO281" s="423">
        <f t="shared" si="228"/>
        <v>0</v>
      </c>
      <c r="FP281" s="419"/>
      <c r="FQ281" s="419"/>
      <c r="FR281" s="419"/>
      <c r="FS281" s="420">
        <f t="shared" si="229"/>
        <v>0</v>
      </c>
      <c r="FT281" s="420">
        <f t="shared" si="230"/>
        <v>0</v>
      </c>
      <c r="FU281" s="419"/>
      <c r="FV281" s="419"/>
      <c r="FW281" s="419"/>
      <c r="FX281" s="420">
        <f t="shared" si="255"/>
        <v>0</v>
      </c>
      <c r="FY281" s="420">
        <f t="shared" si="256"/>
        <v>0</v>
      </c>
      <c r="FZ281" s="419"/>
      <c r="GA281" s="419"/>
      <c r="GB281" s="419"/>
      <c r="GC281" s="420">
        <f t="shared" si="253"/>
        <v>0</v>
      </c>
      <c r="GD281" s="420">
        <f t="shared" si="254"/>
        <v>0</v>
      </c>
      <c r="GE281" s="419">
        <v>-2410069.37</v>
      </c>
      <c r="GF281" s="419">
        <v>-2410069.37</v>
      </c>
      <c r="GG281" s="419">
        <v>-313309</v>
      </c>
      <c r="GH281" s="420">
        <f t="shared" si="235"/>
        <v>-2410069.2307692301</v>
      </c>
      <c r="GI281" s="423">
        <f t="shared" si="236"/>
        <v>0.13923076959326899</v>
      </c>
      <c r="GJ281" s="419"/>
      <c r="GK281" s="419"/>
      <c r="GL281" s="419"/>
      <c r="GM281" s="420">
        <f t="shared" ref="GM281:GM349" si="257">GL281/F281</f>
        <v>0</v>
      </c>
      <c r="GN281" s="420">
        <f t="shared" ref="GN281:GN349" si="258">GM281-GJ281</f>
        <v>0</v>
      </c>
      <c r="GO281" s="419"/>
      <c r="GP281" s="419"/>
      <c r="GQ281" s="419"/>
      <c r="GR281" s="420">
        <f t="shared" si="249"/>
        <v>0</v>
      </c>
      <c r="GS281" s="423">
        <f t="shared" si="246"/>
        <v>0</v>
      </c>
      <c r="GT281" s="419"/>
      <c r="GU281" s="419"/>
      <c r="GV281" s="419"/>
      <c r="GW281" s="420">
        <f t="shared" si="247"/>
        <v>0</v>
      </c>
      <c r="GX281" s="420">
        <f t="shared" si="248"/>
        <v>0</v>
      </c>
    </row>
    <row r="282" spans="1:206" ht="15">
      <c r="A282" s="414"/>
      <c r="B282" s="415" t="s">
        <v>606</v>
      </c>
      <c r="C282" s="698"/>
      <c r="D282" s="467" t="s">
        <v>626</v>
      </c>
      <c r="E282" s="434" t="s">
        <v>604</v>
      </c>
      <c r="F282" s="417">
        <v>0.13</v>
      </c>
      <c r="G282" s="418">
        <f t="shared" si="244"/>
        <v>50047916.810000002</v>
      </c>
      <c r="H282" s="418">
        <f t="shared" si="245"/>
        <v>50047916.810000002</v>
      </c>
      <c r="I282" s="418">
        <f t="shared" si="245"/>
        <v>6506229.1900000004</v>
      </c>
      <c r="J282" s="418">
        <f t="shared" si="252"/>
        <v>50047916.846153803</v>
      </c>
      <c r="K282" s="418">
        <f t="shared" si="250"/>
        <v>3.6153845489025102E-2</v>
      </c>
      <c r="L282" s="418">
        <f t="shared" si="218"/>
        <v>3.6153845489025102E-2</v>
      </c>
      <c r="M282" s="424"/>
      <c r="N282" s="424"/>
      <c r="O282" s="424"/>
      <c r="P282" s="424"/>
      <c r="Q282" s="419"/>
      <c r="R282" s="419"/>
      <c r="S282" s="419"/>
      <c r="T282" s="420"/>
      <c r="U282" s="423"/>
      <c r="V282" s="420"/>
      <c r="W282" s="420"/>
      <c r="X282" s="419"/>
      <c r="Y282" s="419"/>
      <c r="Z282" s="423"/>
      <c r="AA282" s="423"/>
      <c r="AB282" s="419"/>
      <c r="AC282" s="419"/>
      <c r="AD282" s="420"/>
      <c r="AE282" s="423"/>
      <c r="AF282" s="419"/>
      <c r="AG282" s="419"/>
      <c r="AH282" s="419"/>
      <c r="AI282" s="420"/>
      <c r="AJ282" s="423"/>
      <c r="AK282" s="419"/>
      <c r="AL282" s="420"/>
      <c r="AM282" s="419"/>
      <c r="AN282" s="420"/>
      <c r="AO282" s="423"/>
      <c r="AP282" s="419"/>
      <c r="AQ282" s="419"/>
      <c r="AR282" s="420"/>
      <c r="AS282" s="420"/>
      <c r="AT282" s="420"/>
      <c r="AU282" s="420"/>
      <c r="AV282" s="420"/>
      <c r="AW282" s="420"/>
      <c r="AX282" s="426"/>
      <c r="AY282" s="420"/>
      <c r="AZ282" s="420"/>
      <c r="BA282" s="420"/>
      <c r="BB282" s="419"/>
      <c r="BC282" s="420"/>
      <c r="BD282" s="427"/>
      <c r="BE282" s="420"/>
      <c r="BF282" s="420"/>
      <c r="BG282" s="420"/>
      <c r="BH282" s="423"/>
      <c r="BI282" s="420"/>
      <c r="BJ282" s="420"/>
      <c r="BK282" s="420"/>
      <c r="BL282" s="420"/>
      <c r="BM282" s="420"/>
      <c r="BN282" s="420"/>
      <c r="BO282" s="420"/>
      <c r="BP282" s="429"/>
      <c r="BQ282" s="420"/>
      <c r="BR282" s="423"/>
      <c r="BS282" s="423"/>
      <c r="BT282" s="420"/>
      <c r="BU282" s="420"/>
      <c r="BV282" s="420"/>
      <c r="BW282" s="420"/>
      <c r="BX282" s="429"/>
      <c r="BY282" s="419"/>
      <c r="BZ282" s="419"/>
      <c r="CA282" s="419"/>
      <c r="CB282" s="420"/>
      <c r="CC282" s="430"/>
      <c r="CD282" s="419"/>
      <c r="CE282" s="419"/>
      <c r="CF282" s="419"/>
      <c r="CG282" s="420"/>
      <c r="CH282" s="423"/>
      <c r="CI282" s="431"/>
      <c r="CJ282" s="431"/>
      <c r="CK282" s="431"/>
      <c r="CL282" s="420"/>
      <c r="CM282" s="423"/>
      <c r="CN282" s="420"/>
      <c r="CO282" s="420"/>
      <c r="CP282" s="420"/>
      <c r="CQ282" s="432"/>
      <c r="CR282" s="432"/>
      <c r="CS282" s="420"/>
      <c r="CT282" s="420"/>
      <c r="CU282" s="420"/>
      <c r="CV282" s="420"/>
      <c r="CW282" s="420"/>
      <c r="CX282" s="419"/>
      <c r="CY282" s="419"/>
      <c r="CZ282" s="419"/>
      <c r="DA282" s="419"/>
      <c r="DB282" s="419"/>
      <c r="DC282" s="419"/>
      <c r="DD282" s="419"/>
      <c r="DE282" s="419"/>
      <c r="DF282" s="420"/>
      <c r="DG282" s="421"/>
      <c r="DH282" s="419"/>
      <c r="DI282" s="419"/>
      <c r="DJ282" s="419"/>
      <c r="DK282" s="420"/>
      <c r="DL282" s="422"/>
      <c r="DM282" s="420"/>
      <c r="DN282" s="420"/>
      <c r="DO282" s="420"/>
      <c r="DP282" s="420"/>
      <c r="DQ282" s="420"/>
      <c r="DR282" s="419"/>
      <c r="DS282" s="419"/>
      <c r="DT282" s="419"/>
      <c r="DU282" s="420"/>
      <c r="DV282" s="423"/>
      <c r="DW282" s="419"/>
      <c r="DX282" s="419"/>
      <c r="DY282" s="419"/>
      <c r="DZ282" s="420"/>
      <c r="EA282" s="423"/>
      <c r="EB282" s="419"/>
      <c r="EC282" s="419"/>
      <c r="ED282" s="420"/>
      <c r="EE282" s="419"/>
      <c r="EF282" s="420"/>
      <c r="EG282" s="419"/>
      <c r="EH282" s="419"/>
      <c r="EI282" s="419"/>
      <c r="EJ282" s="420"/>
      <c r="EK282" s="420"/>
      <c r="EL282" s="419"/>
      <c r="EM282" s="419"/>
      <c r="EN282" s="419"/>
      <c r="EO282" s="419"/>
      <c r="EP282" s="419"/>
      <c r="EQ282" s="420"/>
      <c r="ER282" s="420"/>
      <c r="ES282" s="420"/>
      <c r="ET282" s="419"/>
      <c r="EU282" s="419"/>
      <c r="EV282" s="455"/>
      <c r="EW282" s="455"/>
      <c r="EX282" s="455"/>
      <c r="EY282" s="419"/>
      <c r="EZ282" s="419"/>
      <c r="FA282" s="420"/>
      <c r="FB282" s="420"/>
      <c r="FC282" s="420"/>
      <c r="FD282" s="420"/>
      <c r="FE282" s="420"/>
      <c r="FF282" s="419">
        <v>49907603.539999999</v>
      </c>
      <c r="FG282" s="420">
        <v>49907603.539999999</v>
      </c>
      <c r="FH282" s="419">
        <v>6487988.46</v>
      </c>
      <c r="FI282" s="419">
        <f t="shared" si="225"/>
        <v>49907603.538461499</v>
      </c>
      <c r="FJ282" s="419">
        <f t="shared" si="226"/>
        <v>0</v>
      </c>
      <c r="FK282" s="419"/>
      <c r="FL282" s="419"/>
      <c r="FM282" s="419"/>
      <c r="FN282" s="420">
        <f t="shared" si="227"/>
        <v>0</v>
      </c>
      <c r="FO282" s="423">
        <f t="shared" si="228"/>
        <v>0</v>
      </c>
      <c r="FP282" s="431">
        <v>140313.26999999999</v>
      </c>
      <c r="FQ282" s="431">
        <v>140313.26999999999</v>
      </c>
      <c r="FR282" s="431">
        <v>18240.73</v>
      </c>
      <c r="FS282" s="420">
        <f t="shared" si="229"/>
        <v>140313.31</v>
      </c>
      <c r="FT282" s="420">
        <f t="shared" si="230"/>
        <v>4.00000000081491E-2</v>
      </c>
      <c r="FU282" s="419"/>
      <c r="FV282" s="419"/>
      <c r="FW282" s="419"/>
      <c r="FX282" s="420">
        <f t="shared" si="255"/>
        <v>0</v>
      </c>
      <c r="FY282" s="420">
        <f t="shared" si="256"/>
        <v>0</v>
      </c>
      <c r="FZ282" s="419"/>
      <c r="GA282" s="419"/>
      <c r="GB282" s="419"/>
      <c r="GC282" s="420">
        <f t="shared" si="253"/>
        <v>0</v>
      </c>
      <c r="GD282" s="420">
        <f t="shared" si="254"/>
        <v>0</v>
      </c>
      <c r="GE282" s="419"/>
      <c r="GF282" s="419"/>
      <c r="GG282" s="419"/>
      <c r="GH282" s="420">
        <f t="shared" si="235"/>
        <v>0</v>
      </c>
      <c r="GI282" s="423">
        <f t="shared" si="236"/>
        <v>0</v>
      </c>
      <c r="GJ282" s="419"/>
      <c r="GK282" s="419"/>
      <c r="GL282" s="419"/>
      <c r="GM282" s="420">
        <f t="shared" si="257"/>
        <v>0</v>
      </c>
      <c r="GN282" s="420">
        <f t="shared" si="258"/>
        <v>0</v>
      </c>
      <c r="GO282" s="419"/>
      <c r="GP282" s="419"/>
      <c r="GQ282" s="419"/>
      <c r="GR282" s="420">
        <f t="shared" si="249"/>
        <v>0</v>
      </c>
      <c r="GS282" s="423">
        <f t="shared" si="246"/>
        <v>0</v>
      </c>
      <c r="GT282" s="419"/>
      <c r="GU282" s="419"/>
      <c r="GV282" s="419"/>
      <c r="GW282" s="420">
        <f t="shared" si="247"/>
        <v>0</v>
      </c>
      <c r="GX282" s="420">
        <f t="shared" si="248"/>
        <v>0</v>
      </c>
    </row>
    <row r="283" spans="1:206" ht="15">
      <c r="A283" s="414"/>
      <c r="B283" s="415"/>
      <c r="C283" s="698"/>
      <c r="D283" s="467" t="s">
        <v>627</v>
      </c>
      <c r="E283" s="434" t="s">
        <v>604</v>
      </c>
      <c r="F283" s="417">
        <v>0.13</v>
      </c>
      <c r="G283" s="418">
        <f t="shared" si="244"/>
        <v>29991247.370000001</v>
      </c>
      <c r="H283" s="418">
        <f t="shared" si="245"/>
        <v>29991247.370000001</v>
      </c>
      <c r="I283" s="418">
        <f t="shared" si="245"/>
        <v>3898862.18</v>
      </c>
      <c r="J283" s="418">
        <f t="shared" si="252"/>
        <v>29991247.538461499</v>
      </c>
      <c r="K283" s="418">
        <f t="shared" si="250"/>
        <v>0.168461538851261</v>
      </c>
      <c r="L283" s="418">
        <f t="shared" si="218"/>
        <v>0.168461538851261</v>
      </c>
      <c r="M283" s="424"/>
      <c r="N283" s="424"/>
      <c r="O283" s="424"/>
      <c r="P283" s="424"/>
      <c r="Q283" s="419"/>
      <c r="R283" s="419"/>
      <c r="S283" s="419"/>
      <c r="T283" s="420"/>
      <c r="U283" s="423"/>
      <c r="V283" s="420"/>
      <c r="W283" s="420"/>
      <c r="X283" s="419"/>
      <c r="Y283" s="419"/>
      <c r="Z283" s="423"/>
      <c r="AA283" s="423"/>
      <c r="AB283" s="419"/>
      <c r="AC283" s="419"/>
      <c r="AD283" s="420"/>
      <c r="AE283" s="423"/>
      <c r="AF283" s="419"/>
      <c r="AG283" s="419"/>
      <c r="AH283" s="419"/>
      <c r="AI283" s="420"/>
      <c r="AJ283" s="423"/>
      <c r="AK283" s="419"/>
      <c r="AL283" s="420"/>
      <c r="AM283" s="419"/>
      <c r="AN283" s="420"/>
      <c r="AO283" s="423"/>
      <c r="AP283" s="419"/>
      <c r="AQ283" s="419"/>
      <c r="AR283" s="420"/>
      <c r="AS283" s="420"/>
      <c r="AT283" s="420"/>
      <c r="AU283" s="420"/>
      <c r="AV283" s="420"/>
      <c r="AW283" s="420"/>
      <c r="AX283" s="426"/>
      <c r="AY283" s="420"/>
      <c r="AZ283" s="420"/>
      <c r="BA283" s="420"/>
      <c r="BB283" s="419"/>
      <c r="BC283" s="420"/>
      <c r="BD283" s="427"/>
      <c r="BE283" s="420"/>
      <c r="BF283" s="420"/>
      <c r="BG283" s="420"/>
      <c r="BH283" s="423"/>
      <c r="BI283" s="420"/>
      <c r="BJ283" s="420"/>
      <c r="BK283" s="420"/>
      <c r="BL283" s="420"/>
      <c r="BM283" s="420"/>
      <c r="BN283" s="420"/>
      <c r="BO283" s="420"/>
      <c r="BP283" s="429"/>
      <c r="BQ283" s="420"/>
      <c r="BR283" s="423"/>
      <c r="BS283" s="423"/>
      <c r="BT283" s="420"/>
      <c r="BU283" s="420"/>
      <c r="BV283" s="420"/>
      <c r="BW283" s="420"/>
      <c r="BX283" s="429"/>
      <c r="BY283" s="419"/>
      <c r="BZ283" s="419"/>
      <c r="CA283" s="419"/>
      <c r="CB283" s="420"/>
      <c r="CC283" s="430"/>
      <c r="CD283" s="419"/>
      <c r="CE283" s="419"/>
      <c r="CF283" s="419"/>
      <c r="CG283" s="420"/>
      <c r="CH283" s="423"/>
      <c r="CI283" s="431"/>
      <c r="CJ283" s="431"/>
      <c r="CK283" s="431"/>
      <c r="CL283" s="420"/>
      <c r="CM283" s="423"/>
      <c r="CN283" s="420"/>
      <c r="CO283" s="420"/>
      <c r="CP283" s="420"/>
      <c r="CQ283" s="432"/>
      <c r="CR283" s="432"/>
      <c r="CS283" s="420"/>
      <c r="CT283" s="420"/>
      <c r="CU283" s="420"/>
      <c r="CV283" s="420"/>
      <c r="CW283" s="420"/>
      <c r="CX283" s="419"/>
      <c r="CY283" s="419"/>
      <c r="CZ283" s="419"/>
      <c r="DA283" s="419"/>
      <c r="DB283" s="419"/>
      <c r="DC283" s="419"/>
      <c r="DD283" s="419"/>
      <c r="DE283" s="419"/>
      <c r="DF283" s="420"/>
      <c r="DG283" s="421"/>
      <c r="DH283" s="419"/>
      <c r="DI283" s="419"/>
      <c r="DJ283" s="419"/>
      <c r="DK283" s="420"/>
      <c r="DL283" s="422"/>
      <c r="DM283" s="420"/>
      <c r="DN283" s="420"/>
      <c r="DO283" s="420"/>
      <c r="DP283" s="420"/>
      <c r="DQ283" s="420"/>
      <c r="DR283" s="419"/>
      <c r="DS283" s="419"/>
      <c r="DT283" s="419"/>
      <c r="DU283" s="420"/>
      <c r="DV283" s="423"/>
      <c r="DW283" s="419"/>
      <c r="DX283" s="419"/>
      <c r="DY283" s="419"/>
      <c r="DZ283" s="420"/>
      <c r="EA283" s="423"/>
      <c r="EB283" s="419"/>
      <c r="EC283" s="419"/>
      <c r="ED283" s="420"/>
      <c r="EE283" s="419"/>
      <c r="EF283" s="420"/>
      <c r="EG283" s="419"/>
      <c r="EH283" s="419"/>
      <c r="EI283" s="419"/>
      <c r="EJ283" s="420"/>
      <c r="EK283" s="420"/>
      <c r="EL283" s="419"/>
      <c r="EM283" s="419"/>
      <c r="EN283" s="419"/>
      <c r="EO283" s="419"/>
      <c r="EP283" s="419"/>
      <c r="EQ283" s="420"/>
      <c r="ER283" s="420"/>
      <c r="ES283" s="420"/>
      <c r="ET283" s="419"/>
      <c r="EU283" s="419"/>
      <c r="EV283" s="455"/>
      <c r="EW283" s="455"/>
      <c r="EX283" s="455"/>
      <c r="EY283" s="419"/>
      <c r="EZ283" s="419"/>
      <c r="FA283" s="420"/>
      <c r="FB283" s="420"/>
      <c r="FC283" s="420"/>
      <c r="FD283" s="420"/>
      <c r="FE283" s="420"/>
      <c r="FF283" s="419"/>
      <c r="FG283" s="420"/>
      <c r="FH283" s="419"/>
      <c r="FI283" s="419"/>
      <c r="FJ283" s="419"/>
      <c r="FK283" s="419"/>
      <c r="FL283" s="419"/>
      <c r="FM283" s="419"/>
      <c r="FN283" s="420"/>
      <c r="FO283" s="423"/>
      <c r="FP283" s="431">
        <v>29991247.370000001</v>
      </c>
      <c r="FQ283" s="431">
        <v>29991247.370000001</v>
      </c>
      <c r="FR283" s="431">
        <v>3898862.18</v>
      </c>
      <c r="FS283" s="420">
        <f t="shared" ref="FS283:FS349" si="259">ROUND(FR283/F283,2)</f>
        <v>29991247.539999999</v>
      </c>
      <c r="FT283" s="420">
        <f t="shared" ref="FT283:FT349" si="260">FS283-FP283</f>
        <v>0.16999999806284899</v>
      </c>
      <c r="FU283" s="419"/>
      <c r="FV283" s="419"/>
      <c r="FW283" s="419"/>
      <c r="FX283" s="420">
        <f t="shared" si="255"/>
        <v>0</v>
      </c>
      <c r="FY283" s="420">
        <f t="shared" si="256"/>
        <v>0</v>
      </c>
      <c r="FZ283" s="419"/>
      <c r="GA283" s="419"/>
      <c r="GB283" s="419"/>
      <c r="GC283" s="420">
        <f t="shared" si="253"/>
        <v>0</v>
      </c>
      <c r="GD283" s="420">
        <f t="shared" si="254"/>
        <v>0</v>
      </c>
      <c r="GE283" s="419"/>
      <c r="GF283" s="419"/>
      <c r="GG283" s="419"/>
      <c r="GH283" s="420">
        <f t="shared" si="235"/>
        <v>0</v>
      </c>
      <c r="GI283" s="423">
        <f t="shared" si="236"/>
        <v>0</v>
      </c>
      <c r="GJ283" s="419"/>
      <c r="GK283" s="419"/>
      <c r="GL283" s="419"/>
      <c r="GM283" s="420">
        <f t="shared" si="257"/>
        <v>0</v>
      </c>
      <c r="GN283" s="420">
        <f t="shared" si="258"/>
        <v>0</v>
      </c>
      <c r="GO283" s="419"/>
      <c r="GP283" s="419"/>
      <c r="GQ283" s="419"/>
      <c r="GR283" s="420">
        <f t="shared" si="249"/>
        <v>0</v>
      </c>
      <c r="GS283" s="423">
        <f t="shared" si="246"/>
        <v>0</v>
      </c>
      <c r="GT283" s="419"/>
      <c r="GU283" s="419"/>
      <c r="GV283" s="419"/>
      <c r="GW283" s="420">
        <f t="shared" si="247"/>
        <v>0</v>
      </c>
      <c r="GX283" s="420">
        <f t="shared" si="248"/>
        <v>0</v>
      </c>
    </row>
    <row r="284" spans="1:206" ht="15">
      <c r="A284" s="414"/>
      <c r="B284" s="415"/>
      <c r="C284" s="698"/>
      <c r="D284" s="467" t="s">
        <v>628</v>
      </c>
      <c r="E284" s="434" t="s">
        <v>604</v>
      </c>
      <c r="F284" s="417">
        <v>0.13</v>
      </c>
      <c r="G284" s="418">
        <f t="shared" si="244"/>
        <v>40174737.850000001</v>
      </c>
      <c r="H284" s="418">
        <f t="shared" si="245"/>
        <v>40174737.850000001</v>
      </c>
      <c r="I284" s="418">
        <f t="shared" si="245"/>
        <v>5222715.91</v>
      </c>
      <c r="J284" s="418">
        <f t="shared" si="252"/>
        <v>40174737.769230798</v>
      </c>
      <c r="K284" s="418">
        <f t="shared" si="250"/>
        <v>-8.0769233405590099E-2</v>
      </c>
      <c r="L284" s="418">
        <f t="shared" si="218"/>
        <v>-8.0769233405590099E-2</v>
      </c>
      <c r="M284" s="424"/>
      <c r="N284" s="424"/>
      <c r="O284" s="424"/>
      <c r="P284" s="424"/>
      <c r="Q284" s="419"/>
      <c r="R284" s="419"/>
      <c r="S284" s="419"/>
      <c r="T284" s="420"/>
      <c r="U284" s="423"/>
      <c r="V284" s="420"/>
      <c r="W284" s="420"/>
      <c r="X284" s="419"/>
      <c r="Y284" s="419"/>
      <c r="Z284" s="423"/>
      <c r="AA284" s="423"/>
      <c r="AB284" s="419"/>
      <c r="AC284" s="419"/>
      <c r="AD284" s="420"/>
      <c r="AE284" s="423"/>
      <c r="AF284" s="419"/>
      <c r="AG284" s="419"/>
      <c r="AH284" s="419"/>
      <c r="AI284" s="420"/>
      <c r="AJ284" s="423"/>
      <c r="AK284" s="419"/>
      <c r="AL284" s="420"/>
      <c r="AM284" s="419"/>
      <c r="AN284" s="420"/>
      <c r="AO284" s="423"/>
      <c r="AP284" s="419"/>
      <c r="AQ284" s="419"/>
      <c r="AR284" s="420"/>
      <c r="AS284" s="420"/>
      <c r="AT284" s="420"/>
      <c r="AU284" s="420"/>
      <c r="AV284" s="420"/>
      <c r="AW284" s="420"/>
      <c r="AX284" s="426"/>
      <c r="AY284" s="420"/>
      <c r="AZ284" s="420"/>
      <c r="BA284" s="420"/>
      <c r="BB284" s="419"/>
      <c r="BC284" s="420"/>
      <c r="BD284" s="427"/>
      <c r="BE284" s="420"/>
      <c r="BF284" s="420"/>
      <c r="BG284" s="420"/>
      <c r="BH284" s="423"/>
      <c r="BI284" s="420"/>
      <c r="BJ284" s="420"/>
      <c r="BK284" s="420"/>
      <c r="BL284" s="420"/>
      <c r="BM284" s="420"/>
      <c r="BN284" s="420"/>
      <c r="BO284" s="420"/>
      <c r="BP284" s="429"/>
      <c r="BQ284" s="420"/>
      <c r="BR284" s="423"/>
      <c r="BS284" s="423"/>
      <c r="BT284" s="420"/>
      <c r="BU284" s="420"/>
      <c r="BV284" s="420"/>
      <c r="BW284" s="420"/>
      <c r="BX284" s="429"/>
      <c r="BY284" s="419"/>
      <c r="BZ284" s="419"/>
      <c r="CA284" s="419"/>
      <c r="CB284" s="420"/>
      <c r="CC284" s="430"/>
      <c r="CD284" s="419"/>
      <c r="CE284" s="419"/>
      <c r="CF284" s="419"/>
      <c r="CG284" s="420"/>
      <c r="CH284" s="423"/>
      <c r="CI284" s="431"/>
      <c r="CJ284" s="431"/>
      <c r="CK284" s="431"/>
      <c r="CL284" s="420"/>
      <c r="CM284" s="423"/>
      <c r="CN284" s="420"/>
      <c r="CO284" s="420"/>
      <c r="CP284" s="420"/>
      <c r="CQ284" s="432"/>
      <c r="CR284" s="432"/>
      <c r="CS284" s="420"/>
      <c r="CT284" s="420"/>
      <c r="CU284" s="420"/>
      <c r="CV284" s="420"/>
      <c r="CW284" s="420"/>
      <c r="CX284" s="419"/>
      <c r="CY284" s="419"/>
      <c r="CZ284" s="419"/>
      <c r="DA284" s="419"/>
      <c r="DB284" s="419"/>
      <c r="DC284" s="419"/>
      <c r="DD284" s="419"/>
      <c r="DE284" s="419"/>
      <c r="DF284" s="420"/>
      <c r="DG284" s="421"/>
      <c r="DH284" s="419"/>
      <c r="DI284" s="419"/>
      <c r="DJ284" s="419"/>
      <c r="DK284" s="420"/>
      <c r="DL284" s="422"/>
      <c r="DM284" s="420"/>
      <c r="DN284" s="420"/>
      <c r="DO284" s="420"/>
      <c r="DP284" s="420"/>
      <c r="DQ284" s="420"/>
      <c r="DR284" s="419"/>
      <c r="DS284" s="419"/>
      <c r="DT284" s="419"/>
      <c r="DU284" s="420"/>
      <c r="DV284" s="423"/>
      <c r="DW284" s="419"/>
      <c r="DX284" s="419"/>
      <c r="DY284" s="419"/>
      <c r="DZ284" s="420"/>
      <c r="EA284" s="423"/>
      <c r="EB284" s="419"/>
      <c r="EC284" s="419"/>
      <c r="ED284" s="420"/>
      <c r="EE284" s="419"/>
      <c r="EF284" s="420"/>
      <c r="EG284" s="419"/>
      <c r="EH284" s="419"/>
      <c r="EI284" s="419"/>
      <c r="EJ284" s="420"/>
      <c r="EK284" s="420"/>
      <c r="EL284" s="419"/>
      <c r="EM284" s="419"/>
      <c r="EN284" s="419"/>
      <c r="EO284" s="419"/>
      <c r="EP284" s="419"/>
      <c r="EQ284" s="420"/>
      <c r="ER284" s="420"/>
      <c r="ES284" s="420"/>
      <c r="ET284" s="419"/>
      <c r="EU284" s="419"/>
      <c r="EV284" s="455"/>
      <c r="EW284" s="455"/>
      <c r="EX284" s="455"/>
      <c r="EY284" s="419"/>
      <c r="EZ284" s="419"/>
      <c r="FA284" s="420"/>
      <c r="FB284" s="420"/>
      <c r="FC284" s="420"/>
      <c r="FD284" s="420"/>
      <c r="FE284" s="420"/>
      <c r="FF284" s="419"/>
      <c r="FG284" s="420"/>
      <c r="FH284" s="419"/>
      <c r="FI284" s="419"/>
      <c r="FJ284" s="419"/>
      <c r="FK284" s="419"/>
      <c r="FL284" s="419"/>
      <c r="FM284" s="419"/>
      <c r="FN284" s="420"/>
      <c r="FO284" s="423"/>
      <c r="FP284" s="431">
        <v>40174737.850000001</v>
      </c>
      <c r="FQ284" s="431">
        <v>40174737.850000001</v>
      </c>
      <c r="FR284" s="431">
        <v>5222715.91</v>
      </c>
      <c r="FS284" s="420">
        <f t="shared" si="259"/>
        <v>40174737.770000003</v>
      </c>
      <c r="FT284" s="420">
        <f t="shared" si="260"/>
        <v>-7.9999998211860698E-2</v>
      </c>
      <c r="FU284" s="419"/>
      <c r="FV284" s="419"/>
      <c r="FW284" s="419"/>
      <c r="FX284" s="420">
        <f t="shared" si="255"/>
        <v>0</v>
      </c>
      <c r="FY284" s="420">
        <f t="shared" si="256"/>
        <v>0</v>
      </c>
      <c r="FZ284" s="419"/>
      <c r="GA284" s="419"/>
      <c r="GB284" s="419"/>
      <c r="GC284" s="420">
        <f t="shared" si="253"/>
        <v>0</v>
      </c>
      <c r="GD284" s="420">
        <f t="shared" si="254"/>
        <v>0</v>
      </c>
      <c r="GE284" s="419"/>
      <c r="GF284" s="419"/>
      <c r="GG284" s="419"/>
      <c r="GH284" s="420">
        <f t="shared" ref="GH284:GH349" si="261">GG284/F284</f>
        <v>0</v>
      </c>
      <c r="GI284" s="423">
        <f t="shared" ref="GI284:GI349" si="262">GH284-GE284</f>
        <v>0</v>
      </c>
      <c r="GJ284" s="419"/>
      <c r="GK284" s="419"/>
      <c r="GL284" s="419"/>
      <c r="GM284" s="420">
        <f t="shared" si="257"/>
        <v>0</v>
      </c>
      <c r="GN284" s="420">
        <f t="shared" si="258"/>
        <v>0</v>
      </c>
      <c r="GO284" s="419"/>
      <c r="GP284" s="419"/>
      <c r="GQ284" s="419"/>
      <c r="GR284" s="420">
        <f t="shared" si="249"/>
        <v>0</v>
      </c>
      <c r="GS284" s="423">
        <f t="shared" si="246"/>
        <v>0</v>
      </c>
      <c r="GT284" s="419"/>
      <c r="GU284" s="419"/>
      <c r="GV284" s="419"/>
      <c r="GW284" s="420">
        <f t="shared" si="247"/>
        <v>0</v>
      </c>
      <c r="GX284" s="420">
        <f t="shared" si="248"/>
        <v>0</v>
      </c>
    </row>
    <row r="285" spans="1:206" ht="15">
      <c r="A285" s="414"/>
      <c r="B285" s="415"/>
      <c r="C285" s="698"/>
      <c r="D285" s="467" t="s">
        <v>629</v>
      </c>
      <c r="E285" s="434" t="s">
        <v>604</v>
      </c>
      <c r="F285" s="417">
        <v>0.13</v>
      </c>
      <c r="G285" s="418">
        <f t="shared" si="244"/>
        <v>23126734.02</v>
      </c>
      <c r="H285" s="418">
        <f t="shared" si="245"/>
        <v>23126734.02</v>
      </c>
      <c r="I285" s="418">
        <f t="shared" si="245"/>
        <v>3006475.43</v>
      </c>
      <c r="J285" s="418">
        <f t="shared" si="252"/>
        <v>23126734.076923098</v>
      </c>
      <c r="K285" s="418">
        <f t="shared" si="250"/>
        <v>5.6923069059848799E-2</v>
      </c>
      <c r="L285" s="418">
        <f t="shared" si="218"/>
        <v>5.6923069059848799E-2</v>
      </c>
      <c r="M285" s="424"/>
      <c r="N285" s="424"/>
      <c r="O285" s="424"/>
      <c r="P285" s="424"/>
      <c r="Q285" s="419"/>
      <c r="R285" s="419"/>
      <c r="S285" s="419"/>
      <c r="T285" s="420"/>
      <c r="U285" s="423"/>
      <c r="V285" s="420"/>
      <c r="W285" s="420"/>
      <c r="X285" s="419"/>
      <c r="Y285" s="419"/>
      <c r="Z285" s="423"/>
      <c r="AA285" s="423"/>
      <c r="AB285" s="419"/>
      <c r="AC285" s="419"/>
      <c r="AD285" s="420"/>
      <c r="AE285" s="423"/>
      <c r="AF285" s="419"/>
      <c r="AG285" s="419"/>
      <c r="AH285" s="419"/>
      <c r="AI285" s="420"/>
      <c r="AJ285" s="423"/>
      <c r="AK285" s="419"/>
      <c r="AL285" s="420"/>
      <c r="AM285" s="419"/>
      <c r="AN285" s="420"/>
      <c r="AO285" s="423"/>
      <c r="AP285" s="419"/>
      <c r="AQ285" s="419"/>
      <c r="AR285" s="420"/>
      <c r="AS285" s="420"/>
      <c r="AT285" s="420"/>
      <c r="AU285" s="420"/>
      <c r="AV285" s="420"/>
      <c r="AW285" s="420"/>
      <c r="AX285" s="426"/>
      <c r="AY285" s="420"/>
      <c r="AZ285" s="420"/>
      <c r="BA285" s="420"/>
      <c r="BB285" s="419"/>
      <c r="BC285" s="420"/>
      <c r="BD285" s="427"/>
      <c r="BE285" s="420"/>
      <c r="BF285" s="420"/>
      <c r="BG285" s="420"/>
      <c r="BH285" s="423"/>
      <c r="BI285" s="420"/>
      <c r="BJ285" s="420"/>
      <c r="BK285" s="420"/>
      <c r="BL285" s="420"/>
      <c r="BM285" s="420"/>
      <c r="BN285" s="420"/>
      <c r="BO285" s="420"/>
      <c r="BP285" s="429"/>
      <c r="BQ285" s="420"/>
      <c r="BR285" s="423"/>
      <c r="BS285" s="423"/>
      <c r="BT285" s="420"/>
      <c r="BU285" s="420"/>
      <c r="BV285" s="420"/>
      <c r="BW285" s="420"/>
      <c r="BX285" s="429"/>
      <c r="BY285" s="419"/>
      <c r="BZ285" s="419"/>
      <c r="CA285" s="419"/>
      <c r="CB285" s="420"/>
      <c r="CC285" s="430"/>
      <c r="CD285" s="419"/>
      <c r="CE285" s="419"/>
      <c r="CF285" s="419"/>
      <c r="CG285" s="420"/>
      <c r="CH285" s="423"/>
      <c r="CI285" s="431"/>
      <c r="CJ285" s="431"/>
      <c r="CK285" s="431"/>
      <c r="CL285" s="420"/>
      <c r="CM285" s="423"/>
      <c r="CN285" s="420"/>
      <c r="CO285" s="420"/>
      <c r="CP285" s="420"/>
      <c r="CQ285" s="432"/>
      <c r="CR285" s="432"/>
      <c r="CS285" s="420"/>
      <c r="CT285" s="420"/>
      <c r="CU285" s="420"/>
      <c r="CV285" s="420"/>
      <c r="CW285" s="420"/>
      <c r="CX285" s="419"/>
      <c r="CY285" s="419"/>
      <c r="CZ285" s="419"/>
      <c r="DA285" s="419"/>
      <c r="DB285" s="419"/>
      <c r="DC285" s="419"/>
      <c r="DD285" s="419"/>
      <c r="DE285" s="419"/>
      <c r="DF285" s="420"/>
      <c r="DG285" s="421"/>
      <c r="DH285" s="419"/>
      <c r="DI285" s="419"/>
      <c r="DJ285" s="419"/>
      <c r="DK285" s="420"/>
      <c r="DL285" s="422"/>
      <c r="DM285" s="420"/>
      <c r="DN285" s="420"/>
      <c r="DO285" s="420"/>
      <c r="DP285" s="420"/>
      <c r="DQ285" s="420"/>
      <c r="DR285" s="419"/>
      <c r="DS285" s="419"/>
      <c r="DT285" s="419"/>
      <c r="DU285" s="420"/>
      <c r="DV285" s="423"/>
      <c r="DW285" s="419"/>
      <c r="DX285" s="419"/>
      <c r="DY285" s="419"/>
      <c r="DZ285" s="420"/>
      <c r="EA285" s="423"/>
      <c r="EB285" s="419"/>
      <c r="EC285" s="419"/>
      <c r="ED285" s="420"/>
      <c r="EE285" s="419"/>
      <c r="EF285" s="420"/>
      <c r="EG285" s="419"/>
      <c r="EH285" s="419"/>
      <c r="EI285" s="419"/>
      <c r="EJ285" s="420"/>
      <c r="EK285" s="420"/>
      <c r="EL285" s="419"/>
      <c r="EM285" s="419"/>
      <c r="EN285" s="419"/>
      <c r="EO285" s="419"/>
      <c r="EP285" s="419"/>
      <c r="EQ285" s="420"/>
      <c r="ER285" s="420"/>
      <c r="ES285" s="420"/>
      <c r="ET285" s="419"/>
      <c r="EU285" s="419"/>
      <c r="EV285" s="455"/>
      <c r="EW285" s="455"/>
      <c r="EX285" s="455"/>
      <c r="EY285" s="419"/>
      <c r="EZ285" s="419"/>
      <c r="FA285" s="420"/>
      <c r="FB285" s="420"/>
      <c r="FC285" s="420"/>
      <c r="FD285" s="420"/>
      <c r="FE285" s="420"/>
      <c r="FF285" s="419"/>
      <c r="FG285" s="420"/>
      <c r="FH285" s="419"/>
      <c r="FI285" s="419"/>
      <c r="FJ285" s="419"/>
      <c r="FK285" s="419"/>
      <c r="FL285" s="419"/>
      <c r="FM285" s="419"/>
      <c r="FN285" s="420"/>
      <c r="FO285" s="423"/>
      <c r="FP285" s="431">
        <v>18714312.600000001</v>
      </c>
      <c r="FQ285" s="431">
        <v>18714312.600000001</v>
      </c>
      <c r="FR285" s="431">
        <v>2432860.65</v>
      </c>
      <c r="FS285" s="420">
        <f t="shared" si="259"/>
        <v>18714312.690000001</v>
      </c>
      <c r="FT285" s="420">
        <f t="shared" si="260"/>
        <v>8.9999999850988402E-2</v>
      </c>
      <c r="FU285" s="419">
        <v>4412421.42</v>
      </c>
      <c r="FV285" s="420">
        <v>4412421.42</v>
      </c>
      <c r="FW285" s="419">
        <v>573614.78</v>
      </c>
      <c r="FX285" s="420">
        <f t="shared" si="255"/>
        <v>4412421.38</v>
      </c>
      <c r="FY285" s="420">
        <f t="shared" si="256"/>
        <v>-4.0000000037252903E-2</v>
      </c>
      <c r="FZ285" s="419"/>
      <c r="GA285" s="419"/>
      <c r="GB285" s="419"/>
      <c r="GC285" s="420">
        <f t="shared" si="253"/>
        <v>0</v>
      </c>
      <c r="GD285" s="420">
        <f t="shared" si="254"/>
        <v>0</v>
      </c>
      <c r="GE285" s="419"/>
      <c r="GF285" s="419"/>
      <c r="GG285" s="419"/>
      <c r="GH285" s="420">
        <f t="shared" si="261"/>
        <v>0</v>
      </c>
      <c r="GI285" s="423">
        <f t="shared" si="262"/>
        <v>0</v>
      </c>
      <c r="GJ285" s="419"/>
      <c r="GK285" s="419"/>
      <c r="GL285" s="419"/>
      <c r="GM285" s="420">
        <f t="shared" si="257"/>
        <v>0</v>
      </c>
      <c r="GN285" s="420">
        <f t="shared" si="258"/>
        <v>0</v>
      </c>
      <c r="GO285" s="419"/>
      <c r="GP285" s="419"/>
      <c r="GQ285" s="419"/>
      <c r="GR285" s="420">
        <f t="shared" si="249"/>
        <v>0</v>
      </c>
      <c r="GS285" s="423">
        <f t="shared" si="246"/>
        <v>0</v>
      </c>
      <c r="GT285" s="419"/>
      <c r="GU285" s="419"/>
      <c r="GV285" s="419"/>
      <c r="GW285" s="420">
        <f t="shared" si="247"/>
        <v>0</v>
      </c>
      <c r="GX285" s="420">
        <f t="shared" si="248"/>
        <v>0</v>
      </c>
    </row>
    <row r="286" spans="1:206" ht="15">
      <c r="A286" s="414"/>
      <c r="B286" s="415"/>
      <c r="C286" s="698"/>
      <c r="D286" s="467" t="s">
        <v>630</v>
      </c>
      <c r="E286" s="434" t="s">
        <v>604</v>
      </c>
      <c r="F286" s="417">
        <v>0.13</v>
      </c>
      <c r="G286" s="418">
        <f t="shared" si="244"/>
        <v>22283153.969999999</v>
      </c>
      <c r="H286" s="418">
        <f t="shared" si="245"/>
        <v>59386312.850000001</v>
      </c>
      <c r="I286" s="418">
        <f t="shared" si="245"/>
        <v>2896809.96</v>
      </c>
      <c r="J286" s="418">
        <f t="shared" si="252"/>
        <v>22283153.538461599</v>
      </c>
      <c r="K286" s="418">
        <f t="shared" si="250"/>
        <v>-37103159.311538503</v>
      </c>
      <c r="L286" s="418">
        <f t="shared" si="218"/>
        <v>-0.43153845146298397</v>
      </c>
      <c r="M286" s="424"/>
      <c r="N286" s="424"/>
      <c r="O286" s="424"/>
      <c r="P286" s="424"/>
      <c r="Q286" s="419"/>
      <c r="R286" s="419"/>
      <c r="S286" s="419"/>
      <c r="T286" s="420"/>
      <c r="U286" s="423"/>
      <c r="V286" s="420"/>
      <c r="W286" s="420"/>
      <c r="X286" s="419"/>
      <c r="Y286" s="419"/>
      <c r="Z286" s="423"/>
      <c r="AA286" s="423"/>
      <c r="AB286" s="419"/>
      <c r="AC286" s="419"/>
      <c r="AD286" s="420"/>
      <c r="AE286" s="423"/>
      <c r="AF286" s="419"/>
      <c r="AG286" s="419"/>
      <c r="AH286" s="419"/>
      <c r="AI286" s="420"/>
      <c r="AJ286" s="423"/>
      <c r="AK286" s="419"/>
      <c r="AL286" s="420"/>
      <c r="AM286" s="419"/>
      <c r="AN286" s="420"/>
      <c r="AO286" s="423"/>
      <c r="AP286" s="419"/>
      <c r="AQ286" s="419"/>
      <c r="AR286" s="420"/>
      <c r="AS286" s="420"/>
      <c r="AT286" s="420"/>
      <c r="AU286" s="420"/>
      <c r="AV286" s="420"/>
      <c r="AW286" s="420"/>
      <c r="AX286" s="426"/>
      <c r="AY286" s="420"/>
      <c r="AZ286" s="420"/>
      <c r="BA286" s="420"/>
      <c r="BB286" s="419"/>
      <c r="BC286" s="420"/>
      <c r="BD286" s="427"/>
      <c r="BE286" s="420"/>
      <c r="BF286" s="420"/>
      <c r="BG286" s="420"/>
      <c r="BH286" s="423"/>
      <c r="BI286" s="420"/>
      <c r="BJ286" s="420"/>
      <c r="BK286" s="420"/>
      <c r="BL286" s="420"/>
      <c r="BM286" s="420"/>
      <c r="BN286" s="420"/>
      <c r="BO286" s="420"/>
      <c r="BP286" s="429"/>
      <c r="BQ286" s="420"/>
      <c r="BR286" s="423"/>
      <c r="BS286" s="423"/>
      <c r="BT286" s="420"/>
      <c r="BU286" s="420"/>
      <c r="BV286" s="420"/>
      <c r="BW286" s="420"/>
      <c r="BX286" s="429"/>
      <c r="BY286" s="419"/>
      <c r="BZ286" s="419"/>
      <c r="CA286" s="419"/>
      <c r="CB286" s="420"/>
      <c r="CC286" s="430"/>
      <c r="CD286" s="419"/>
      <c r="CE286" s="419"/>
      <c r="CF286" s="419"/>
      <c r="CG286" s="420"/>
      <c r="CH286" s="423"/>
      <c r="CI286" s="431"/>
      <c r="CJ286" s="431"/>
      <c r="CK286" s="431"/>
      <c r="CL286" s="420"/>
      <c r="CM286" s="423"/>
      <c r="CN286" s="420"/>
      <c r="CO286" s="420"/>
      <c r="CP286" s="420"/>
      <c r="CQ286" s="432"/>
      <c r="CR286" s="432"/>
      <c r="CS286" s="420"/>
      <c r="CT286" s="420"/>
      <c r="CU286" s="420"/>
      <c r="CV286" s="420"/>
      <c r="CW286" s="420"/>
      <c r="CX286" s="419"/>
      <c r="CY286" s="419"/>
      <c r="CZ286" s="419"/>
      <c r="DA286" s="419"/>
      <c r="DB286" s="419"/>
      <c r="DC286" s="419"/>
      <c r="DD286" s="419"/>
      <c r="DE286" s="419"/>
      <c r="DF286" s="420"/>
      <c r="DG286" s="421"/>
      <c r="DH286" s="419"/>
      <c r="DI286" s="419"/>
      <c r="DJ286" s="419"/>
      <c r="DK286" s="420"/>
      <c r="DL286" s="422"/>
      <c r="DM286" s="420"/>
      <c r="DN286" s="420"/>
      <c r="DO286" s="420"/>
      <c r="DP286" s="420"/>
      <c r="DQ286" s="420"/>
      <c r="DR286" s="419"/>
      <c r="DS286" s="419"/>
      <c r="DT286" s="419"/>
      <c r="DU286" s="420"/>
      <c r="DV286" s="423"/>
      <c r="DW286" s="419"/>
      <c r="DX286" s="419"/>
      <c r="DY286" s="419"/>
      <c r="DZ286" s="420"/>
      <c r="EA286" s="423"/>
      <c r="EB286" s="419"/>
      <c r="EC286" s="419"/>
      <c r="ED286" s="420"/>
      <c r="EE286" s="419"/>
      <c r="EF286" s="420"/>
      <c r="EG286" s="419"/>
      <c r="EH286" s="419"/>
      <c r="EI286" s="419"/>
      <c r="EJ286" s="420"/>
      <c r="EK286" s="420"/>
      <c r="EL286" s="419"/>
      <c r="EM286" s="419"/>
      <c r="EN286" s="419"/>
      <c r="EO286" s="419"/>
      <c r="EP286" s="419"/>
      <c r="EQ286" s="420"/>
      <c r="ER286" s="420"/>
      <c r="ES286" s="420"/>
      <c r="ET286" s="419"/>
      <c r="EU286" s="419"/>
      <c r="EV286" s="455"/>
      <c r="EW286" s="455"/>
      <c r="EX286" s="455"/>
      <c r="EY286" s="419"/>
      <c r="EZ286" s="419"/>
      <c r="FA286" s="420"/>
      <c r="FB286" s="420"/>
      <c r="FC286" s="420"/>
      <c r="FD286" s="420"/>
      <c r="FE286" s="420"/>
      <c r="FF286" s="419"/>
      <c r="FG286" s="420"/>
      <c r="FH286" s="419"/>
      <c r="FI286" s="419"/>
      <c r="FJ286" s="419"/>
      <c r="FK286" s="419"/>
      <c r="FL286" s="419"/>
      <c r="FM286" s="419"/>
      <c r="FN286" s="420"/>
      <c r="FO286" s="423"/>
      <c r="FP286" s="431">
        <v>22283153.947964601</v>
      </c>
      <c r="FQ286" s="431">
        <v>17963553.239999998</v>
      </c>
      <c r="FR286" s="431">
        <v>2896809.9820353999</v>
      </c>
      <c r="FS286" s="420">
        <f t="shared" si="259"/>
        <v>22283153.710000001</v>
      </c>
      <c r="FT286" s="420">
        <f t="shared" si="260"/>
        <v>-0.23796460032463099</v>
      </c>
      <c r="FU286" s="419"/>
      <c r="FV286" s="420">
        <v>37103158.880000003</v>
      </c>
      <c r="FW286" s="419"/>
      <c r="FX286" s="420">
        <f t="shared" si="255"/>
        <v>0</v>
      </c>
      <c r="FY286" s="420">
        <f t="shared" si="256"/>
        <v>0</v>
      </c>
      <c r="FZ286" s="420">
        <v>2.2035400383174399E-2</v>
      </c>
      <c r="GA286" s="419">
        <v>4319600.7300000004</v>
      </c>
      <c r="GB286" s="420">
        <v>-2.2035398054868E-2</v>
      </c>
      <c r="GC286" s="420">
        <f t="shared" si="253"/>
        <v>-0.17</v>
      </c>
      <c r="GD286" s="420">
        <f t="shared" si="254"/>
        <v>-0.19203540038317399</v>
      </c>
      <c r="GE286" s="419"/>
      <c r="GF286" s="419"/>
      <c r="GG286" s="419"/>
      <c r="GH286" s="420">
        <f t="shared" si="261"/>
        <v>0</v>
      </c>
      <c r="GI286" s="423">
        <f t="shared" si="262"/>
        <v>0</v>
      </c>
      <c r="GJ286" s="419"/>
      <c r="GK286" s="419"/>
      <c r="GL286" s="419"/>
      <c r="GM286" s="420">
        <f t="shared" si="257"/>
        <v>0</v>
      </c>
      <c r="GN286" s="420">
        <f t="shared" si="258"/>
        <v>0</v>
      </c>
      <c r="GO286" s="419"/>
      <c r="GP286" s="419"/>
      <c r="GQ286" s="419"/>
      <c r="GR286" s="420">
        <f t="shared" si="249"/>
        <v>0</v>
      </c>
      <c r="GS286" s="423">
        <f t="shared" si="246"/>
        <v>0</v>
      </c>
      <c r="GT286" s="419"/>
      <c r="GU286" s="419"/>
      <c r="GV286" s="419"/>
      <c r="GW286" s="420">
        <f t="shared" si="247"/>
        <v>0</v>
      </c>
      <c r="GX286" s="420">
        <f t="shared" si="248"/>
        <v>0</v>
      </c>
    </row>
    <row r="287" spans="1:206" ht="15">
      <c r="A287" s="414"/>
      <c r="B287" s="415"/>
      <c r="C287" s="698"/>
      <c r="D287" s="467" t="s">
        <v>631</v>
      </c>
      <c r="E287" s="434" t="s">
        <v>604</v>
      </c>
      <c r="F287" s="417">
        <v>0.13</v>
      </c>
      <c r="G287" s="418">
        <f t="shared" si="244"/>
        <v>4412421.4159292001</v>
      </c>
      <c r="H287" s="418">
        <f t="shared" si="245"/>
        <v>0</v>
      </c>
      <c r="I287" s="418">
        <f t="shared" si="245"/>
        <v>573614.78407079598</v>
      </c>
      <c r="J287" s="418">
        <f t="shared" si="252"/>
        <v>4412421.4159292001</v>
      </c>
      <c r="K287" s="418">
        <f t="shared" si="250"/>
        <v>4412421.4159292001</v>
      </c>
      <c r="L287" s="418">
        <f t="shared" si="218"/>
        <v>0</v>
      </c>
      <c r="M287" s="424"/>
      <c r="N287" s="424"/>
      <c r="O287" s="424"/>
      <c r="P287" s="424"/>
      <c r="Q287" s="419"/>
      <c r="R287" s="419"/>
      <c r="S287" s="419"/>
      <c r="T287" s="420"/>
      <c r="U287" s="423"/>
      <c r="V287" s="420"/>
      <c r="W287" s="420"/>
      <c r="X287" s="419"/>
      <c r="Y287" s="419"/>
      <c r="Z287" s="423"/>
      <c r="AA287" s="423"/>
      <c r="AB287" s="419"/>
      <c r="AC287" s="419"/>
      <c r="AD287" s="420"/>
      <c r="AE287" s="423"/>
      <c r="AF287" s="419"/>
      <c r="AG287" s="419"/>
      <c r="AH287" s="419"/>
      <c r="AI287" s="420"/>
      <c r="AJ287" s="423"/>
      <c r="AK287" s="419"/>
      <c r="AL287" s="420"/>
      <c r="AM287" s="419"/>
      <c r="AN287" s="420"/>
      <c r="AO287" s="423"/>
      <c r="AP287" s="419"/>
      <c r="AQ287" s="419"/>
      <c r="AR287" s="420"/>
      <c r="AS287" s="420"/>
      <c r="AT287" s="420"/>
      <c r="AU287" s="420"/>
      <c r="AV287" s="420"/>
      <c r="AW287" s="420"/>
      <c r="AX287" s="426"/>
      <c r="AY287" s="420"/>
      <c r="AZ287" s="420"/>
      <c r="BA287" s="420"/>
      <c r="BB287" s="419"/>
      <c r="BC287" s="420"/>
      <c r="BD287" s="427"/>
      <c r="BE287" s="420"/>
      <c r="BF287" s="420"/>
      <c r="BG287" s="420"/>
      <c r="BH287" s="423"/>
      <c r="BI287" s="420"/>
      <c r="BJ287" s="420"/>
      <c r="BK287" s="420"/>
      <c r="BL287" s="420"/>
      <c r="BM287" s="420"/>
      <c r="BN287" s="420"/>
      <c r="BO287" s="420"/>
      <c r="BP287" s="429"/>
      <c r="BQ287" s="420"/>
      <c r="BR287" s="423"/>
      <c r="BS287" s="423"/>
      <c r="BT287" s="420"/>
      <c r="BU287" s="420"/>
      <c r="BV287" s="420"/>
      <c r="BW287" s="420"/>
      <c r="BX287" s="429"/>
      <c r="BY287" s="419"/>
      <c r="BZ287" s="419"/>
      <c r="CA287" s="419"/>
      <c r="CB287" s="420"/>
      <c r="CC287" s="430"/>
      <c r="CD287" s="419"/>
      <c r="CE287" s="419"/>
      <c r="CF287" s="419"/>
      <c r="CG287" s="420"/>
      <c r="CH287" s="423"/>
      <c r="CI287" s="431"/>
      <c r="CJ287" s="431"/>
      <c r="CK287" s="431"/>
      <c r="CL287" s="420"/>
      <c r="CM287" s="423"/>
      <c r="CN287" s="420"/>
      <c r="CO287" s="420"/>
      <c r="CP287" s="420"/>
      <c r="CQ287" s="432"/>
      <c r="CR287" s="432"/>
      <c r="CS287" s="420"/>
      <c r="CT287" s="420"/>
      <c r="CU287" s="420"/>
      <c r="CV287" s="420"/>
      <c r="CW287" s="420"/>
      <c r="CX287" s="419"/>
      <c r="CY287" s="419"/>
      <c r="CZ287" s="419"/>
      <c r="DA287" s="419"/>
      <c r="DB287" s="419"/>
      <c r="DC287" s="419"/>
      <c r="DD287" s="419"/>
      <c r="DE287" s="419"/>
      <c r="DF287" s="420"/>
      <c r="DG287" s="421"/>
      <c r="DH287" s="419"/>
      <c r="DI287" s="419"/>
      <c r="DJ287" s="419"/>
      <c r="DK287" s="420"/>
      <c r="DL287" s="422"/>
      <c r="DM287" s="420"/>
      <c r="DN287" s="420"/>
      <c r="DO287" s="420"/>
      <c r="DP287" s="420"/>
      <c r="DQ287" s="420"/>
      <c r="DR287" s="419"/>
      <c r="DS287" s="419"/>
      <c r="DT287" s="419"/>
      <c r="DU287" s="420"/>
      <c r="DV287" s="423"/>
      <c r="DW287" s="419"/>
      <c r="DX287" s="419"/>
      <c r="DY287" s="419"/>
      <c r="DZ287" s="420"/>
      <c r="EA287" s="423"/>
      <c r="EB287" s="419"/>
      <c r="EC287" s="419"/>
      <c r="ED287" s="420"/>
      <c r="EE287" s="419"/>
      <c r="EF287" s="420"/>
      <c r="EG287" s="419"/>
      <c r="EH287" s="419"/>
      <c r="EI287" s="419"/>
      <c r="EJ287" s="420"/>
      <c r="EK287" s="420"/>
      <c r="EL287" s="419"/>
      <c r="EM287" s="419"/>
      <c r="EN287" s="419"/>
      <c r="EO287" s="419"/>
      <c r="EP287" s="419"/>
      <c r="EQ287" s="420"/>
      <c r="ER287" s="420"/>
      <c r="ES287" s="420"/>
      <c r="ET287" s="419"/>
      <c r="EU287" s="419"/>
      <c r="EV287" s="455"/>
      <c r="EW287" s="455"/>
      <c r="EX287" s="455"/>
      <c r="EY287" s="419"/>
      <c r="EZ287" s="419"/>
      <c r="FA287" s="420"/>
      <c r="FB287" s="420"/>
      <c r="FC287" s="420"/>
      <c r="FD287" s="420"/>
      <c r="FE287" s="420"/>
      <c r="FF287" s="419"/>
      <c r="FG287" s="420"/>
      <c r="FH287" s="419"/>
      <c r="FI287" s="419"/>
      <c r="FJ287" s="419"/>
      <c r="FK287" s="419"/>
      <c r="FL287" s="419"/>
      <c r="FM287" s="419"/>
      <c r="FN287" s="420"/>
      <c r="FO287" s="423"/>
      <c r="FP287" s="431">
        <v>4412421.4159292001</v>
      </c>
      <c r="FQ287" s="431">
        <v>0</v>
      </c>
      <c r="FR287" s="431">
        <v>573614.78407079598</v>
      </c>
      <c r="FS287" s="420">
        <f t="shared" si="259"/>
        <v>4412421.42</v>
      </c>
      <c r="FT287" s="420">
        <f t="shared" si="260"/>
        <v>4.0707997977733603E-3</v>
      </c>
      <c r="FU287" s="419"/>
      <c r="FV287" s="419"/>
      <c r="FW287" s="419"/>
      <c r="FX287" s="420">
        <f t="shared" si="255"/>
        <v>0</v>
      </c>
      <c r="FY287" s="420">
        <f t="shared" si="256"/>
        <v>0</v>
      </c>
      <c r="FZ287" s="419"/>
      <c r="GA287" s="419"/>
      <c r="GB287" s="419"/>
      <c r="GC287" s="420">
        <f t="shared" si="253"/>
        <v>0</v>
      </c>
      <c r="GD287" s="420">
        <f t="shared" si="254"/>
        <v>0</v>
      </c>
      <c r="GE287" s="419"/>
      <c r="GF287" s="419"/>
      <c r="GG287" s="419"/>
      <c r="GH287" s="420">
        <f t="shared" si="261"/>
        <v>0</v>
      </c>
      <c r="GI287" s="423">
        <f t="shared" si="262"/>
        <v>0</v>
      </c>
      <c r="GJ287" s="419"/>
      <c r="GK287" s="419"/>
      <c r="GL287" s="419"/>
      <c r="GM287" s="420">
        <f t="shared" si="257"/>
        <v>0</v>
      </c>
      <c r="GN287" s="420">
        <f t="shared" si="258"/>
        <v>0</v>
      </c>
      <c r="GO287" s="419"/>
      <c r="GP287" s="419"/>
      <c r="GQ287" s="419"/>
      <c r="GR287" s="420">
        <f t="shared" si="249"/>
        <v>0</v>
      </c>
      <c r="GS287" s="423">
        <f t="shared" si="246"/>
        <v>0</v>
      </c>
      <c r="GT287" s="419"/>
      <c r="GU287" s="419"/>
      <c r="GV287" s="419"/>
      <c r="GW287" s="420">
        <f t="shared" si="247"/>
        <v>0</v>
      </c>
      <c r="GX287" s="420">
        <f t="shared" si="248"/>
        <v>0</v>
      </c>
    </row>
    <row r="288" spans="1:206" ht="15">
      <c r="A288" s="414"/>
      <c r="B288" s="415"/>
      <c r="C288" s="698"/>
      <c r="D288" s="467" t="s">
        <v>632</v>
      </c>
      <c r="E288" s="434" t="s">
        <v>604</v>
      </c>
      <c r="F288" s="417">
        <v>0.13</v>
      </c>
      <c r="G288" s="418">
        <f t="shared" si="244"/>
        <v>399070.8</v>
      </c>
      <c r="H288" s="418">
        <f t="shared" si="245"/>
        <v>0</v>
      </c>
      <c r="I288" s="418">
        <f t="shared" si="245"/>
        <v>51879.199999999997</v>
      </c>
      <c r="J288" s="418">
        <f t="shared" si="252"/>
        <v>399070.76923076902</v>
      </c>
      <c r="K288" s="418">
        <f t="shared" si="250"/>
        <v>399070.76923076902</v>
      </c>
      <c r="L288" s="418">
        <f t="shared" si="218"/>
        <v>-3.07692307978868E-2</v>
      </c>
      <c r="M288" s="424"/>
      <c r="N288" s="424"/>
      <c r="O288" s="424"/>
      <c r="P288" s="424"/>
      <c r="Q288" s="419"/>
      <c r="R288" s="419"/>
      <c r="S288" s="419"/>
      <c r="T288" s="420"/>
      <c r="U288" s="423"/>
      <c r="V288" s="420"/>
      <c r="W288" s="420"/>
      <c r="X288" s="419"/>
      <c r="Y288" s="419"/>
      <c r="Z288" s="423"/>
      <c r="AA288" s="423"/>
      <c r="AB288" s="419"/>
      <c r="AC288" s="419"/>
      <c r="AD288" s="420"/>
      <c r="AE288" s="423"/>
      <c r="AF288" s="419"/>
      <c r="AG288" s="419"/>
      <c r="AH288" s="419"/>
      <c r="AI288" s="420"/>
      <c r="AJ288" s="423"/>
      <c r="AK288" s="419"/>
      <c r="AL288" s="420"/>
      <c r="AM288" s="419"/>
      <c r="AN288" s="420"/>
      <c r="AO288" s="423"/>
      <c r="AP288" s="419"/>
      <c r="AQ288" s="419"/>
      <c r="AR288" s="420"/>
      <c r="AS288" s="420"/>
      <c r="AT288" s="420"/>
      <c r="AU288" s="420"/>
      <c r="AV288" s="420"/>
      <c r="AW288" s="420"/>
      <c r="AX288" s="426"/>
      <c r="AY288" s="420"/>
      <c r="AZ288" s="420"/>
      <c r="BA288" s="420"/>
      <c r="BB288" s="419"/>
      <c r="BC288" s="420"/>
      <c r="BD288" s="427"/>
      <c r="BE288" s="420"/>
      <c r="BF288" s="420"/>
      <c r="BG288" s="420"/>
      <c r="BH288" s="423"/>
      <c r="BI288" s="420"/>
      <c r="BJ288" s="420"/>
      <c r="BK288" s="420"/>
      <c r="BL288" s="420"/>
      <c r="BM288" s="420"/>
      <c r="BN288" s="420"/>
      <c r="BO288" s="420"/>
      <c r="BP288" s="429"/>
      <c r="BQ288" s="420"/>
      <c r="BR288" s="423"/>
      <c r="BS288" s="423"/>
      <c r="BT288" s="420"/>
      <c r="BU288" s="420"/>
      <c r="BV288" s="420"/>
      <c r="BW288" s="420"/>
      <c r="BX288" s="429"/>
      <c r="BY288" s="419"/>
      <c r="BZ288" s="419"/>
      <c r="CA288" s="419"/>
      <c r="CB288" s="420"/>
      <c r="CC288" s="430"/>
      <c r="CD288" s="419"/>
      <c r="CE288" s="419"/>
      <c r="CF288" s="419"/>
      <c r="CG288" s="420"/>
      <c r="CH288" s="423"/>
      <c r="CI288" s="431"/>
      <c r="CJ288" s="431"/>
      <c r="CK288" s="431"/>
      <c r="CL288" s="420"/>
      <c r="CM288" s="423"/>
      <c r="CN288" s="420"/>
      <c r="CO288" s="420"/>
      <c r="CP288" s="420"/>
      <c r="CQ288" s="432"/>
      <c r="CR288" s="432"/>
      <c r="CS288" s="420"/>
      <c r="CT288" s="420"/>
      <c r="CU288" s="420"/>
      <c r="CV288" s="420"/>
      <c r="CW288" s="420"/>
      <c r="CX288" s="419"/>
      <c r="CY288" s="419"/>
      <c r="CZ288" s="419"/>
      <c r="DA288" s="419"/>
      <c r="DB288" s="419"/>
      <c r="DC288" s="419"/>
      <c r="DD288" s="419"/>
      <c r="DE288" s="419"/>
      <c r="DF288" s="420"/>
      <c r="DG288" s="421"/>
      <c r="DH288" s="419"/>
      <c r="DI288" s="419"/>
      <c r="DJ288" s="419"/>
      <c r="DK288" s="420"/>
      <c r="DL288" s="422"/>
      <c r="DM288" s="420"/>
      <c r="DN288" s="420"/>
      <c r="DO288" s="420"/>
      <c r="DP288" s="420"/>
      <c r="DQ288" s="420"/>
      <c r="DR288" s="419"/>
      <c r="DS288" s="419"/>
      <c r="DT288" s="419"/>
      <c r="DU288" s="420"/>
      <c r="DV288" s="423"/>
      <c r="DW288" s="419"/>
      <c r="DX288" s="419"/>
      <c r="DY288" s="419"/>
      <c r="DZ288" s="420"/>
      <c r="EA288" s="423"/>
      <c r="EB288" s="419"/>
      <c r="EC288" s="419"/>
      <c r="ED288" s="420"/>
      <c r="EE288" s="419"/>
      <c r="EF288" s="420"/>
      <c r="EG288" s="419"/>
      <c r="EH288" s="419"/>
      <c r="EI288" s="419"/>
      <c r="EJ288" s="420"/>
      <c r="EK288" s="420"/>
      <c r="EL288" s="419"/>
      <c r="EM288" s="419"/>
      <c r="EN288" s="419"/>
      <c r="EO288" s="419"/>
      <c r="EP288" s="419"/>
      <c r="EQ288" s="420"/>
      <c r="ER288" s="420"/>
      <c r="ES288" s="420"/>
      <c r="ET288" s="419"/>
      <c r="EU288" s="419"/>
      <c r="EV288" s="455"/>
      <c r="EW288" s="455"/>
      <c r="EX288" s="455"/>
      <c r="EY288" s="419"/>
      <c r="EZ288" s="419"/>
      <c r="FA288" s="420"/>
      <c r="FB288" s="420"/>
      <c r="FC288" s="420"/>
      <c r="FD288" s="420"/>
      <c r="FE288" s="420"/>
      <c r="FF288" s="419"/>
      <c r="FG288" s="420"/>
      <c r="FH288" s="419"/>
      <c r="FI288" s="419"/>
      <c r="FJ288" s="419"/>
      <c r="FK288" s="419"/>
      <c r="FL288" s="419"/>
      <c r="FM288" s="419"/>
      <c r="FN288" s="420"/>
      <c r="FO288" s="423"/>
      <c r="FP288" s="431">
        <v>399070.8</v>
      </c>
      <c r="FQ288" s="431">
        <v>0</v>
      </c>
      <c r="FR288" s="431">
        <v>51879.199999999997</v>
      </c>
      <c r="FS288" s="420">
        <f t="shared" si="259"/>
        <v>399070.77</v>
      </c>
      <c r="FT288" s="420">
        <f t="shared" si="260"/>
        <v>-2.9999999969731999E-2</v>
      </c>
      <c r="FU288" s="419"/>
      <c r="FV288" s="419"/>
      <c r="FW288" s="419"/>
      <c r="FX288" s="420">
        <f t="shared" si="255"/>
        <v>0</v>
      </c>
      <c r="FY288" s="420">
        <f t="shared" si="256"/>
        <v>0</v>
      </c>
      <c r="FZ288" s="419"/>
      <c r="GA288" s="419"/>
      <c r="GB288" s="419"/>
      <c r="GC288" s="420">
        <f t="shared" si="253"/>
        <v>0</v>
      </c>
      <c r="GD288" s="420">
        <f t="shared" si="254"/>
        <v>0</v>
      </c>
      <c r="GE288" s="419"/>
      <c r="GF288" s="419"/>
      <c r="GG288" s="419"/>
      <c r="GH288" s="420">
        <f t="shared" si="261"/>
        <v>0</v>
      </c>
      <c r="GI288" s="423">
        <f t="shared" si="262"/>
        <v>0</v>
      </c>
      <c r="GJ288" s="419"/>
      <c r="GK288" s="419"/>
      <c r="GL288" s="419"/>
      <c r="GM288" s="420">
        <f t="shared" si="257"/>
        <v>0</v>
      </c>
      <c r="GN288" s="420">
        <f t="shared" si="258"/>
        <v>0</v>
      </c>
      <c r="GO288" s="419"/>
      <c r="GP288" s="419"/>
      <c r="GQ288" s="419"/>
      <c r="GR288" s="420">
        <f t="shared" si="249"/>
        <v>0</v>
      </c>
      <c r="GS288" s="423">
        <f t="shared" si="246"/>
        <v>0</v>
      </c>
      <c r="GT288" s="419"/>
      <c r="GU288" s="419"/>
      <c r="GV288" s="419"/>
      <c r="GW288" s="420">
        <f t="shared" si="247"/>
        <v>0</v>
      </c>
      <c r="GX288" s="420">
        <f t="shared" si="248"/>
        <v>0</v>
      </c>
    </row>
    <row r="289" spans="1:206" ht="15">
      <c r="A289" s="414"/>
      <c r="B289" s="415"/>
      <c r="C289" s="698"/>
      <c r="D289" s="467" t="s">
        <v>633</v>
      </c>
      <c r="E289" s="434" t="s">
        <v>604</v>
      </c>
      <c r="F289" s="417">
        <v>0.13</v>
      </c>
      <c r="G289" s="418">
        <f t="shared" si="244"/>
        <v>37115766.600000001</v>
      </c>
      <c r="H289" s="418">
        <f t="shared" si="245"/>
        <v>0</v>
      </c>
      <c r="I289" s="418">
        <f t="shared" si="245"/>
        <v>4825049.66</v>
      </c>
      <c r="J289" s="418">
        <f t="shared" si="252"/>
        <v>37115766.615384601</v>
      </c>
      <c r="K289" s="418">
        <f t="shared" si="250"/>
        <v>37115766.615384601</v>
      </c>
      <c r="L289" s="418">
        <f t="shared" si="218"/>
        <v>1.5384614467620799E-2</v>
      </c>
      <c r="M289" s="424"/>
      <c r="N289" s="424"/>
      <c r="O289" s="424"/>
      <c r="P289" s="424"/>
      <c r="Q289" s="419"/>
      <c r="R289" s="419"/>
      <c r="S289" s="419"/>
      <c r="T289" s="420"/>
      <c r="U289" s="423"/>
      <c r="V289" s="420"/>
      <c r="W289" s="420"/>
      <c r="X289" s="419"/>
      <c r="Y289" s="419"/>
      <c r="Z289" s="423"/>
      <c r="AA289" s="423"/>
      <c r="AB289" s="419"/>
      <c r="AC289" s="419"/>
      <c r="AD289" s="420"/>
      <c r="AE289" s="423"/>
      <c r="AF289" s="419"/>
      <c r="AG289" s="419"/>
      <c r="AH289" s="419"/>
      <c r="AI289" s="420"/>
      <c r="AJ289" s="423"/>
      <c r="AK289" s="419"/>
      <c r="AL289" s="420"/>
      <c r="AM289" s="419"/>
      <c r="AN289" s="420"/>
      <c r="AO289" s="423"/>
      <c r="AP289" s="419"/>
      <c r="AQ289" s="419"/>
      <c r="AR289" s="420"/>
      <c r="AS289" s="420"/>
      <c r="AT289" s="420"/>
      <c r="AU289" s="420"/>
      <c r="AV289" s="420"/>
      <c r="AW289" s="420"/>
      <c r="AX289" s="426"/>
      <c r="AY289" s="420"/>
      <c r="AZ289" s="420"/>
      <c r="BA289" s="420"/>
      <c r="BB289" s="419"/>
      <c r="BC289" s="420"/>
      <c r="BD289" s="427"/>
      <c r="BE289" s="420"/>
      <c r="BF289" s="420"/>
      <c r="BG289" s="420"/>
      <c r="BH289" s="423"/>
      <c r="BI289" s="420"/>
      <c r="BJ289" s="420"/>
      <c r="BK289" s="420"/>
      <c r="BL289" s="420"/>
      <c r="BM289" s="420"/>
      <c r="BN289" s="420"/>
      <c r="BO289" s="420"/>
      <c r="BP289" s="429"/>
      <c r="BQ289" s="420"/>
      <c r="BR289" s="423"/>
      <c r="BS289" s="423"/>
      <c r="BT289" s="420"/>
      <c r="BU289" s="420"/>
      <c r="BV289" s="420"/>
      <c r="BW289" s="420"/>
      <c r="BX289" s="429"/>
      <c r="BY289" s="419"/>
      <c r="BZ289" s="419"/>
      <c r="CA289" s="419"/>
      <c r="CB289" s="420"/>
      <c r="CC289" s="430"/>
      <c r="CD289" s="419"/>
      <c r="CE289" s="419"/>
      <c r="CF289" s="419"/>
      <c r="CG289" s="420"/>
      <c r="CH289" s="423"/>
      <c r="CI289" s="431"/>
      <c r="CJ289" s="431"/>
      <c r="CK289" s="431"/>
      <c r="CL289" s="420"/>
      <c r="CM289" s="423"/>
      <c r="CN289" s="420"/>
      <c r="CO289" s="420"/>
      <c r="CP289" s="420"/>
      <c r="CQ289" s="432"/>
      <c r="CR289" s="432"/>
      <c r="CS289" s="420"/>
      <c r="CT289" s="420"/>
      <c r="CU289" s="420"/>
      <c r="CV289" s="420"/>
      <c r="CW289" s="420"/>
      <c r="CX289" s="419"/>
      <c r="CY289" s="419"/>
      <c r="CZ289" s="419"/>
      <c r="DA289" s="419"/>
      <c r="DB289" s="419"/>
      <c r="DC289" s="419"/>
      <c r="DD289" s="419"/>
      <c r="DE289" s="419"/>
      <c r="DF289" s="420"/>
      <c r="DG289" s="421"/>
      <c r="DH289" s="419"/>
      <c r="DI289" s="419"/>
      <c r="DJ289" s="419"/>
      <c r="DK289" s="420"/>
      <c r="DL289" s="422"/>
      <c r="DM289" s="420"/>
      <c r="DN289" s="420"/>
      <c r="DO289" s="420"/>
      <c r="DP289" s="420"/>
      <c r="DQ289" s="420"/>
      <c r="DR289" s="419"/>
      <c r="DS289" s="419"/>
      <c r="DT289" s="419"/>
      <c r="DU289" s="420"/>
      <c r="DV289" s="423"/>
      <c r="DW289" s="419"/>
      <c r="DX289" s="419"/>
      <c r="DY289" s="419"/>
      <c r="DZ289" s="420"/>
      <c r="EA289" s="423"/>
      <c r="EB289" s="419"/>
      <c r="EC289" s="419"/>
      <c r="ED289" s="420"/>
      <c r="EE289" s="419"/>
      <c r="EF289" s="420"/>
      <c r="EG289" s="419"/>
      <c r="EH289" s="419"/>
      <c r="EI289" s="419"/>
      <c r="EJ289" s="420"/>
      <c r="EK289" s="420"/>
      <c r="EL289" s="419"/>
      <c r="EM289" s="419"/>
      <c r="EN289" s="419"/>
      <c r="EO289" s="419"/>
      <c r="EP289" s="419"/>
      <c r="EQ289" s="420"/>
      <c r="ER289" s="420"/>
      <c r="ES289" s="420"/>
      <c r="ET289" s="419"/>
      <c r="EU289" s="419"/>
      <c r="EV289" s="455"/>
      <c r="EW289" s="455"/>
      <c r="EX289" s="455"/>
      <c r="EY289" s="419"/>
      <c r="EZ289" s="419"/>
      <c r="FA289" s="420"/>
      <c r="FB289" s="420"/>
      <c r="FC289" s="420"/>
      <c r="FD289" s="420"/>
      <c r="FE289" s="420"/>
      <c r="FF289" s="419"/>
      <c r="FG289" s="420"/>
      <c r="FH289" s="419"/>
      <c r="FI289" s="419"/>
      <c r="FJ289" s="419"/>
      <c r="FK289" s="419"/>
      <c r="FL289" s="419"/>
      <c r="FM289" s="419"/>
      <c r="FN289" s="420"/>
      <c r="FO289" s="423"/>
      <c r="FP289" s="431">
        <v>37103158.890000001</v>
      </c>
      <c r="FQ289" s="431">
        <v>0</v>
      </c>
      <c r="FR289" s="431">
        <v>4823410.66</v>
      </c>
      <c r="FS289" s="420">
        <f t="shared" si="259"/>
        <v>37103158.920000002</v>
      </c>
      <c r="FT289" s="420">
        <f t="shared" si="260"/>
        <v>3.0000001192092899E-2</v>
      </c>
      <c r="FU289" s="419"/>
      <c r="FV289" s="419"/>
      <c r="FW289" s="419"/>
      <c r="FX289" s="420">
        <f t="shared" si="255"/>
        <v>0</v>
      </c>
      <c r="FY289" s="420">
        <f t="shared" si="256"/>
        <v>0</v>
      </c>
      <c r="FZ289" s="419"/>
      <c r="GA289" s="419"/>
      <c r="GB289" s="419"/>
      <c r="GC289" s="420">
        <f t="shared" si="253"/>
        <v>0</v>
      </c>
      <c r="GD289" s="420">
        <f t="shared" si="254"/>
        <v>0</v>
      </c>
      <c r="GE289" s="419">
        <v>12607.71</v>
      </c>
      <c r="GF289" s="419"/>
      <c r="GG289" s="419">
        <v>1639</v>
      </c>
      <c r="GH289" s="420">
        <f t="shared" si="261"/>
        <v>12607.692307692299</v>
      </c>
      <c r="GI289" s="423">
        <f t="shared" si="262"/>
        <v>-1.7692307692413999E-2</v>
      </c>
      <c r="GJ289" s="419"/>
      <c r="GK289" s="419"/>
      <c r="GL289" s="419"/>
      <c r="GM289" s="420">
        <f t="shared" si="257"/>
        <v>0</v>
      </c>
      <c r="GN289" s="420">
        <f t="shared" si="258"/>
        <v>0</v>
      </c>
      <c r="GO289" s="419"/>
      <c r="GP289" s="419"/>
      <c r="GQ289" s="419"/>
      <c r="GR289" s="420">
        <f t="shared" si="249"/>
        <v>0</v>
      </c>
      <c r="GS289" s="423">
        <f t="shared" si="246"/>
        <v>0</v>
      </c>
      <c r="GT289" s="419"/>
      <c r="GU289" s="419"/>
      <c r="GV289" s="419"/>
      <c r="GW289" s="420">
        <f t="shared" si="247"/>
        <v>0</v>
      </c>
      <c r="GX289" s="420">
        <f t="shared" si="248"/>
        <v>0</v>
      </c>
    </row>
    <row r="290" spans="1:206" ht="15">
      <c r="A290" s="414"/>
      <c r="B290" s="415"/>
      <c r="C290" s="698"/>
      <c r="D290" s="467" t="s">
        <v>634</v>
      </c>
      <c r="E290" s="434" t="s">
        <v>604</v>
      </c>
      <c r="F290" s="417">
        <v>0.13</v>
      </c>
      <c r="G290" s="418">
        <f t="shared" si="244"/>
        <v>29747553.879999999</v>
      </c>
      <c r="H290" s="418">
        <f t="shared" si="245"/>
        <v>29747553.879999999</v>
      </c>
      <c r="I290" s="418">
        <f t="shared" si="245"/>
        <v>3867181.93</v>
      </c>
      <c r="J290" s="418">
        <f t="shared" si="252"/>
        <v>29747553.307692301</v>
      </c>
      <c r="K290" s="418">
        <f t="shared" si="250"/>
        <v>-0.57230769097805001</v>
      </c>
      <c r="L290" s="418">
        <f t="shared" si="218"/>
        <v>-0.57230769097805001</v>
      </c>
      <c r="M290" s="424"/>
      <c r="N290" s="424"/>
      <c r="O290" s="424"/>
      <c r="P290" s="424"/>
      <c r="Q290" s="419"/>
      <c r="R290" s="419"/>
      <c r="S290" s="419"/>
      <c r="T290" s="420"/>
      <c r="U290" s="423"/>
      <c r="V290" s="420"/>
      <c r="W290" s="420"/>
      <c r="X290" s="419"/>
      <c r="Y290" s="419"/>
      <c r="Z290" s="423"/>
      <c r="AA290" s="423"/>
      <c r="AB290" s="419"/>
      <c r="AC290" s="419"/>
      <c r="AD290" s="420"/>
      <c r="AE290" s="423"/>
      <c r="AF290" s="419"/>
      <c r="AG290" s="419"/>
      <c r="AH290" s="419"/>
      <c r="AI290" s="420"/>
      <c r="AJ290" s="423"/>
      <c r="AK290" s="419"/>
      <c r="AL290" s="420"/>
      <c r="AM290" s="419"/>
      <c r="AN290" s="420"/>
      <c r="AO290" s="423"/>
      <c r="AP290" s="419"/>
      <c r="AQ290" s="419"/>
      <c r="AR290" s="420"/>
      <c r="AS290" s="420"/>
      <c r="AT290" s="420"/>
      <c r="AU290" s="420"/>
      <c r="AV290" s="420"/>
      <c r="AW290" s="420"/>
      <c r="AX290" s="426"/>
      <c r="AY290" s="420"/>
      <c r="AZ290" s="420"/>
      <c r="BA290" s="420"/>
      <c r="BB290" s="419"/>
      <c r="BC290" s="420"/>
      <c r="BD290" s="427"/>
      <c r="BE290" s="420"/>
      <c r="BF290" s="420"/>
      <c r="BG290" s="420"/>
      <c r="BH290" s="423"/>
      <c r="BI290" s="420"/>
      <c r="BJ290" s="420"/>
      <c r="BK290" s="420"/>
      <c r="BL290" s="420"/>
      <c r="BM290" s="420"/>
      <c r="BN290" s="420"/>
      <c r="BO290" s="420"/>
      <c r="BP290" s="429"/>
      <c r="BQ290" s="420"/>
      <c r="BR290" s="423"/>
      <c r="BS290" s="423"/>
      <c r="BT290" s="420"/>
      <c r="BU290" s="420"/>
      <c r="BV290" s="420"/>
      <c r="BW290" s="420"/>
      <c r="BX290" s="429"/>
      <c r="BY290" s="419"/>
      <c r="BZ290" s="419"/>
      <c r="CA290" s="419"/>
      <c r="CB290" s="420"/>
      <c r="CC290" s="430"/>
      <c r="CD290" s="419"/>
      <c r="CE290" s="419"/>
      <c r="CF290" s="419"/>
      <c r="CG290" s="420"/>
      <c r="CH290" s="423"/>
      <c r="CI290" s="431"/>
      <c r="CJ290" s="431"/>
      <c r="CK290" s="431"/>
      <c r="CL290" s="420"/>
      <c r="CM290" s="423"/>
      <c r="CN290" s="420"/>
      <c r="CO290" s="420"/>
      <c r="CP290" s="420"/>
      <c r="CQ290" s="432"/>
      <c r="CR290" s="432"/>
      <c r="CS290" s="420"/>
      <c r="CT290" s="420"/>
      <c r="CU290" s="420"/>
      <c r="CV290" s="420"/>
      <c r="CW290" s="420"/>
      <c r="CX290" s="419"/>
      <c r="CY290" s="419"/>
      <c r="CZ290" s="419"/>
      <c r="DA290" s="419"/>
      <c r="DB290" s="419"/>
      <c r="DC290" s="419"/>
      <c r="DD290" s="419"/>
      <c r="DE290" s="419"/>
      <c r="DF290" s="420"/>
      <c r="DG290" s="421"/>
      <c r="DH290" s="419"/>
      <c r="DI290" s="419"/>
      <c r="DJ290" s="419"/>
      <c r="DK290" s="420"/>
      <c r="DL290" s="422"/>
      <c r="DM290" s="420"/>
      <c r="DN290" s="420"/>
      <c r="DO290" s="420"/>
      <c r="DP290" s="420"/>
      <c r="DQ290" s="420"/>
      <c r="DR290" s="419"/>
      <c r="DS290" s="419"/>
      <c r="DT290" s="419"/>
      <c r="DU290" s="420"/>
      <c r="DV290" s="423"/>
      <c r="DW290" s="419"/>
      <c r="DX290" s="419"/>
      <c r="DY290" s="419"/>
      <c r="DZ290" s="420"/>
      <c r="EA290" s="423"/>
      <c r="EB290" s="419"/>
      <c r="EC290" s="419"/>
      <c r="ED290" s="420"/>
      <c r="EE290" s="419"/>
      <c r="EF290" s="420"/>
      <c r="EG290" s="419"/>
      <c r="EH290" s="419"/>
      <c r="EI290" s="419"/>
      <c r="EJ290" s="420"/>
      <c r="EK290" s="420"/>
      <c r="EL290" s="419"/>
      <c r="EM290" s="419"/>
      <c r="EN290" s="419"/>
      <c r="EO290" s="419"/>
      <c r="EP290" s="419"/>
      <c r="EQ290" s="420"/>
      <c r="ER290" s="420"/>
      <c r="ES290" s="420"/>
      <c r="ET290" s="419"/>
      <c r="EU290" s="419"/>
      <c r="EV290" s="455"/>
      <c r="EW290" s="455"/>
      <c r="EX290" s="455"/>
      <c r="EY290" s="419"/>
      <c r="EZ290" s="419"/>
      <c r="FA290" s="420"/>
      <c r="FB290" s="420"/>
      <c r="FC290" s="420"/>
      <c r="FD290" s="420"/>
      <c r="FE290" s="420"/>
      <c r="FF290" s="419"/>
      <c r="FG290" s="420"/>
      <c r="FH290" s="419"/>
      <c r="FI290" s="419"/>
      <c r="FJ290" s="419"/>
      <c r="FK290" s="419"/>
      <c r="FL290" s="419"/>
      <c r="FM290" s="419"/>
      <c r="FN290" s="420"/>
      <c r="FO290" s="423"/>
      <c r="FP290" s="431"/>
      <c r="FQ290" s="431"/>
      <c r="FR290" s="431"/>
      <c r="FS290" s="420"/>
      <c r="FT290" s="420"/>
      <c r="FU290" s="419">
        <v>29747553.879999999</v>
      </c>
      <c r="FV290" s="419">
        <v>29747553.879999999</v>
      </c>
      <c r="FW290" s="419">
        <v>3867181.93</v>
      </c>
      <c r="FX290" s="420">
        <f t="shared" si="255"/>
        <v>29747553.309999999</v>
      </c>
      <c r="FY290" s="420">
        <f t="shared" si="256"/>
        <v>-0.570000000298023</v>
      </c>
      <c r="FZ290" s="419"/>
      <c r="GA290" s="419"/>
      <c r="GB290" s="419"/>
      <c r="GC290" s="420">
        <f t="shared" si="253"/>
        <v>0</v>
      </c>
      <c r="GD290" s="420">
        <f t="shared" si="254"/>
        <v>0</v>
      </c>
      <c r="GE290" s="419"/>
      <c r="GF290" s="419"/>
      <c r="GG290" s="419"/>
      <c r="GH290" s="420">
        <f t="shared" si="261"/>
        <v>0</v>
      </c>
      <c r="GI290" s="423">
        <f t="shared" si="262"/>
        <v>0</v>
      </c>
      <c r="GJ290" s="419"/>
      <c r="GK290" s="419"/>
      <c r="GL290" s="419"/>
      <c r="GM290" s="420">
        <f t="shared" si="257"/>
        <v>0</v>
      </c>
      <c r="GN290" s="420">
        <f t="shared" si="258"/>
        <v>0</v>
      </c>
      <c r="GO290" s="419"/>
      <c r="GP290" s="419"/>
      <c r="GQ290" s="419"/>
      <c r="GR290" s="420">
        <f t="shared" si="249"/>
        <v>0</v>
      </c>
      <c r="GS290" s="423">
        <f t="shared" si="246"/>
        <v>0</v>
      </c>
      <c r="GT290" s="419"/>
      <c r="GU290" s="419"/>
      <c r="GV290" s="419"/>
      <c r="GW290" s="420">
        <f t="shared" si="247"/>
        <v>0</v>
      </c>
      <c r="GX290" s="420">
        <f t="shared" si="248"/>
        <v>0</v>
      </c>
    </row>
    <row r="291" spans="1:206" ht="15">
      <c r="A291" s="414"/>
      <c r="B291" s="415"/>
      <c r="C291" s="698"/>
      <c r="D291" s="467" t="s">
        <v>635</v>
      </c>
      <c r="E291" s="434" t="s">
        <v>604</v>
      </c>
      <c r="F291" s="417">
        <v>0.13</v>
      </c>
      <c r="G291" s="418">
        <f t="shared" si="244"/>
        <v>9855197.7300000004</v>
      </c>
      <c r="H291" s="418">
        <f t="shared" si="245"/>
        <v>14892407.050000001</v>
      </c>
      <c r="I291" s="418">
        <f t="shared" si="245"/>
        <v>1281175.7</v>
      </c>
      <c r="J291" s="418">
        <f t="shared" si="252"/>
        <v>9855197.6923076902</v>
      </c>
      <c r="K291" s="418">
        <f t="shared" si="250"/>
        <v>-5037209.3576923097</v>
      </c>
      <c r="L291" s="418">
        <f t="shared" si="218"/>
        <v>-3.7692308425903299E-2</v>
      </c>
      <c r="M291" s="424"/>
      <c r="N291" s="424"/>
      <c r="O291" s="424"/>
      <c r="P291" s="424"/>
      <c r="Q291" s="419"/>
      <c r="R291" s="419"/>
      <c r="S291" s="419"/>
      <c r="T291" s="420"/>
      <c r="U291" s="423"/>
      <c r="V291" s="420"/>
      <c r="W291" s="420"/>
      <c r="X291" s="419"/>
      <c r="Y291" s="419"/>
      <c r="Z291" s="423"/>
      <c r="AA291" s="423"/>
      <c r="AB291" s="419"/>
      <c r="AC291" s="419"/>
      <c r="AD291" s="420"/>
      <c r="AE291" s="423"/>
      <c r="AF291" s="419"/>
      <c r="AG291" s="419"/>
      <c r="AH291" s="419"/>
      <c r="AI291" s="420"/>
      <c r="AJ291" s="423"/>
      <c r="AK291" s="419"/>
      <c r="AL291" s="420"/>
      <c r="AM291" s="419"/>
      <c r="AN291" s="420"/>
      <c r="AO291" s="423"/>
      <c r="AP291" s="419"/>
      <c r="AQ291" s="419"/>
      <c r="AR291" s="420"/>
      <c r="AS291" s="420"/>
      <c r="AT291" s="420"/>
      <c r="AU291" s="420"/>
      <c r="AV291" s="420"/>
      <c r="AW291" s="420"/>
      <c r="AX291" s="426"/>
      <c r="AY291" s="420"/>
      <c r="AZ291" s="420"/>
      <c r="BA291" s="420"/>
      <c r="BB291" s="419"/>
      <c r="BC291" s="420"/>
      <c r="BD291" s="427"/>
      <c r="BE291" s="420"/>
      <c r="BF291" s="420"/>
      <c r="BG291" s="420"/>
      <c r="BH291" s="423"/>
      <c r="BI291" s="420"/>
      <c r="BJ291" s="420"/>
      <c r="BK291" s="420"/>
      <c r="BL291" s="420"/>
      <c r="BM291" s="420"/>
      <c r="BN291" s="420"/>
      <c r="BO291" s="420"/>
      <c r="BP291" s="429"/>
      <c r="BQ291" s="420"/>
      <c r="BR291" s="423"/>
      <c r="BS291" s="423"/>
      <c r="BT291" s="420"/>
      <c r="BU291" s="420"/>
      <c r="BV291" s="420"/>
      <c r="BW291" s="420"/>
      <c r="BX291" s="429"/>
      <c r="BY291" s="419"/>
      <c r="BZ291" s="419"/>
      <c r="CA291" s="419"/>
      <c r="CB291" s="420"/>
      <c r="CC291" s="430"/>
      <c r="CD291" s="419"/>
      <c r="CE291" s="419"/>
      <c r="CF291" s="419"/>
      <c r="CG291" s="420"/>
      <c r="CH291" s="423"/>
      <c r="CI291" s="431"/>
      <c r="CJ291" s="431"/>
      <c r="CK291" s="431"/>
      <c r="CL291" s="420"/>
      <c r="CM291" s="423"/>
      <c r="CN291" s="420"/>
      <c r="CO291" s="420"/>
      <c r="CP291" s="420"/>
      <c r="CQ291" s="432"/>
      <c r="CR291" s="432"/>
      <c r="CS291" s="420"/>
      <c r="CT291" s="420"/>
      <c r="CU291" s="420"/>
      <c r="CV291" s="420"/>
      <c r="CW291" s="420"/>
      <c r="CX291" s="419"/>
      <c r="CY291" s="419"/>
      <c r="CZ291" s="419"/>
      <c r="DA291" s="419"/>
      <c r="DB291" s="419"/>
      <c r="DC291" s="419"/>
      <c r="DD291" s="419"/>
      <c r="DE291" s="419"/>
      <c r="DF291" s="420"/>
      <c r="DG291" s="421"/>
      <c r="DH291" s="419"/>
      <c r="DI291" s="419"/>
      <c r="DJ291" s="419"/>
      <c r="DK291" s="420"/>
      <c r="DL291" s="422"/>
      <c r="DM291" s="420"/>
      <c r="DN291" s="420"/>
      <c r="DO291" s="420"/>
      <c r="DP291" s="420"/>
      <c r="DQ291" s="420"/>
      <c r="DR291" s="419"/>
      <c r="DS291" s="419"/>
      <c r="DT291" s="419"/>
      <c r="DU291" s="420"/>
      <c r="DV291" s="423"/>
      <c r="DW291" s="419"/>
      <c r="DX291" s="419"/>
      <c r="DY291" s="419"/>
      <c r="DZ291" s="420"/>
      <c r="EA291" s="423"/>
      <c r="EB291" s="419"/>
      <c r="EC291" s="419"/>
      <c r="ED291" s="420"/>
      <c r="EE291" s="419"/>
      <c r="EF291" s="420"/>
      <c r="EG291" s="419"/>
      <c r="EH291" s="419"/>
      <c r="EI291" s="419"/>
      <c r="EJ291" s="420"/>
      <c r="EK291" s="420"/>
      <c r="EL291" s="419"/>
      <c r="EM291" s="419"/>
      <c r="EN291" s="419"/>
      <c r="EO291" s="419"/>
      <c r="EP291" s="419"/>
      <c r="EQ291" s="420"/>
      <c r="ER291" s="420"/>
      <c r="ES291" s="420"/>
      <c r="ET291" s="419"/>
      <c r="EU291" s="419"/>
      <c r="EV291" s="455"/>
      <c r="EW291" s="455"/>
      <c r="EX291" s="455"/>
      <c r="EY291" s="419"/>
      <c r="EZ291" s="419"/>
      <c r="FA291" s="420"/>
      <c r="FB291" s="420"/>
      <c r="FC291" s="420"/>
      <c r="FD291" s="420"/>
      <c r="FE291" s="420"/>
      <c r="FF291" s="419"/>
      <c r="FG291" s="420"/>
      <c r="FH291" s="419"/>
      <c r="FI291" s="419"/>
      <c r="FJ291" s="419"/>
      <c r="FK291" s="419"/>
      <c r="FL291" s="419"/>
      <c r="FM291" s="419"/>
      <c r="FN291" s="420"/>
      <c r="FO291" s="423"/>
      <c r="FP291" s="431"/>
      <c r="FQ291" s="431"/>
      <c r="FR291" s="431"/>
      <c r="FS291" s="420"/>
      <c r="FT291" s="420"/>
      <c r="FU291" s="419">
        <v>9855197.7300000004</v>
      </c>
      <c r="FV291" s="419">
        <v>14892407.050000001</v>
      </c>
      <c r="FW291" s="419">
        <v>1281175.7</v>
      </c>
      <c r="FX291" s="420">
        <f t="shared" si="255"/>
        <v>9855197.6899999995</v>
      </c>
      <c r="FY291" s="420">
        <f t="shared" si="256"/>
        <v>-4.0000000968575498E-2</v>
      </c>
      <c r="FZ291" s="419"/>
      <c r="GA291" s="419"/>
      <c r="GB291" s="419"/>
      <c r="GC291" s="420">
        <f t="shared" si="253"/>
        <v>0</v>
      </c>
      <c r="GD291" s="420">
        <f t="shared" si="254"/>
        <v>0</v>
      </c>
      <c r="GE291" s="419"/>
      <c r="GF291" s="419"/>
      <c r="GG291" s="419"/>
      <c r="GH291" s="420">
        <f t="shared" si="261"/>
        <v>0</v>
      </c>
      <c r="GI291" s="423">
        <f t="shared" si="262"/>
        <v>0</v>
      </c>
      <c r="GJ291" s="419"/>
      <c r="GK291" s="419"/>
      <c r="GL291" s="419"/>
      <c r="GM291" s="420">
        <f t="shared" si="257"/>
        <v>0</v>
      </c>
      <c r="GN291" s="420">
        <f t="shared" si="258"/>
        <v>0</v>
      </c>
      <c r="GO291" s="419"/>
      <c r="GP291" s="419"/>
      <c r="GQ291" s="419"/>
      <c r="GR291" s="420">
        <f t="shared" si="249"/>
        <v>0</v>
      </c>
      <c r="GS291" s="423">
        <f t="shared" si="246"/>
        <v>0</v>
      </c>
      <c r="GT291" s="419"/>
      <c r="GU291" s="419"/>
      <c r="GV291" s="419"/>
      <c r="GW291" s="420">
        <f t="shared" si="247"/>
        <v>0</v>
      </c>
      <c r="GX291" s="420">
        <f t="shared" si="248"/>
        <v>0</v>
      </c>
    </row>
    <row r="292" spans="1:206" ht="15">
      <c r="A292" s="414"/>
      <c r="B292" s="415"/>
      <c r="C292" s="698"/>
      <c r="D292" s="467" t="s">
        <v>636</v>
      </c>
      <c r="E292" s="434" t="s">
        <v>604</v>
      </c>
      <c r="F292" s="417">
        <v>0.13</v>
      </c>
      <c r="G292" s="418">
        <f t="shared" si="244"/>
        <v>5037209.32</v>
      </c>
      <c r="H292" s="418">
        <f t="shared" si="245"/>
        <v>0</v>
      </c>
      <c r="I292" s="418">
        <f t="shared" si="245"/>
        <v>654837.25</v>
      </c>
      <c r="J292" s="418">
        <f t="shared" si="252"/>
        <v>5037209.6153846197</v>
      </c>
      <c r="K292" s="418">
        <f t="shared" si="250"/>
        <v>5037209.6153846197</v>
      </c>
      <c r="L292" s="418">
        <f t="shared" si="218"/>
        <v>0.295384614728391</v>
      </c>
      <c r="M292" s="424"/>
      <c r="N292" s="424"/>
      <c r="O292" s="424"/>
      <c r="P292" s="424"/>
      <c r="Q292" s="419"/>
      <c r="R292" s="419"/>
      <c r="S292" s="419"/>
      <c r="T292" s="420"/>
      <c r="U292" s="423"/>
      <c r="V292" s="420"/>
      <c r="W292" s="420"/>
      <c r="X292" s="419"/>
      <c r="Y292" s="419"/>
      <c r="Z292" s="423"/>
      <c r="AA292" s="423"/>
      <c r="AB292" s="419"/>
      <c r="AC292" s="419"/>
      <c r="AD292" s="420"/>
      <c r="AE292" s="423"/>
      <c r="AF292" s="419"/>
      <c r="AG292" s="419"/>
      <c r="AH292" s="419"/>
      <c r="AI292" s="420"/>
      <c r="AJ292" s="423"/>
      <c r="AK292" s="419"/>
      <c r="AL292" s="420"/>
      <c r="AM292" s="419"/>
      <c r="AN292" s="420"/>
      <c r="AO292" s="423"/>
      <c r="AP292" s="419"/>
      <c r="AQ292" s="419"/>
      <c r="AR292" s="420"/>
      <c r="AS292" s="420"/>
      <c r="AT292" s="420"/>
      <c r="AU292" s="420"/>
      <c r="AV292" s="420"/>
      <c r="AW292" s="420"/>
      <c r="AX292" s="426"/>
      <c r="AY292" s="420"/>
      <c r="AZ292" s="420"/>
      <c r="BA292" s="420"/>
      <c r="BB292" s="419"/>
      <c r="BC292" s="420"/>
      <c r="BD292" s="427"/>
      <c r="BE292" s="420"/>
      <c r="BF292" s="420"/>
      <c r="BG292" s="420"/>
      <c r="BH292" s="423"/>
      <c r="BI292" s="420"/>
      <c r="BJ292" s="420"/>
      <c r="BK292" s="420"/>
      <c r="BL292" s="420"/>
      <c r="BM292" s="420"/>
      <c r="BN292" s="420"/>
      <c r="BO292" s="420"/>
      <c r="BP292" s="429"/>
      <c r="BQ292" s="420"/>
      <c r="BR292" s="423"/>
      <c r="BS292" s="423"/>
      <c r="BT292" s="420"/>
      <c r="BU292" s="420"/>
      <c r="BV292" s="420"/>
      <c r="BW292" s="420"/>
      <c r="BX292" s="429"/>
      <c r="BY292" s="419"/>
      <c r="BZ292" s="419"/>
      <c r="CA292" s="419"/>
      <c r="CB292" s="420"/>
      <c r="CC292" s="430"/>
      <c r="CD292" s="419"/>
      <c r="CE292" s="419"/>
      <c r="CF292" s="419"/>
      <c r="CG292" s="420"/>
      <c r="CH292" s="423"/>
      <c r="CI292" s="431"/>
      <c r="CJ292" s="431"/>
      <c r="CK292" s="431"/>
      <c r="CL292" s="420"/>
      <c r="CM292" s="423"/>
      <c r="CN292" s="420"/>
      <c r="CO292" s="420"/>
      <c r="CP292" s="420"/>
      <c r="CQ292" s="432"/>
      <c r="CR292" s="432"/>
      <c r="CS292" s="420"/>
      <c r="CT292" s="420"/>
      <c r="CU292" s="420"/>
      <c r="CV292" s="420"/>
      <c r="CW292" s="420"/>
      <c r="CX292" s="419"/>
      <c r="CY292" s="419"/>
      <c r="CZ292" s="419"/>
      <c r="DA292" s="419"/>
      <c r="DB292" s="419"/>
      <c r="DC292" s="419"/>
      <c r="DD292" s="419"/>
      <c r="DE292" s="419"/>
      <c r="DF292" s="420"/>
      <c r="DG292" s="421"/>
      <c r="DH292" s="419"/>
      <c r="DI292" s="419"/>
      <c r="DJ292" s="419"/>
      <c r="DK292" s="420"/>
      <c r="DL292" s="422"/>
      <c r="DM292" s="420"/>
      <c r="DN292" s="420"/>
      <c r="DO292" s="420"/>
      <c r="DP292" s="420"/>
      <c r="DQ292" s="420"/>
      <c r="DR292" s="419"/>
      <c r="DS292" s="419"/>
      <c r="DT292" s="419"/>
      <c r="DU292" s="420"/>
      <c r="DV292" s="423"/>
      <c r="DW292" s="419"/>
      <c r="DX292" s="419"/>
      <c r="DY292" s="419"/>
      <c r="DZ292" s="420"/>
      <c r="EA292" s="423"/>
      <c r="EB292" s="419"/>
      <c r="EC292" s="419"/>
      <c r="ED292" s="420"/>
      <c r="EE292" s="419"/>
      <c r="EF292" s="420"/>
      <c r="EG292" s="419"/>
      <c r="EH292" s="419"/>
      <c r="EI292" s="419"/>
      <c r="EJ292" s="420"/>
      <c r="EK292" s="420"/>
      <c r="EL292" s="419"/>
      <c r="EM292" s="419"/>
      <c r="EN292" s="419"/>
      <c r="EO292" s="419"/>
      <c r="EP292" s="419"/>
      <c r="EQ292" s="420"/>
      <c r="ER292" s="420"/>
      <c r="ES292" s="420"/>
      <c r="ET292" s="419"/>
      <c r="EU292" s="419"/>
      <c r="EV292" s="455"/>
      <c r="EW292" s="455"/>
      <c r="EX292" s="455"/>
      <c r="EY292" s="419"/>
      <c r="EZ292" s="419"/>
      <c r="FA292" s="420"/>
      <c r="FB292" s="420"/>
      <c r="FC292" s="420"/>
      <c r="FD292" s="420"/>
      <c r="FE292" s="420"/>
      <c r="FF292" s="419"/>
      <c r="FG292" s="420"/>
      <c r="FH292" s="419"/>
      <c r="FI292" s="419"/>
      <c r="FJ292" s="419"/>
      <c r="FK292" s="419"/>
      <c r="FL292" s="419"/>
      <c r="FM292" s="419"/>
      <c r="FN292" s="420"/>
      <c r="FO292" s="423"/>
      <c r="FP292" s="431"/>
      <c r="FQ292" s="431"/>
      <c r="FR292" s="431"/>
      <c r="FS292" s="420"/>
      <c r="FT292" s="420"/>
      <c r="FU292" s="419">
        <v>5037209.32</v>
      </c>
      <c r="FV292" s="419">
        <v>0</v>
      </c>
      <c r="FW292" s="419">
        <v>654837.25</v>
      </c>
      <c r="FX292" s="420">
        <f t="shared" si="255"/>
        <v>5037209.62</v>
      </c>
      <c r="FY292" s="420">
        <f t="shared" si="256"/>
        <v>0.29999999981373499</v>
      </c>
      <c r="FZ292" s="419"/>
      <c r="GA292" s="419"/>
      <c r="GB292" s="419"/>
      <c r="GC292" s="420">
        <f t="shared" si="253"/>
        <v>0</v>
      </c>
      <c r="GD292" s="420">
        <f t="shared" si="254"/>
        <v>0</v>
      </c>
      <c r="GE292" s="419"/>
      <c r="GF292" s="419"/>
      <c r="GG292" s="419"/>
      <c r="GH292" s="420">
        <f t="shared" si="261"/>
        <v>0</v>
      </c>
      <c r="GI292" s="423">
        <f t="shared" si="262"/>
        <v>0</v>
      </c>
      <c r="GJ292" s="419"/>
      <c r="GK292" s="419"/>
      <c r="GL292" s="419"/>
      <c r="GM292" s="420">
        <f t="shared" si="257"/>
        <v>0</v>
      </c>
      <c r="GN292" s="420">
        <f t="shared" si="258"/>
        <v>0</v>
      </c>
      <c r="GO292" s="419"/>
      <c r="GP292" s="419"/>
      <c r="GQ292" s="419"/>
      <c r="GR292" s="420">
        <f t="shared" si="249"/>
        <v>0</v>
      </c>
      <c r="GS292" s="423">
        <f t="shared" si="246"/>
        <v>0</v>
      </c>
      <c r="GT292" s="419"/>
      <c r="GU292" s="419"/>
      <c r="GV292" s="419"/>
      <c r="GW292" s="420">
        <f t="shared" si="247"/>
        <v>0</v>
      </c>
      <c r="GX292" s="420">
        <f t="shared" si="248"/>
        <v>0</v>
      </c>
    </row>
    <row r="293" spans="1:206" ht="15">
      <c r="A293" s="414"/>
      <c r="B293" s="415"/>
      <c r="C293" s="698"/>
      <c r="D293" s="467" t="s">
        <v>637</v>
      </c>
      <c r="E293" s="434" t="s">
        <v>604</v>
      </c>
      <c r="F293" s="417">
        <v>0.13</v>
      </c>
      <c r="G293" s="418">
        <f t="shared" si="244"/>
        <v>26515886.059999999</v>
      </c>
      <c r="H293" s="418">
        <f t="shared" si="245"/>
        <v>26515886.059999999</v>
      </c>
      <c r="I293" s="418">
        <f t="shared" si="245"/>
        <v>3447065.14</v>
      </c>
      <c r="J293" s="418">
        <f t="shared" si="252"/>
        <v>26515885.692307699</v>
      </c>
      <c r="K293" s="418">
        <f t="shared" si="250"/>
        <v>-0.36769230663776398</v>
      </c>
      <c r="L293" s="418">
        <f t="shared" si="218"/>
        <v>-0.36769230663776398</v>
      </c>
      <c r="M293" s="424"/>
      <c r="N293" s="424"/>
      <c r="O293" s="424"/>
      <c r="P293" s="424"/>
      <c r="Q293" s="419"/>
      <c r="R293" s="419"/>
      <c r="S293" s="419"/>
      <c r="T293" s="420"/>
      <c r="U293" s="423"/>
      <c r="V293" s="420"/>
      <c r="W293" s="420"/>
      <c r="X293" s="419"/>
      <c r="Y293" s="419"/>
      <c r="Z293" s="423"/>
      <c r="AA293" s="423"/>
      <c r="AB293" s="419"/>
      <c r="AC293" s="419"/>
      <c r="AD293" s="420"/>
      <c r="AE293" s="423"/>
      <c r="AF293" s="419"/>
      <c r="AG293" s="419"/>
      <c r="AH293" s="419"/>
      <c r="AI293" s="420"/>
      <c r="AJ293" s="423"/>
      <c r="AK293" s="419"/>
      <c r="AL293" s="420"/>
      <c r="AM293" s="419"/>
      <c r="AN293" s="420"/>
      <c r="AO293" s="423"/>
      <c r="AP293" s="419"/>
      <c r="AQ293" s="419"/>
      <c r="AR293" s="420"/>
      <c r="AS293" s="420"/>
      <c r="AT293" s="420"/>
      <c r="AU293" s="420"/>
      <c r="AV293" s="420"/>
      <c r="AW293" s="420"/>
      <c r="AX293" s="426"/>
      <c r="AY293" s="420"/>
      <c r="AZ293" s="420"/>
      <c r="BA293" s="420"/>
      <c r="BB293" s="419"/>
      <c r="BC293" s="420"/>
      <c r="BD293" s="427"/>
      <c r="BE293" s="420"/>
      <c r="BF293" s="420"/>
      <c r="BG293" s="420"/>
      <c r="BH293" s="423"/>
      <c r="BI293" s="420"/>
      <c r="BJ293" s="420"/>
      <c r="BK293" s="420"/>
      <c r="BL293" s="420"/>
      <c r="BM293" s="420"/>
      <c r="BN293" s="420"/>
      <c r="BO293" s="420"/>
      <c r="BP293" s="429"/>
      <c r="BQ293" s="420"/>
      <c r="BR293" s="423"/>
      <c r="BS293" s="423"/>
      <c r="BT293" s="420"/>
      <c r="BU293" s="420"/>
      <c r="BV293" s="420"/>
      <c r="BW293" s="420"/>
      <c r="BX293" s="429"/>
      <c r="BY293" s="419"/>
      <c r="BZ293" s="419"/>
      <c r="CA293" s="419"/>
      <c r="CB293" s="420"/>
      <c r="CC293" s="430"/>
      <c r="CD293" s="419"/>
      <c r="CE293" s="419"/>
      <c r="CF293" s="419"/>
      <c r="CG293" s="420"/>
      <c r="CH293" s="423"/>
      <c r="CI293" s="431"/>
      <c r="CJ293" s="431"/>
      <c r="CK293" s="431"/>
      <c r="CL293" s="420"/>
      <c r="CM293" s="423"/>
      <c r="CN293" s="420"/>
      <c r="CO293" s="420"/>
      <c r="CP293" s="420"/>
      <c r="CQ293" s="432"/>
      <c r="CR293" s="432"/>
      <c r="CS293" s="420"/>
      <c r="CT293" s="420"/>
      <c r="CU293" s="420"/>
      <c r="CV293" s="420"/>
      <c r="CW293" s="420"/>
      <c r="CX293" s="419"/>
      <c r="CY293" s="419"/>
      <c r="CZ293" s="419"/>
      <c r="DA293" s="419"/>
      <c r="DB293" s="419"/>
      <c r="DC293" s="419"/>
      <c r="DD293" s="419"/>
      <c r="DE293" s="419"/>
      <c r="DF293" s="420"/>
      <c r="DG293" s="421"/>
      <c r="DH293" s="419"/>
      <c r="DI293" s="419"/>
      <c r="DJ293" s="419"/>
      <c r="DK293" s="420"/>
      <c r="DL293" s="422"/>
      <c r="DM293" s="420"/>
      <c r="DN293" s="420"/>
      <c r="DO293" s="420"/>
      <c r="DP293" s="420"/>
      <c r="DQ293" s="420"/>
      <c r="DR293" s="419"/>
      <c r="DS293" s="419"/>
      <c r="DT293" s="419"/>
      <c r="DU293" s="420"/>
      <c r="DV293" s="423"/>
      <c r="DW293" s="419"/>
      <c r="DX293" s="419"/>
      <c r="DY293" s="419"/>
      <c r="DZ293" s="420"/>
      <c r="EA293" s="423"/>
      <c r="EB293" s="419"/>
      <c r="EC293" s="419"/>
      <c r="ED293" s="420"/>
      <c r="EE293" s="419"/>
      <c r="EF293" s="420"/>
      <c r="EG293" s="419"/>
      <c r="EH293" s="419"/>
      <c r="EI293" s="419"/>
      <c r="EJ293" s="420"/>
      <c r="EK293" s="420"/>
      <c r="EL293" s="419"/>
      <c r="EM293" s="419"/>
      <c r="EN293" s="419"/>
      <c r="EO293" s="419"/>
      <c r="EP293" s="419"/>
      <c r="EQ293" s="420"/>
      <c r="ER293" s="420"/>
      <c r="ES293" s="420"/>
      <c r="ET293" s="419"/>
      <c r="EU293" s="419"/>
      <c r="EV293" s="455"/>
      <c r="EW293" s="455"/>
      <c r="EX293" s="455"/>
      <c r="EY293" s="419"/>
      <c r="EZ293" s="419"/>
      <c r="FA293" s="420"/>
      <c r="FB293" s="420"/>
      <c r="FC293" s="420"/>
      <c r="FD293" s="420"/>
      <c r="FE293" s="420"/>
      <c r="FF293" s="419"/>
      <c r="FG293" s="420"/>
      <c r="FH293" s="419"/>
      <c r="FI293" s="419"/>
      <c r="FJ293" s="419"/>
      <c r="FK293" s="419"/>
      <c r="FL293" s="419"/>
      <c r="FM293" s="419"/>
      <c r="FN293" s="420"/>
      <c r="FO293" s="423"/>
      <c r="FP293" s="431"/>
      <c r="FQ293" s="431"/>
      <c r="FR293" s="431"/>
      <c r="FS293" s="420"/>
      <c r="FT293" s="420"/>
      <c r="FU293" s="419">
        <v>26515886.059999999</v>
      </c>
      <c r="FV293" s="419">
        <v>26515886.059999999</v>
      </c>
      <c r="FW293" s="419">
        <v>3447065.14</v>
      </c>
      <c r="FX293" s="420">
        <f t="shared" si="255"/>
        <v>26515885.690000001</v>
      </c>
      <c r="FY293" s="420">
        <f t="shared" si="256"/>
        <v>-0.36999999731779099</v>
      </c>
      <c r="FZ293" s="419"/>
      <c r="GA293" s="419"/>
      <c r="GB293" s="419"/>
      <c r="GC293" s="420">
        <f t="shared" si="253"/>
        <v>0</v>
      </c>
      <c r="GD293" s="420">
        <f t="shared" si="254"/>
        <v>0</v>
      </c>
      <c r="GE293" s="419"/>
      <c r="GF293" s="419"/>
      <c r="GG293" s="419"/>
      <c r="GH293" s="420">
        <f t="shared" si="261"/>
        <v>0</v>
      </c>
      <c r="GI293" s="423">
        <f t="shared" si="262"/>
        <v>0</v>
      </c>
      <c r="GJ293" s="419"/>
      <c r="GK293" s="419"/>
      <c r="GL293" s="419"/>
      <c r="GM293" s="420">
        <f t="shared" si="257"/>
        <v>0</v>
      </c>
      <c r="GN293" s="420">
        <f t="shared" si="258"/>
        <v>0</v>
      </c>
      <c r="GO293" s="419"/>
      <c r="GP293" s="419"/>
      <c r="GQ293" s="419"/>
      <c r="GR293" s="420">
        <f t="shared" si="249"/>
        <v>0</v>
      </c>
      <c r="GS293" s="423">
        <f t="shared" si="246"/>
        <v>0</v>
      </c>
      <c r="GT293" s="419"/>
      <c r="GU293" s="419"/>
      <c r="GV293" s="419"/>
      <c r="GW293" s="420">
        <f t="shared" si="247"/>
        <v>0</v>
      </c>
      <c r="GX293" s="420">
        <f t="shared" si="248"/>
        <v>0</v>
      </c>
    </row>
    <row r="294" spans="1:206" ht="15">
      <c r="A294" s="414"/>
      <c r="B294" s="415"/>
      <c r="C294" s="698"/>
      <c r="D294" s="467" t="s">
        <v>638</v>
      </c>
      <c r="E294" s="434" t="s">
        <v>604</v>
      </c>
      <c r="F294" s="417">
        <v>0.13</v>
      </c>
      <c r="G294" s="418">
        <f t="shared" si="244"/>
        <v>9954219.3599999994</v>
      </c>
      <c r="H294" s="418">
        <f t="shared" si="245"/>
        <v>9954219.3599999994</v>
      </c>
      <c r="I294" s="418">
        <f t="shared" si="245"/>
        <v>1294048.52</v>
      </c>
      <c r="J294" s="418">
        <f t="shared" si="252"/>
        <v>9954219.3846153803</v>
      </c>
      <c r="K294" s="418">
        <f t="shared" si="250"/>
        <v>2.46153846383095E-2</v>
      </c>
      <c r="L294" s="418">
        <f t="shared" si="218"/>
        <v>2.46153846383095E-2</v>
      </c>
      <c r="M294" s="424"/>
      <c r="N294" s="424"/>
      <c r="O294" s="424"/>
      <c r="P294" s="424"/>
      <c r="Q294" s="419"/>
      <c r="R294" s="419"/>
      <c r="S294" s="419"/>
      <c r="T294" s="420"/>
      <c r="U294" s="423"/>
      <c r="V294" s="420"/>
      <c r="W294" s="420"/>
      <c r="X294" s="419"/>
      <c r="Y294" s="419"/>
      <c r="Z294" s="423"/>
      <c r="AA294" s="423"/>
      <c r="AB294" s="419"/>
      <c r="AC294" s="419"/>
      <c r="AD294" s="420"/>
      <c r="AE294" s="423"/>
      <c r="AF294" s="419"/>
      <c r="AG294" s="419"/>
      <c r="AH294" s="419"/>
      <c r="AI294" s="420"/>
      <c r="AJ294" s="423"/>
      <c r="AK294" s="419"/>
      <c r="AL294" s="420"/>
      <c r="AM294" s="419"/>
      <c r="AN294" s="420"/>
      <c r="AO294" s="423"/>
      <c r="AP294" s="419"/>
      <c r="AQ294" s="419"/>
      <c r="AR294" s="420"/>
      <c r="AS294" s="420"/>
      <c r="AT294" s="420"/>
      <c r="AU294" s="420"/>
      <c r="AV294" s="420"/>
      <c r="AW294" s="420"/>
      <c r="AX294" s="426"/>
      <c r="AY294" s="420"/>
      <c r="AZ294" s="420"/>
      <c r="BA294" s="420"/>
      <c r="BB294" s="419"/>
      <c r="BC294" s="420"/>
      <c r="BD294" s="427"/>
      <c r="BE294" s="420"/>
      <c r="BF294" s="420"/>
      <c r="BG294" s="420"/>
      <c r="BH294" s="423"/>
      <c r="BI294" s="420"/>
      <c r="BJ294" s="420"/>
      <c r="BK294" s="420"/>
      <c r="BL294" s="420"/>
      <c r="BM294" s="420"/>
      <c r="BN294" s="420"/>
      <c r="BO294" s="420"/>
      <c r="BP294" s="429"/>
      <c r="BQ294" s="420"/>
      <c r="BR294" s="423"/>
      <c r="BS294" s="423"/>
      <c r="BT294" s="420"/>
      <c r="BU294" s="420"/>
      <c r="BV294" s="420"/>
      <c r="BW294" s="420"/>
      <c r="BX294" s="429"/>
      <c r="BY294" s="419"/>
      <c r="BZ294" s="419"/>
      <c r="CA294" s="419"/>
      <c r="CB294" s="420"/>
      <c r="CC294" s="430"/>
      <c r="CD294" s="419"/>
      <c r="CE294" s="419"/>
      <c r="CF294" s="419"/>
      <c r="CG294" s="420"/>
      <c r="CH294" s="423"/>
      <c r="CI294" s="431"/>
      <c r="CJ294" s="431"/>
      <c r="CK294" s="431"/>
      <c r="CL294" s="420"/>
      <c r="CM294" s="423"/>
      <c r="CN294" s="420"/>
      <c r="CO294" s="420"/>
      <c r="CP294" s="420"/>
      <c r="CQ294" s="432"/>
      <c r="CR294" s="432"/>
      <c r="CS294" s="420"/>
      <c r="CT294" s="420"/>
      <c r="CU294" s="420"/>
      <c r="CV294" s="420"/>
      <c r="CW294" s="420"/>
      <c r="CX294" s="419"/>
      <c r="CY294" s="419"/>
      <c r="CZ294" s="419"/>
      <c r="DA294" s="419"/>
      <c r="DB294" s="419"/>
      <c r="DC294" s="419"/>
      <c r="DD294" s="419"/>
      <c r="DE294" s="419"/>
      <c r="DF294" s="420"/>
      <c r="DG294" s="421"/>
      <c r="DH294" s="419"/>
      <c r="DI294" s="419"/>
      <c r="DJ294" s="419"/>
      <c r="DK294" s="420"/>
      <c r="DL294" s="422"/>
      <c r="DM294" s="420"/>
      <c r="DN294" s="420"/>
      <c r="DO294" s="420"/>
      <c r="DP294" s="420"/>
      <c r="DQ294" s="420"/>
      <c r="DR294" s="419"/>
      <c r="DS294" s="419"/>
      <c r="DT294" s="419"/>
      <c r="DU294" s="420"/>
      <c r="DV294" s="423"/>
      <c r="DW294" s="419"/>
      <c r="DX294" s="419"/>
      <c r="DY294" s="419"/>
      <c r="DZ294" s="420"/>
      <c r="EA294" s="423"/>
      <c r="EB294" s="419"/>
      <c r="EC294" s="419"/>
      <c r="ED294" s="420"/>
      <c r="EE294" s="419"/>
      <c r="EF294" s="420"/>
      <c r="EG294" s="419"/>
      <c r="EH294" s="419"/>
      <c r="EI294" s="419"/>
      <c r="EJ294" s="420"/>
      <c r="EK294" s="420"/>
      <c r="EL294" s="419"/>
      <c r="EM294" s="419"/>
      <c r="EN294" s="419"/>
      <c r="EO294" s="419"/>
      <c r="EP294" s="419"/>
      <c r="EQ294" s="420"/>
      <c r="ER294" s="420"/>
      <c r="ES294" s="420"/>
      <c r="ET294" s="419"/>
      <c r="EU294" s="419"/>
      <c r="EV294" s="455"/>
      <c r="EW294" s="455"/>
      <c r="EX294" s="455"/>
      <c r="EY294" s="419"/>
      <c r="EZ294" s="419"/>
      <c r="FA294" s="420"/>
      <c r="FB294" s="420"/>
      <c r="FC294" s="420"/>
      <c r="FD294" s="420"/>
      <c r="FE294" s="420"/>
      <c r="FF294" s="419"/>
      <c r="FG294" s="420"/>
      <c r="FH294" s="419"/>
      <c r="FI294" s="419"/>
      <c r="FJ294" s="419"/>
      <c r="FK294" s="419"/>
      <c r="FL294" s="419"/>
      <c r="FM294" s="419"/>
      <c r="FN294" s="420"/>
      <c r="FO294" s="423"/>
      <c r="FP294" s="431"/>
      <c r="FQ294" s="431"/>
      <c r="FR294" s="431"/>
      <c r="FS294" s="420"/>
      <c r="FT294" s="420"/>
      <c r="FU294" s="419">
        <v>9954219.3599999994</v>
      </c>
      <c r="FV294" s="419">
        <v>9954219.3599999994</v>
      </c>
      <c r="FW294" s="419">
        <v>1294048.52</v>
      </c>
      <c r="FX294" s="420">
        <f t="shared" si="255"/>
        <v>9954219.3800000008</v>
      </c>
      <c r="FY294" s="420">
        <f t="shared" si="256"/>
        <v>2.00000014156103E-2</v>
      </c>
      <c r="FZ294" s="419"/>
      <c r="GA294" s="419"/>
      <c r="GB294" s="419"/>
      <c r="GC294" s="420">
        <f t="shared" si="253"/>
        <v>0</v>
      </c>
      <c r="GD294" s="420">
        <f t="shared" si="254"/>
        <v>0</v>
      </c>
      <c r="GE294" s="419"/>
      <c r="GF294" s="419"/>
      <c r="GG294" s="419"/>
      <c r="GH294" s="420">
        <f t="shared" si="261"/>
        <v>0</v>
      </c>
      <c r="GI294" s="423">
        <f t="shared" si="262"/>
        <v>0</v>
      </c>
      <c r="GJ294" s="419"/>
      <c r="GK294" s="419"/>
      <c r="GL294" s="419"/>
      <c r="GM294" s="420">
        <f t="shared" si="257"/>
        <v>0</v>
      </c>
      <c r="GN294" s="420">
        <f t="shared" si="258"/>
        <v>0</v>
      </c>
      <c r="GO294" s="419"/>
      <c r="GP294" s="419"/>
      <c r="GQ294" s="419"/>
      <c r="GR294" s="420">
        <f t="shared" si="249"/>
        <v>0</v>
      </c>
      <c r="GS294" s="423">
        <f t="shared" si="246"/>
        <v>0</v>
      </c>
      <c r="GT294" s="419"/>
      <c r="GU294" s="419"/>
      <c r="GV294" s="419"/>
      <c r="GW294" s="420">
        <f t="shared" si="247"/>
        <v>0</v>
      </c>
      <c r="GX294" s="420">
        <f t="shared" si="248"/>
        <v>0</v>
      </c>
    </row>
    <row r="295" spans="1:206" ht="15">
      <c r="A295" s="414"/>
      <c r="B295" s="415"/>
      <c r="C295" s="698"/>
      <c r="D295" s="467" t="s">
        <v>639</v>
      </c>
      <c r="E295" s="434" t="s">
        <v>604</v>
      </c>
      <c r="F295" s="417">
        <v>0.13</v>
      </c>
      <c r="G295" s="418">
        <f t="shared" si="244"/>
        <v>150442.48000000001</v>
      </c>
      <c r="H295" s="418">
        <f t="shared" si="245"/>
        <v>21010844.289999999</v>
      </c>
      <c r="I295" s="418">
        <f t="shared" si="245"/>
        <v>19557.52</v>
      </c>
      <c r="J295" s="418">
        <f t="shared" si="252"/>
        <v>150442.461538462</v>
      </c>
      <c r="K295" s="418">
        <f t="shared" si="250"/>
        <v>-20860401.828461502</v>
      </c>
      <c r="L295" s="418">
        <f t="shared" si="218"/>
        <v>-1.8461538478732099E-2</v>
      </c>
      <c r="M295" s="424"/>
      <c r="N295" s="424"/>
      <c r="O295" s="424"/>
      <c r="P295" s="424"/>
      <c r="Q295" s="419"/>
      <c r="R295" s="419"/>
      <c r="S295" s="419"/>
      <c r="T295" s="420"/>
      <c r="U295" s="423"/>
      <c r="V295" s="420"/>
      <c r="W295" s="420"/>
      <c r="X295" s="419"/>
      <c r="Y295" s="419"/>
      <c r="Z295" s="423"/>
      <c r="AA295" s="423"/>
      <c r="AB295" s="419"/>
      <c r="AC295" s="419"/>
      <c r="AD295" s="420"/>
      <c r="AE295" s="423"/>
      <c r="AF295" s="419"/>
      <c r="AG295" s="419"/>
      <c r="AH295" s="419"/>
      <c r="AI295" s="420"/>
      <c r="AJ295" s="423"/>
      <c r="AK295" s="419"/>
      <c r="AL295" s="420"/>
      <c r="AM295" s="419"/>
      <c r="AN295" s="420"/>
      <c r="AO295" s="423"/>
      <c r="AP295" s="419"/>
      <c r="AQ295" s="419"/>
      <c r="AR295" s="420"/>
      <c r="AS295" s="420"/>
      <c r="AT295" s="420"/>
      <c r="AU295" s="420"/>
      <c r="AV295" s="420"/>
      <c r="AW295" s="420"/>
      <c r="AX295" s="426"/>
      <c r="AY295" s="420"/>
      <c r="AZ295" s="420"/>
      <c r="BA295" s="420"/>
      <c r="BB295" s="419"/>
      <c r="BC295" s="420"/>
      <c r="BD295" s="427"/>
      <c r="BE295" s="420"/>
      <c r="BF295" s="420"/>
      <c r="BG295" s="420"/>
      <c r="BH295" s="423"/>
      <c r="BI295" s="420"/>
      <c r="BJ295" s="420"/>
      <c r="BK295" s="420"/>
      <c r="BL295" s="420"/>
      <c r="BM295" s="420"/>
      <c r="BN295" s="420"/>
      <c r="BO295" s="420"/>
      <c r="BP295" s="429"/>
      <c r="BQ295" s="420"/>
      <c r="BR295" s="423"/>
      <c r="BS295" s="423"/>
      <c r="BT295" s="420"/>
      <c r="BU295" s="420"/>
      <c r="BV295" s="420"/>
      <c r="BW295" s="420"/>
      <c r="BX295" s="429"/>
      <c r="BY295" s="419"/>
      <c r="BZ295" s="419"/>
      <c r="CA295" s="419"/>
      <c r="CB295" s="420"/>
      <c r="CC295" s="430"/>
      <c r="CD295" s="419"/>
      <c r="CE295" s="419"/>
      <c r="CF295" s="419"/>
      <c r="CG295" s="420"/>
      <c r="CH295" s="423"/>
      <c r="CI295" s="431"/>
      <c r="CJ295" s="431"/>
      <c r="CK295" s="431"/>
      <c r="CL295" s="420"/>
      <c r="CM295" s="423"/>
      <c r="CN295" s="420"/>
      <c r="CO295" s="420"/>
      <c r="CP295" s="420"/>
      <c r="CQ295" s="432"/>
      <c r="CR295" s="432"/>
      <c r="CS295" s="420"/>
      <c r="CT295" s="420"/>
      <c r="CU295" s="420"/>
      <c r="CV295" s="420"/>
      <c r="CW295" s="420"/>
      <c r="CX295" s="419"/>
      <c r="CY295" s="419"/>
      <c r="CZ295" s="419"/>
      <c r="DA295" s="419"/>
      <c r="DB295" s="419"/>
      <c r="DC295" s="419"/>
      <c r="DD295" s="419"/>
      <c r="DE295" s="419"/>
      <c r="DF295" s="420"/>
      <c r="DG295" s="421"/>
      <c r="DH295" s="419"/>
      <c r="DI295" s="419"/>
      <c r="DJ295" s="419"/>
      <c r="DK295" s="420"/>
      <c r="DL295" s="422"/>
      <c r="DM295" s="420"/>
      <c r="DN295" s="420"/>
      <c r="DO295" s="420"/>
      <c r="DP295" s="420"/>
      <c r="DQ295" s="420"/>
      <c r="DR295" s="419"/>
      <c r="DS295" s="419"/>
      <c r="DT295" s="419"/>
      <c r="DU295" s="420"/>
      <c r="DV295" s="423"/>
      <c r="DW295" s="419"/>
      <c r="DX295" s="419"/>
      <c r="DY295" s="419"/>
      <c r="DZ295" s="420"/>
      <c r="EA295" s="423"/>
      <c r="EB295" s="419"/>
      <c r="EC295" s="419"/>
      <c r="ED295" s="420"/>
      <c r="EE295" s="419"/>
      <c r="EF295" s="420"/>
      <c r="EG295" s="419"/>
      <c r="EH295" s="419"/>
      <c r="EI295" s="419"/>
      <c r="EJ295" s="420"/>
      <c r="EK295" s="420"/>
      <c r="EL295" s="419"/>
      <c r="EM295" s="419"/>
      <c r="EN295" s="419"/>
      <c r="EO295" s="419"/>
      <c r="EP295" s="419"/>
      <c r="EQ295" s="420"/>
      <c r="ER295" s="420"/>
      <c r="ES295" s="420"/>
      <c r="ET295" s="419"/>
      <c r="EU295" s="419"/>
      <c r="EV295" s="455"/>
      <c r="EW295" s="455"/>
      <c r="EX295" s="455"/>
      <c r="EY295" s="419"/>
      <c r="EZ295" s="419"/>
      <c r="FA295" s="420"/>
      <c r="FB295" s="420"/>
      <c r="FC295" s="420"/>
      <c r="FD295" s="420"/>
      <c r="FE295" s="420"/>
      <c r="FF295" s="419"/>
      <c r="FG295" s="420"/>
      <c r="FH295" s="419"/>
      <c r="FI295" s="419"/>
      <c r="FJ295" s="419"/>
      <c r="FK295" s="419"/>
      <c r="FL295" s="419"/>
      <c r="FM295" s="419"/>
      <c r="FN295" s="420"/>
      <c r="FO295" s="423"/>
      <c r="FP295" s="431"/>
      <c r="FQ295" s="431"/>
      <c r="FR295" s="431"/>
      <c r="FS295" s="420"/>
      <c r="FT295" s="420"/>
      <c r="FU295" s="419">
        <v>150442.48000000001</v>
      </c>
      <c r="FV295" s="419">
        <v>21010844.289999999</v>
      </c>
      <c r="FW295" s="419">
        <v>19557.52</v>
      </c>
      <c r="FX295" s="420">
        <f t="shared" si="255"/>
        <v>150442.46</v>
      </c>
      <c r="FY295" s="420">
        <f t="shared" si="256"/>
        <v>-2.00000000186265E-2</v>
      </c>
      <c r="FZ295" s="419"/>
      <c r="GA295" s="419"/>
      <c r="GB295" s="419"/>
      <c r="GC295" s="420">
        <f t="shared" si="253"/>
        <v>0</v>
      </c>
      <c r="GD295" s="420">
        <f t="shared" si="254"/>
        <v>0</v>
      </c>
      <c r="GE295" s="419"/>
      <c r="GF295" s="419"/>
      <c r="GG295" s="419"/>
      <c r="GH295" s="420">
        <f t="shared" si="261"/>
        <v>0</v>
      </c>
      <c r="GI295" s="423">
        <f t="shared" si="262"/>
        <v>0</v>
      </c>
      <c r="GJ295" s="419"/>
      <c r="GK295" s="419"/>
      <c r="GL295" s="419"/>
      <c r="GM295" s="420">
        <f t="shared" si="257"/>
        <v>0</v>
      </c>
      <c r="GN295" s="420">
        <f t="shared" si="258"/>
        <v>0</v>
      </c>
      <c r="GO295" s="419"/>
      <c r="GP295" s="419"/>
      <c r="GQ295" s="419"/>
      <c r="GR295" s="420">
        <f t="shared" si="249"/>
        <v>0</v>
      </c>
      <c r="GS295" s="423">
        <f t="shared" si="246"/>
        <v>0</v>
      </c>
      <c r="GT295" s="419"/>
      <c r="GU295" s="419"/>
      <c r="GV295" s="419"/>
      <c r="GW295" s="420">
        <f t="shared" si="247"/>
        <v>0</v>
      </c>
      <c r="GX295" s="420">
        <f t="shared" si="248"/>
        <v>0</v>
      </c>
    </row>
    <row r="296" spans="1:206" ht="15">
      <c r="A296" s="414"/>
      <c r="B296" s="415"/>
      <c r="C296" s="698"/>
      <c r="D296" s="467" t="s">
        <v>640</v>
      </c>
      <c r="E296" s="434" t="s">
        <v>604</v>
      </c>
      <c r="F296" s="417">
        <v>0.13</v>
      </c>
      <c r="G296" s="418">
        <f t="shared" si="244"/>
        <v>31895304.48</v>
      </c>
      <c r="H296" s="418">
        <f t="shared" si="245"/>
        <v>31895304.48</v>
      </c>
      <c r="I296" s="418">
        <f t="shared" si="245"/>
        <v>4146389.52</v>
      </c>
      <c r="J296" s="418">
        <f t="shared" si="252"/>
        <v>31895304</v>
      </c>
      <c r="K296" s="418">
        <f t="shared" si="250"/>
        <v>-0.480000000447035</v>
      </c>
      <c r="L296" s="418">
        <f t="shared" si="218"/>
        <v>-0.480000000447035</v>
      </c>
      <c r="M296" s="424"/>
      <c r="N296" s="424"/>
      <c r="O296" s="424"/>
      <c r="P296" s="424"/>
      <c r="Q296" s="419"/>
      <c r="R296" s="419"/>
      <c r="S296" s="419"/>
      <c r="T296" s="420"/>
      <c r="U296" s="423"/>
      <c r="V296" s="420"/>
      <c r="W296" s="420"/>
      <c r="X296" s="419"/>
      <c r="Y296" s="419"/>
      <c r="Z296" s="423"/>
      <c r="AA296" s="423"/>
      <c r="AB296" s="419"/>
      <c r="AC296" s="419"/>
      <c r="AD296" s="420"/>
      <c r="AE296" s="423"/>
      <c r="AF296" s="419"/>
      <c r="AG296" s="419"/>
      <c r="AH296" s="419"/>
      <c r="AI296" s="420"/>
      <c r="AJ296" s="423"/>
      <c r="AK296" s="419"/>
      <c r="AL296" s="420"/>
      <c r="AM296" s="419"/>
      <c r="AN296" s="420"/>
      <c r="AO296" s="423"/>
      <c r="AP296" s="419"/>
      <c r="AQ296" s="419"/>
      <c r="AR296" s="420"/>
      <c r="AS296" s="420"/>
      <c r="AT296" s="420"/>
      <c r="AU296" s="420"/>
      <c r="AV296" s="420"/>
      <c r="AW296" s="420"/>
      <c r="AX296" s="426"/>
      <c r="AY296" s="420"/>
      <c r="AZ296" s="420"/>
      <c r="BA296" s="420"/>
      <c r="BB296" s="419"/>
      <c r="BC296" s="420"/>
      <c r="BD296" s="427"/>
      <c r="BE296" s="420"/>
      <c r="BF296" s="420"/>
      <c r="BG296" s="420"/>
      <c r="BH296" s="423"/>
      <c r="BI296" s="420"/>
      <c r="BJ296" s="420"/>
      <c r="BK296" s="420"/>
      <c r="BL296" s="420"/>
      <c r="BM296" s="420"/>
      <c r="BN296" s="420"/>
      <c r="BO296" s="420"/>
      <c r="BP296" s="429"/>
      <c r="BQ296" s="420"/>
      <c r="BR296" s="423"/>
      <c r="BS296" s="423"/>
      <c r="BT296" s="420"/>
      <c r="BU296" s="420"/>
      <c r="BV296" s="420"/>
      <c r="BW296" s="420"/>
      <c r="BX296" s="429"/>
      <c r="BY296" s="419"/>
      <c r="BZ296" s="419"/>
      <c r="CA296" s="419"/>
      <c r="CB296" s="420"/>
      <c r="CC296" s="430"/>
      <c r="CD296" s="419"/>
      <c r="CE296" s="419"/>
      <c r="CF296" s="419"/>
      <c r="CG296" s="420"/>
      <c r="CH296" s="423"/>
      <c r="CI296" s="431"/>
      <c r="CJ296" s="431"/>
      <c r="CK296" s="431"/>
      <c r="CL296" s="420"/>
      <c r="CM296" s="423"/>
      <c r="CN296" s="420"/>
      <c r="CO296" s="420"/>
      <c r="CP296" s="420"/>
      <c r="CQ296" s="432"/>
      <c r="CR296" s="432"/>
      <c r="CS296" s="420"/>
      <c r="CT296" s="420"/>
      <c r="CU296" s="420"/>
      <c r="CV296" s="420"/>
      <c r="CW296" s="420"/>
      <c r="CX296" s="419"/>
      <c r="CY296" s="419"/>
      <c r="CZ296" s="419"/>
      <c r="DA296" s="419"/>
      <c r="DB296" s="419"/>
      <c r="DC296" s="419"/>
      <c r="DD296" s="419"/>
      <c r="DE296" s="419"/>
      <c r="DF296" s="420"/>
      <c r="DG296" s="421"/>
      <c r="DH296" s="419"/>
      <c r="DI296" s="419"/>
      <c r="DJ296" s="419"/>
      <c r="DK296" s="420"/>
      <c r="DL296" s="422"/>
      <c r="DM296" s="420"/>
      <c r="DN296" s="420"/>
      <c r="DO296" s="420"/>
      <c r="DP296" s="420"/>
      <c r="DQ296" s="420"/>
      <c r="DR296" s="419"/>
      <c r="DS296" s="419"/>
      <c r="DT296" s="419"/>
      <c r="DU296" s="420"/>
      <c r="DV296" s="423"/>
      <c r="DW296" s="419"/>
      <c r="DX296" s="419"/>
      <c r="DY296" s="419"/>
      <c r="DZ296" s="420"/>
      <c r="EA296" s="423"/>
      <c r="EB296" s="419"/>
      <c r="EC296" s="419"/>
      <c r="ED296" s="420"/>
      <c r="EE296" s="419"/>
      <c r="EF296" s="420"/>
      <c r="EG296" s="419"/>
      <c r="EH296" s="419"/>
      <c r="EI296" s="419"/>
      <c r="EJ296" s="420"/>
      <c r="EK296" s="420"/>
      <c r="EL296" s="419"/>
      <c r="EM296" s="419"/>
      <c r="EN296" s="419"/>
      <c r="EO296" s="419"/>
      <c r="EP296" s="419"/>
      <c r="EQ296" s="420"/>
      <c r="ER296" s="420"/>
      <c r="ES296" s="420"/>
      <c r="ET296" s="419"/>
      <c r="EU296" s="419"/>
      <c r="EV296" s="455"/>
      <c r="EW296" s="455"/>
      <c r="EX296" s="455"/>
      <c r="EY296" s="419"/>
      <c r="EZ296" s="419"/>
      <c r="FA296" s="420"/>
      <c r="FB296" s="420"/>
      <c r="FC296" s="420"/>
      <c r="FD296" s="420"/>
      <c r="FE296" s="420"/>
      <c r="FF296" s="419"/>
      <c r="FG296" s="420"/>
      <c r="FH296" s="419"/>
      <c r="FI296" s="419"/>
      <c r="FJ296" s="419"/>
      <c r="FK296" s="419"/>
      <c r="FL296" s="419"/>
      <c r="FM296" s="419"/>
      <c r="FN296" s="420"/>
      <c r="FO296" s="423"/>
      <c r="FP296" s="431"/>
      <c r="FQ296" s="431"/>
      <c r="FR296" s="431"/>
      <c r="FS296" s="420"/>
      <c r="FT296" s="420"/>
      <c r="FU296" s="419">
        <v>31895304.48</v>
      </c>
      <c r="FV296" s="419">
        <v>31895304.48</v>
      </c>
      <c r="FW296" s="419">
        <v>4146389.52</v>
      </c>
      <c r="FX296" s="420">
        <f t="shared" si="255"/>
        <v>31895304</v>
      </c>
      <c r="FY296" s="420">
        <f t="shared" si="256"/>
        <v>-0.480000000447035</v>
      </c>
      <c r="FZ296" s="419"/>
      <c r="GA296" s="419"/>
      <c r="GB296" s="419"/>
      <c r="GC296" s="420">
        <f t="shared" si="253"/>
        <v>0</v>
      </c>
      <c r="GD296" s="420">
        <f t="shared" si="254"/>
        <v>0</v>
      </c>
      <c r="GE296" s="419"/>
      <c r="GF296" s="419"/>
      <c r="GG296" s="419"/>
      <c r="GH296" s="420">
        <f t="shared" si="261"/>
        <v>0</v>
      </c>
      <c r="GI296" s="423">
        <f t="shared" si="262"/>
        <v>0</v>
      </c>
      <c r="GJ296" s="419"/>
      <c r="GK296" s="419"/>
      <c r="GL296" s="419"/>
      <c r="GM296" s="420">
        <f t="shared" si="257"/>
        <v>0</v>
      </c>
      <c r="GN296" s="420">
        <f t="shared" si="258"/>
        <v>0</v>
      </c>
      <c r="GO296" s="419"/>
      <c r="GP296" s="419"/>
      <c r="GQ296" s="419"/>
      <c r="GR296" s="420">
        <f t="shared" si="249"/>
        <v>0</v>
      </c>
      <c r="GS296" s="423">
        <f t="shared" si="246"/>
        <v>0</v>
      </c>
      <c r="GT296" s="419"/>
      <c r="GU296" s="419"/>
      <c r="GV296" s="419"/>
      <c r="GW296" s="420">
        <f t="shared" si="247"/>
        <v>0</v>
      </c>
      <c r="GX296" s="420">
        <f t="shared" si="248"/>
        <v>0</v>
      </c>
    </row>
    <row r="297" spans="1:206" ht="15">
      <c r="A297" s="414"/>
      <c r="B297" s="415"/>
      <c r="C297" s="698"/>
      <c r="D297" s="467" t="s">
        <v>641</v>
      </c>
      <c r="E297" s="434" t="s">
        <v>604</v>
      </c>
      <c r="F297" s="417">
        <v>0.13</v>
      </c>
      <c r="G297" s="418">
        <f t="shared" si="244"/>
        <v>10974320.99</v>
      </c>
      <c r="H297" s="418">
        <f t="shared" si="245"/>
        <v>10974320.99</v>
      </c>
      <c r="I297" s="418">
        <f t="shared" si="245"/>
        <v>1426661.77</v>
      </c>
      <c r="J297" s="418">
        <f t="shared" si="252"/>
        <v>10974321.307692301</v>
      </c>
      <c r="K297" s="418">
        <f t="shared" si="250"/>
        <v>0.31769230775535101</v>
      </c>
      <c r="L297" s="418">
        <f t="shared" si="218"/>
        <v>0.31769230775535101</v>
      </c>
      <c r="M297" s="424"/>
      <c r="N297" s="424"/>
      <c r="O297" s="424"/>
      <c r="P297" s="424"/>
      <c r="Q297" s="419"/>
      <c r="R297" s="419"/>
      <c r="S297" s="419"/>
      <c r="T297" s="420"/>
      <c r="U297" s="423"/>
      <c r="V297" s="420"/>
      <c r="W297" s="420"/>
      <c r="X297" s="419"/>
      <c r="Y297" s="419"/>
      <c r="Z297" s="423"/>
      <c r="AA297" s="423"/>
      <c r="AB297" s="419"/>
      <c r="AC297" s="419"/>
      <c r="AD297" s="420"/>
      <c r="AE297" s="423"/>
      <c r="AF297" s="419"/>
      <c r="AG297" s="419"/>
      <c r="AH297" s="419"/>
      <c r="AI297" s="420"/>
      <c r="AJ297" s="423"/>
      <c r="AK297" s="419"/>
      <c r="AL297" s="420"/>
      <c r="AM297" s="419"/>
      <c r="AN297" s="420"/>
      <c r="AO297" s="423"/>
      <c r="AP297" s="419"/>
      <c r="AQ297" s="419"/>
      <c r="AR297" s="420"/>
      <c r="AS297" s="420"/>
      <c r="AT297" s="420"/>
      <c r="AU297" s="420"/>
      <c r="AV297" s="420"/>
      <c r="AW297" s="420"/>
      <c r="AX297" s="426"/>
      <c r="AY297" s="420"/>
      <c r="AZ297" s="420"/>
      <c r="BA297" s="420"/>
      <c r="BB297" s="419"/>
      <c r="BC297" s="420"/>
      <c r="BD297" s="427"/>
      <c r="BE297" s="420"/>
      <c r="BF297" s="420"/>
      <c r="BG297" s="420"/>
      <c r="BH297" s="423"/>
      <c r="BI297" s="420"/>
      <c r="BJ297" s="420"/>
      <c r="BK297" s="420"/>
      <c r="BL297" s="420"/>
      <c r="BM297" s="420"/>
      <c r="BN297" s="420"/>
      <c r="BO297" s="420"/>
      <c r="BP297" s="429"/>
      <c r="BQ297" s="420"/>
      <c r="BR297" s="423"/>
      <c r="BS297" s="423"/>
      <c r="BT297" s="420"/>
      <c r="BU297" s="420"/>
      <c r="BV297" s="420"/>
      <c r="BW297" s="420"/>
      <c r="BX297" s="429"/>
      <c r="BY297" s="419"/>
      <c r="BZ297" s="419"/>
      <c r="CA297" s="419"/>
      <c r="CB297" s="420"/>
      <c r="CC297" s="430"/>
      <c r="CD297" s="419"/>
      <c r="CE297" s="419"/>
      <c r="CF297" s="419"/>
      <c r="CG297" s="420"/>
      <c r="CH297" s="423"/>
      <c r="CI297" s="431"/>
      <c r="CJ297" s="431"/>
      <c r="CK297" s="431"/>
      <c r="CL297" s="420"/>
      <c r="CM297" s="423"/>
      <c r="CN297" s="420"/>
      <c r="CO297" s="420"/>
      <c r="CP297" s="420"/>
      <c r="CQ297" s="432"/>
      <c r="CR297" s="432"/>
      <c r="CS297" s="420"/>
      <c r="CT297" s="420"/>
      <c r="CU297" s="420"/>
      <c r="CV297" s="420"/>
      <c r="CW297" s="420"/>
      <c r="CX297" s="419"/>
      <c r="CY297" s="419"/>
      <c r="CZ297" s="419"/>
      <c r="DA297" s="419"/>
      <c r="DB297" s="419"/>
      <c r="DC297" s="419"/>
      <c r="DD297" s="419"/>
      <c r="DE297" s="419"/>
      <c r="DF297" s="420"/>
      <c r="DG297" s="421"/>
      <c r="DH297" s="419"/>
      <c r="DI297" s="419"/>
      <c r="DJ297" s="419"/>
      <c r="DK297" s="420"/>
      <c r="DL297" s="422"/>
      <c r="DM297" s="420"/>
      <c r="DN297" s="420"/>
      <c r="DO297" s="420"/>
      <c r="DP297" s="420"/>
      <c r="DQ297" s="420"/>
      <c r="DR297" s="419"/>
      <c r="DS297" s="419"/>
      <c r="DT297" s="419"/>
      <c r="DU297" s="420"/>
      <c r="DV297" s="423"/>
      <c r="DW297" s="419"/>
      <c r="DX297" s="419"/>
      <c r="DY297" s="419"/>
      <c r="DZ297" s="420"/>
      <c r="EA297" s="423"/>
      <c r="EB297" s="419"/>
      <c r="EC297" s="419"/>
      <c r="ED297" s="420"/>
      <c r="EE297" s="419"/>
      <c r="EF297" s="420"/>
      <c r="EG297" s="419"/>
      <c r="EH297" s="419"/>
      <c r="EI297" s="419"/>
      <c r="EJ297" s="420"/>
      <c r="EK297" s="420"/>
      <c r="EL297" s="419"/>
      <c r="EM297" s="419"/>
      <c r="EN297" s="419"/>
      <c r="EO297" s="419"/>
      <c r="EP297" s="419"/>
      <c r="EQ297" s="420"/>
      <c r="ER297" s="420"/>
      <c r="ES297" s="420"/>
      <c r="ET297" s="419"/>
      <c r="EU297" s="419"/>
      <c r="EV297" s="455"/>
      <c r="EW297" s="455"/>
      <c r="EX297" s="455"/>
      <c r="EY297" s="419"/>
      <c r="EZ297" s="419"/>
      <c r="FA297" s="420"/>
      <c r="FB297" s="420"/>
      <c r="FC297" s="420"/>
      <c r="FD297" s="420"/>
      <c r="FE297" s="420"/>
      <c r="FF297" s="419"/>
      <c r="FG297" s="420"/>
      <c r="FH297" s="419"/>
      <c r="FI297" s="419"/>
      <c r="FJ297" s="419"/>
      <c r="FK297" s="419"/>
      <c r="FL297" s="419"/>
      <c r="FM297" s="419"/>
      <c r="FN297" s="420"/>
      <c r="FO297" s="423"/>
      <c r="FP297" s="431"/>
      <c r="FQ297" s="431"/>
      <c r="FR297" s="431"/>
      <c r="FS297" s="420"/>
      <c r="FT297" s="420"/>
      <c r="FU297" s="419">
        <v>10974320.99</v>
      </c>
      <c r="FV297" s="419">
        <v>10974320.99</v>
      </c>
      <c r="FW297" s="419">
        <v>1426661.77</v>
      </c>
      <c r="FX297" s="420">
        <f t="shared" si="255"/>
        <v>10974321.310000001</v>
      </c>
      <c r="FY297" s="420">
        <f t="shared" si="256"/>
        <v>0.320000000298023</v>
      </c>
      <c r="FZ297" s="419"/>
      <c r="GA297" s="419"/>
      <c r="GB297" s="419"/>
      <c r="GC297" s="420">
        <f t="shared" si="253"/>
        <v>0</v>
      </c>
      <c r="GD297" s="420">
        <f t="shared" si="254"/>
        <v>0</v>
      </c>
      <c r="GE297" s="419"/>
      <c r="GF297" s="419"/>
      <c r="GG297" s="419"/>
      <c r="GH297" s="420">
        <f t="shared" si="261"/>
        <v>0</v>
      </c>
      <c r="GI297" s="423">
        <f t="shared" si="262"/>
        <v>0</v>
      </c>
      <c r="GJ297" s="419"/>
      <c r="GK297" s="419"/>
      <c r="GL297" s="419"/>
      <c r="GM297" s="420">
        <f t="shared" si="257"/>
        <v>0</v>
      </c>
      <c r="GN297" s="420">
        <f t="shared" si="258"/>
        <v>0</v>
      </c>
      <c r="GO297" s="419"/>
      <c r="GP297" s="419"/>
      <c r="GQ297" s="419"/>
      <c r="GR297" s="420">
        <f t="shared" si="249"/>
        <v>0</v>
      </c>
      <c r="GS297" s="423">
        <f t="shared" si="246"/>
        <v>0</v>
      </c>
      <c r="GT297" s="419"/>
      <c r="GU297" s="419"/>
      <c r="GV297" s="419"/>
      <c r="GW297" s="420">
        <f t="shared" si="247"/>
        <v>0</v>
      </c>
      <c r="GX297" s="420">
        <f t="shared" si="248"/>
        <v>0</v>
      </c>
    </row>
    <row r="298" spans="1:206" ht="15">
      <c r="A298" s="414"/>
      <c r="B298" s="415"/>
      <c r="C298" s="698"/>
      <c r="D298" s="467" t="s">
        <v>642</v>
      </c>
      <c r="E298" s="434" t="s">
        <v>604</v>
      </c>
      <c r="F298" s="417">
        <v>0.13</v>
      </c>
      <c r="G298" s="418">
        <f t="shared" si="244"/>
        <v>10505422.140000001</v>
      </c>
      <c r="H298" s="418">
        <f t="shared" si="245"/>
        <v>0</v>
      </c>
      <c r="I298" s="418">
        <f t="shared" si="245"/>
        <v>1365704.8781999999</v>
      </c>
      <c r="J298" s="418">
        <f t="shared" si="252"/>
        <v>10505422.140000001</v>
      </c>
      <c r="K298" s="418">
        <f t="shared" si="250"/>
        <v>10505422.140000001</v>
      </c>
      <c r="L298" s="418">
        <f t="shared" si="218"/>
        <v>0</v>
      </c>
      <c r="M298" s="424"/>
      <c r="N298" s="424"/>
      <c r="O298" s="424"/>
      <c r="P298" s="424"/>
      <c r="Q298" s="419"/>
      <c r="R298" s="419"/>
      <c r="S298" s="419"/>
      <c r="T298" s="420"/>
      <c r="U298" s="423"/>
      <c r="V298" s="420"/>
      <c r="W298" s="420"/>
      <c r="X298" s="419"/>
      <c r="Y298" s="419"/>
      <c r="Z298" s="423"/>
      <c r="AA298" s="423"/>
      <c r="AB298" s="419"/>
      <c r="AC298" s="419"/>
      <c r="AD298" s="420"/>
      <c r="AE298" s="423"/>
      <c r="AF298" s="419"/>
      <c r="AG298" s="419"/>
      <c r="AH298" s="419"/>
      <c r="AI298" s="420"/>
      <c r="AJ298" s="423"/>
      <c r="AK298" s="419"/>
      <c r="AL298" s="420"/>
      <c r="AM298" s="419"/>
      <c r="AN298" s="420"/>
      <c r="AO298" s="423"/>
      <c r="AP298" s="419"/>
      <c r="AQ298" s="419"/>
      <c r="AR298" s="420"/>
      <c r="AS298" s="420"/>
      <c r="AT298" s="420"/>
      <c r="AU298" s="420"/>
      <c r="AV298" s="420"/>
      <c r="AW298" s="420"/>
      <c r="AX298" s="426"/>
      <c r="AY298" s="420"/>
      <c r="AZ298" s="420"/>
      <c r="BA298" s="420"/>
      <c r="BB298" s="419"/>
      <c r="BC298" s="420"/>
      <c r="BD298" s="427"/>
      <c r="BE298" s="420"/>
      <c r="BF298" s="420"/>
      <c r="BG298" s="420"/>
      <c r="BH298" s="423"/>
      <c r="BI298" s="420"/>
      <c r="BJ298" s="420"/>
      <c r="BK298" s="420"/>
      <c r="BL298" s="420"/>
      <c r="BM298" s="420"/>
      <c r="BN298" s="420"/>
      <c r="BO298" s="420"/>
      <c r="BP298" s="429"/>
      <c r="BQ298" s="420"/>
      <c r="BR298" s="423"/>
      <c r="BS298" s="423"/>
      <c r="BT298" s="420"/>
      <c r="BU298" s="420"/>
      <c r="BV298" s="420"/>
      <c r="BW298" s="420"/>
      <c r="BX298" s="429"/>
      <c r="BY298" s="419"/>
      <c r="BZ298" s="419"/>
      <c r="CA298" s="419"/>
      <c r="CB298" s="420"/>
      <c r="CC298" s="430"/>
      <c r="CD298" s="419"/>
      <c r="CE298" s="419"/>
      <c r="CF298" s="419"/>
      <c r="CG298" s="420"/>
      <c r="CH298" s="423"/>
      <c r="CI298" s="431"/>
      <c r="CJ298" s="431"/>
      <c r="CK298" s="431"/>
      <c r="CL298" s="420"/>
      <c r="CM298" s="423"/>
      <c r="CN298" s="420"/>
      <c r="CO298" s="420"/>
      <c r="CP298" s="420"/>
      <c r="CQ298" s="432"/>
      <c r="CR298" s="432"/>
      <c r="CS298" s="420"/>
      <c r="CT298" s="420"/>
      <c r="CU298" s="420"/>
      <c r="CV298" s="420"/>
      <c r="CW298" s="420"/>
      <c r="CX298" s="419"/>
      <c r="CY298" s="419"/>
      <c r="CZ298" s="419"/>
      <c r="DA298" s="419"/>
      <c r="DB298" s="419"/>
      <c r="DC298" s="419"/>
      <c r="DD298" s="419"/>
      <c r="DE298" s="419"/>
      <c r="DF298" s="420"/>
      <c r="DG298" s="421"/>
      <c r="DH298" s="419"/>
      <c r="DI298" s="419"/>
      <c r="DJ298" s="419"/>
      <c r="DK298" s="420"/>
      <c r="DL298" s="422"/>
      <c r="DM298" s="420"/>
      <c r="DN298" s="420"/>
      <c r="DO298" s="420"/>
      <c r="DP298" s="420"/>
      <c r="DQ298" s="420"/>
      <c r="DR298" s="419"/>
      <c r="DS298" s="419"/>
      <c r="DT298" s="419"/>
      <c r="DU298" s="420"/>
      <c r="DV298" s="423"/>
      <c r="DW298" s="419"/>
      <c r="DX298" s="419"/>
      <c r="DY298" s="419"/>
      <c r="DZ298" s="420"/>
      <c r="EA298" s="423"/>
      <c r="EB298" s="419"/>
      <c r="EC298" s="419"/>
      <c r="ED298" s="420"/>
      <c r="EE298" s="419"/>
      <c r="EF298" s="420"/>
      <c r="EG298" s="419"/>
      <c r="EH298" s="419"/>
      <c r="EI298" s="419"/>
      <c r="EJ298" s="420"/>
      <c r="EK298" s="420"/>
      <c r="EL298" s="419"/>
      <c r="EM298" s="419"/>
      <c r="EN298" s="419"/>
      <c r="EO298" s="419"/>
      <c r="EP298" s="419"/>
      <c r="EQ298" s="420"/>
      <c r="ER298" s="420"/>
      <c r="ES298" s="420"/>
      <c r="ET298" s="419"/>
      <c r="EU298" s="419"/>
      <c r="EV298" s="455"/>
      <c r="EW298" s="455"/>
      <c r="EX298" s="455"/>
      <c r="EY298" s="419"/>
      <c r="EZ298" s="419"/>
      <c r="FA298" s="420"/>
      <c r="FB298" s="420"/>
      <c r="FC298" s="420"/>
      <c r="FD298" s="420"/>
      <c r="FE298" s="420"/>
      <c r="FF298" s="419"/>
      <c r="FG298" s="420"/>
      <c r="FH298" s="419"/>
      <c r="FI298" s="419"/>
      <c r="FJ298" s="419"/>
      <c r="FK298" s="419"/>
      <c r="FL298" s="419"/>
      <c r="FM298" s="419"/>
      <c r="FN298" s="420"/>
      <c r="FO298" s="423"/>
      <c r="FP298" s="431"/>
      <c r="FQ298" s="431"/>
      <c r="FR298" s="431"/>
      <c r="FS298" s="420"/>
      <c r="FT298" s="420"/>
      <c r="FU298" s="419">
        <v>10505422.140000001</v>
      </c>
      <c r="FV298" s="419">
        <v>0</v>
      </c>
      <c r="FW298" s="419">
        <f>FU298*0.13</f>
        <v>1365704.8781999999</v>
      </c>
      <c r="FX298" s="420">
        <f t="shared" si="255"/>
        <v>10505422.140000001</v>
      </c>
      <c r="FY298" s="420">
        <f t="shared" si="256"/>
        <v>0</v>
      </c>
      <c r="FZ298" s="419"/>
      <c r="GA298" s="419"/>
      <c r="GB298" s="419"/>
      <c r="GC298" s="420">
        <f t="shared" si="253"/>
        <v>0</v>
      </c>
      <c r="GD298" s="420">
        <f t="shared" si="254"/>
        <v>0</v>
      </c>
      <c r="GE298" s="419"/>
      <c r="GF298" s="419"/>
      <c r="GG298" s="419"/>
      <c r="GH298" s="420">
        <f t="shared" si="261"/>
        <v>0</v>
      </c>
      <c r="GI298" s="423">
        <f t="shared" si="262"/>
        <v>0</v>
      </c>
      <c r="GJ298" s="419"/>
      <c r="GK298" s="419"/>
      <c r="GL298" s="419"/>
      <c r="GM298" s="420">
        <f t="shared" si="257"/>
        <v>0</v>
      </c>
      <c r="GN298" s="420">
        <f t="shared" si="258"/>
        <v>0</v>
      </c>
      <c r="GO298" s="419"/>
      <c r="GP298" s="419"/>
      <c r="GQ298" s="419"/>
      <c r="GR298" s="420">
        <f t="shared" si="249"/>
        <v>0</v>
      </c>
      <c r="GS298" s="423">
        <f t="shared" si="246"/>
        <v>0</v>
      </c>
      <c r="GT298" s="419"/>
      <c r="GU298" s="419"/>
      <c r="GV298" s="419"/>
      <c r="GW298" s="420">
        <f t="shared" si="247"/>
        <v>0</v>
      </c>
      <c r="GX298" s="420">
        <f t="shared" si="248"/>
        <v>0</v>
      </c>
    </row>
    <row r="299" spans="1:206" ht="15">
      <c r="A299" s="414"/>
      <c r="B299" s="415"/>
      <c r="C299" s="698"/>
      <c r="D299" s="467" t="s">
        <v>643</v>
      </c>
      <c r="E299" s="434" t="s">
        <v>604</v>
      </c>
      <c r="F299" s="417">
        <v>0.13</v>
      </c>
      <c r="G299" s="418">
        <f t="shared" si="244"/>
        <v>10354979.67</v>
      </c>
      <c r="H299" s="418">
        <f t="shared" si="245"/>
        <v>0</v>
      </c>
      <c r="I299" s="418">
        <f t="shared" si="245"/>
        <v>1346147.3570999999</v>
      </c>
      <c r="J299" s="418">
        <f t="shared" si="252"/>
        <v>10354979.67</v>
      </c>
      <c r="K299" s="418">
        <f t="shared" si="250"/>
        <v>10354979.67</v>
      </c>
      <c r="L299" s="418">
        <f t="shared" si="218"/>
        <v>0</v>
      </c>
      <c r="M299" s="424"/>
      <c r="N299" s="424"/>
      <c r="O299" s="424"/>
      <c r="P299" s="424"/>
      <c r="Q299" s="419"/>
      <c r="R299" s="419"/>
      <c r="S299" s="419"/>
      <c r="T299" s="420"/>
      <c r="U299" s="423"/>
      <c r="V299" s="420"/>
      <c r="W299" s="420"/>
      <c r="X299" s="419"/>
      <c r="Y299" s="419"/>
      <c r="Z299" s="423"/>
      <c r="AA299" s="423"/>
      <c r="AB299" s="419"/>
      <c r="AC299" s="419"/>
      <c r="AD299" s="420"/>
      <c r="AE299" s="423"/>
      <c r="AF299" s="419"/>
      <c r="AG299" s="419"/>
      <c r="AH299" s="419"/>
      <c r="AI299" s="420"/>
      <c r="AJ299" s="423"/>
      <c r="AK299" s="419"/>
      <c r="AL299" s="420"/>
      <c r="AM299" s="419"/>
      <c r="AN299" s="420"/>
      <c r="AO299" s="423"/>
      <c r="AP299" s="419"/>
      <c r="AQ299" s="419"/>
      <c r="AR299" s="420"/>
      <c r="AS299" s="420"/>
      <c r="AT299" s="420"/>
      <c r="AU299" s="420"/>
      <c r="AV299" s="420"/>
      <c r="AW299" s="420"/>
      <c r="AX299" s="426"/>
      <c r="AY299" s="420"/>
      <c r="AZ299" s="420"/>
      <c r="BA299" s="420"/>
      <c r="BB299" s="419"/>
      <c r="BC299" s="420"/>
      <c r="BD299" s="427"/>
      <c r="BE299" s="420"/>
      <c r="BF299" s="420"/>
      <c r="BG299" s="420"/>
      <c r="BH299" s="423"/>
      <c r="BI299" s="420"/>
      <c r="BJ299" s="420"/>
      <c r="BK299" s="420"/>
      <c r="BL299" s="420"/>
      <c r="BM299" s="420"/>
      <c r="BN299" s="420"/>
      <c r="BO299" s="420"/>
      <c r="BP299" s="429"/>
      <c r="BQ299" s="420"/>
      <c r="BR299" s="423"/>
      <c r="BS299" s="423"/>
      <c r="BT299" s="420"/>
      <c r="BU299" s="420"/>
      <c r="BV299" s="420"/>
      <c r="BW299" s="420"/>
      <c r="BX299" s="429"/>
      <c r="BY299" s="419"/>
      <c r="BZ299" s="419"/>
      <c r="CA299" s="419"/>
      <c r="CB299" s="420"/>
      <c r="CC299" s="430"/>
      <c r="CD299" s="419"/>
      <c r="CE299" s="419"/>
      <c r="CF299" s="419"/>
      <c r="CG299" s="420"/>
      <c r="CH299" s="423"/>
      <c r="CI299" s="431"/>
      <c r="CJ299" s="431"/>
      <c r="CK299" s="431"/>
      <c r="CL299" s="420"/>
      <c r="CM299" s="423"/>
      <c r="CN299" s="420"/>
      <c r="CO299" s="420"/>
      <c r="CP299" s="420"/>
      <c r="CQ299" s="432"/>
      <c r="CR299" s="432"/>
      <c r="CS299" s="420"/>
      <c r="CT299" s="420"/>
      <c r="CU299" s="420"/>
      <c r="CV299" s="420"/>
      <c r="CW299" s="420"/>
      <c r="CX299" s="419"/>
      <c r="CY299" s="419"/>
      <c r="CZ299" s="419"/>
      <c r="DA299" s="419"/>
      <c r="DB299" s="419"/>
      <c r="DC299" s="419"/>
      <c r="DD299" s="419"/>
      <c r="DE299" s="419"/>
      <c r="DF299" s="420"/>
      <c r="DG299" s="421"/>
      <c r="DH299" s="419"/>
      <c r="DI299" s="419"/>
      <c r="DJ299" s="419"/>
      <c r="DK299" s="420"/>
      <c r="DL299" s="422"/>
      <c r="DM299" s="420"/>
      <c r="DN299" s="420"/>
      <c r="DO299" s="420"/>
      <c r="DP299" s="420"/>
      <c r="DQ299" s="420"/>
      <c r="DR299" s="419"/>
      <c r="DS299" s="419"/>
      <c r="DT299" s="419"/>
      <c r="DU299" s="420"/>
      <c r="DV299" s="423"/>
      <c r="DW299" s="419"/>
      <c r="DX299" s="419"/>
      <c r="DY299" s="419"/>
      <c r="DZ299" s="420"/>
      <c r="EA299" s="423"/>
      <c r="EB299" s="419"/>
      <c r="EC299" s="419"/>
      <c r="ED299" s="420"/>
      <c r="EE299" s="419"/>
      <c r="EF299" s="420"/>
      <c r="EG299" s="419"/>
      <c r="EH299" s="419"/>
      <c r="EI299" s="419"/>
      <c r="EJ299" s="420"/>
      <c r="EK299" s="420"/>
      <c r="EL299" s="419"/>
      <c r="EM299" s="419"/>
      <c r="EN299" s="419"/>
      <c r="EO299" s="419"/>
      <c r="EP299" s="419"/>
      <c r="EQ299" s="420"/>
      <c r="ER299" s="420"/>
      <c r="ES299" s="420"/>
      <c r="ET299" s="419"/>
      <c r="EU299" s="419"/>
      <c r="EV299" s="455"/>
      <c r="EW299" s="455"/>
      <c r="EX299" s="455"/>
      <c r="EY299" s="419"/>
      <c r="EZ299" s="419"/>
      <c r="FA299" s="420"/>
      <c r="FB299" s="420"/>
      <c r="FC299" s="420"/>
      <c r="FD299" s="420"/>
      <c r="FE299" s="420"/>
      <c r="FF299" s="419"/>
      <c r="FG299" s="420"/>
      <c r="FH299" s="419"/>
      <c r="FI299" s="419"/>
      <c r="FJ299" s="419"/>
      <c r="FK299" s="419"/>
      <c r="FL299" s="419"/>
      <c r="FM299" s="419"/>
      <c r="FN299" s="420"/>
      <c r="FO299" s="423"/>
      <c r="FP299" s="431"/>
      <c r="FQ299" s="431"/>
      <c r="FR299" s="431"/>
      <c r="FS299" s="420"/>
      <c r="FT299" s="420"/>
      <c r="FU299" s="419">
        <v>10354979.67</v>
      </c>
      <c r="FV299" s="419">
        <v>0</v>
      </c>
      <c r="FW299" s="419">
        <f>FU299*0.13</f>
        <v>1346147.3570999999</v>
      </c>
      <c r="FX299" s="420">
        <f t="shared" si="255"/>
        <v>10354979.67</v>
      </c>
      <c r="FY299" s="420">
        <f t="shared" si="256"/>
        <v>0</v>
      </c>
      <c r="FZ299" s="419"/>
      <c r="GA299" s="419"/>
      <c r="GB299" s="419"/>
      <c r="GC299" s="420">
        <f t="shared" si="253"/>
        <v>0</v>
      </c>
      <c r="GD299" s="420">
        <f t="shared" si="254"/>
        <v>0</v>
      </c>
      <c r="GE299" s="419"/>
      <c r="GF299" s="419"/>
      <c r="GG299" s="419"/>
      <c r="GH299" s="420">
        <f t="shared" si="261"/>
        <v>0</v>
      </c>
      <c r="GI299" s="423">
        <f t="shared" si="262"/>
        <v>0</v>
      </c>
      <c r="GJ299" s="419"/>
      <c r="GK299" s="419"/>
      <c r="GL299" s="419"/>
      <c r="GM299" s="420">
        <f t="shared" si="257"/>
        <v>0</v>
      </c>
      <c r="GN299" s="420">
        <f t="shared" si="258"/>
        <v>0</v>
      </c>
      <c r="GO299" s="419"/>
      <c r="GP299" s="419"/>
      <c r="GQ299" s="419"/>
      <c r="GR299" s="420">
        <f t="shared" si="249"/>
        <v>0</v>
      </c>
      <c r="GS299" s="423">
        <f t="shared" si="246"/>
        <v>0</v>
      </c>
      <c r="GT299" s="419"/>
      <c r="GU299" s="419"/>
      <c r="GV299" s="419"/>
      <c r="GW299" s="420">
        <f t="shared" si="247"/>
        <v>0</v>
      </c>
      <c r="GX299" s="420">
        <f t="shared" si="248"/>
        <v>0</v>
      </c>
    </row>
    <row r="300" spans="1:206" ht="15">
      <c r="A300" s="414"/>
      <c r="B300" s="415"/>
      <c r="C300" s="698"/>
      <c r="D300" s="467" t="s">
        <v>644</v>
      </c>
      <c r="E300" s="434" t="s">
        <v>604</v>
      </c>
      <c r="F300" s="417">
        <v>0.13</v>
      </c>
      <c r="G300" s="418">
        <f t="shared" si="244"/>
        <v>20324865.140000001</v>
      </c>
      <c r="H300" s="418">
        <f t="shared" si="245"/>
        <v>20324865.140000001</v>
      </c>
      <c r="I300" s="418">
        <f t="shared" si="245"/>
        <v>2642232.42</v>
      </c>
      <c r="J300" s="418">
        <f t="shared" si="252"/>
        <v>20324864.769230802</v>
      </c>
      <c r="K300" s="418">
        <f t="shared" si="250"/>
        <v>-0.37076923251152</v>
      </c>
      <c r="L300" s="418">
        <f t="shared" si="218"/>
        <v>-0.37076923251152</v>
      </c>
      <c r="M300" s="424"/>
      <c r="N300" s="424"/>
      <c r="O300" s="424"/>
      <c r="P300" s="424"/>
      <c r="Q300" s="419"/>
      <c r="R300" s="419"/>
      <c r="S300" s="419"/>
      <c r="T300" s="420"/>
      <c r="U300" s="423"/>
      <c r="V300" s="420"/>
      <c r="W300" s="420"/>
      <c r="X300" s="419"/>
      <c r="Y300" s="419"/>
      <c r="Z300" s="423"/>
      <c r="AA300" s="423"/>
      <c r="AB300" s="419"/>
      <c r="AC300" s="419"/>
      <c r="AD300" s="420"/>
      <c r="AE300" s="423"/>
      <c r="AF300" s="419"/>
      <c r="AG300" s="419"/>
      <c r="AH300" s="419"/>
      <c r="AI300" s="420"/>
      <c r="AJ300" s="423"/>
      <c r="AK300" s="419"/>
      <c r="AL300" s="420"/>
      <c r="AM300" s="419"/>
      <c r="AN300" s="420"/>
      <c r="AO300" s="423"/>
      <c r="AP300" s="419"/>
      <c r="AQ300" s="419"/>
      <c r="AR300" s="420"/>
      <c r="AS300" s="420"/>
      <c r="AT300" s="420"/>
      <c r="AU300" s="420"/>
      <c r="AV300" s="420"/>
      <c r="AW300" s="420"/>
      <c r="AX300" s="426"/>
      <c r="AY300" s="420"/>
      <c r="AZ300" s="420"/>
      <c r="BA300" s="420"/>
      <c r="BB300" s="419"/>
      <c r="BC300" s="420"/>
      <c r="BD300" s="427"/>
      <c r="BE300" s="420"/>
      <c r="BF300" s="420"/>
      <c r="BG300" s="420"/>
      <c r="BH300" s="423"/>
      <c r="BI300" s="420"/>
      <c r="BJ300" s="420"/>
      <c r="BK300" s="420"/>
      <c r="BL300" s="420"/>
      <c r="BM300" s="420"/>
      <c r="BN300" s="420"/>
      <c r="BO300" s="420"/>
      <c r="BP300" s="429"/>
      <c r="BQ300" s="420"/>
      <c r="BR300" s="423"/>
      <c r="BS300" s="423"/>
      <c r="BT300" s="420"/>
      <c r="BU300" s="420"/>
      <c r="BV300" s="420"/>
      <c r="BW300" s="420"/>
      <c r="BX300" s="429"/>
      <c r="BY300" s="419"/>
      <c r="BZ300" s="419"/>
      <c r="CA300" s="419"/>
      <c r="CB300" s="420"/>
      <c r="CC300" s="430"/>
      <c r="CD300" s="419"/>
      <c r="CE300" s="419"/>
      <c r="CF300" s="419"/>
      <c r="CG300" s="420"/>
      <c r="CH300" s="423"/>
      <c r="CI300" s="431"/>
      <c r="CJ300" s="431"/>
      <c r="CK300" s="431"/>
      <c r="CL300" s="420"/>
      <c r="CM300" s="423"/>
      <c r="CN300" s="420"/>
      <c r="CO300" s="420"/>
      <c r="CP300" s="420"/>
      <c r="CQ300" s="432"/>
      <c r="CR300" s="432"/>
      <c r="CS300" s="420"/>
      <c r="CT300" s="420"/>
      <c r="CU300" s="420"/>
      <c r="CV300" s="420"/>
      <c r="CW300" s="420"/>
      <c r="CX300" s="419"/>
      <c r="CY300" s="419"/>
      <c r="CZ300" s="419"/>
      <c r="DA300" s="419"/>
      <c r="DB300" s="419"/>
      <c r="DC300" s="419"/>
      <c r="DD300" s="419"/>
      <c r="DE300" s="419"/>
      <c r="DF300" s="420"/>
      <c r="DG300" s="421"/>
      <c r="DH300" s="419"/>
      <c r="DI300" s="419"/>
      <c r="DJ300" s="419"/>
      <c r="DK300" s="420"/>
      <c r="DL300" s="422"/>
      <c r="DM300" s="420"/>
      <c r="DN300" s="420"/>
      <c r="DO300" s="420"/>
      <c r="DP300" s="420"/>
      <c r="DQ300" s="420"/>
      <c r="DR300" s="419"/>
      <c r="DS300" s="419"/>
      <c r="DT300" s="419"/>
      <c r="DU300" s="420"/>
      <c r="DV300" s="423"/>
      <c r="DW300" s="419"/>
      <c r="DX300" s="419"/>
      <c r="DY300" s="419"/>
      <c r="DZ300" s="420"/>
      <c r="EA300" s="423"/>
      <c r="EB300" s="419"/>
      <c r="EC300" s="419"/>
      <c r="ED300" s="420"/>
      <c r="EE300" s="419"/>
      <c r="EF300" s="420"/>
      <c r="EG300" s="419"/>
      <c r="EH300" s="419"/>
      <c r="EI300" s="419"/>
      <c r="EJ300" s="420"/>
      <c r="EK300" s="420"/>
      <c r="EL300" s="419"/>
      <c r="EM300" s="419"/>
      <c r="EN300" s="419"/>
      <c r="EO300" s="419"/>
      <c r="EP300" s="419"/>
      <c r="EQ300" s="420"/>
      <c r="ER300" s="420"/>
      <c r="ES300" s="420"/>
      <c r="ET300" s="419"/>
      <c r="EU300" s="419"/>
      <c r="EV300" s="455"/>
      <c r="EW300" s="455"/>
      <c r="EX300" s="455"/>
      <c r="EY300" s="419"/>
      <c r="EZ300" s="419"/>
      <c r="FA300" s="420"/>
      <c r="FB300" s="420"/>
      <c r="FC300" s="420"/>
      <c r="FD300" s="420"/>
      <c r="FE300" s="420"/>
      <c r="FF300" s="419"/>
      <c r="FG300" s="420"/>
      <c r="FH300" s="419"/>
      <c r="FI300" s="419"/>
      <c r="FJ300" s="419"/>
      <c r="FK300" s="419"/>
      <c r="FL300" s="419"/>
      <c r="FM300" s="419"/>
      <c r="FN300" s="420"/>
      <c r="FO300" s="423"/>
      <c r="FP300" s="431"/>
      <c r="FQ300" s="431"/>
      <c r="FR300" s="431"/>
      <c r="FS300" s="420"/>
      <c r="FT300" s="420"/>
      <c r="FU300" s="419">
        <v>20324865.140000001</v>
      </c>
      <c r="FV300" s="419">
        <v>20324865.140000001</v>
      </c>
      <c r="FW300" s="419">
        <v>2642232.42</v>
      </c>
      <c r="FX300" s="420">
        <f t="shared" si="255"/>
        <v>20324864.77</v>
      </c>
      <c r="FY300" s="420">
        <f t="shared" si="256"/>
        <v>-0.37000000104308101</v>
      </c>
      <c r="FZ300" s="419"/>
      <c r="GA300" s="419"/>
      <c r="GB300" s="419"/>
      <c r="GC300" s="420">
        <f t="shared" si="253"/>
        <v>0</v>
      </c>
      <c r="GD300" s="420">
        <f t="shared" si="254"/>
        <v>0</v>
      </c>
      <c r="GE300" s="419"/>
      <c r="GF300" s="419"/>
      <c r="GG300" s="419"/>
      <c r="GH300" s="420">
        <f t="shared" si="261"/>
        <v>0</v>
      </c>
      <c r="GI300" s="423">
        <f t="shared" si="262"/>
        <v>0</v>
      </c>
      <c r="GJ300" s="419"/>
      <c r="GK300" s="419"/>
      <c r="GL300" s="419"/>
      <c r="GM300" s="420">
        <f t="shared" si="257"/>
        <v>0</v>
      </c>
      <c r="GN300" s="420">
        <f t="shared" si="258"/>
        <v>0</v>
      </c>
      <c r="GO300" s="419"/>
      <c r="GP300" s="419"/>
      <c r="GQ300" s="419"/>
      <c r="GR300" s="420">
        <f t="shared" si="249"/>
        <v>0</v>
      </c>
      <c r="GS300" s="423">
        <f t="shared" si="246"/>
        <v>0</v>
      </c>
      <c r="GT300" s="419"/>
      <c r="GU300" s="419"/>
      <c r="GV300" s="419"/>
      <c r="GW300" s="420">
        <f t="shared" si="247"/>
        <v>0</v>
      </c>
      <c r="GX300" s="420">
        <f t="shared" si="248"/>
        <v>0</v>
      </c>
    </row>
    <row r="301" spans="1:206" ht="15">
      <c r="A301" s="414"/>
      <c r="B301" s="415"/>
      <c r="C301" s="698"/>
      <c r="D301" s="467" t="s">
        <v>645</v>
      </c>
      <c r="E301" s="434" t="s">
        <v>604</v>
      </c>
      <c r="F301" s="417">
        <v>0.13</v>
      </c>
      <c r="G301" s="418">
        <f t="shared" si="244"/>
        <v>35440167.460000001</v>
      </c>
      <c r="H301" s="418">
        <f t="shared" si="245"/>
        <v>35440167.460000001</v>
      </c>
      <c r="I301" s="418">
        <f t="shared" si="245"/>
        <v>4607221.74</v>
      </c>
      <c r="J301" s="418">
        <f t="shared" si="252"/>
        <v>35440167.230769202</v>
      </c>
      <c r="K301" s="418">
        <f t="shared" si="250"/>
        <v>-0.22923076897859601</v>
      </c>
      <c r="L301" s="418">
        <f t="shared" si="218"/>
        <v>-0.22923076897859601</v>
      </c>
      <c r="M301" s="424"/>
      <c r="N301" s="424"/>
      <c r="O301" s="424"/>
      <c r="P301" s="424"/>
      <c r="Q301" s="419"/>
      <c r="R301" s="419"/>
      <c r="S301" s="419"/>
      <c r="T301" s="420"/>
      <c r="U301" s="423"/>
      <c r="V301" s="420"/>
      <c r="W301" s="420"/>
      <c r="X301" s="419"/>
      <c r="Y301" s="419"/>
      <c r="Z301" s="423"/>
      <c r="AA301" s="423"/>
      <c r="AB301" s="419"/>
      <c r="AC301" s="419"/>
      <c r="AD301" s="420"/>
      <c r="AE301" s="423"/>
      <c r="AF301" s="419"/>
      <c r="AG301" s="419"/>
      <c r="AH301" s="419"/>
      <c r="AI301" s="420"/>
      <c r="AJ301" s="423"/>
      <c r="AK301" s="419"/>
      <c r="AL301" s="420"/>
      <c r="AM301" s="419"/>
      <c r="AN301" s="420"/>
      <c r="AO301" s="423"/>
      <c r="AP301" s="419"/>
      <c r="AQ301" s="419"/>
      <c r="AR301" s="420"/>
      <c r="AS301" s="420"/>
      <c r="AT301" s="420"/>
      <c r="AU301" s="420"/>
      <c r="AV301" s="420"/>
      <c r="AW301" s="420"/>
      <c r="AX301" s="426"/>
      <c r="AY301" s="420"/>
      <c r="AZ301" s="420"/>
      <c r="BA301" s="420"/>
      <c r="BB301" s="419"/>
      <c r="BC301" s="420"/>
      <c r="BD301" s="427"/>
      <c r="BE301" s="420"/>
      <c r="BF301" s="420"/>
      <c r="BG301" s="420"/>
      <c r="BH301" s="423"/>
      <c r="BI301" s="420"/>
      <c r="BJ301" s="420"/>
      <c r="BK301" s="420"/>
      <c r="BL301" s="420"/>
      <c r="BM301" s="420"/>
      <c r="BN301" s="420"/>
      <c r="BO301" s="420"/>
      <c r="BP301" s="429"/>
      <c r="BQ301" s="420"/>
      <c r="BR301" s="423"/>
      <c r="BS301" s="423"/>
      <c r="BT301" s="420"/>
      <c r="BU301" s="420"/>
      <c r="BV301" s="420"/>
      <c r="BW301" s="420"/>
      <c r="BX301" s="429"/>
      <c r="BY301" s="419"/>
      <c r="BZ301" s="419"/>
      <c r="CA301" s="419"/>
      <c r="CB301" s="420"/>
      <c r="CC301" s="430"/>
      <c r="CD301" s="419"/>
      <c r="CE301" s="419"/>
      <c r="CF301" s="419"/>
      <c r="CG301" s="420"/>
      <c r="CH301" s="423"/>
      <c r="CI301" s="431"/>
      <c r="CJ301" s="431"/>
      <c r="CK301" s="431"/>
      <c r="CL301" s="420"/>
      <c r="CM301" s="423"/>
      <c r="CN301" s="420"/>
      <c r="CO301" s="420"/>
      <c r="CP301" s="420"/>
      <c r="CQ301" s="432"/>
      <c r="CR301" s="432"/>
      <c r="CS301" s="420"/>
      <c r="CT301" s="420"/>
      <c r="CU301" s="420"/>
      <c r="CV301" s="420"/>
      <c r="CW301" s="420"/>
      <c r="CX301" s="419"/>
      <c r="CY301" s="419"/>
      <c r="CZ301" s="419"/>
      <c r="DA301" s="419"/>
      <c r="DB301" s="419"/>
      <c r="DC301" s="419"/>
      <c r="DD301" s="419"/>
      <c r="DE301" s="419"/>
      <c r="DF301" s="420"/>
      <c r="DG301" s="421"/>
      <c r="DH301" s="419"/>
      <c r="DI301" s="419"/>
      <c r="DJ301" s="419"/>
      <c r="DK301" s="420"/>
      <c r="DL301" s="422"/>
      <c r="DM301" s="420"/>
      <c r="DN301" s="420"/>
      <c r="DO301" s="420"/>
      <c r="DP301" s="420"/>
      <c r="DQ301" s="420"/>
      <c r="DR301" s="419"/>
      <c r="DS301" s="419"/>
      <c r="DT301" s="419"/>
      <c r="DU301" s="420"/>
      <c r="DV301" s="423"/>
      <c r="DW301" s="419"/>
      <c r="DX301" s="419"/>
      <c r="DY301" s="419"/>
      <c r="DZ301" s="420"/>
      <c r="EA301" s="423"/>
      <c r="EB301" s="419"/>
      <c r="EC301" s="419"/>
      <c r="ED301" s="420"/>
      <c r="EE301" s="419"/>
      <c r="EF301" s="420"/>
      <c r="EG301" s="419"/>
      <c r="EH301" s="419"/>
      <c r="EI301" s="419"/>
      <c r="EJ301" s="420"/>
      <c r="EK301" s="420"/>
      <c r="EL301" s="419"/>
      <c r="EM301" s="419"/>
      <c r="EN301" s="419"/>
      <c r="EO301" s="419"/>
      <c r="EP301" s="419"/>
      <c r="EQ301" s="420"/>
      <c r="ER301" s="420"/>
      <c r="ES301" s="420"/>
      <c r="ET301" s="419"/>
      <c r="EU301" s="419"/>
      <c r="EV301" s="455"/>
      <c r="EW301" s="455"/>
      <c r="EX301" s="455"/>
      <c r="EY301" s="419"/>
      <c r="EZ301" s="419"/>
      <c r="FA301" s="420"/>
      <c r="FB301" s="420"/>
      <c r="FC301" s="420"/>
      <c r="FD301" s="420"/>
      <c r="FE301" s="420"/>
      <c r="FF301" s="419"/>
      <c r="FG301" s="420"/>
      <c r="FH301" s="419"/>
      <c r="FI301" s="419"/>
      <c r="FJ301" s="419"/>
      <c r="FK301" s="419"/>
      <c r="FL301" s="419"/>
      <c r="FM301" s="419"/>
      <c r="FN301" s="420"/>
      <c r="FO301" s="423"/>
      <c r="FP301" s="431"/>
      <c r="FQ301" s="431"/>
      <c r="FR301" s="431"/>
      <c r="FS301" s="420"/>
      <c r="FT301" s="420"/>
      <c r="FU301" s="419">
        <v>35440167.460000001</v>
      </c>
      <c r="FV301" s="419">
        <v>35440167.460000001</v>
      </c>
      <c r="FW301" s="419">
        <v>4607221.74</v>
      </c>
      <c r="FX301" s="420">
        <f t="shared" si="255"/>
        <v>35440167.229999997</v>
      </c>
      <c r="FY301" s="420">
        <f t="shared" si="256"/>
        <v>-0.230000004172325</v>
      </c>
      <c r="FZ301" s="419"/>
      <c r="GA301" s="419"/>
      <c r="GB301" s="419"/>
      <c r="GC301" s="420">
        <f t="shared" si="253"/>
        <v>0</v>
      </c>
      <c r="GD301" s="420">
        <f t="shared" si="254"/>
        <v>0</v>
      </c>
      <c r="GE301" s="419"/>
      <c r="GF301" s="419"/>
      <c r="GG301" s="419"/>
      <c r="GH301" s="420">
        <f t="shared" si="261"/>
        <v>0</v>
      </c>
      <c r="GI301" s="423">
        <f t="shared" si="262"/>
        <v>0</v>
      </c>
      <c r="GJ301" s="419"/>
      <c r="GK301" s="419"/>
      <c r="GL301" s="419"/>
      <c r="GM301" s="420">
        <f t="shared" si="257"/>
        <v>0</v>
      </c>
      <c r="GN301" s="420">
        <f t="shared" si="258"/>
        <v>0</v>
      </c>
      <c r="GO301" s="419"/>
      <c r="GP301" s="419"/>
      <c r="GQ301" s="419"/>
      <c r="GR301" s="420">
        <f t="shared" si="249"/>
        <v>0</v>
      </c>
      <c r="GS301" s="423">
        <f t="shared" si="246"/>
        <v>0</v>
      </c>
      <c r="GT301" s="419"/>
      <c r="GU301" s="419"/>
      <c r="GV301" s="419"/>
      <c r="GW301" s="420">
        <f t="shared" si="247"/>
        <v>0</v>
      </c>
      <c r="GX301" s="420">
        <f t="shared" si="248"/>
        <v>0</v>
      </c>
    </row>
    <row r="302" spans="1:206" ht="15">
      <c r="A302" s="414"/>
      <c r="B302" s="415"/>
      <c r="C302" s="698"/>
      <c r="D302" s="467" t="s">
        <v>646</v>
      </c>
      <c r="E302" s="434" t="s">
        <v>604</v>
      </c>
      <c r="F302" s="417">
        <v>0.13</v>
      </c>
      <c r="G302" s="418">
        <f t="shared" si="244"/>
        <v>9941433.4600000009</v>
      </c>
      <c r="H302" s="418">
        <f t="shared" si="245"/>
        <v>9941433.4600000009</v>
      </c>
      <c r="I302" s="418">
        <f t="shared" si="245"/>
        <v>1292386.3</v>
      </c>
      <c r="J302" s="418">
        <f t="shared" si="252"/>
        <v>9941433.0769230798</v>
      </c>
      <c r="K302" s="418">
        <f t="shared" si="250"/>
        <v>-0.38307692483067501</v>
      </c>
      <c r="L302" s="418">
        <f t="shared" si="218"/>
        <v>-0.38307692483067501</v>
      </c>
      <c r="M302" s="424"/>
      <c r="N302" s="424"/>
      <c r="O302" s="424"/>
      <c r="P302" s="424"/>
      <c r="Q302" s="419"/>
      <c r="R302" s="419"/>
      <c r="S302" s="419"/>
      <c r="T302" s="420"/>
      <c r="U302" s="423"/>
      <c r="V302" s="420"/>
      <c r="W302" s="420"/>
      <c r="X302" s="419"/>
      <c r="Y302" s="419"/>
      <c r="Z302" s="423"/>
      <c r="AA302" s="423"/>
      <c r="AB302" s="419"/>
      <c r="AC302" s="419"/>
      <c r="AD302" s="420"/>
      <c r="AE302" s="423"/>
      <c r="AF302" s="419"/>
      <c r="AG302" s="419"/>
      <c r="AH302" s="419"/>
      <c r="AI302" s="420"/>
      <c r="AJ302" s="423"/>
      <c r="AK302" s="419"/>
      <c r="AL302" s="420"/>
      <c r="AM302" s="419"/>
      <c r="AN302" s="420"/>
      <c r="AO302" s="423"/>
      <c r="AP302" s="419"/>
      <c r="AQ302" s="419"/>
      <c r="AR302" s="420"/>
      <c r="AS302" s="420"/>
      <c r="AT302" s="420"/>
      <c r="AU302" s="420"/>
      <c r="AV302" s="420"/>
      <c r="AW302" s="420"/>
      <c r="AX302" s="426"/>
      <c r="AY302" s="420"/>
      <c r="AZ302" s="420"/>
      <c r="BA302" s="420"/>
      <c r="BB302" s="419"/>
      <c r="BC302" s="420"/>
      <c r="BD302" s="427"/>
      <c r="BE302" s="420"/>
      <c r="BF302" s="420"/>
      <c r="BG302" s="420"/>
      <c r="BH302" s="423"/>
      <c r="BI302" s="420"/>
      <c r="BJ302" s="420"/>
      <c r="BK302" s="420"/>
      <c r="BL302" s="420"/>
      <c r="BM302" s="420"/>
      <c r="BN302" s="420"/>
      <c r="BO302" s="420"/>
      <c r="BP302" s="429"/>
      <c r="BQ302" s="420"/>
      <c r="BR302" s="423"/>
      <c r="BS302" s="423"/>
      <c r="BT302" s="420"/>
      <c r="BU302" s="420"/>
      <c r="BV302" s="420"/>
      <c r="BW302" s="420"/>
      <c r="BX302" s="429"/>
      <c r="BY302" s="419"/>
      <c r="BZ302" s="419"/>
      <c r="CA302" s="419"/>
      <c r="CB302" s="420"/>
      <c r="CC302" s="430"/>
      <c r="CD302" s="419"/>
      <c r="CE302" s="419"/>
      <c r="CF302" s="419"/>
      <c r="CG302" s="420"/>
      <c r="CH302" s="423"/>
      <c r="CI302" s="431"/>
      <c r="CJ302" s="431"/>
      <c r="CK302" s="431"/>
      <c r="CL302" s="420"/>
      <c r="CM302" s="423"/>
      <c r="CN302" s="420"/>
      <c r="CO302" s="420"/>
      <c r="CP302" s="420"/>
      <c r="CQ302" s="432"/>
      <c r="CR302" s="432"/>
      <c r="CS302" s="420"/>
      <c r="CT302" s="420"/>
      <c r="CU302" s="420"/>
      <c r="CV302" s="420"/>
      <c r="CW302" s="420"/>
      <c r="CX302" s="419"/>
      <c r="CY302" s="419"/>
      <c r="CZ302" s="419"/>
      <c r="DA302" s="419"/>
      <c r="DB302" s="419"/>
      <c r="DC302" s="419"/>
      <c r="DD302" s="419"/>
      <c r="DE302" s="419"/>
      <c r="DF302" s="420"/>
      <c r="DG302" s="421"/>
      <c r="DH302" s="419"/>
      <c r="DI302" s="419"/>
      <c r="DJ302" s="419"/>
      <c r="DK302" s="420"/>
      <c r="DL302" s="422"/>
      <c r="DM302" s="420"/>
      <c r="DN302" s="420"/>
      <c r="DO302" s="420"/>
      <c r="DP302" s="420"/>
      <c r="DQ302" s="420"/>
      <c r="DR302" s="419"/>
      <c r="DS302" s="419"/>
      <c r="DT302" s="419"/>
      <c r="DU302" s="420"/>
      <c r="DV302" s="423"/>
      <c r="DW302" s="419"/>
      <c r="DX302" s="419"/>
      <c r="DY302" s="419"/>
      <c r="DZ302" s="420"/>
      <c r="EA302" s="423"/>
      <c r="EB302" s="419"/>
      <c r="EC302" s="419"/>
      <c r="ED302" s="420"/>
      <c r="EE302" s="419"/>
      <c r="EF302" s="420"/>
      <c r="EG302" s="419"/>
      <c r="EH302" s="419"/>
      <c r="EI302" s="419"/>
      <c r="EJ302" s="420"/>
      <c r="EK302" s="420"/>
      <c r="EL302" s="419"/>
      <c r="EM302" s="419"/>
      <c r="EN302" s="419"/>
      <c r="EO302" s="419"/>
      <c r="EP302" s="419"/>
      <c r="EQ302" s="420"/>
      <c r="ER302" s="420"/>
      <c r="ES302" s="420"/>
      <c r="ET302" s="419"/>
      <c r="EU302" s="419"/>
      <c r="EV302" s="455"/>
      <c r="EW302" s="455"/>
      <c r="EX302" s="455"/>
      <c r="EY302" s="419"/>
      <c r="EZ302" s="419"/>
      <c r="FA302" s="420"/>
      <c r="FB302" s="420"/>
      <c r="FC302" s="420"/>
      <c r="FD302" s="420"/>
      <c r="FE302" s="420"/>
      <c r="FF302" s="419"/>
      <c r="FG302" s="420"/>
      <c r="FH302" s="419"/>
      <c r="FI302" s="419"/>
      <c r="FJ302" s="419"/>
      <c r="FK302" s="419"/>
      <c r="FL302" s="419"/>
      <c r="FM302" s="419"/>
      <c r="FN302" s="420"/>
      <c r="FO302" s="423"/>
      <c r="FP302" s="431"/>
      <c r="FQ302" s="431"/>
      <c r="FR302" s="431"/>
      <c r="FS302" s="420"/>
      <c r="FT302" s="420"/>
      <c r="FU302" s="419"/>
      <c r="FV302" s="419"/>
      <c r="FW302" s="419"/>
      <c r="FX302" s="420"/>
      <c r="FY302" s="420"/>
      <c r="FZ302" s="419">
        <v>9941433.4199999999</v>
      </c>
      <c r="GA302" s="419">
        <v>0</v>
      </c>
      <c r="GB302" s="419">
        <v>1292386.3400000001</v>
      </c>
      <c r="GC302" s="420">
        <f t="shared" si="253"/>
        <v>9941433.3800000008</v>
      </c>
      <c r="GD302" s="420">
        <f t="shared" si="254"/>
        <v>-3.9999999105930301E-2</v>
      </c>
      <c r="GE302" s="420">
        <v>4.0000000968575498E-2</v>
      </c>
      <c r="GF302" s="420">
        <v>9941433.4600000009</v>
      </c>
      <c r="GG302" s="420">
        <v>-0.04</v>
      </c>
      <c r="GH302" s="420">
        <f t="shared" si="261"/>
        <v>-0.30769230769230799</v>
      </c>
      <c r="GI302" s="423">
        <f t="shared" si="262"/>
        <v>-0.34769230866088302</v>
      </c>
      <c r="GJ302" s="419"/>
      <c r="GK302" s="419"/>
      <c r="GL302" s="419"/>
      <c r="GM302" s="420">
        <f t="shared" si="257"/>
        <v>0</v>
      </c>
      <c r="GN302" s="420">
        <f t="shared" si="258"/>
        <v>0</v>
      </c>
      <c r="GO302" s="419"/>
      <c r="GP302" s="419"/>
      <c r="GQ302" s="419"/>
      <c r="GR302" s="420">
        <f t="shared" si="249"/>
        <v>0</v>
      </c>
      <c r="GS302" s="423">
        <f t="shared" si="246"/>
        <v>0</v>
      </c>
      <c r="GT302" s="419"/>
      <c r="GU302" s="419"/>
      <c r="GV302" s="419"/>
      <c r="GW302" s="420">
        <f t="shared" si="247"/>
        <v>0</v>
      </c>
      <c r="GX302" s="420">
        <f t="shared" si="248"/>
        <v>0</v>
      </c>
    </row>
    <row r="303" spans="1:206" ht="15">
      <c r="A303" s="414"/>
      <c r="B303" s="415"/>
      <c r="C303" s="698"/>
      <c r="D303" s="467" t="s">
        <v>647</v>
      </c>
      <c r="E303" s="434" t="s">
        <v>604</v>
      </c>
      <c r="F303" s="417">
        <v>0.13</v>
      </c>
      <c r="G303" s="418">
        <f t="shared" si="244"/>
        <v>13522331.23</v>
      </c>
      <c r="H303" s="418">
        <f t="shared" si="245"/>
        <v>13522331.23</v>
      </c>
      <c r="I303" s="418">
        <f t="shared" si="245"/>
        <v>1757903.04</v>
      </c>
      <c r="J303" s="418">
        <f t="shared" si="252"/>
        <v>13522331.0769231</v>
      </c>
      <c r="K303" s="418">
        <f t="shared" si="250"/>
        <v>-0.15307692438364001</v>
      </c>
      <c r="L303" s="418">
        <f t="shared" si="218"/>
        <v>-0.15307692438364001</v>
      </c>
      <c r="M303" s="424"/>
      <c r="N303" s="424"/>
      <c r="O303" s="424"/>
      <c r="P303" s="424"/>
      <c r="Q303" s="419"/>
      <c r="R303" s="419"/>
      <c r="S303" s="419"/>
      <c r="T303" s="420"/>
      <c r="U303" s="423"/>
      <c r="V303" s="420"/>
      <c r="W303" s="420"/>
      <c r="X303" s="419"/>
      <c r="Y303" s="419"/>
      <c r="Z303" s="423"/>
      <c r="AA303" s="423"/>
      <c r="AB303" s="419"/>
      <c r="AC303" s="419"/>
      <c r="AD303" s="420"/>
      <c r="AE303" s="423"/>
      <c r="AF303" s="419"/>
      <c r="AG303" s="419"/>
      <c r="AH303" s="419"/>
      <c r="AI303" s="420"/>
      <c r="AJ303" s="423"/>
      <c r="AK303" s="419"/>
      <c r="AL303" s="420"/>
      <c r="AM303" s="419"/>
      <c r="AN303" s="420"/>
      <c r="AO303" s="423"/>
      <c r="AP303" s="419"/>
      <c r="AQ303" s="419"/>
      <c r="AR303" s="420"/>
      <c r="AS303" s="420"/>
      <c r="AT303" s="420"/>
      <c r="AU303" s="420"/>
      <c r="AV303" s="420"/>
      <c r="AW303" s="420"/>
      <c r="AX303" s="426"/>
      <c r="AY303" s="420"/>
      <c r="AZ303" s="420"/>
      <c r="BA303" s="420"/>
      <c r="BB303" s="419"/>
      <c r="BC303" s="420"/>
      <c r="BD303" s="427"/>
      <c r="BE303" s="420"/>
      <c r="BF303" s="420"/>
      <c r="BG303" s="420"/>
      <c r="BH303" s="423"/>
      <c r="BI303" s="420"/>
      <c r="BJ303" s="420"/>
      <c r="BK303" s="420"/>
      <c r="BL303" s="420"/>
      <c r="BM303" s="420"/>
      <c r="BN303" s="420"/>
      <c r="BO303" s="420"/>
      <c r="BP303" s="429"/>
      <c r="BQ303" s="420"/>
      <c r="BR303" s="423"/>
      <c r="BS303" s="423"/>
      <c r="BT303" s="420"/>
      <c r="BU303" s="420"/>
      <c r="BV303" s="420"/>
      <c r="BW303" s="420"/>
      <c r="BX303" s="429"/>
      <c r="BY303" s="419"/>
      <c r="BZ303" s="419"/>
      <c r="CA303" s="419"/>
      <c r="CB303" s="420"/>
      <c r="CC303" s="430"/>
      <c r="CD303" s="419"/>
      <c r="CE303" s="419"/>
      <c r="CF303" s="419"/>
      <c r="CG303" s="420"/>
      <c r="CH303" s="423"/>
      <c r="CI303" s="431"/>
      <c r="CJ303" s="431"/>
      <c r="CK303" s="431"/>
      <c r="CL303" s="420"/>
      <c r="CM303" s="423"/>
      <c r="CN303" s="420"/>
      <c r="CO303" s="420"/>
      <c r="CP303" s="420"/>
      <c r="CQ303" s="432"/>
      <c r="CR303" s="432"/>
      <c r="CS303" s="420"/>
      <c r="CT303" s="420"/>
      <c r="CU303" s="420"/>
      <c r="CV303" s="420"/>
      <c r="CW303" s="420"/>
      <c r="CX303" s="419"/>
      <c r="CY303" s="419"/>
      <c r="CZ303" s="419"/>
      <c r="DA303" s="419"/>
      <c r="DB303" s="419"/>
      <c r="DC303" s="419"/>
      <c r="DD303" s="419"/>
      <c r="DE303" s="419"/>
      <c r="DF303" s="420"/>
      <c r="DG303" s="421"/>
      <c r="DH303" s="419"/>
      <c r="DI303" s="419"/>
      <c r="DJ303" s="419"/>
      <c r="DK303" s="420"/>
      <c r="DL303" s="422"/>
      <c r="DM303" s="420"/>
      <c r="DN303" s="420"/>
      <c r="DO303" s="420"/>
      <c r="DP303" s="420"/>
      <c r="DQ303" s="420"/>
      <c r="DR303" s="419"/>
      <c r="DS303" s="419"/>
      <c r="DT303" s="419"/>
      <c r="DU303" s="420"/>
      <c r="DV303" s="423"/>
      <c r="DW303" s="419"/>
      <c r="DX303" s="419"/>
      <c r="DY303" s="419"/>
      <c r="DZ303" s="420"/>
      <c r="EA303" s="423"/>
      <c r="EB303" s="419"/>
      <c r="EC303" s="419"/>
      <c r="ED303" s="420"/>
      <c r="EE303" s="419"/>
      <c r="EF303" s="420"/>
      <c r="EG303" s="419"/>
      <c r="EH303" s="419"/>
      <c r="EI303" s="419"/>
      <c r="EJ303" s="420"/>
      <c r="EK303" s="420"/>
      <c r="EL303" s="419"/>
      <c r="EM303" s="419"/>
      <c r="EN303" s="419"/>
      <c r="EO303" s="419"/>
      <c r="EP303" s="419"/>
      <c r="EQ303" s="420"/>
      <c r="ER303" s="420"/>
      <c r="ES303" s="420"/>
      <c r="ET303" s="419"/>
      <c r="EU303" s="419"/>
      <c r="EV303" s="455"/>
      <c r="EW303" s="455"/>
      <c r="EX303" s="455"/>
      <c r="EY303" s="419"/>
      <c r="EZ303" s="419"/>
      <c r="FA303" s="420"/>
      <c r="FB303" s="420"/>
      <c r="FC303" s="420"/>
      <c r="FD303" s="420"/>
      <c r="FE303" s="420"/>
      <c r="FF303" s="419"/>
      <c r="FG303" s="420"/>
      <c r="FH303" s="419"/>
      <c r="FI303" s="419"/>
      <c r="FJ303" s="419"/>
      <c r="FK303" s="419"/>
      <c r="FL303" s="419"/>
      <c r="FM303" s="419"/>
      <c r="FN303" s="420"/>
      <c r="FO303" s="423"/>
      <c r="FP303" s="431"/>
      <c r="FQ303" s="431"/>
      <c r="FR303" s="431"/>
      <c r="FS303" s="420"/>
      <c r="FT303" s="420"/>
      <c r="FU303" s="419"/>
      <c r="FV303" s="419"/>
      <c r="FW303" s="419"/>
      <c r="FX303" s="420"/>
      <c r="FY303" s="420"/>
      <c r="FZ303" s="419">
        <v>13522331.23</v>
      </c>
      <c r="GA303" s="419">
        <v>13522331.23</v>
      </c>
      <c r="GB303" s="419">
        <v>1757903.04</v>
      </c>
      <c r="GC303" s="420">
        <f t="shared" si="253"/>
        <v>13522331.08</v>
      </c>
      <c r="GD303" s="420">
        <f t="shared" si="254"/>
        <v>-0.150000000372529</v>
      </c>
      <c r="GE303" s="419"/>
      <c r="GF303" s="419"/>
      <c r="GG303" s="419"/>
      <c r="GH303" s="420">
        <f t="shared" si="261"/>
        <v>0</v>
      </c>
      <c r="GI303" s="423">
        <f t="shared" si="262"/>
        <v>0</v>
      </c>
      <c r="GJ303" s="419"/>
      <c r="GK303" s="419"/>
      <c r="GL303" s="419"/>
      <c r="GM303" s="420">
        <f t="shared" si="257"/>
        <v>0</v>
      </c>
      <c r="GN303" s="420">
        <f t="shared" si="258"/>
        <v>0</v>
      </c>
      <c r="GO303" s="419"/>
      <c r="GP303" s="419"/>
      <c r="GQ303" s="419"/>
      <c r="GR303" s="420">
        <f t="shared" si="249"/>
        <v>0</v>
      </c>
      <c r="GS303" s="423">
        <f t="shared" si="246"/>
        <v>0</v>
      </c>
      <c r="GT303" s="419"/>
      <c r="GU303" s="419"/>
      <c r="GV303" s="419"/>
      <c r="GW303" s="420">
        <f t="shared" si="247"/>
        <v>0</v>
      </c>
      <c r="GX303" s="420">
        <f t="shared" si="248"/>
        <v>0</v>
      </c>
    </row>
    <row r="304" spans="1:206" ht="15">
      <c r="A304" s="414"/>
      <c r="B304" s="415"/>
      <c r="C304" s="698"/>
      <c r="D304" s="467" t="s">
        <v>648</v>
      </c>
      <c r="E304" s="434" t="s">
        <v>604</v>
      </c>
      <c r="F304" s="417">
        <v>0.13</v>
      </c>
      <c r="G304" s="418">
        <f t="shared" si="244"/>
        <v>9397997.9199999999</v>
      </c>
      <c r="H304" s="418">
        <f t="shared" si="245"/>
        <v>9397997.9199999999</v>
      </c>
      <c r="I304" s="418">
        <f t="shared" si="245"/>
        <v>1221739.73</v>
      </c>
      <c r="J304" s="418">
        <f t="shared" si="252"/>
        <v>9397997.9230769202</v>
      </c>
      <c r="K304" s="418">
        <f t="shared" si="250"/>
        <v>3.0769221484661098E-3</v>
      </c>
      <c r="L304" s="418">
        <f t="shared" si="218"/>
        <v>3.0769221484661098E-3</v>
      </c>
      <c r="M304" s="424"/>
      <c r="N304" s="424"/>
      <c r="O304" s="424"/>
      <c r="P304" s="424"/>
      <c r="Q304" s="419"/>
      <c r="R304" s="419"/>
      <c r="S304" s="419"/>
      <c r="T304" s="420"/>
      <c r="U304" s="423"/>
      <c r="V304" s="420"/>
      <c r="W304" s="420"/>
      <c r="X304" s="419"/>
      <c r="Y304" s="419"/>
      <c r="Z304" s="423"/>
      <c r="AA304" s="423"/>
      <c r="AB304" s="419"/>
      <c r="AC304" s="419"/>
      <c r="AD304" s="420"/>
      <c r="AE304" s="423"/>
      <c r="AF304" s="419"/>
      <c r="AG304" s="419"/>
      <c r="AH304" s="419"/>
      <c r="AI304" s="420"/>
      <c r="AJ304" s="423"/>
      <c r="AK304" s="419"/>
      <c r="AL304" s="420"/>
      <c r="AM304" s="419"/>
      <c r="AN304" s="420"/>
      <c r="AO304" s="423"/>
      <c r="AP304" s="419"/>
      <c r="AQ304" s="419"/>
      <c r="AR304" s="420"/>
      <c r="AS304" s="420"/>
      <c r="AT304" s="420"/>
      <c r="AU304" s="420"/>
      <c r="AV304" s="420"/>
      <c r="AW304" s="420"/>
      <c r="AX304" s="426"/>
      <c r="AY304" s="420"/>
      <c r="AZ304" s="420"/>
      <c r="BA304" s="420"/>
      <c r="BB304" s="419"/>
      <c r="BC304" s="420"/>
      <c r="BD304" s="427"/>
      <c r="BE304" s="420"/>
      <c r="BF304" s="420"/>
      <c r="BG304" s="420"/>
      <c r="BH304" s="423"/>
      <c r="BI304" s="420"/>
      <c r="BJ304" s="420"/>
      <c r="BK304" s="420"/>
      <c r="BL304" s="420"/>
      <c r="BM304" s="420"/>
      <c r="BN304" s="420"/>
      <c r="BO304" s="420"/>
      <c r="BP304" s="429"/>
      <c r="BQ304" s="420"/>
      <c r="BR304" s="423"/>
      <c r="BS304" s="423"/>
      <c r="BT304" s="420"/>
      <c r="BU304" s="420"/>
      <c r="BV304" s="420"/>
      <c r="BW304" s="420"/>
      <c r="BX304" s="429"/>
      <c r="BY304" s="419"/>
      <c r="BZ304" s="419"/>
      <c r="CA304" s="419"/>
      <c r="CB304" s="420"/>
      <c r="CC304" s="430"/>
      <c r="CD304" s="419"/>
      <c r="CE304" s="419"/>
      <c r="CF304" s="419"/>
      <c r="CG304" s="420"/>
      <c r="CH304" s="423"/>
      <c r="CI304" s="431"/>
      <c r="CJ304" s="431"/>
      <c r="CK304" s="431"/>
      <c r="CL304" s="420"/>
      <c r="CM304" s="423"/>
      <c r="CN304" s="420"/>
      <c r="CO304" s="420"/>
      <c r="CP304" s="420"/>
      <c r="CQ304" s="432"/>
      <c r="CR304" s="432"/>
      <c r="CS304" s="420"/>
      <c r="CT304" s="420"/>
      <c r="CU304" s="420"/>
      <c r="CV304" s="420"/>
      <c r="CW304" s="420"/>
      <c r="CX304" s="419"/>
      <c r="CY304" s="419"/>
      <c r="CZ304" s="419"/>
      <c r="DA304" s="419"/>
      <c r="DB304" s="419"/>
      <c r="DC304" s="419"/>
      <c r="DD304" s="419"/>
      <c r="DE304" s="419"/>
      <c r="DF304" s="420"/>
      <c r="DG304" s="421"/>
      <c r="DH304" s="419"/>
      <c r="DI304" s="419"/>
      <c r="DJ304" s="419"/>
      <c r="DK304" s="420"/>
      <c r="DL304" s="422"/>
      <c r="DM304" s="420"/>
      <c r="DN304" s="420"/>
      <c r="DO304" s="420"/>
      <c r="DP304" s="420"/>
      <c r="DQ304" s="420"/>
      <c r="DR304" s="419"/>
      <c r="DS304" s="419"/>
      <c r="DT304" s="419"/>
      <c r="DU304" s="420"/>
      <c r="DV304" s="423"/>
      <c r="DW304" s="419"/>
      <c r="DX304" s="419"/>
      <c r="DY304" s="419"/>
      <c r="DZ304" s="420"/>
      <c r="EA304" s="423"/>
      <c r="EB304" s="419"/>
      <c r="EC304" s="419"/>
      <c r="ED304" s="420"/>
      <c r="EE304" s="419"/>
      <c r="EF304" s="420"/>
      <c r="EG304" s="419"/>
      <c r="EH304" s="419"/>
      <c r="EI304" s="419"/>
      <c r="EJ304" s="420"/>
      <c r="EK304" s="420"/>
      <c r="EL304" s="419"/>
      <c r="EM304" s="419"/>
      <c r="EN304" s="419"/>
      <c r="EO304" s="419"/>
      <c r="EP304" s="419"/>
      <c r="EQ304" s="420"/>
      <c r="ER304" s="420"/>
      <c r="ES304" s="420"/>
      <c r="ET304" s="419"/>
      <c r="EU304" s="419"/>
      <c r="EV304" s="455"/>
      <c r="EW304" s="455"/>
      <c r="EX304" s="455"/>
      <c r="EY304" s="419"/>
      <c r="EZ304" s="419"/>
      <c r="FA304" s="420"/>
      <c r="FB304" s="420"/>
      <c r="FC304" s="420"/>
      <c r="FD304" s="420"/>
      <c r="FE304" s="420"/>
      <c r="FF304" s="419"/>
      <c r="FG304" s="420"/>
      <c r="FH304" s="419"/>
      <c r="FI304" s="419"/>
      <c r="FJ304" s="419"/>
      <c r="FK304" s="419"/>
      <c r="FL304" s="419"/>
      <c r="FM304" s="419"/>
      <c r="FN304" s="420"/>
      <c r="FO304" s="423"/>
      <c r="FP304" s="431"/>
      <c r="FQ304" s="431"/>
      <c r="FR304" s="431"/>
      <c r="FS304" s="420"/>
      <c r="FT304" s="420"/>
      <c r="FU304" s="419"/>
      <c r="FV304" s="419"/>
      <c r="FW304" s="419"/>
      <c r="FX304" s="420"/>
      <c r="FY304" s="420"/>
      <c r="FZ304" s="419">
        <v>9397997.9199999999</v>
      </c>
      <c r="GA304" s="419">
        <v>9397997.9199999999</v>
      </c>
      <c r="GB304" s="419">
        <v>1221739.73</v>
      </c>
      <c r="GC304" s="420">
        <f t="shared" si="253"/>
        <v>9397997.9199999999</v>
      </c>
      <c r="GD304" s="420">
        <f t="shared" si="254"/>
        <v>0</v>
      </c>
      <c r="GE304" s="419"/>
      <c r="GF304" s="419"/>
      <c r="GG304" s="419"/>
      <c r="GH304" s="420">
        <f t="shared" si="261"/>
        <v>0</v>
      </c>
      <c r="GI304" s="423">
        <f t="shared" si="262"/>
        <v>0</v>
      </c>
      <c r="GJ304" s="419"/>
      <c r="GK304" s="419"/>
      <c r="GL304" s="419"/>
      <c r="GM304" s="420">
        <f t="shared" si="257"/>
        <v>0</v>
      </c>
      <c r="GN304" s="420">
        <f t="shared" si="258"/>
        <v>0</v>
      </c>
      <c r="GO304" s="419"/>
      <c r="GP304" s="419"/>
      <c r="GQ304" s="419"/>
      <c r="GR304" s="420">
        <f t="shared" si="249"/>
        <v>0</v>
      </c>
      <c r="GS304" s="423">
        <f t="shared" si="246"/>
        <v>0</v>
      </c>
      <c r="GT304" s="419"/>
      <c r="GU304" s="419"/>
      <c r="GV304" s="419"/>
      <c r="GW304" s="420">
        <f t="shared" si="247"/>
        <v>0</v>
      </c>
      <c r="GX304" s="420">
        <f t="shared" si="248"/>
        <v>0</v>
      </c>
    </row>
    <row r="305" spans="1:206" ht="15">
      <c r="A305" s="414"/>
      <c r="B305" s="415"/>
      <c r="C305" s="698"/>
      <c r="D305" s="467" t="s">
        <v>649</v>
      </c>
      <c r="E305" s="434" t="s">
        <v>604</v>
      </c>
      <c r="F305" s="417">
        <v>0.13</v>
      </c>
      <c r="G305" s="418">
        <f t="shared" si="244"/>
        <v>23413586.98</v>
      </c>
      <c r="H305" s="418">
        <f t="shared" si="245"/>
        <v>23413586.98</v>
      </c>
      <c r="I305" s="418">
        <f t="shared" si="245"/>
        <v>3043766.27</v>
      </c>
      <c r="J305" s="418">
        <f t="shared" si="252"/>
        <v>23413586.692307699</v>
      </c>
      <c r="K305" s="418">
        <f t="shared" si="250"/>
        <v>-0.28769230842590299</v>
      </c>
      <c r="L305" s="418">
        <f t="shared" si="218"/>
        <v>-0.28769230842590299</v>
      </c>
      <c r="M305" s="424"/>
      <c r="N305" s="424"/>
      <c r="O305" s="424"/>
      <c r="P305" s="424"/>
      <c r="Q305" s="419"/>
      <c r="R305" s="419"/>
      <c r="S305" s="419"/>
      <c r="T305" s="420"/>
      <c r="U305" s="423"/>
      <c r="V305" s="420"/>
      <c r="W305" s="420"/>
      <c r="X305" s="419"/>
      <c r="Y305" s="419"/>
      <c r="Z305" s="423"/>
      <c r="AA305" s="423"/>
      <c r="AB305" s="419"/>
      <c r="AC305" s="419"/>
      <c r="AD305" s="420"/>
      <c r="AE305" s="423"/>
      <c r="AF305" s="419"/>
      <c r="AG305" s="419"/>
      <c r="AH305" s="419"/>
      <c r="AI305" s="420"/>
      <c r="AJ305" s="423"/>
      <c r="AK305" s="419"/>
      <c r="AL305" s="420"/>
      <c r="AM305" s="419"/>
      <c r="AN305" s="420"/>
      <c r="AO305" s="423"/>
      <c r="AP305" s="419"/>
      <c r="AQ305" s="419"/>
      <c r="AR305" s="420"/>
      <c r="AS305" s="420"/>
      <c r="AT305" s="420"/>
      <c r="AU305" s="420"/>
      <c r="AV305" s="420"/>
      <c r="AW305" s="420"/>
      <c r="AX305" s="426"/>
      <c r="AY305" s="420"/>
      <c r="AZ305" s="420"/>
      <c r="BA305" s="420"/>
      <c r="BB305" s="419"/>
      <c r="BC305" s="420"/>
      <c r="BD305" s="427"/>
      <c r="BE305" s="420"/>
      <c r="BF305" s="420"/>
      <c r="BG305" s="420"/>
      <c r="BH305" s="423"/>
      <c r="BI305" s="420"/>
      <c r="BJ305" s="420"/>
      <c r="BK305" s="420"/>
      <c r="BL305" s="420"/>
      <c r="BM305" s="420"/>
      <c r="BN305" s="420"/>
      <c r="BO305" s="420"/>
      <c r="BP305" s="429"/>
      <c r="BQ305" s="420"/>
      <c r="BR305" s="423"/>
      <c r="BS305" s="423"/>
      <c r="BT305" s="420"/>
      <c r="BU305" s="420"/>
      <c r="BV305" s="420"/>
      <c r="BW305" s="420"/>
      <c r="BX305" s="429"/>
      <c r="BY305" s="419"/>
      <c r="BZ305" s="419"/>
      <c r="CA305" s="419"/>
      <c r="CB305" s="420"/>
      <c r="CC305" s="430"/>
      <c r="CD305" s="419"/>
      <c r="CE305" s="419"/>
      <c r="CF305" s="419"/>
      <c r="CG305" s="420"/>
      <c r="CH305" s="423"/>
      <c r="CI305" s="431"/>
      <c r="CJ305" s="431"/>
      <c r="CK305" s="431"/>
      <c r="CL305" s="420"/>
      <c r="CM305" s="423"/>
      <c r="CN305" s="420"/>
      <c r="CO305" s="420"/>
      <c r="CP305" s="420"/>
      <c r="CQ305" s="432"/>
      <c r="CR305" s="432"/>
      <c r="CS305" s="420"/>
      <c r="CT305" s="420"/>
      <c r="CU305" s="420"/>
      <c r="CV305" s="420"/>
      <c r="CW305" s="420"/>
      <c r="CX305" s="419"/>
      <c r="CY305" s="419"/>
      <c r="CZ305" s="419"/>
      <c r="DA305" s="419"/>
      <c r="DB305" s="419"/>
      <c r="DC305" s="419"/>
      <c r="DD305" s="419"/>
      <c r="DE305" s="419"/>
      <c r="DF305" s="420"/>
      <c r="DG305" s="421"/>
      <c r="DH305" s="419"/>
      <c r="DI305" s="419"/>
      <c r="DJ305" s="419"/>
      <c r="DK305" s="420"/>
      <c r="DL305" s="422"/>
      <c r="DM305" s="420"/>
      <c r="DN305" s="420"/>
      <c r="DO305" s="420"/>
      <c r="DP305" s="420"/>
      <c r="DQ305" s="420"/>
      <c r="DR305" s="419"/>
      <c r="DS305" s="419"/>
      <c r="DT305" s="419"/>
      <c r="DU305" s="420"/>
      <c r="DV305" s="423"/>
      <c r="DW305" s="419"/>
      <c r="DX305" s="419"/>
      <c r="DY305" s="419"/>
      <c r="DZ305" s="420"/>
      <c r="EA305" s="423"/>
      <c r="EB305" s="419"/>
      <c r="EC305" s="419"/>
      <c r="ED305" s="420"/>
      <c r="EE305" s="419"/>
      <c r="EF305" s="420"/>
      <c r="EG305" s="419"/>
      <c r="EH305" s="419"/>
      <c r="EI305" s="419"/>
      <c r="EJ305" s="420"/>
      <c r="EK305" s="420"/>
      <c r="EL305" s="419"/>
      <c r="EM305" s="419"/>
      <c r="EN305" s="419"/>
      <c r="EO305" s="419"/>
      <c r="EP305" s="419"/>
      <c r="EQ305" s="420"/>
      <c r="ER305" s="420"/>
      <c r="ES305" s="420"/>
      <c r="ET305" s="419"/>
      <c r="EU305" s="419"/>
      <c r="EV305" s="455"/>
      <c r="EW305" s="455"/>
      <c r="EX305" s="455"/>
      <c r="EY305" s="419"/>
      <c r="EZ305" s="419"/>
      <c r="FA305" s="420"/>
      <c r="FB305" s="420"/>
      <c r="FC305" s="420"/>
      <c r="FD305" s="420"/>
      <c r="FE305" s="420"/>
      <c r="FF305" s="419"/>
      <c r="FG305" s="420"/>
      <c r="FH305" s="419"/>
      <c r="FI305" s="419"/>
      <c r="FJ305" s="419"/>
      <c r="FK305" s="419"/>
      <c r="FL305" s="419"/>
      <c r="FM305" s="419"/>
      <c r="FN305" s="420"/>
      <c r="FO305" s="423"/>
      <c r="FP305" s="431"/>
      <c r="FQ305" s="431"/>
      <c r="FR305" s="431"/>
      <c r="FS305" s="420"/>
      <c r="FT305" s="420"/>
      <c r="FU305" s="419"/>
      <c r="FV305" s="419"/>
      <c r="FW305" s="419"/>
      <c r="FX305" s="420"/>
      <c r="FY305" s="420"/>
      <c r="FZ305" s="419">
        <v>23413586.98</v>
      </c>
      <c r="GA305" s="419">
        <v>23413586.98</v>
      </c>
      <c r="GB305" s="419">
        <v>3043766.27</v>
      </c>
      <c r="GC305" s="420">
        <f t="shared" si="253"/>
        <v>23413586.690000001</v>
      </c>
      <c r="GD305" s="420">
        <f t="shared" si="254"/>
        <v>-0.28999999910593</v>
      </c>
      <c r="GE305" s="419"/>
      <c r="GF305" s="419"/>
      <c r="GG305" s="419"/>
      <c r="GH305" s="420">
        <f t="shared" si="261"/>
        <v>0</v>
      </c>
      <c r="GI305" s="423">
        <f t="shared" si="262"/>
        <v>0</v>
      </c>
      <c r="GJ305" s="419"/>
      <c r="GK305" s="419"/>
      <c r="GL305" s="419"/>
      <c r="GM305" s="420">
        <f t="shared" si="257"/>
        <v>0</v>
      </c>
      <c r="GN305" s="420">
        <f t="shared" si="258"/>
        <v>0</v>
      </c>
      <c r="GO305" s="419"/>
      <c r="GP305" s="419"/>
      <c r="GQ305" s="419"/>
      <c r="GR305" s="420">
        <f t="shared" si="249"/>
        <v>0</v>
      </c>
      <c r="GS305" s="423">
        <f t="shared" si="246"/>
        <v>0</v>
      </c>
      <c r="GT305" s="419"/>
      <c r="GU305" s="419"/>
      <c r="GV305" s="419"/>
      <c r="GW305" s="420">
        <f t="shared" si="247"/>
        <v>0</v>
      </c>
      <c r="GX305" s="420">
        <f t="shared" si="248"/>
        <v>0</v>
      </c>
    </row>
    <row r="306" spans="1:206" ht="15">
      <c r="A306" s="414"/>
      <c r="B306" s="415"/>
      <c r="C306" s="698"/>
      <c r="D306" s="467" t="s">
        <v>650</v>
      </c>
      <c r="E306" s="434" t="s">
        <v>604</v>
      </c>
      <c r="F306" s="417">
        <v>0.13</v>
      </c>
      <c r="G306" s="418">
        <f t="shared" si="244"/>
        <v>29021061.149999999</v>
      </c>
      <c r="H306" s="418">
        <f t="shared" si="245"/>
        <v>29021061.149999999</v>
      </c>
      <c r="I306" s="418">
        <f t="shared" si="245"/>
        <v>3772737.98</v>
      </c>
      <c r="J306" s="418">
        <f t="shared" si="252"/>
        <v>29021061.384615399</v>
      </c>
      <c r="K306" s="418">
        <f t="shared" si="250"/>
        <v>0.23461538553237901</v>
      </c>
      <c r="L306" s="418">
        <f t="shared" si="218"/>
        <v>0.23461538553237901</v>
      </c>
      <c r="M306" s="424"/>
      <c r="N306" s="424"/>
      <c r="O306" s="424"/>
      <c r="P306" s="424"/>
      <c r="Q306" s="419"/>
      <c r="R306" s="419"/>
      <c r="S306" s="419"/>
      <c r="T306" s="420"/>
      <c r="U306" s="423"/>
      <c r="V306" s="420"/>
      <c r="W306" s="420"/>
      <c r="X306" s="419"/>
      <c r="Y306" s="419"/>
      <c r="Z306" s="423"/>
      <c r="AA306" s="423"/>
      <c r="AB306" s="419"/>
      <c r="AC306" s="419"/>
      <c r="AD306" s="420"/>
      <c r="AE306" s="423"/>
      <c r="AF306" s="419"/>
      <c r="AG306" s="419"/>
      <c r="AH306" s="419"/>
      <c r="AI306" s="420"/>
      <c r="AJ306" s="423"/>
      <c r="AK306" s="419"/>
      <c r="AL306" s="420"/>
      <c r="AM306" s="419"/>
      <c r="AN306" s="420"/>
      <c r="AO306" s="423"/>
      <c r="AP306" s="419"/>
      <c r="AQ306" s="419"/>
      <c r="AR306" s="420"/>
      <c r="AS306" s="420"/>
      <c r="AT306" s="420"/>
      <c r="AU306" s="420"/>
      <c r="AV306" s="420"/>
      <c r="AW306" s="420"/>
      <c r="AX306" s="426"/>
      <c r="AY306" s="420"/>
      <c r="AZ306" s="420"/>
      <c r="BA306" s="420"/>
      <c r="BB306" s="419"/>
      <c r="BC306" s="420"/>
      <c r="BD306" s="427"/>
      <c r="BE306" s="420"/>
      <c r="BF306" s="420"/>
      <c r="BG306" s="420"/>
      <c r="BH306" s="423"/>
      <c r="BI306" s="420"/>
      <c r="BJ306" s="420"/>
      <c r="BK306" s="420"/>
      <c r="BL306" s="420"/>
      <c r="BM306" s="420"/>
      <c r="BN306" s="420"/>
      <c r="BO306" s="420"/>
      <c r="BP306" s="429"/>
      <c r="BQ306" s="420"/>
      <c r="BR306" s="423"/>
      <c r="BS306" s="423"/>
      <c r="BT306" s="420"/>
      <c r="BU306" s="420"/>
      <c r="BV306" s="420"/>
      <c r="BW306" s="420"/>
      <c r="BX306" s="429"/>
      <c r="BY306" s="419"/>
      <c r="BZ306" s="419"/>
      <c r="CA306" s="419"/>
      <c r="CB306" s="420"/>
      <c r="CC306" s="430"/>
      <c r="CD306" s="419"/>
      <c r="CE306" s="419"/>
      <c r="CF306" s="419"/>
      <c r="CG306" s="420"/>
      <c r="CH306" s="423"/>
      <c r="CI306" s="431"/>
      <c r="CJ306" s="431"/>
      <c r="CK306" s="431"/>
      <c r="CL306" s="420"/>
      <c r="CM306" s="423"/>
      <c r="CN306" s="420"/>
      <c r="CO306" s="420"/>
      <c r="CP306" s="420"/>
      <c r="CQ306" s="432"/>
      <c r="CR306" s="432"/>
      <c r="CS306" s="420"/>
      <c r="CT306" s="420"/>
      <c r="CU306" s="420"/>
      <c r="CV306" s="420"/>
      <c r="CW306" s="420"/>
      <c r="CX306" s="419"/>
      <c r="CY306" s="419"/>
      <c r="CZ306" s="419"/>
      <c r="DA306" s="419"/>
      <c r="DB306" s="419"/>
      <c r="DC306" s="419"/>
      <c r="DD306" s="419"/>
      <c r="DE306" s="419"/>
      <c r="DF306" s="420"/>
      <c r="DG306" s="421"/>
      <c r="DH306" s="419"/>
      <c r="DI306" s="419"/>
      <c r="DJ306" s="419"/>
      <c r="DK306" s="420"/>
      <c r="DL306" s="422"/>
      <c r="DM306" s="420"/>
      <c r="DN306" s="420"/>
      <c r="DO306" s="420"/>
      <c r="DP306" s="420"/>
      <c r="DQ306" s="420"/>
      <c r="DR306" s="419"/>
      <c r="DS306" s="419"/>
      <c r="DT306" s="419"/>
      <c r="DU306" s="420"/>
      <c r="DV306" s="423"/>
      <c r="DW306" s="419"/>
      <c r="DX306" s="419"/>
      <c r="DY306" s="419"/>
      <c r="DZ306" s="420"/>
      <c r="EA306" s="423"/>
      <c r="EB306" s="419"/>
      <c r="EC306" s="419"/>
      <c r="ED306" s="420"/>
      <c r="EE306" s="419"/>
      <c r="EF306" s="420"/>
      <c r="EG306" s="419"/>
      <c r="EH306" s="419"/>
      <c r="EI306" s="419"/>
      <c r="EJ306" s="420"/>
      <c r="EK306" s="420"/>
      <c r="EL306" s="419"/>
      <c r="EM306" s="419"/>
      <c r="EN306" s="419"/>
      <c r="EO306" s="419"/>
      <c r="EP306" s="419"/>
      <c r="EQ306" s="420"/>
      <c r="ER306" s="420"/>
      <c r="ES306" s="420"/>
      <c r="ET306" s="419"/>
      <c r="EU306" s="419"/>
      <c r="EV306" s="455"/>
      <c r="EW306" s="455"/>
      <c r="EX306" s="455"/>
      <c r="EY306" s="419"/>
      <c r="EZ306" s="419"/>
      <c r="FA306" s="420"/>
      <c r="FB306" s="420"/>
      <c r="FC306" s="420"/>
      <c r="FD306" s="420"/>
      <c r="FE306" s="420"/>
      <c r="FF306" s="419"/>
      <c r="FG306" s="420"/>
      <c r="FH306" s="419"/>
      <c r="FI306" s="419"/>
      <c r="FJ306" s="419"/>
      <c r="FK306" s="419"/>
      <c r="FL306" s="419"/>
      <c r="FM306" s="419"/>
      <c r="FN306" s="420"/>
      <c r="FO306" s="423"/>
      <c r="FP306" s="431"/>
      <c r="FQ306" s="431"/>
      <c r="FR306" s="431"/>
      <c r="FS306" s="420"/>
      <c r="FT306" s="420"/>
      <c r="FU306" s="419"/>
      <c r="FV306" s="419"/>
      <c r="FW306" s="419"/>
      <c r="FX306" s="420"/>
      <c r="FY306" s="420"/>
      <c r="FZ306" s="419">
        <v>29021061.149999999</v>
      </c>
      <c r="GA306" s="419">
        <v>29021061.149999999</v>
      </c>
      <c r="GB306" s="419">
        <v>3772737.98</v>
      </c>
      <c r="GC306" s="420">
        <f t="shared" si="253"/>
        <v>29021061.379999999</v>
      </c>
      <c r="GD306" s="420">
        <f t="shared" si="254"/>
        <v>0.230000000447035</v>
      </c>
      <c r="GE306" s="419"/>
      <c r="GF306" s="419"/>
      <c r="GG306" s="419"/>
      <c r="GH306" s="420">
        <f t="shared" si="261"/>
        <v>0</v>
      </c>
      <c r="GI306" s="423">
        <f t="shared" si="262"/>
        <v>0</v>
      </c>
      <c r="GJ306" s="419"/>
      <c r="GK306" s="419"/>
      <c r="GL306" s="419"/>
      <c r="GM306" s="420">
        <f t="shared" si="257"/>
        <v>0</v>
      </c>
      <c r="GN306" s="420">
        <f t="shared" si="258"/>
        <v>0</v>
      </c>
      <c r="GO306" s="419"/>
      <c r="GP306" s="419"/>
      <c r="GQ306" s="419"/>
      <c r="GR306" s="420">
        <f t="shared" si="249"/>
        <v>0</v>
      </c>
      <c r="GS306" s="423">
        <f t="shared" si="246"/>
        <v>0</v>
      </c>
      <c r="GT306" s="419"/>
      <c r="GU306" s="419"/>
      <c r="GV306" s="419"/>
      <c r="GW306" s="420">
        <f t="shared" si="247"/>
        <v>0</v>
      </c>
      <c r="GX306" s="420">
        <f t="shared" si="248"/>
        <v>0</v>
      </c>
    </row>
    <row r="307" spans="1:206" ht="15">
      <c r="A307" s="414"/>
      <c r="B307" s="415"/>
      <c r="C307" s="698"/>
      <c r="D307" s="467" t="s">
        <v>651</v>
      </c>
      <c r="E307" s="434" t="s">
        <v>604</v>
      </c>
      <c r="F307" s="417">
        <v>0.13</v>
      </c>
      <c r="G307" s="418">
        <f t="shared" si="244"/>
        <v>19759818.600000001</v>
      </c>
      <c r="H307" s="418">
        <f t="shared" si="245"/>
        <v>19759818.600000001</v>
      </c>
      <c r="I307" s="418">
        <f t="shared" si="245"/>
        <v>2568776.4</v>
      </c>
      <c r="J307" s="418">
        <f t="shared" si="252"/>
        <v>19759818.461538501</v>
      </c>
      <c r="K307" s="418">
        <f t="shared" si="250"/>
        <v>-0.13846154138445901</v>
      </c>
      <c r="L307" s="418">
        <f t="shared" si="218"/>
        <v>-0.13846154138445901</v>
      </c>
      <c r="M307" s="424"/>
      <c r="N307" s="424"/>
      <c r="O307" s="424"/>
      <c r="P307" s="424"/>
      <c r="Q307" s="419"/>
      <c r="R307" s="419"/>
      <c r="S307" s="419"/>
      <c r="T307" s="420"/>
      <c r="U307" s="423"/>
      <c r="V307" s="420"/>
      <c r="W307" s="420"/>
      <c r="X307" s="419"/>
      <c r="Y307" s="419"/>
      <c r="Z307" s="423"/>
      <c r="AA307" s="423"/>
      <c r="AB307" s="419"/>
      <c r="AC307" s="419"/>
      <c r="AD307" s="420"/>
      <c r="AE307" s="423"/>
      <c r="AF307" s="419"/>
      <c r="AG307" s="419"/>
      <c r="AH307" s="419"/>
      <c r="AI307" s="420"/>
      <c r="AJ307" s="423"/>
      <c r="AK307" s="419"/>
      <c r="AL307" s="420"/>
      <c r="AM307" s="419"/>
      <c r="AN307" s="420"/>
      <c r="AO307" s="423"/>
      <c r="AP307" s="419"/>
      <c r="AQ307" s="419"/>
      <c r="AR307" s="420"/>
      <c r="AS307" s="420"/>
      <c r="AT307" s="420"/>
      <c r="AU307" s="420"/>
      <c r="AV307" s="420"/>
      <c r="AW307" s="420"/>
      <c r="AX307" s="426"/>
      <c r="AY307" s="420"/>
      <c r="AZ307" s="420"/>
      <c r="BA307" s="420"/>
      <c r="BB307" s="419"/>
      <c r="BC307" s="420"/>
      <c r="BD307" s="427"/>
      <c r="BE307" s="420"/>
      <c r="BF307" s="420"/>
      <c r="BG307" s="420"/>
      <c r="BH307" s="423"/>
      <c r="BI307" s="420"/>
      <c r="BJ307" s="420"/>
      <c r="BK307" s="420"/>
      <c r="BL307" s="420"/>
      <c r="BM307" s="420"/>
      <c r="BN307" s="420"/>
      <c r="BO307" s="420"/>
      <c r="BP307" s="429"/>
      <c r="BQ307" s="420"/>
      <c r="BR307" s="423"/>
      <c r="BS307" s="423"/>
      <c r="BT307" s="420"/>
      <c r="BU307" s="420"/>
      <c r="BV307" s="420"/>
      <c r="BW307" s="420"/>
      <c r="BX307" s="429"/>
      <c r="BY307" s="419"/>
      <c r="BZ307" s="419"/>
      <c r="CA307" s="419"/>
      <c r="CB307" s="420"/>
      <c r="CC307" s="430"/>
      <c r="CD307" s="419"/>
      <c r="CE307" s="419"/>
      <c r="CF307" s="419"/>
      <c r="CG307" s="420"/>
      <c r="CH307" s="423"/>
      <c r="CI307" s="431"/>
      <c r="CJ307" s="431"/>
      <c r="CK307" s="431"/>
      <c r="CL307" s="420"/>
      <c r="CM307" s="423"/>
      <c r="CN307" s="420"/>
      <c r="CO307" s="420"/>
      <c r="CP307" s="420"/>
      <c r="CQ307" s="432"/>
      <c r="CR307" s="432"/>
      <c r="CS307" s="420"/>
      <c r="CT307" s="420"/>
      <c r="CU307" s="420"/>
      <c r="CV307" s="420"/>
      <c r="CW307" s="420"/>
      <c r="CX307" s="419"/>
      <c r="CY307" s="419"/>
      <c r="CZ307" s="419"/>
      <c r="DA307" s="419"/>
      <c r="DB307" s="419"/>
      <c r="DC307" s="419"/>
      <c r="DD307" s="419"/>
      <c r="DE307" s="419"/>
      <c r="DF307" s="420"/>
      <c r="DG307" s="421"/>
      <c r="DH307" s="419"/>
      <c r="DI307" s="419"/>
      <c r="DJ307" s="419"/>
      <c r="DK307" s="420"/>
      <c r="DL307" s="422"/>
      <c r="DM307" s="420"/>
      <c r="DN307" s="420"/>
      <c r="DO307" s="420"/>
      <c r="DP307" s="420"/>
      <c r="DQ307" s="420"/>
      <c r="DR307" s="419"/>
      <c r="DS307" s="419"/>
      <c r="DT307" s="419"/>
      <c r="DU307" s="420"/>
      <c r="DV307" s="423"/>
      <c r="DW307" s="419"/>
      <c r="DX307" s="419"/>
      <c r="DY307" s="419"/>
      <c r="DZ307" s="420"/>
      <c r="EA307" s="423"/>
      <c r="EB307" s="419"/>
      <c r="EC307" s="419"/>
      <c r="ED307" s="420"/>
      <c r="EE307" s="419"/>
      <c r="EF307" s="420"/>
      <c r="EG307" s="419"/>
      <c r="EH307" s="419"/>
      <c r="EI307" s="419"/>
      <c r="EJ307" s="420"/>
      <c r="EK307" s="420"/>
      <c r="EL307" s="419"/>
      <c r="EM307" s="419"/>
      <c r="EN307" s="419"/>
      <c r="EO307" s="419"/>
      <c r="EP307" s="419"/>
      <c r="EQ307" s="420"/>
      <c r="ER307" s="420"/>
      <c r="ES307" s="420"/>
      <c r="ET307" s="419"/>
      <c r="EU307" s="419"/>
      <c r="EV307" s="455"/>
      <c r="EW307" s="455"/>
      <c r="EX307" s="455"/>
      <c r="EY307" s="419"/>
      <c r="EZ307" s="419"/>
      <c r="FA307" s="420"/>
      <c r="FB307" s="420"/>
      <c r="FC307" s="420"/>
      <c r="FD307" s="420"/>
      <c r="FE307" s="420"/>
      <c r="FF307" s="419"/>
      <c r="FG307" s="420"/>
      <c r="FH307" s="419"/>
      <c r="FI307" s="419"/>
      <c r="FJ307" s="419"/>
      <c r="FK307" s="419"/>
      <c r="FL307" s="419"/>
      <c r="FM307" s="419"/>
      <c r="FN307" s="420"/>
      <c r="FO307" s="423"/>
      <c r="FP307" s="431"/>
      <c r="FQ307" s="431"/>
      <c r="FR307" s="431"/>
      <c r="FS307" s="420"/>
      <c r="FT307" s="420"/>
      <c r="FU307" s="419"/>
      <c r="FV307" s="419"/>
      <c r="FW307" s="419"/>
      <c r="FX307" s="420"/>
      <c r="FY307" s="420"/>
      <c r="FZ307" s="419">
        <v>19759818.600000001</v>
      </c>
      <c r="GA307" s="419">
        <v>19759818.600000001</v>
      </c>
      <c r="GB307" s="419">
        <v>2568776.4</v>
      </c>
      <c r="GC307" s="420">
        <f t="shared" si="253"/>
        <v>19759818.460000001</v>
      </c>
      <c r="GD307" s="420">
        <f t="shared" si="254"/>
        <v>-0.140000000596046</v>
      </c>
      <c r="GE307" s="419"/>
      <c r="GF307" s="419"/>
      <c r="GG307" s="419"/>
      <c r="GH307" s="420">
        <f t="shared" si="261"/>
        <v>0</v>
      </c>
      <c r="GI307" s="423">
        <f t="shared" si="262"/>
        <v>0</v>
      </c>
      <c r="GJ307" s="419"/>
      <c r="GK307" s="419"/>
      <c r="GL307" s="419"/>
      <c r="GM307" s="420">
        <f t="shared" si="257"/>
        <v>0</v>
      </c>
      <c r="GN307" s="420">
        <f t="shared" si="258"/>
        <v>0</v>
      </c>
      <c r="GO307" s="419"/>
      <c r="GP307" s="419"/>
      <c r="GQ307" s="419"/>
      <c r="GR307" s="420">
        <f t="shared" si="249"/>
        <v>0</v>
      </c>
      <c r="GS307" s="423">
        <f t="shared" si="246"/>
        <v>0</v>
      </c>
      <c r="GT307" s="419"/>
      <c r="GU307" s="419"/>
      <c r="GV307" s="419"/>
      <c r="GW307" s="420">
        <f t="shared" si="247"/>
        <v>0</v>
      </c>
      <c r="GX307" s="420">
        <f t="shared" si="248"/>
        <v>0</v>
      </c>
    </row>
    <row r="308" spans="1:206" ht="15">
      <c r="A308" s="414"/>
      <c r="B308" s="415"/>
      <c r="C308" s="698"/>
      <c r="D308" s="467" t="s">
        <v>652</v>
      </c>
      <c r="E308" s="434" t="s">
        <v>604</v>
      </c>
      <c r="F308" s="417">
        <v>0.13</v>
      </c>
      <c r="G308" s="418">
        <f t="shared" si="244"/>
        <v>6387895.2199999997</v>
      </c>
      <c r="H308" s="418">
        <f t="shared" si="245"/>
        <v>6387895.2199999997</v>
      </c>
      <c r="I308" s="418">
        <f t="shared" si="245"/>
        <v>830426.38</v>
      </c>
      <c r="J308" s="418">
        <f t="shared" si="252"/>
        <v>6387895.2307692301</v>
      </c>
      <c r="K308" s="418">
        <f t="shared" si="250"/>
        <v>1.07692312449217E-2</v>
      </c>
      <c r="L308" s="418">
        <f t="shared" si="218"/>
        <v>1.07692312449217E-2</v>
      </c>
      <c r="M308" s="424"/>
      <c r="N308" s="424"/>
      <c r="O308" s="424"/>
      <c r="P308" s="424"/>
      <c r="Q308" s="419"/>
      <c r="R308" s="419"/>
      <c r="S308" s="419"/>
      <c r="T308" s="420"/>
      <c r="U308" s="423"/>
      <c r="V308" s="420"/>
      <c r="W308" s="420"/>
      <c r="X308" s="419"/>
      <c r="Y308" s="419"/>
      <c r="Z308" s="423"/>
      <c r="AA308" s="423"/>
      <c r="AB308" s="419"/>
      <c r="AC308" s="419"/>
      <c r="AD308" s="420"/>
      <c r="AE308" s="423"/>
      <c r="AF308" s="419"/>
      <c r="AG308" s="419"/>
      <c r="AH308" s="419"/>
      <c r="AI308" s="420"/>
      <c r="AJ308" s="423"/>
      <c r="AK308" s="419"/>
      <c r="AL308" s="420"/>
      <c r="AM308" s="419"/>
      <c r="AN308" s="420"/>
      <c r="AO308" s="423"/>
      <c r="AP308" s="419"/>
      <c r="AQ308" s="419"/>
      <c r="AR308" s="420"/>
      <c r="AS308" s="420"/>
      <c r="AT308" s="420"/>
      <c r="AU308" s="420"/>
      <c r="AV308" s="420"/>
      <c r="AW308" s="420"/>
      <c r="AX308" s="426"/>
      <c r="AY308" s="420"/>
      <c r="AZ308" s="420"/>
      <c r="BA308" s="420"/>
      <c r="BB308" s="419"/>
      <c r="BC308" s="420"/>
      <c r="BD308" s="427"/>
      <c r="BE308" s="420"/>
      <c r="BF308" s="420"/>
      <c r="BG308" s="420"/>
      <c r="BH308" s="423"/>
      <c r="BI308" s="420"/>
      <c r="BJ308" s="420"/>
      <c r="BK308" s="420"/>
      <c r="BL308" s="420"/>
      <c r="BM308" s="420"/>
      <c r="BN308" s="420"/>
      <c r="BO308" s="420"/>
      <c r="BP308" s="429"/>
      <c r="BQ308" s="420"/>
      <c r="BR308" s="423"/>
      <c r="BS308" s="423"/>
      <c r="BT308" s="420"/>
      <c r="BU308" s="420"/>
      <c r="BV308" s="420"/>
      <c r="BW308" s="420"/>
      <c r="BX308" s="429"/>
      <c r="BY308" s="419"/>
      <c r="BZ308" s="419"/>
      <c r="CA308" s="419"/>
      <c r="CB308" s="420"/>
      <c r="CC308" s="430"/>
      <c r="CD308" s="419"/>
      <c r="CE308" s="419"/>
      <c r="CF308" s="419"/>
      <c r="CG308" s="420"/>
      <c r="CH308" s="423"/>
      <c r="CI308" s="431"/>
      <c r="CJ308" s="431"/>
      <c r="CK308" s="431"/>
      <c r="CL308" s="420"/>
      <c r="CM308" s="423"/>
      <c r="CN308" s="420"/>
      <c r="CO308" s="420"/>
      <c r="CP308" s="420"/>
      <c r="CQ308" s="432"/>
      <c r="CR308" s="432"/>
      <c r="CS308" s="420"/>
      <c r="CT308" s="420"/>
      <c r="CU308" s="420"/>
      <c r="CV308" s="420"/>
      <c r="CW308" s="420"/>
      <c r="CX308" s="419"/>
      <c r="CY308" s="419"/>
      <c r="CZ308" s="419"/>
      <c r="DA308" s="419"/>
      <c r="DB308" s="419"/>
      <c r="DC308" s="419"/>
      <c r="DD308" s="419"/>
      <c r="DE308" s="419"/>
      <c r="DF308" s="420"/>
      <c r="DG308" s="421"/>
      <c r="DH308" s="419"/>
      <c r="DI308" s="419"/>
      <c r="DJ308" s="419"/>
      <c r="DK308" s="420"/>
      <c r="DL308" s="422"/>
      <c r="DM308" s="420"/>
      <c r="DN308" s="420"/>
      <c r="DO308" s="420"/>
      <c r="DP308" s="420"/>
      <c r="DQ308" s="420"/>
      <c r="DR308" s="419"/>
      <c r="DS308" s="419"/>
      <c r="DT308" s="419"/>
      <c r="DU308" s="420"/>
      <c r="DV308" s="423"/>
      <c r="DW308" s="419"/>
      <c r="DX308" s="419"/>
      <c r="DY308" s="419"/>
      <c r="DZ308" s="420"/>
      <c r="EA308" s="423"/>
      <c r="EB308" s="419"/>
      <c r="EC308" s="419"/>
      <c r="ED308" s="420"/>
      <c r="EE308" s="419"/>
      <c r="EF308" s="420"/>
      <c r="EG308" s="419"/>
      <c r="EH308" s="419"/>
      <c r="EI308" s="419"/>
      <c r="EJ308" s="420"/>
      <c r="EK308" s="420"/>
      <c r="EL308" s="419"/>
      <c r="EM308" s="419"/>
      <c r="EN308" s="419"/>
      <c r="EO308" s="419"/>
      <c r="EP308" s="419"/>
      <c r="EQ308" s="420"/>
      <c r="ER308" s="420"/>
      <c r="ES308" s="420"/>
      <c r="ET308" s="419"/>
      <c r="EU308" s="419"/>
      <c r="EV308" s="455"/>
      <c r="EW308" s="455"/>
      <c r="EX308" s="455"/>
      <c r="EY308" s="419"/>
      <c r="EZ308" s="419"/>
      <c r="FA308" s="420"/>
      <c r="FB308" s="420"/>
      <c r="FC308" s="420"/>
      <c r="FD308" s="420"/>
      <c r="FE308" s="420"/>
      <c r="FF308" s="419"/>
      <c r="FG308" s="420"/>
      <c r="FH308" s="419"/>
      <c r="FI308" s="419"/>
      <c r="FJ308" s="419"/>
      <c r="FK308" s="419"/>
      <c r="FL308" s="419"/>
      <c r="FM308" s="419"/>
      <c r="FN308" s="420"/>
      <c r="FO308" s="423"/>
      <c r="FP308" s="431"/>
      <c r="FQ308" s="431"/>
      <c r="FR308" s="431"/>
      <c r="FS308" s="420"/>
      <c r="FT308" s="420"/>
      <c r="FU308" s="419"/>
      <c r="FV308" s="419"/>
      <c r="FW308" s="419"/>
      <c r="FX308" s="420"/>
      <c r="FY308" s="420"/>
      <c r="FZ308" s="419">
        <v>6387895.2199999997</v>
      </c>
      <c r="GA308" s="419">
        <v>6387895.2199999997</v>
      </c>
      <c r="GB308" s="419">
        <v>830426.38</v>
      </c>
      <c r="GC308" s="420">
        <f t="shared" si="253"/>
        <v>6387895.2300000004</v>
      </c>
      <c r="GD308" s="420">
        <f t="shared" si="254"/>
        <v>1.00000007078052E-2</v>
      </c>
      <c r="GE308" s="419"/>
      <c r="GF308" s="419"/>
      <c r="GG308" s="419"/>
      <c r="GH308" s="420">
        <f t="shared" si="261"/>
        <v>0</v>
      </c>
      <c r="GI308" s="423">
        <f t="shared" si="262"/>
        <v>0</v>
      </c>
      <c r="GJ308" s="419"/>
      <c r="GK308" s="419"/>
      <c r="GL308" s="419"/>
      <c r="GM308" s="420">
        <f t="shared" si="257"/>
        <v>0</v>
      </c>
      <c r="GN308" s="420">
        <f t="shared" si="258"/>
        <v>0</v>
      </c>
      <c r="GO308" s="419"/>
      <c r="GP308" s="419"/>
      <c r="GQ308" s="419"/>
      <c r="GR308" s="420">
        <f t="shared" si="249"/>
        <v>0</v>
      </c>
      <c r="GS308" s="423">
        <f t="shared" si="246"/>
        <v>0</v>
      </c>
      <c r="GT308" s="419"/>
      <c r="GU308" s="419"/>
      <c r="GV308" s="419"/>
      <c r="GW308" s="420">
        <f t="shared" si="247"/>
        <v>0</v>
      </c>
      <c r="GX308" s="420">
        <f t="shared" si="248"/>
        <v>0</v>
      </c>
    </row>
    <row r="309" spans="1:206" ht="15">
      <c r="A309" s="414"/>
      <c r="B309" s="415"/>
      <c r="C309" s="698"/>
      <c r="D309" s="467" t="s">
        <v>653</v>
      </c>
      <c r="E309" s="434" t="s">
        <v>604</v>
      </c>
      <c r="F309" s="417">
        <v>0.13</v>
      </c>
      <c r="G309" s="418">
        <f t="shared" si="244"/>
        <v>4117465.49</v>
      </c>
      <c r="H309" s="418">
        <f t="shared" si="245"/>
        <v>4117465.49</v>
      </c>
      <c r="I309" s="418">
        <f t="shared" si="245"/>
        <v>535270.51</v>
      </c>
      <c r="J309" s="418">
        <f t="shared" si="252"/>
        <v>4117465.4615384601</v>
      </c>
      <c r="K309" s="418">
        <f t="shared" si="250"/>
        <v>-2.8461538720875999E-2</v>
      </c>
      <c r="L309" s="418">
        <f t="shared" si="218"/>
        <v>-2.8461538720875999E-2</v>
      </c>
      <c r="M309" s="424"/>
      <c r="N309" s="424"/>
      <c r="O309" s="424"/>
      <c r="P309" s="424"/>
      <c r="Q309" s="419"/>
      <c r="R309" s="419"/>
      <c r="S309" s="419"/>
      <c r="T309" s="420"/>
      <c r="U309" s="423"/>
      <c r="V309" s="420"/>
      <c r="W309" s="420"/>
      <c r="X309" s="419"/>
      <c r="Y309" s="419"/>
      <c r="Z309" s="423"/>
      <c r="AA309" s="423"/>
      <c r="AB309" s="419"/>
      <c r="AC309" s="419"/>
      <c r="AD309" s="420"/>
      <c r="AE309" s="423"/>
      <c r="AF309" s="419"/>
      <c r="AG309" s="419"/>
      <c r="AH309" s="419"/>
      <c r="AI309" s="420"/>
      <c r="AJ309" s="423"/>
      <c r="AK309" s="419"/>
      <c r="AL309" s="420"/>
      <c r="AM309" s="419"/>
      <c r="AN309" s="420"/>
      <c r="AO309" s="423"/>
      <c r="AP309" s="419"/>
      <c r="AQ309" s="419"/>
      <c r="AR309" s="420"/>
      <c r="AS309" s="420"/>
      <c r="AT309" s="420"/>
      <c r="AU309" s="420"/>
      <c r="AV309" s="420"/>
      <c r="AW309" s="420"/>
      <c r="AX309" s="426"/>
      <c r="AY309" s="420"/>
      <c r="AZ309" s="420"/>
      <c r="BA309" s="420"/>
      <c r="BB309" s="419"/>
      <c r="BC309" s="420"/>
      <c r="BD309" s="427"/>
      <c r="BE309" s="420"/>
      <c r="BF309" s="420"/>
      <c r="BG309" s="420"/>
      <c r="BH309" s="423"/>
      <c r="BI309" s="420"/>
      <c r="BJ309" s="420"/>
      <c r="BK309" s="420"/>
      <c r="BL309" s="420"/>
      <c r="BM309" s="420"/>
      <c r="BN309" s="420"/>
      <c r="BO309" s="420"/>
      <c r="BP309" s="429"/>
      <c r="BQ309" s="420"/>
      <c r="BR309" s="423"/>
      <c r="BS309" s="423"/>
      <c r="BT309" s="420"/>
      <c r="BU309" s="420"/>
      <c r="BV309" s="420"/>
      <c r="BW309" s="420"/>
      <c r="BX309" s="429"/>
      <c r="BY309" s="419"/>
      <c r="BZ309" s="419"/>
      <c r="CA309" s="419"/>
      <c r="CB309" s="420"/>
      <c r="CC309" s="430"/>
      <c r="CD309" s="419"/>
      <c r="CE309" s="419"/>
      <c r="CF309" s="419"/>
      <c r="CG309" s="420"/>
      <c r="CH309" s="423"/>
      <c r="CI309" s="431"/>
      <c r="CJ309" s="431"/>
      <c r="CK309" s="431"/>
      <c r="CL309" s="420"/>
      <c r="CM309" s="423"/>
      <c r="CN309" s="420"/>
      <c r="CO309" s="420"/>
      <c r="CP309" s="420"/>
      <c r="CQ309" s="432"/>
      <c r="CR309" s="432"/>
      <c r="CS309" s="420"/>
      <c r="CT309" s="420"/>
      <c r="CU309" s="420"/>
      <c r="CV309" s="420"/>
      <c r="CW309" s="420"/>
      <c r="CX309" s="419"/>
      <c r="CY309" s="419"/>
      <c r="CZ309" s="419"/>
      <c r="DA309" s="419"/>
      <c r="DB309" s="419"/>
      <c r="DC309" s="419"/>
      <c r="DD309" s="419"/>
      <c r="DE309" s="419"/>
      <c r="DF309" s="420"/>
      <c r="DG309" s="421"/>
      <c r="DH309" s="419"/>
      <c r="DI309" s="419"/>
      <c r="DJ309" s="419"/>
      <c r="DK309" s="420"/>
      <c r="DL309" s="422"/>
      <c r="DM309" s="420"/>
      <c r="DN309" s="420"/>
      <c r="DO309" s="420"/>
      <c r="DP309" s="420"/>
      <c r="DQ309" s="420"/>
      <c r="DR309" s="419"/>
      <c r="DS309" s="419"/>
      <c r="DT309" s="419"/>
      <c r="DU309" s="420"/>
      <c r="DV309" s="423"/>
      <c r="DW309" s="419"/>
      <c r="DX309" s="419"/>
      <c r="DY309" s="419"/>
      <c r="DZ309" s="420"/>
      <c r="EA309" s="423"/>
      <c r="EB309" s="419"/>
      <c r="EC309" s="419"/>
      <c r="ED309" s="420"/>
      <c r="EE309" s="419"/>
      <c r="EF309" s="420"/>
      <c r="EG309" s="419"/>
      <c r="EH309" s="419"/>
      <c r="EI309" s="419"/>
      <c r="EJ309" s="420"/>
      <c r="EK309" s="420"/>
      <c r="EL309" s="419"/>
      <c r="EM309" s="419"/>
      <c r="EN309" s="419"/>
      <c r="EO309" s="419"/>
      <c r="EP309" s="419"/>
      <c r="EQ309" s="420"/>
      <c r="ER309" s="420"/>
      <c r="ES309" s="420"/>
      <c r="ET309" s="419"/>
      <c r="EU309" s="419"/>
      <c r="EV309" s="455"/>
      <c r="EW309" s="455"/>
      <c r="EX309" s="455"/>
      <c r="EY309" s="419"/>
      <c r="EZ309" s="419"/>
      <c r="FA309" s="420"/>
      <c r="FB309" s="420"/>
      <c r="FC309" s="420"/>
      <c r="FD309" s="420"/>
      <c r="FE309" s="420"/>
      <c r="FF309" s="419"/>
      <c r="FG309" s="420"/>
      <c r="FH309" s="419"/>
      <c r="FI309" s="419"/>
      <c r="FJ309" s="419"/>
      <c r="FK309" s="419"/>
      <c r="FL309" s="419"/>
      <c r="FM309" s="419"/>
      <c r="FN309" s="420"/>
      <c r="FO309" s="423"/>
      <c r="FP309" s="431"/>
      <c r="FQ309" s="431"/>
      <c r="FR309" s="431"/>
      <c r="FS309" s="420"/>
      <c r="FT309" s="420"/>
      <c r="FU309" s="419"/>
      <c r="FV309" s="419"/>
      <c r="FW309" s="419"/>
      <c r="FX309" s="420"/>
      <c r="FY309" s="420"/>
      <c r="FZ309" s="419">
        <v>4117465.49</v>
      </c>
      <c r="GA309" s="419">
        <v>4117465.49</v>
      </c>
      <c r="GB309" s="419">
        <v>535270.51</v>
      </c>
      <c r="GC309" s="420">
        <f t="shared" si="253"/>
        <v>4117465.46</v>
      </c>
      <c r="GD309" s="420">
        <f t="shared" si="254"/>
        <v>-3.00000002607703E-2</v>
      </c>
      <c r="GE309" s="419"/>
      <c r="GF309" s="419"/>
      <c r="GG309" s="419"/>
      <c r="GH309" s="420">
        <f t="shared" si="261"/>
        <v>0</v>
      </c>
      <c r="GI309" s="423">
        <f t="shared" si="262"/>
        <v>0</v>
      </c>
      <c r="GJ309" s="419"/>
      <c r="GK309" s="419"/>
      <c r="GL309" s="419"/>
      <c r="GM309" s="420">
        <f t="shared" si="257"/>
        <v>0</v>
      </c>
      <c r="GN309" s="420">
        <f t="shared" si="258"/>
        <v>0</v>
      </c>
      <c r="GO309" s="419"/>
      <c r="GP309" s="419"/>
      <c r="GQ309" s="419"/>
      <c r="GR309" s="420">
        <f t="shared" si="249"/>
        <v>0</v>
      </c>
      <c r="GS309" s="423">
        <f t="shared" si="246"/>
        <v>0</v>
      </c>
      <c r="GT309" s="419"/>
      <c r="GU309" s="419"/>
      <c r="GV309" s="419"/>
      <c r="GW309" s="420">
        <f t="shared" si="247"/>
        <v>0</v>
      </c>
      <c r="GX309" s="420">
        <f t="shared" si="248"/>
        <v>0</v>
      </c>
    </row>
    <row r="310" spans="1:206" ht="15">
      <c r="A310" s="414"/>
      <c r="B310" s="415"/>
      <c r="C310" s="698"/>
      <c r="D310" s="467" t="s">
        <v>654</v>
      </c>
      <c r="E310" s="434" t="s">
        <v>604</v>
      </c>
      <c r="F310" s="417">
        <v>0.13</v>
      </c>
      <c r="G310" s="418">
        <f t="shared" si="244"/>
        <v>5588127.8099999996</v>
      </c>
      <c r="H310" s="418">
        <f t="shared" si="245"/>
        <v>5588127.8099999996</v>
      </c>
      <c r="I310" s="418">
        <f t="shared" si="245"/>
        <v>726456.61</v>
      </c>
      <c r="J310" s="418">
        <f t="shared" si="252"/>
        <v>5588127.7692307699</v>
      </c>
      <c r="K310" s="418">
        <f t="shared" si="250"/>
        <v>-4.0769230574369403E-2</v>
      </c>
      <c r="L310" s="418">
        <f t="shared" si="218"/>
        <v>-4.0769230574369403E-2</v>
      </c>
      <c r="M310" s="424"/>
      <c r="N310" s="424"/>
      <c r="O310" s="424"/>
      <c r="P310" s="424"/>
      <c r="Q310" s="419"/>
      <c r="R310" s="419"/>
      <c r="S310" s="419"/>
      <c r="T310" s="420"/>
      <c r="U310" s="423"/>
      <c r="V310" s="420"/>
      <c r="W310" s="420"/>
      <c r="X310" s="419"/>
      <c r="Y310" s="419"/>
      <c r="Z310" s="423"/>
      <c r="AA310" s="423"/>
      <c r="AB310" s="419"/>
      <c r="AC310" s="419"/>
      <c r="AD310" s="420"/>
      <c r="AE310" s="423"/>
      <c r="AF310" s="419"/>
      <c r="AG310" s="419"/>
      <c r="AH310" s="419"/>
      <c r="AI310" s="420"/>
      <c r="AJ310" s="423"/>
      <c r="AK310" s="419"/>
      <c r="AL310" s="420"/>
      <c r="AM310" s="419"/>
      <c r="AN310" s="420"/>
      <c r="AO310" s="423"/>
      <c r="AP310" s="419"/>
      <c r="AQ310" s="419"/>
      <c r="AR310" s="420"/>
      <c r="AS310" s="420"/>
      <c r="AT310" s="420"/>
      <c r="AU310" s="420"/>
      <c r="AV310" s="420"/>
      <c r="AW310" s="420"/>
      <c r="AX310" s="426"/>
      <c r="AY310" s="420"/>
      <c r="AZ310" s="420"/>
      <c r="BA310" s="420"/>
      <c r="BB310" s="419"/>
      <c r="BC310" s="420"/>
      <c r="BD310" s="427"/>
      <c r="BE310" s="420"/>
      <c r="BF310" s="420"/>
      <c r="BG310" s="420"/>
      <c r="BH310" s="423"/>
      <c r="BI310" s="420"/>
      <c r="BJ310" s="420"/>
      <c r="BK310" s="420"/>
      <c r="BL310" s="420"/>
      <c r="BM310" s="420"/>
      <c r="BN310" s="420"/>
      <c r="BO310" s="420"/>
      <c r="BP310" s="429"/>
      <c r="BQ310" s="420"/>
      <c r="BR310" s="423"/>
      <c r="BS310" s="423"/>
      <c r="BT310" s="420"/>
      <c r="BU310" s="420"/>
      <c r="BV310" s="420"/>
      <c r="BW310" s="420"/>
      <c r="BX310" s="429"/>
      <c r="BY310" s="419"/>
      <c r="BZ310" s="419"/>
      <c r="CA310" s="419"/>
      <c r="CB310" s="420"/>
      <c r="CC310" s="430"/>
      <c r="CD310" s="419"/>
      <c r="CE310" s="419"/>
      <c r="CF310" s="419"/>
      <c r="CG310" s="420"/>
      <c r="CH310" s="423"/>
      <c r="CI310" s="431"/>
      <c r="CJ310" s="431"/>
      <c r="CK310" s="431"/>
      <c r="CL310" s="420"/>
      <c r="CM310" s="423"/>
      <c r="CN310" s="420"/>
      <c r="CO310" s="420"/>
      <c r="CP310" s="420"/>
      <c r="CQ310" s="432"/>
      <c r="CR310" s="432"/>
      <c r="CS310" s="420"/>
      <c r="CT310" s="420"/>
      <c r="CU310" s="420"/>
      <c r="CV310" s="420"/>
      <c r="CW310" s="420"/>
      <c r="CX310" s="419"/>
      <c r="CY310" s="419"/>
      <c r="CZ310" s="419"/>
      <c r="DA310" s="419"/>
      <c r="DB310" s="419"/>
      <c r="DC310" s="419"/>
      <c r="DD310" s="419"/>
      <c r="DE310" s="419"/>
      <c r="DF310" s="420"/>
      <c r="DG310" s="421"/>
      <c r="DH310" s="419"/>
      <c r="DI310" s="419"/>
      <c r="DJ310" s="419"/>
      <c r="DK310" s="420"/>
      <c r="DL310" s="422"/>
      <c r="DM310" s="420"/>
      <c r="DN310" s="420"/>
      <c r="DO310" s="420"/>
      <c r="DP310" s="420"/>
      <c r="DQ310" s="420"/>
      <c r="DR310" s="419"/>
      <c r="DS310" s="419"/>
      <c r="DT310" s="419"/>
      <c r="DU310" s="420"/>
      <c r="DV310" s="423"/>
      <c r="DW310" s="419"/>
      <c r="DX310" s="419"/>
      <c r="DY310" s="419"/>
      <c r="DZ310" s="420"/>
      <c r="EA310" s="423"/>
      <c r="EB310" s="419"/>
      <c r="EC310" s="419"/>
      <c r="ED310" s="420"/>
      <c r="EE310" s="419"/>
      <c r="EF310" s="420"/>
      <c r="EG310" s="419"/>
      <c r="EH310" s="419"/>
      <c r="EI310" s="419"/>
      <c r="EJ310" s="420"/>
      <c r="EK310" s="420"/>
      <c r="EL310" s="419"/>
      <c r="EM310" s="419"/>
      <c r="EN310" s="419"/>
      <c r="EO310" s="419"/>
      <c r="EP310" s="419"/>
      <c r="EQ310" s="420"/>
      <c r="ER310" s="420"/>
      <c r="ES310" s="420"/>
      <c r="ET310" s="419"/>
      <c r="EU310" s="419"/>
      <c r="EV310" s="455"/>
      <c r="EW310" s="455"/>
      <c r="EX310" s="455"/>
      <c r="EY310" s="419"/>
      <c r="EZ310" s="419"/>
      <c r="FA310" s="420"/>
      <c r="FB310" s="420"/>
      <c r="FC310" s="420"/>
      <c r="FD310" s="420"/>
      <c r="FE310" s="420"/>
      <c r="FF310" s="419"/>
      <c r="FG310" s="420"/>
      <c r="FH310" s="419"/>
      <c r="FI310" s="419"/>
      <c r="FJ310" s="419"/>
      <c r="FK310" s="419"/>
      <c r="FL310" s="419"/>
      <c r="FM310" s="419"/>
      <c r="FN310" s="420"/>
      <c r="FO310" s="423"/>
      <c r="FP310" s="431"/>
      <c r="FQ310" s="431"/>
      <c r="FR310" s="431"/>
      <c r="FS310" s="420"/>
      <c r="FT310" s="420"/>
      <c r="FU310" s="419"/>
      <c r="FV310" s="419"/>
      <c r="FW310" s="419"/>
      <c r="FX310" s="420"/>
      <c r="FY310" s="420"/>
      <c r="FZ310" s="419">
        <v>5588127.8099999996</v>
      </c>
      <c r="GA310" s="419">
        <v>5588127.8099999996</v>
      </c>
      <c r="GB310" s="419">
        <v>726456.61</v>
      </c>
      <c r="GC310" s="420">
        <f t="shared" si="253"/>
        <v>5588127.7699999996</v>
      </c>
      <c r="GD310" s="420">
        <f t="shared" si="254"/>
        <v>-4.0000000037252903E-2</v>
      </c>
      <c r="GE310" s="419"/>
      <c r="GF310" s="419"/>
      <c r="GG310" s="419"/>
      <c r="GH310" s="420">
        <f t="shared" si="261"/>
        <v>0</v>
      </c>
      <c r="GI310" s="423">
        <f t="shared" si="262"/>
        <v>0</v>
      </c>
      <c r="GJ310" s="419"/>
      <c r="GK310" s="419"/>
      <c r="GL310" s="419"/>
      <c r="GM310" s="420">
        <f t="shared" si="257"/>
        <v>0</v>
      </c>
      <c r="GN310" s="420">
        <f t="shared" si="258"/>
        <v>0</v>
      </c>
      <c r="GO310" s="419"/>
      <c r="GP310" s="419"/>
      <c r="GQ310" s="419"/>
      <c r="GR310" s="420">
        <f t="shared" si="249"/>
        <v>0</v>
      </c>
      <c r="GS310" s="423">
        <f t="shared" si="246"/>
        <v>0</v>
      </c>
      <c r="GT310" s="419"/>
      <c r="GU310" s="419"/>
      <c r="GV310" s="419"/>
      <c r="GW310" s="420">
        <f t="shared" si="247"/>
        <v>0</v>
      </c>
      <c r="GX310" s="420">
        <f t="shared" si="248"/>
        <v>0</v>
      </c>
    </row>
    <row r="311" spans="1:206" ht="15">
      <c r="A311" s="414"/>
      <c r="B311" s="415"/>
      <c r="C311" s="698"/>
      <c r="D311" s="467" t="s">
        <v>655</v>
      </c>
      <c r="E311" s="434" t="s">
        <v>604</v>
      </c>
      <c r="F311" s="417">
        <v>0.13</v>
      </c>
      <c r="G311" s="418">
        <f t="shared" si="244"/>
        <v>10775030.99</v>
      </c>
      <c r="H311" s="418">
        <f t="shared" si="245"/>
        <v>10775030.99</v>
      </c>
      <c r="I311" s="418">
        <f t="shared" si="245"/>
        <v>1400754.01</v>
      </c>
      <c r="J311" s="418">
        <f t="shared" si="252"/>
        <v>10775030.846153799</v>
      </c>
      <c r="K311" s="418">
        <f t="shared" si="250"/>
        <v>-0.14384615421295199</v>
      </c>
      <c r="L311" s="418">
        <f t="shared" si="218"/>
        <v>-0.14384615421295199</v>
      </c>
      <c r="M311" s="424"/>
      <c r="N311" s="424"/>
      <c r="O311" s="424"/>
      <c r="P311" s="424"/>
      <c r="Q311" s="419"/>
      <c r="R311" s="419"/>
      <c r="S311" s="419"/>
      <c r="T311" s="420"/>
      <c r="U311" s="423"/>
      <c r="V311" s="420"/>
      <c r="W311" s="420"/>
      <c r="X311" s="419"/>
      <c r="Y311" s="419"/>
      <c r="Z311" s="423"/>
      <c r="AA311" s="423"/>
      <c r="AB311" s="419"/>
      <c r="AC311" s="419"/>
      <c r="AD311" s="420"/>
      <c r="AE311" s="423"/>
      <c r="AF311" s="419"/>
      <c r="AG311" s="419"/>
      <c r="AH311" s="419"/>
      <c r="AI311" s="420"/>
      <c r="AJ311" s="423"/>
      <c r="AK311" s="419"/>
      <c r="AL311" s="420"/>
      <c r="AM311" s="419"/>
      <c r="AN311" s="420"/>
      <c r="AO311" s="423"/>
      <c r="AP311" s="419"/>
      <c r="AQ311" s="419"/>
      <c r="AR311" s="420"/>
      <c r="AS311" s="420"/>
      <c r="AT311" s="420"/>
      <c r="AU311" s="420"/>
      <c r="AV311" s="420"/>
      <c r="AW311" s="420"/>
      <c r="AX311" s="426"/>
      <c r="AY311" s="420"/>
      <c r="AZ311" s="420"/>
      <c r="BA311" s="420"/>
      <c r="BB311" s="419"/>
      <c r="BC311" s="420"/>
      <c r="BD311" s="427"/>
      <c r="BE311" s="420"/>
      <c r="BF311" s="420"/>
      <c r="BG311" s="420"/>
      <c r="BH311" s="423"/>
      <c r="BI311" s="420"/>
      <c r="BJ311" s="420"/>
      <c r="BK311" s="420"/>
      <c r="BL311" s="420"/>
      <c r="BM311" s="420"/>
      <c r="BN311" s="420"/>
      <c r="BO311" s="420"/>
      <c r="BP311" s="429"/>
      <c r="BQ311" s="420"/>
      <c r="BR311" s="423"/>
      <c r="BS311" s="423"/>
      <c r="BT311" s="420"/>
      <c r="BU311" s="420"/>
      <c r="BV311" s="420"/>
      <c r="BW311" s="420"/>
      <c r="BX311" s="429"/>
      <c r="BY311" s="419"/>
      <c r="BZ311" s="419"/>
      <c r="CA311" s="419"/>
      <c r="CB311" s="420"/>
      <c r="CC311" s="430"/>
      <c r="CD311" s="419"/>
      <c r="CE311" s="419"/>
      <c r="CF311" s="419"/>
      <c r="CG311" s="420"/>
      <c r="CH311" s="423"/>
      <c r="CI311" s="431"/>
      <c r="CJ311" s="431"/>
      <c r="CK311" s="431"/>
      <c r="CL311" s="420"/>
      <c r="CM311" s="423"/>
      <c r="CN311" s="420"/>
      <c r="CO311" s="420"/>
      <c r="CP311" s="420"/>
      <c r="CQ311" s="432"/>
      <c r="CR311" s="432"/>
      <c r="CS311" s="420"/>
      <c r="CT311" s="420"/>
      <c r="CU311" s="420"/>
      <c r="CV311" s="420"/>
      <c r="CW311" s="420"/>
      <c r="CX311" s="419"/>
      <c r="CY311" s="419"/>
      <c r="CZ311" s="419"/>
      <c r="DA311" s="419"/>
      <c r="DB311" s="419"/>
      <c r="DC311" s="419"/>
      <c r="DD311" s="419"/>
      <c r="DE311" s="419"/>
      <c r="DF311" s="420"/>
      <c r="DG311" s="421"/>
      <c r="DH311" s="419"/>
      <c r="DI311" s="419"/>
      <c r="DJ311" s="419"/>
      <c r="DK311" s="420"/>
      <c r="DL311" s="422"/>
      <c r="DM311" s="420"/>
      <c r="DN311" s="420"/>
      <c r="DO311" s="420"/>
      <c r="DP311" s="420"/>
      <c r="DQ311" s="420"/>
      <c r="DR311" s="419"/>
      <c r="DS311" s="419"/>
      <c r="DT311" s="419"/>
      <c r="DU311" s="420"/>
      <c r="DV311" s="423"/>
      <c r="DW311" s="419"/>
      <c r="DX311" s="419"/>
      <c r="DY311" s="419"/>
      <c r="DZ311" s="420"/>
      <c r="EA311" s="423"/>
      <c r="EB311" s="419"/>
      <c r="EC311" s="419"/>
      <c r="ED311" s="420"/>
      <c r="EE311" s="419"/>
      <c r="EF311" s="420"/>
      <c r="EG311" s="419"/>
      <c r="EH311" s="419"/>
      <c r="EI311" s="419"/>
      <c r="EJ311" s="420"/>
      <c r="EK311" s="420"/>
      <c r="EL311" s="419"/>
      <c r="EM311" s="419"/>
      <c r="EN311" s="419"/>
      <c r="EO311" s="419"/>
      <c r="EP311" s="419"/>
      <c r="EQ311" s="420"/>
      <c r="ER311" s="420"/>
      <c r="ES311" s="420"/>
      <c r="ET311" s="419"/>
      <c r="EU311" s="419"/>
      <c r="EV311" s="455"/>
      <c r="EW311" s="455"/>
      <c r="EX311" s="455"/>
      <c r="EY311" s="419"/>
      <c r="EZ311" s="419"/>
      <c r="FA311" s="420"/>
      <c r="FB311" s="420"/>
      <c r="FC311" s="420"/>
      <c r="FD311" s="420"/>
      <c r="FE311" s="420"/>
      <c r="FF311" s="419"/>
      <c r="FG311" s="420"/>
      <c r="FH311" s="419"/>
      <c r="FI311" s="419"/>
      <c r="FJ311" s="419"/>
      <c r="FK311" s="419"/>
      <c r="FL311" s="419"/>
      <c r="FM311" s="419"/>
      <c r="FN311" s="420"/>
      <c r="FO311" s="423"/>
      <c r="FP311" s="431"/>
      <c r="FQ311" s="431"/>
      <c r="FR311" s="431"/>
      <c r="FS311" s="420"/>
      <c r="FT311" s="420"/>
      <c r="FU311" s="419"/>
      <c r="FV311" s="419"/>
      <c r="FW311" s="419"/>
      <c r="FX311" s="420"/>
      <c r="FY311" s="420"/>
      <c r="FZ311" s="419">
        <v>1905955.75</v>
      </c>
      <c r="GA311" s="419">
        <v>1905955.75</v>
      </c>
      <c r="GB311" s="419">
        <v>247774.25</v>
      </c>
      <c r="GC311" s="420">
        <f t="shared" si="253"/>
        <v>1905955.77</v>
      </c>
      <c r="GD311" s="420">
        <f t="shared" si="254"/>
        <v>2.00000000186265E-2</v>
      </c>
      <c r="GE311" s="419">
        <v>8869075.2400000002</v>
      </c>
      <c r="GF311" s="419">
        <v>8869075.2400000002</v>
      </c>
      <c r="GG311" s="419">
        <v>1152979.76</v>
      </c>
      <c r="GH311" s="420">
        <f t="shared" si="261"/>
        <v>8869075.0769230798</v>
      </c>
      <c r="GI311" s="423">
        <f t="shared" si="262"/>
        <v>-0.16307692416012301</v>
      </c>
      <c r="GJ311" s="419"/>
      <c r="GK311" s="419"/>
      <c r="GL311" s="419"/>
      <c r="GM311" s="420">
        <f t="shared" si="257"/>
        <v>0</v>
      </c>
      <c r="GN311" s="420">
        <f t="shared" si="258"/>
        <v>0</v>
      </c>
      <c r="GO311" s="419"/>
      <c r="GP311" s="419"/>
      <c r="GQ311" s="419"/>
      <c r="GR311" s="420">
        <f t="shared" si="249"/>
        <v>0</v>
      </c>
      <c r="GS311" s="423">
        <f t="shared" si="246"/>
        <v>0</v>
      </c>
      <c r="GT311" s="419"/>
      <c r="GU311" s="419"/>
      <c r="GV311" s="419"/>
      <c r="GW311" s="420">
        <f t="shared" si="247"/>
        <v>0</v>
      </c>
      <c r="GX311" s="420">
        <f t="shared" si="248"/>
        <v>0</v>
      </c>
    </row>
    <row r="312" spans="1:206" ht="15">
      <c r="A312" s="414"/>
      <c r="B312" s="415"/>
      <c r="C312" s="698"/>
      <c r="D312" s="467" t="s">
        <v>656</v>
      </c>
      <c r="E312" s="434" t="s">
        <v>604</v>
      </c>
      <c r="F312" s="417">
        <v>0.13</v>
      </c>
      <c r="G312" s="418">
        <f t="shared" si="244"/>
        <v>1683815.11</v>
      </c>
      <c r="H312" s="418">
        <f t="shared" si="245"/>
        <v>1683815.11</v>
      </c>
      <c r="I312" s="418">
        <f t="shared" si="245"/>
        <v>218895.99</v>
      </c>
      <c r="J312" s="418">
        <f t="shared" si="252"/>
        <v>1683815.3076923101</v>
      </c>
      <c r="K312" s="418">
        <f t="shared" si="250"/>
        <v>0.197692307643592</v>
      </c>
      <c r="L312" s="418">
        <f t="shared" si="218"/>
        <v>0.197692307643592</v>
      </c>
      <c r="M312" s="424"/>
      <c r="N312" s="424"/>
      <c r="O312" s="424"/>
      <c r="P312" s="424"/>
      <c r="Q312" s="419"/>
      <c r="R312" s="419"/>
      <c r="S312" s="419"/>
      <c r="T312" s="420"/>
      <c r="U312" s="423"/>
      <c r="V312" s="420"/>
      <c r="W312" s="420"/>
      <c r="X312" s="419"/>
      <c r="Y312" s="419"/>
      <c r="Z312" s="423"/>
      <c r="AA312" s="423"/>
      <c r="AB312" s="419"/>
      <c r="AC312" s="419"/>
      <c r="AD312" s="420"/>
      <c r="AE312" s="423"/>
      <c r="AF312" s="419"/>
      <c r="AG312" s="419"/>
      <c r="AH312" s="419"/>
      <c r="AI312" s="420"/>
      <c r="AJ312" s="423"/>
      <c r="AK312" s="419"/>
      <c r="AL312" s="420"/>
      <c r="AM312" s="419"/>
      <c r="AN312" s="420"/>
      <c r="AO312" s="423"/>
      <c r="AP312" s="419"/>
      <c r="AQ312" s="419"/>
      <c r="AR312" s="420"/>
      <c r="AS312" s="420"/>
      <c r="AT312" s="420"/>
      <c r="AU312" s="420"/>
      <c r="AV312" s="420"/>
      <c r="AW312" s="420"/>
      <c r="AX312" s="426"/>
      <c r="AY312" s="420"/>
      <c r="AZ312" s="420"/>
      <c r="BA312" s="420"/>
      <c r="BB312" s="419"/>
      <c r="BC312" s="420"/>
      <c r="BD312" s="427"/>
      <c r="BE312" s="420"/>
      <c r="BF312" s="420"/>
      <c r="BG312" s="420"/>
      <c r="BH312" s="423"/>
      <c r="BI312" s="420"/>
      <c r="BJ312" s="420"/>
      <c r="BK312" s="420"/>
      <c r="BL312" s="420"/>
      <c r="BM312" s="420"/>
      <c r="BN312" s="420"/>
      <c r="BO312" s="420"/>
      <c r="BP312" s="429"/>
      <c r="BQ312" s="420"/>
      <c r="BR312" s="423"/>
      <c r="BS312" s="423"/>
      <c r="BT312" s="420"/>
      <c r="BU312" s="420"/>
      <c r="BV312" s="420"/>
      <c r="BW312" s="420"/>
      <c r="BX312" s="429"/>
      <c r="BY312" s="419"/>
      <c r="BZ312" s="419"/>
      <c r="CA312" s="419"/>
      <c r="CB312" s="420"/>
      <c r="CC312" s="430"/>
      <c r="CD312" s="419"/>
      <c r="CE312" s="419"/>
      <c r="CF312" s="419"/>
      <c r="CG312" s="420"/>
      <c r="CH312" s="423"/>
      <c r="CI312" s="431"/>
      <c r="CJ312" s="431"/>
      <c r="CK312" s="431"/>
      <c r="CL312" s="420"/>
      <c r="CM312" s="423"/>
      <c r="CN312" s="420"/>
      <c r="CO312" s="420"/>
      <c r="CP312" s="420"/>
      <c r="CQ312" s="432"/>
      <c r="CR312" s="432"/>
      <c r="CS312" s="420"/>
      <c r="CT312" s="420"/>
      <c r="CU312" s="420"/>
      <c r="CV312" s="420"/>
      <c r="CW312" s="420"/>
      <c r="CX312" s="419"/>
      <c r="CY312" s="419"/>
      <c r="CZ312" s="419"/>
      <c r="DA312" s="419"/>
      <c r="DB312" s="419"/>
      <c r="DC312" s="419"/>
      <c r="DD312" s="419"/>
      <c r="DE312" s="419"/>
      <c r="DF312" s="420"/>
      <c r="DG312" s="421"/>
      <c r="DH312" s="419"/>
      <c r="DI312" s="419"/>
      <c r="DJ312" s="419"/>
      <c r="DK312" s="420"/>
      <c r="DL312" s="422"/>
      <c r="DM312" s="420"/>
      <c r="DN312" s="420"/>
      <c r="DO312" s="420"/>
      <c r="DP312" s="420"/>
      <c r="DQ312" s="420"/>
      <c r="DR312" s="419"/>
      <c r="DS312" s="419"/>
      <c r="DT312" s="419"/>
      <c r="DU312" s="420"/>
      <c r="DV312" s="423"/>
      <c r="DW312" s="419"/>
      <c r="DX312" s="419"/>
      <c r="DY312" s="419"/>
      <c r="DZ312" s="420"/>
      <c r="EA312" s="423"/>
      <c r="EB312" s="419"/>
      <c r="EC312" s="419"/>
      <c r="ED312" s="420"/>
      <c r="EE312" s="419"/>
      <c r="EF312" s="420"/>
      <c r="EG312" s="419"/>
      <c r="EH312" s="419"/>
      <c r="EI312" s="419"/>
      <c r="EJ312" s="420"/>
      <c r="EK312" s="420"/>
      <c r="EL312" s="419"/>
      <c r="EM312" s="419"/>
      <c r="EN312" s="419"/>
      <c r="EO312" s="419"/>
      <c r="EP312" s="419"/>
      <c r="EQ312" s="420"/>
      <c r="ER312" s="420"/>
      <c r="ES312" s="420"/>
      <c r="ET312" s="419"/>
      <c r="EU312" s="419"/>
      <c r="EV312" s="455"/>
      <c r="EW312" s="455"/>
      <c r="EX312" s="455"/>
      <c r="EY312" s="419"/>
      <c r="EZ312" s="419"/>
      <c r="FA312" s="420"/>
      <c r="FB312" s="420"/>
      <c r="FC312" s="420"/>
      <c r="FD312" s="420"/>
      <c r="FE312" s="420"/>
      <c r="FF312" s="419"/>
      <c r="FG312" s="420"/>
      <c r="FH312" s="419"/>
      <c r="FI312" s="419"/>
      <c r="FJ312" s="419"/>
      <c r="FK312" s="419"/>
      <c r="FL312" s="419"/>
      <c r="FM312" s="419"/>
      <c r="FN312" s="420"/>
      <c r="FO312" s="423"/>
      <c r="FP312" s="431"/>
      <c r="FQ312" s="431"/>
      <c r="FR312" s="431"/>
      <c r="FS312" s="420"/>
      <c r="FT312" s="420"/>
      <c r="FU312" s="419"/>
      <c r="FV312" s="419"/>
      <c r="FW312" s="419"/>
      <c r="FX312" s="420"/>
      <c r="FY312" s="420"/>
      <c r="FZ312" s="419">
        <v>254277.04</v>
      </c>
      <c r="GA312" s="419">
        <v>254277.04</v>
      </c>
      <c r="GB312" s="419">
        <v>33056.01</v>
      </c>
      <c r="GC312" s="420">
        <f t="shared" si="253"/>
        <v>254277</v>
      </c>
      <c r="GD312" s="420">
        <f t="shared" si="254"/>
        <v>-4.00000000081491E-2</v>
      </c>
      <c r="GE312" s="419">
        <v>1429538.07</v>
      </c>
      <c r="GF312" s="419">
        <v>1429538.07</v>
      </c>
      <c r="GG312" s="419">
        <v>185839.98</v>
      </c>
      <c r="GH312" s="420">
        <f t="shared" si="261"/>
        <v>1429538.3076923101</v>
      </c>
      <c r="GI312" s="423">
        <f t="shared" si="262"/>
        <v>0.23769230768084501</v>
      </c>
      <c r="GJ312" s="419"/>
      <c r="GK312" s="419"/>
      <c r="GL312" s="419"/>
      <c r="GM312" s="420">
        <f t="shared" si="257"/>
        <v>0</v>
      </c>
      <c r="GN312" s="420">
        <f t="shared" si="258"/>
        <v>0</v>
      </c>
      <c r="GO312" s="419"/>
      <c r="GP312" s="419"/>
      <c r="GQ312" s="419"/>
      <c r="GR312" s="420">
        <f t="shared" si="249"/>
        <v>0</v>
      </c>
      <c r="GS312" s="423">
        <f t="shared" si="246"/>
        <v>0</v>
      </c>
      <c r="GT312" s="419"/>
      <c r="GU312" s="419"/>
      <c r="GV312" s="419"/>
      <c r="GW312" s="420">
        <f t="shared" si="247"/>
        <v>0</v>
      </c>
      <c r="GX312" s="420">
        <f t="shared" si="248"/>
        <v>0</v>
      </c>
    </row>
    <row r="313" spans="1:206" ht="15">
      <c r="A313" s="414"/>
      <c r="B313" s="415"/>
      <c r="C313" s="698"/>
      <c r="D313" s="467" t="s">
        <v>657</v>
      </c>
      <c r="E313" s="434" t="s">
        <v>604</v>
      </c>
      <c r="F313" s="417">
        <v>0.13</v>
      </c>
      <c r="G313" s="418">
        <f t="shared" si="244"/>
        <v>24920387.550000001</v>
      </c>
      <c r="H313" s="418">
        <f t="shared" si="245"/>
        <v>24920387.550000001</v>
      </c>
      <c r="I313" s="418">
        <f t="shared" si="245"/>
        <v>3239650.35</v>
      </c>
      <c r="J313" s="418">
        <f t="shared" si="252"/>
        <v>24920387.307692301</v>
      </c>
      <c r="K313" s="418">
        <f t="shared" si="250"/>
        <v>-0.24230769276618999</v>
      </c>
      <c r="L313" s="418">
        <f t="shared" si="218"/>
        <v>-0.24230769276618999</v>
      </c>
      <c r="M313" s="424"/>
      <c r="N313" s="424"/>
      <c r="O313" s="424"/>
      <c r="P313" s="424"/>
      <c r="Q313" s="419"/>
      <c r="R313" s="419"/>
      <c r="S313" s="419"/>
      <c r="T313" s="420"/>
      <c r="U313" s="423"/>
      <c r="V313" s="420"/>
      <c r="W313" s="420"/>
      <c r="X313" s="419"/>
      <c r="Y313" s="419"/>
      <c r="Z313" s="423"/>
      <c r="AA313" s="423"/>
      <c r="AB313" s="419"/>
      <c r="AC313" s="419"/>
      <c r="AD313" s="420"/>
      <c r="AE313" s="423"/>
      <c r="AF313" s="419"/>
      <c r="AG313" s="419"/>
      <c r="AH313" s="419"/>
      <c r="AI313" s="420"/>
      <c r="AJ313" s="423"/>
      <c r="AK313" s="419"/>
      <c r="AL313" s="420"/>
      <c r="AM313" s="419"/>
      <c r="AN313" s="420"/>
      <c r="AO313" s="423"/>
      <c r="AP313" s="419"/>
      <c r="AQ313" s="419"/>
      <c r="AR313" s="420"/>
      <c r="AS313" s="420"/>
      <c r="AT313" s="420"/>
      <c r="AU313" s="420"/>
      <c r="AV313" s="420"/>
      <c r="AW313" s="420"/>
      <c r="AX313" s="426"/>
      <c r="AY313" s="420"/>
      <c r="AZ313" s="420"/>
      <c r="BA313" s="420"/>
      <c r="BB313" s="419"/>
      <c r="BC313" s="420"/>
      <c r="BD313" s="427"/>
      <c r="BE313" s="420"/>
      <c r="BF313" s="420"/>
      <c r="BG313" s="420"/>
      <c r="BH313" s="423"/>
      <c r="BI313" s="420"/>
      <c r="BJ313" s="420"/>
      <c r="BK313" s="420"/>
      <c r="BL313" s="420"/>
      <c r="BM313" s="420"/>
      <c r="BN313" s="420"/>
      <c r="BO313" s="420"/>
      <c r="BP313" s="429"/>
      <c r="BQ313" s="420"/>
      <c r="BR313" s="423"/>
      <c r="BS313" s="423"/>
      <c r="BT313" s="420"/>
      <c r="BU313" s="420"/>
      <c r="BV313" s="420"/>
      <c r="BW313" s="420"/>
      <c r="BX313" s="429"/>
      <c r="BY313" s="419"/>
      <c r="BZ313" s="419"/>
      <c r="CA313" s="419"/>
      <c r="CB313" s="420"/>
      <c r="CC313" s="430"/>
      <c r="CD313" s="419"/>
      <c r="CE313" s="419"/>
      <c r="CF313" s="419"/>
      <c r="CG313" s="420"/>
      <c r="CH313" s="423"/>
      <c r="CI313" s="431"/>
      <c r="CJ313" s="431"/>
      <c r="CK313" s="431"/>
      <c r="CL313" s="420"/>
      <c r="CM313" s="423"/>
      <c r="CN313" s="420"/>
      <c r="CO313" s="420"/>
      <c r="CP313" s="420"/>
      <c r="CQ313" s="432"/>
      <c r="CR313" s="432"/>
      <c r="CS313" s="420"/>
      <c r="CT313" s="420"/>
      <c r="CU313" s="420"/>
      <c r="CV313" s="420"/>
      <c r="CW313" s="420"/>
      <c r="CX313" s="419"/>
      <c r="CY313" s="419"/>
      <c r="CZ313" s="419"/>
      <c r="DA313" s="419"/>
      <c r="DB313" s="419"/>
      <c r="DC313" s="419"/>
      <c r="DD313" s="419"/>
      <c r="DE313" s="419"/>
      <c r="DF313" s="420"/>
      <c r="DG313" s="421"/>
      <c r="DH313" s="419"/>
      <c r="DI313" s="419"/>
      <c r="DJ313" s="419"/>
      <c r="DK313" s="420"/>
      <c r="DL313" s="422"/>
      <c r="DM313" s="420"/>
      <c r="DN313" s="420"/>
      <c r="DO313" s="420"/>
      <c r="DP313" s="420"/>
      <c r="DQ313" s="420"/>
      <c r="DR313" s="419"/>
      <c r="DS313" s="419"/>
      <c r="DT313" s="419"/>
      <c r="DU313" s="420"/>
      <c r="DV313" s="423"/>
      <c r="DW313" s="419"/>
      <c r="DX313" s="419"/>
      <c r="DY313" s="419"/>
      <c r="DZ313" s="420"/>
      <c r="EA313" s="423"/>
      <c r="EB313" s="419"/>
      <c r="EC313" s="419"/>
      <c r="ED313" s="420"/>
      <c r="EE313" s="419"/>
      <c r="EF313" s="420"/>
      <c r="EG313" s="419"/>
      <c r="EH313" s="419"/>
      <c r="EI313" s="419"/>
      <c r="EJ313" s="420"/>
      <c r="EK313" s="420"/>
      <c r="EL313" s="419"/>
      <c r="EM313" s="419"/>
      <c r="EN313" s="419"/>
      <c r="EO313" s="419"/>
      <c r="EP313" s="419"/>
      <c r="EQ313" s="420"/>
      <c r="ER313" s="420"/>
      <c r="ES313" s="420"/>
      <c r="ET313" s="419"/>
      <c r="EU313" s="419"/>
      <c r="EV313" s="455"/>
      <c r="EW313" s="455"/>
      <c r="EX313" s="455"/>
      <c r="EY313" s="419"/>
      <c r="EZ313" s="419"/>
      <c r="FA313" s="420"/>
      <c r="FB313" s="420"/>
      <c r="FC313" s="420"/>
      <c r="FD313" s="420"/>
      <c r="FE313" s="420"/>
      <c r="FF313" s="419"/>
      <c r="FG313" s="420"/>
      <c r="FH313" s="419"/>
      <c r="FI313" s="419"/>
      <c r="FJ313" s="419"/>
      <c r="FK313" s="419"/>
      <c r="FL313" s="419"/>
      <c r="FM313" s="419"/>
      <c r="FN313" s="420"/>
      <c r="FO313" s="423"/>
      <c r="FP313" s="431"/>
      <c r="FQ313" s="431"/>
      <c r="FR313" s="431"/>
      <c r="FS313" s="420"/>
      <c r="FT313" s="420"/>
      <c r="FU313" s="419"/>
      <c r="FV313" s="419"/>
      <c r="FW313" s="419"/>
      <c r="FX313" s="420"/>
      <c r="FY313" s="420"/>
      <c r="FZ313" s="419">
        <v>3237780.89</v>
      </c>
      <c r="GA313" s="419">
        <v>3237780.89</v>
      </c>
      <c r="GB313" s="419">
        <v>420911.51</v>
      </c>
      <c r="GC313" s="420">
        <f t="shared" si="253"/>
        <v>3237780.85</v>
      </c>
      <c r="GD313" s="420">
        <f t="shared" si="254"/>
        <v>-4.0000000037252903E-2</v>
      </c>
      <c r="GE313" s="420">
        <v>21682606.640000001</v>
      </c>
      <c r="GF313" s="420"/>
      <c r="GG313" s="420">
        <v>2818738.86</v>
      </c>
      <c r="GH313" s="420">
        <f t="shared" si="261"/>
        <v>21682606.615384601</v>
      </c>
      <c r="GI313" s="423">
        <f t="shared" si="262"/>
        <v>-2.4615388363599802E-2</v>
      </c>
      <c r="GJ313" s="419">
        <v>0.02</v>
      </c>
      <c r="GK313" s="419">
        <v>21682606.66</v>
      </c>
      <c r="GL313" s="419">
        <v>-0.02</v>
      </c>
      <c r="GM313" s="420">
        <f t="shared" si="257"/>
        <v>-0.15384615384615399</v>
      </c>
      <c r="GN313" s="420">
        <f t="shared" si="258"/>
        <v>-0.17384615384615401</v>
      </c>
      <c r="GO313" s="419"/>
      <c r="GP313" s="419"/>
      <c r="GQ313" s="419"/>
      <c r="GR313" s="420">
        <f t="shared" si="249"/>
        <v>0</v>
      </c>
      <c r="GS313" s="423">
        <f t="shared" si="246"/>
        <v>0</v>
      </c>
      <c r="GT313" s="419"/>
      <c r="GU313" s="419"/>
      <c r="GV313" s="419"/>
      <c r="GW313" s="420">
        <f t="shared" si="247"/>
        <v>0</v>
      </c>
      <c r="GX313" s="420">
        <f t="shared" si="248"/>
        <v>0</v>
      </c>
    </row>
    <row r="314" spans="1:206" ht="15">
      <c r="A314" s="414"/>
      <c r="B314" s="415"/>
      <c r="C314" s="698"/>
      <c r="D314" s="467" t="s">
        <v>658</v>
      </c>
      <c r="E314" s="434" t="s">
        <v>604</v>
      </c>
      <c r="F314" s="417">
        <v>0.13</v>
      </c>
      <c r="G314" s="418">
        <f t="shared" si="244"/>
        <v>163584.07999999999</v>
      </c>
      <c r="H314" s="418">
        <f t="shared" si="245"/>
        <v>163584.07999999999</v>
      </c>
      <c r="I314" s="418">
        <f t="shared" si="245"/>
        <v>21265.919999999998</v>
      </c>
      <c r="J314" s="418">
        <f t="shared" si="252"/>
        <v>163584</v>
      </c>
      <c r="K314" s="418">
        <f t="shared" si="250"/>
        <v>-8.0000000016298103E-2</v>
      </c>
      <c r="L314" s="418">
        <f t="shared" si="218"/>
        <v>-8.0000000016298103E-2</v>
      </c>
      <c r="M314" s="424"/>
      <c r="N314" s="424"/>
      <c r="O314" s="424"/>
      <c r="P314" s="424"/>
      <c r="Q314" s="419"/>
      <c r="R314" s="419"/>
      <c r="S314" s="419"/>
      <c r="T314" s="420"/>
      <c r="U314" s="423"/>
      <c r="V314" s="420"/>
      <c r="W314" s="420"/>
      <c r="X314" s="419"/>
      <c r="Y314" s="419"/>
      <c r="Z314" s="423"/>
      <c r="AA314" s="423"/>
      <c r="AB314" s="419"/>
      <c r="AC314" s="419"/>
      <c r="AD314" s="420"/>
      <c r="AE314" s="423"/>
      <c r="AF314" s="419"/>
      <c r="AG314" s="419"/>
      <c r="AH314" s="419"/>
      <c r="AI314" s="420"/>
      <c r="AJ314" s="423"/>
      <c r="AK314" s="419"/>
      <c r="AL314" s="420"/>
      <c r="AM314" s="419"/>
      <c r="AN314" s="420"/>
      <c r="AO314" s="423"/>
      <c r="AP314" s="419"/>
      <c r="AQ314" s="419"/>
      <c r="AR314" s="420"/>
      <c r="AS314" s="420"/>
      <c r="AT314" s="420"/>
      <c r="AU314" s="420"/>
      <c r="AV314" s="420"/>
      <c r="AW314" s="420"/>
      <c r="AX314" s="426"/>
      <c r="AY314" s="420"/>
      <c r="AZ314" s="420"/>
      <c r="BA314" s="420"/>
      <c r="BB314" s="419"/>
      <c r="BC314" s="420"/>
      <c r="BD314" s="427"/>
      <c r="BE314" s="420"/>
      <c r="BF314" s="420"/>
      <c r="BG314" s="420"/>
      <c r="BH314" s="423"/>
      <c r="BI314" s="420"/>
      <c r="BJ314" s="420"/>
      <c r="BK314" s="420"/>
      <c r="BL314" s="420"/>
      <c r="BM314" s="420"/>
      <c r="BN314" s="420"/>
      <c r="BO314" s="420"/>
      <c r="BP314" s="429"/>
      <c r="BQ314" s="420"/>
      <c r="BR314" s="423"/>
      <c r="BS314" s="423"/>
      <c r="BT314" s="420"/>
      <c r="BU314" s="420"/>
      <c r="BV314" s="420"/>
      <c r="BW314" s="420"/>
      <c r="BX314" s="429"/>
      <c r="BY314" s="419"/>
      <c r="BZ314" s="419"/>
      <c r="CA314" s="419"/>
      <c r="CB314" s="420"/>
      <c r="CC314" s="430"/>
      <c r="CD314" s="419"/>
      <c r="CE314" s="419"/>
      <c r="CF314" s="419"/>
      <c r="CG314" s="420"/>
      <c r="CH314" s="423"/>
      <c r="CI314" s="431"/>
      <c r="CJ314" s="431"/>
      <c r="CK314" s="431"/>
      <c r="CL314" s="420"/>
      <c r="CM314" s="423"/>
      <c r="CN314" s="420"/>
      <c r="CO314" s="420"/>
      <c r="CP314" s="420"/>
      <c r="CQ314" s="432"/>
      <c r="CR314" s="432"/>
      <c r="CS314" s="420"/>
      <c r="CT314" s="420"/>
      <c r="CU314" s="420"/>
      <c r="CV314" s="420"/>
      <c r="CW314" s="420"/>
      <c r="CX314" s="419"/>
      <c r="CY314" s="419"/>
      <c r="CZ314" s="419"/>
      <c r="DA314" s="419"/>
      <c r="DB314" s="419"/>
      <c r="DC314" s="419"/>
      <c r="DD314" s="419"/>
      <c r="DE314" s="419"/>
      <c r="DF314" s="420"/>
      <c r="DG314" s="421"/>
      <c r="DH314" s="419"/>
      <c r="DI314" s="419"/>
      <c r="DJ314" s="419"/>
      <c r="DK314" s="420"/>
      <c r="DL314" s="422"/>
      <c r="DM314" s="420"/>
      <c r="DN314" s="420"/>
      <c r="DO314" s="420"/>
      <c r="DP314" s="420"/>
      <c r="DQ314" s="420"/>
      <c r="DR314" s="419"/>
      <c r="DS314" s="419"/>
      <c r="DT314" s="419"/>
      <c r="DU314" s="420"/>
      <c r="DV314" s="423"/>
      <c r="DW314" s="419"/>
      <c r="DX314" s="419"/>
      <c r="DY314" s="419"/>
      <c r="DZ314" s="420"/>
      <c r="EA314" s="423"/>
      <c r="EB314" s="419"/>
      <c r="EC314" s="419"/>
      <c r="ED314" s="420"/>
      <c r="EE314" s="419"/>
      <c r="EF314" s="420"/>
      <c r="EG314" s="419"/>
      <c r="EH314" s="419"/>
      <c r="EI314" s="419"/>
      <c r="EJ314" s="420"/>
      <c r="EK314" s="420"/>
      <c r="EL314" s="419"/>
      <c r="EM314" s="419"/>
      <c r="EN314" s="419"/>
      <c r="EO314" s="419"/>
      <c r="EP314" s="419"/>
      <c r="EQ314" s="420"/>
      <c r="ER314" s="420"/>
      <c r="ES314" s="420"/>
      <c r="ET314" s="419"/>
      <c r="EU314" s="419"/>
      <c r="EV314" s="455"/>
      <c r="EW314" s="455"/>
      <c r="EX314" s="455"/>
      <c r="EY314" s="419"/>
      <c r="EZ314" s="419"/>
      <c r="FA314" s="420"/>
      <c r="FB314" s="420"/>
      <c r="FC314" s="420"/>
      <c r="FD314" s="420"/>
      <c r="FE314" s="420"/>
      <c r="FF314" s="419"/>
      <c r="FG314" s="420"/>
      <c r="FH314" s="419"/>
      <c r="FI314" s="419"/>
      <c r="FJ314" s="419"/>
      <c r="FK314" s="419"/>
      <c r="FL314" s="419"/>
      <c r="FM314" s="419"/>
      <c r="FN314" s="420"/>
      <c r="FO314" s="423"/>
      <c r="FP314" s="431"/>
      <c r="FQ314" s="431"/>
      <c r="FR314" s="431"/>
      <c r="FS314" s="420"/>
      <c r="FT314" s="420"/>
      <c r="FU314" s="419"/>
      <c r="FV314" s="419"/>
      <c r="FW314" s="419"/>
      <c r="FX314" s="420"/>
      <c r="FY314" s="420"/>
      <c r="FZ314" s="419"/>
      <c r="GA314" s="419"/>
      <c r="GB314" s="419"/>
      <c r="GC314" s="420"/>
      <c r="GD314" s="420"/>
      <c r="GE314" s="420">
        <v>163584.07999999999</v>
      </c>
      <c r="GF314" s="419">
        <v>163584.07999999999</v>
      </c>
      <c r="GG314" s="420">
        <v>21265.919999999998</v>
      </c>
      <c r="GH314" s="420">
        <f t="shared" si="261"/>
        <v>163584</v>
      </c>
      <c r="GI314" s="423">
        <f t="shared" si="262"/>
        <v>-8.0000000016298103E-2</v>
      </c>
      <c r="GJ314" s="419"/>
      <c r="GK314" s="419"/>
      <c r="GL314" s="419"/>
      <c r="GM314" s="420">
        <f t="shared" si="257"/>
        <v>0</v>
      </c>
      <c r="GN314" s="420">
        <f t="shared" si="258"/>
        <v>0</v>
      </c>
      <c r="GO314" s="419"/>
      <c r="GP314" s="419"/>
      <c r="GQ314" s="419"/>
      <c r="GR314" s="420">
        <f t="shared" si="249"/>
        <v>0</v>
      </c>
      <c r="GS314" s="423">
        <f t="shared" si="246"/>
        <v>0</v>
      </c>
      <c r="GT314" s="419"/>
      <c r="GU314" s="419"/>
      <c r="GV314" s="419"/>
      <c r="GW314" s="420">
        <f t="shared" si="247"/>
        <v>0</v>
      </c>
      <c r="GX314" s="420">
        <f t="shared" si="248"/>
        <v>0</v>
      </c>
    </row>
    <row r="315" spans="1:206" ht="15">
      <c r="A315" s="414"/>
      <c r="B315" s="415"/>
      <c r="C315" s="698"/>
      <c r="D315" s="467" t="s">
        <v>659</v>
      </c>
      <c r="E315" s="434" t="s">
        <v>604</v>
      </c>
      <c r="F315" s="417">
        <v>0.13</v>
      </c>
      <c r="G315" s="418">
        <f t="shared" si="244"/>
        <v>24006714.300000001</v>
      </c>
      <c r="H315" s="418">
        <f t="shared" si="245"/>
        <v>24006714.300000001</v>
      </c>
      <c r="I315" s="418">
        <f t="shared" si="245"/>
        <v>3120872.85</v>
      </c>
      <c r="J315" s="418">
        <f t="shared" si="252"/>
        <v>24006714.230769198</v>
      </c>
      <c r="K315" s="418">
        <f t="shared" si="250"/>
        <v>-6.9230768829584094E-2</v>
      </c>
      <c r="L315" s="418">
        <f t="shared" si="218"/>
        <v>-6.9230768829584094E-2</v>
      </c>
      <c r="M315" s="424"/>
      <c r="N315" s="424"/>
      <c r="O315" s="424"/>
      <c r="P315" s="424"/>
      <c r="Q315" s="419"/>
      <c r="R315" s="419"/>
      <c r="S315" s="419"/>
      <c r="T315" s="420"/>
      <c r="U315" s="423"/>
      <c r="V315" s="420"/>
      <c r="W315" s="420"/>
      <c r="X315" s="419"/>
      <c r="Y315" s="419"/>
      <c r="Z315" s="423"/>
      <c r="AA315" s="423"/>
      <c r="AB315" s="419"/>
      <c r="AC315" s="419"/>
      <c r="AD315" s="420"/>
      <c r="AE315" s="423"/>
      <c r="AF315" s="419"/>
      <c r="AG315" s="419"/>
      <c r="AH315" s="419"/>
      <c r="AI315" s="420"/>
      <c r="AJ315" s="423"/>
      <c r="AK315" s="419"/>
      <c r="AL315" s="420"/>
      <c r="AM315" s="419"/>
      <c r="AN315" s="420"/>
      <c r="AO315" s="423"/>
      <c r="AP315" s="419"/>
      <c r="AQ315" s="419"/>
      <c r="AR315" s="420"/>
      <c r="AS315" s="420"/>
      <c r="AT315" s="420"/>
      <c r="AU315" s="420"/>
      <c r="AV315" s="420"/>
      <c r="AW315" s="420"/>
      <c r="AX315" s="426"/>
      <c r="AY315" s="420"/>
      <c r="AZ315" s="420"/>
      <c r="BA315" s="420"/>
      <c r="BB315" s="419"/>
      <c r="BC315" s="420"/>
      <c r="BD315" s="427"/>
      <c r="BE315" s="420"/>
      <c r="BF315" s="420"/>
      <c r="BG315" s="420"/>
      <c r="BH315" s="423"/>
      <c r="BI315" s="420"/>
      <c r="BJ315" s="420"/>
      <c r="BK315" s="420"/>
      <c r="BL315" s="420"/>
      <c r="BM315" s="420"/>
      <c r="BN315" s="420"/>
      <c r="BO315" s="420"/>
      <c r="BP315" s="429"/>
      <c r="BQ315" s="420"/>
      <c r="BR315" s="423"/>
      <c r="BS315" s="423"/>
      <c r="BT315" s="420"/>
      <c r="BU315" s="420"/>
      <c r="BV315" s="420"/>
      <c r="BW315" s="420"/>
      <c r="BX315" s="429"/>
      <c r="BY315" s="419"/>
      <c r="BZ315" s="419"/>
      <c r="CA315" s="419"/>
      <c r="CB315" s="420"/>
      <c r="CC315" s="430"/>
      <c r="CD315" s="419"/>
      <c r="CE315" s="419"/>
      <c r="CF315" s="419"/>
      <c r="CG315" s="420"/>
      <c r="CH315" s="423"/>
      <c r="CI315" s="431"/>
      <c r="CJ315" s="431"/>
      <c r="CK315" s="431"/>
      <c r="CL315" s="420"/>
      <c r="CM315" s="423"/>
      <c r="CN315" s="420"/>
      <c r="CO315" s="420"/>
      <c r="CP315" s="420"/>
      <c r="CQ315" s="432"/>
      <c r="CR315" s="432"/>
      <c r="CS315" s="420"/>
      <c r="CT315" s="420"/>
      <c r="CU315" s="420"/>
      <c r="CV315" s="420"/>
      <c r="CW315" s="420"/>
      <c r="CX315" s="419"/>
      <c r="CY315" s="419"/>
      <c r="CZ315" s="419"/>
      <c r="DA315" s="419"/>
      <c r="DB315" s="419"/>
      <c r="DC315" s="419"/>
      <c r="DD315" s="419"/>
      <c r="DE315" s="419"/>
      <c r="DF315" s="420"/>
      <c r="DG315" s="421"/>
      <c r="DH315" s="419"/>
      <c r="DI315" s="419"/>
      <c r="DJ315" s="419"/>
      <c r="DK315" s="420"/>
      <c r="DL315" s="422"/>
      <c r="DM315" s="420"/>
      <c r="DN315" s="420"/>
      <c r="DO315" s="420"/>
      <c r="DP315" s="420"/>
      <c r="DQ315" s="420"/>
      <c r="DR315" s="419"/>
      <c r="DS315" s="419"/>
      <c r="DT315" s="419"/>
      <c r="DU315" s="420"/>
      <c r="DV315" s="423"/>
      <c r="DW315" s="419"/>
      <c r="DX315" s="419"/>
      <c r="DY315" s="419"/>
      <c r="DZ315" s="420"/>
      <c r="EA315" s="423"/>
      <c r="EB315" s="419"/>
      <c r="EC315" s="419"/>
      <c r="ED315" s="420"/>
      <c r="EE315" s="419"/>
      <c r="EF315" s="420"/>
      <c r="EG315" s="419"/>
      <c r="EH315" s="419"/>
      <c r="EI315" s="419"/>
      <c r="EJ315" s="420"/>
      <c r="EK315" s="420"/>
      <c r="EL315" s="419"/>
      <c r="EM315" s="419"/>
      <c r="EN315" s="419"/>
      <c r="EO315" s="419"/>
      <c r="EP315" s="419"/>
      <c r="EQ315" s="420"/>
      <c r="ER315" s="420"/>
      <c r="ES315" s="420"/>
      <c r="ET315" s="419"/>
      <c r="EU315" s="419"/>
      <c r="EV315" s="455"/>
      <c r="EW315" s="455"/>
      <c r="EX315" s="455"/>
      <c r="EY315" s="419"/>
      <c r="EZ315" s="419"/>
      <c r="FA315" s="420"/>
      <c r="FB315" s="420"/>
      <c r="FC315" s="420"/>
      <c r="FD315" s="420"/>
      <c r="FE315" s="420"/>
      <c r="FF315" s="419"/>
      <c r="FG315" s="420"/>
      <c r="FH315" s="419"/>
      <c r="FI315" s="419"/>
      <c r="FJ315" s="419"/>
      <c r="FK315" s="419"/>
      <c r="FL315" s="419"/>
      <c r="FM315" s="419"/>
      <c r="FN315" s="420"/>
      <c r="FO315" s="423"/>
      <c r="FP315" s="431"/>
      <c r="FQ315" s="431"/>
      <c r="FR315" s="431"/>
      <c r="FS315" s="420"/>
      <c r="FT315" s="420"/>
      <c r="FU315" s="419"/>
      <c r="FV315" s="419"/>
      <c r="FW315" s="419"/>
      <c r="FX315" s="420"/>
      <c r="FY315" s="420"/>
      <c r="FZ315" s="419"/>
      <c r="GA315" s="419"/>
      <c r="GB315" s="419"/>
      <c r="GC315" s="420"/>
      <c r="GD315" s="420"/>
      <c r="GE315" s="420">
        <v>24006714.289999999</v>
      </c>
      <c r="GF315" s="419"/>
      <c r="GG315" s="420">
        <v>3120872.86</v>
      </c>
      <c r="GH315" s="420">
        <f t="shared" si="261"/>
        <v>24006714.307692301</v>
      </c>
      <c r="GI315" s="423">
        <f t="shared" si="262"/>
        <v>1.7692305147647899E-2</v>
      </c>
      <c r="GJ315" s="419">
        <v>0.01</v>
      </c>
      <c r="GK315" s="419">
        <v>24006714.300000001</v>
      </c>
      <c r="GL315" s="419">
        <v>-0.01</v>
      </c>
      <c r="GM315" s="420">
        <f t="shared" si="257"/>
        <v>-7.69230769230769E-2</v>
      </c>
      <c r="GN315" s="420">
        <f t="shared" si="258"/>
        <v>-8.6923076923076895E-2</v>
      </c>
      <c r="GO315" s="419"/>
      <c r="GP315" s="419"/>
      <c r="GQ315" s="419"/>
      <c r="GR315" s="420">
        <f t="shared" si="249"/>
        <v>0</v>
      </c>
      <c r="GS315" s="423">
        <f t="shared" si="246"/>
        <v>0</v>
      </c>
      <c r="GT315" s="419"/>
      <c r="GU315" s="419"/>
      <c r="GV315" s="419"/>
      <c r="GW315" s="420">
        <f t="shared" si="247"/>
        <v>0</v>
      </c>
      <c r="GX315" s="420">
        <f t="shared" si="248"/>
        <v>0</v>
      </c>
    </row>
    <row r="316" spans="1:206" ht="15">
      <c r="A316" s="414"/>
      <c r="B316" s="415"/>
      <c r="C316" s="698"/>
      <c r="D316" s="467" t="s">
        <v>660</v>
      </c>
      <c r="E316" s="434" t="s">
        <v>604</v>
      </c>
      <c r="F316" s="417">
        <v>0.13</v>
      </c>
      <c r="G316" s="418">
        <f t="shared" si="244"/>
        <v>1694710.1</v>
      </c>
      <c r="H316" s="418">
        <f t="shared" si="245"/>
        <v>1694710.1</v>
      </c>
      <c r="I316" s="418">
        <f t="shared" si="245"/>
        <v>220312.3</v>
      </c>
      <c r="J316" s="418">
        <f t="shared" si="252"/>
        <v>1694710</v>
      </c>
      <c r="K316" s="418">
        <f t="shared" si="250"/>
        <v>-0.100000000325963</v>
      </c>
      <c r="L316" s="418">
        <f t="shared" si="218"/>
        <v>-0.100000000325963</v>
      </c>
      <c r="M316" s="424"/>
      <c r="N316" s="424"/>
      <c r="O316" s="424"/>
      <c r="P316" s="424"/>
      <c r="Q316" s="419"/>
      <c r="R316" s="419"/>
      <c r="S316" s="419"/>
      <c r="T316" s="420"/>
      <c r="U316" s="423"/>
      <c r="V316" s="420"/>
      <c r="W316" s="420"/>
      <c r="X316" s="419"/>
      <c r="Y316" s="419"/>
      <c r="Z316" s="423"/>
      <c r="AA316" s="423"/>
      <c r="AB316" s="419"/>
      <c r="AC316" s="419"/>
      <c r="AD316" s="420"/>
      <c r="AE316" s="423"/>
      <c r="AF316" s="419"/>
      <c r="AG316" s="419"/>
      <c r="AH316" s="419"/>
      <c r="AI316" s="420"/>
      <c r="AJ316" s="423"/>
      <c r="AK316" s="419"/>
      <c r="AL316" s="420"/>
      <c r="AM316" s="419"/>
      <c r="AN316" s="420"/>
      <c r="AO316" s="423"/>
      <c r="AP316" s="419"/>
      <c r="AQ316" s="419"/>
      <c r="AR316" s="420"/>
      <c r="AS316" s="420"/>
      <c r="AT316" s="420"/>
      <c r="AU316" s="420"/>
      <c r="AV316" s="420"/>
      <c r="AW316" s="420"/>
      <c r="AX316" s="426"/>
      <c r="AY316" s="420"/>
      <c r="AZ316" s="420"/>
      <c r="BA316" s="420"/>
      <c r="BB316" s="419"/>
      <c r="BC316" s="420"/>
      <c r="BD316" s="427"/>
      <c r="BE316" s="420"/>
      <c r="BF316" s="420"/>
      <c r="BG316" s="420"/>
      <c r="BH316" s="423"/>
      <c r="BI316" s="420"/>
      <c r="BJ316" s="420"/>
      <c r="BK316" s="420"/>
      <c r="BL316" s="420"/>
      <c r="BM316" s="420"/>
      <c r="BN316" s="420"/>
      <c r="BO316" s="420"/>
      <c r="BP316" s="429"/>
      <c r="BQ316" s="420"/>
      <c r="BR316" s="423"/>
      <c r="BS316" s="423"/>
      <c r="BT316" s="420"/>
      <c r="BU316" s="420"/>
      <c r="BV316" s="420"/>
      <c r="BW316" s="420"/>
      <c r="BX316" s="429"/>
      <c r="BY316" s="419"/>
      <c r="BZ316" s="419"/>
      <c r="CA316" s="419"/>
      <c r="CB316" s="420"/>
      <c r="CC316" s="430"/>
      <c r="CD316" s="419"/>
      <c r="CE316" s="419"/>
      <c r="CF316" s="419"/>
      <c r="CG316" s="420"/>
      <c r="CH316" s="423"/>
      <c r="CI316" s="431"/>
      <c r="CJ316" s="431"/>
      <c r="CK316" s="431"/>
      <c r="CL316" s="420"/>
      <c r="CM316" s="423"/>
      <c r="CN316" s="420"/>
      <c r="CO316" s="420"/>
      <c r="CP316" s="420"/>
      <c r="CQ316" s="432"/>
      <c r="CR316" s="432"/>
      <c r="CS316" s="420"/>
      <c r="CT316" s="420"/>
      <c r="CU316" s="420"/>
      <c r="CV316" s="420"/>
      <c r="CW316" s="420"/>
      <c r="CX316" s="419"/>
      <c r="CY316" s="419"/>
      <c r="CZ316" s="419"/>
      <c r="DA316" s="419"/>
      <c r="DB316" s="419"/>
      <c r="DC316" s="419"/>
      <c r="DD316" s="419"/>
      <c r="DE316" s="419"/>
      <c r="DF316" s="420"/>
      <c r="DG316" s="421"/>
      <c r="DH316" s="419"/>
      <c r="DI316" s="419"/>
      <c r="DJ316" s="419"/>
      <c r="DK316" s="420"/>
      <c r="DL316" s="422"/>
      <c r="DM316" s="420"/>
      <c r="DN316" s="420"/>
      <c r="DO316" s="420"/>
      <c r="DP316" s="420"/>
      <c r="DQ316" s="420"/>
      <c r="DR316" s="419"/>
      <c r="DS316" s="419"/>
      <c r="DT316" s="419"/>
      <c r="DU316" s="420"/>
      <c r="DV316" s="423"/>
      <c r="DW316" s="419"/>
      <c r="DX316" s="419"/>
      <c r="DY316" s="419"/>
      <c r="DZ316" s="420"/>
      <c r="EA316" s="423"/>
      <c r="EB316" s="419"/>
      <c r="EC316" s="419"/>
      <c r="ED316" s="420"/>
      <c r="EE316" s="419"/>
      <c r="EF316" s="420"/>
      <c r="EG316" s="419"/>
      <c r="EH316" s="419"/>
      <c r="EI316" s="419"/>
      <c r="EJ316" s="420"/>
      <c r="EK316" s="420"/>
      <c r="EL316" s="419"/>
      <c r="EM316" s="419"/>
      <c r="EN316" s="419"/>
      <c r="EO316" s="419"/>
      <c r="EP316" s="419"/>
      <c r="EQ316" s="420"/>
      <c r="ER316" s="420"/>
      <c r="ES316" s="420"/>
      <c r="ET316" s="419"/>
      <c r="EU316" s="419"/>
      <c r="EV316" s="455"/>
      <c r="EW316" s="455"/>
      <c r="EX316" s="455"/>
      <c r="EY316" s="419"/>
      <c r="EZ316" s="419"/>
      <c r="FA316" s="420"/>
      <c r="FB316" s="420"/>
      <c r="FC316" s="420"/>
      <c r="FD316" s="420"/>
      <c r="FE316" s="420"/>
      <c r="FF316" s="419"/>
      <c r="FG316" s="420"/>
      <c r="FH316" s="419"/>
      <c r="FI316" s="419"/>
      <c r="FJ316" s="419"/>
      <c r="FK316" s="419"/>
      <c r="FL316" s="419"/>
      <c r="FM316" s="419"/>
      <c r="FN316" s="420"/>
      <c r="FO316" s="423"/>
      <c r="FP316" s="431"/>
      <c r="FQ316" s="431"/>
      <c r="FR316" s="431"/>
      <c r="FS316" s="420"/>
      <c r="FT316" s="420"/>
      <c r="FU316" s="419"/>
      <c r="FV316" s="419"/>
      <c r="FW316" s="419"/>
      <c r="FX316" s="420"/>
      <c r="FY316" s="420"/>
      <c r="FZ316" s="419"/>
      <c r="GA316" s="419"/>
      <c r="GB316" s="419"/>
      <c r="GC316" s="420"/>
      <c r="GD316" s="420"/>
      <c r="GE316" s="419">
        <v>1694710.09</v>
      </c>
      <c r="GF316" s="419"/>
      <c r="GG316" s="419">
        <v>220312.31</v>
      </c>
      <c r="GH316" s="420">
        <f t="shared" si="261"/>
        <v>1694710.07692308</v>
      </c>
      <c r="GI316" s="423">
        <f t="shared" si="262"/>
        <v>-1.3076923321932599E-2</v>
      </c>
      <c r="GJ316" s="419">
        <v>1.00000000093132E-2</v>
      </c>
      <c r="GK316" s="419">
        <v>1694710.1</v>
      </c>
      <c r="GL316" s="419">
        <v>-0.01</v>
      </c>
      <c r="GM316" s="420">
        <f t="shared" si="257"/>
        <v>-7.69230769230769E-2</v>
      </c>
      <c r="GN316" s="420">
        <f t="shared" si="258"/>
        <v>-8.6923076932390098E-2</v>
      </c>
      <c r="GO316" s="419"/>
      <c r="GP316" s="419"/>
      <c r="GQ316" s="419"/>
      <c r="GR316" s="420">
        <f t="shared" si="249"/>
        <v>0</v>
      </c>
      <c r="GS316" s="423">
        <f t="shared" si="246"/>
        <v>0</v>
      </c>
      <c r="GT316" s="419"/>
      <c r="GU316" s="419"/>
      <c r="GV316" s="419"/>
      <c r="GW316" s="420">
        <f t="shared" si="247"/>
        <v>0</v>
      </c>
      <c r="GX316" s="420">
        <f t="shared" si="248"/>
        <v>0</v>
      </c>
    </row>
    <row r="317" spans="1:206" ht="15">
      <c r="A317" s="414"/>
      <c r="B317" s="415"/>
      <c r="C317" s="698"/>
      <c r="D317" s="467" t="s">
        <v>661</v>
      </c>
      <c r="E317" s="434" t="s">
        <v>604</v>
      </c>
      <c r="F317" s="417">
        <v>0.13</v>
      </c>
      <c r="G317" s="418">
        <f t="shared" si="244"/>
        <v>15296488.529999999</v>
      </c>
      <c r="H317" s="418">
        <f t="shared" si="245"/>
        <v>0</v>
      </c>
      <c r="I317" s="418">
        <f t="shared" si="245"/>
        <v>1988543.52</v>
      </c>
      <c r="J317" s="418">
        <f t="shared" si="252"/>
        <v>15296488.615384599</v>
      </c>
      <c r="K317" s="418">
        <f t="shared" si="250"/>
        <v>15296488.615384599</v>
      </c>
      <c r="L317" s="418">
        <f t="shared" si="218"/>
        <v>8.5384614765644101E-2</v>
      </c>
      <c r="M317" s="424"/>
      <c r="N317" s="424"/>
      <c r="O317" s="424"/>
      <c r="P317" s="424"/>
      <c r="Q317" s="419"/>
      <c r="R317" s="419"/>
      <c r="S317" s="419"/>
      <c r="T317" s="420"/>
      <c r="U317" s="423"/>
      <c r="V317" s="420"/>
      <c r="W317" s="420"/>
      <c r="X317" s="419"/>
      <c r="Y317" s="419"/>
      <c r="Z317" s="423"/>
      <c r="AA317" s="423"/>
      <c r="AB317" s="419"/>
      <c r="AC317" s="419"/>
      <c r="AD317" s="420"/>
      <c r="AE317" s="423"/>
      <c r="AF317" s="419"/>
      <c r="AG317" s="419"/>
      <c r="AH317" s="419"/>
      <c r="AI317" s="420"/>
      <c r="AJ317" s="423"/>
      <c r="AK317" s="419"/>
      <c r="AL317" s="420"/>
      <c r="AM317" s="419"/>
      <c r="AN317" s="420"/>
      <c r="AO317" s="423"/>
      <c r="AP317" s="419"/>
      <c r="AQ317" s="419"/>
      <c r="AR317" s="420"/>
      <c r="AS317" s="420"/>
      <c r="AT317" s="420"/>
      <c r="AU317" s="420"/>
      <c r="AV317" s="420"/>
      <c r="AW317" s="420"/>
      <c r="AX317" s="426"/>
      <c r="AY317" s="420"/>
      <c r="AZ317" s="420"/>
      <c r="BA317" s="420"/>
      <c r="BB317" s="419"/>
      <c r="BC317" s="420"/>
      <c r="BD317" s="427"/>
      <c r="BE317" s="420"/>
      <c r="BF317" s="420"/>
      <c r="BG317" s="420"/>
      <c r="BH317" s="423"/>
      <c r="BI317" s="420"/>
      <c r="BJ317" s="420"/>
      <c r="BK317" s="420"/>
      <c r="BL317" s="420"/>
      <c r="BM317" s="420"/>
      <c r="BN317" s="420"/>
      <c r="BO317" s="420"/>
      <c r="BP317" s="429"/>
      <c r="BQ317" s="420"/>
      <c r="BR317" s="423"/>
      <c r="BS317" s="423"/>
      <c r="BT317" s="420"/>
      <c r="BU317" s="420"/>
      <c r="BV317" s="420"/>
      <c r="BW317" s="420"/>
      <c r="BX317" s="429"/>
      <c r="BY317" s="419"/>
      <c r="BZ317" s="419"/>
      <c r="CA317" s="419"/>
      <c r="CB317" s="420"/>
      <c r="CC317" s="430"/>
      <c r="CD317" s="419"/>
      <c r="CE317" s="419"/>
      <c r="CF317" s="419"/>
      <c r="CG317" s="420"/>
      <c r="CH317" s="423"/>
      <c r="CI317" s="431"/>
      <c r="CJ317" s="431"/>
      <c r="CK317" s="431"/>
      <c r="CL317" s="420"/>
      <c r="CM317" s="423"/>
      <c r="CN317" s="420"/>
      <c r="CO317" s="420"/>
      <c r="CP317" s="420"/>
      <c r="CQ317" s="432"/>
      <c r="CR317" s="432"/>
      <c r="CS317" s="420"/>
      <c r="CT317" s="420"/>
      <c r="CU317" s="420"/>
      <c r="CV317" s="420"/>
      <c r="CW317" s="420"/>
      <c r="CX317" s="419"/>
      <c r="CY317" s="419"/>
      <c r="CZ317" s="419"/>
      <c r="DA317" s="419"/>
      <c r="DB317" s="419"/>
      <c r="DC317" s="419"/>
      <c r="DD317" s="419"/>
      <c r="DE317" s="419"/>
      <c r="DF317" s="420"/>
      <c r="DG317" s="421"/>
      <c r="DH317" s="419"/>
      <c r="DI317" s="419"/>
      <c r="DJ317" s="419"/>
      <c r="DK317" s="420"/>
      <c r="DL317" s="422"/>
      <c r="DM317" s="420"/>
      <c r="DN317" s="420"/>
      <c r="DO317" s="420"/>
      <c r="DP317" s="420"/>
      <c r="DQ317" s="420"/>
      <c r="DR317" s="419"/>
      <c r="DS317" s="419"/>
      <c r="DT317" s="419"/>
      <c r="DU317" s="420"/>
      <c r="DV317" s="423"/>
      <c r="DW317" s="419"/>
      <c r="DX317" s="419"/>
      <c r="DY317" s="419"/>
      <c r="DZ317" s="420"/>
      <c r="EA317" s="423"/>
      <c r="EB317" s="419"/>
      <c r="EC317" s="419"/>
      <c r="ED317" s="420"/>
      <c r="EE317" s="419"/>
      <c r="EF317" s="420"/>
      <c r="EG317" s="419"/>
      <c r="EH317" s="419"/>
      <c r="EI317" s="419"/>
      <c r="EJ317" s="420"/>
      <c r="EK317" s="420"/>
      <c r="EL317" s="419"/>
      <c r="EM317" s="419"/>
      <c r="EN317" s="419"/>
      <c r="EO317" s="419"/>
      <c r="EP317" s="419"/>
      <c r="EQ317" s="420"/>
      <c r="ER317" s="420"/>
      <c r="ES317" s="420"/>
      <c r="ET317" s="419"/>
      <c r="EU317" s="419"/>
      <c r="EV317" s="455"/>
      <c r="EW317" s="455"/>
      <c r="EX317" s="455"/>
      <c r="EY317" s="419"/>
      <c r="EZ317" s="419"/>
      <c r="FA317" s="420"/>
      <c r="FB317" s="420"/>
      <c r="FC317" s="420"/>
      <c r="FD317" s="420"/>
      <c r="FE317" s="420"/>
      <c r="FF317" s="419"/>
      <c r="FG317" s="420"/>
      <c r="FH317" s="419"/>
      <c r="FI317" s="419"/>
      <c r="FJ317" s="419"/>
      <c r="FK317" s="419"/>
      <c r="FL317" s="419"/>
      <c r="FM317" s="419"/>
      <c r="FN317" s="420"/>
      <c r="FO317" s="423"/>
      <c r="FP317" s="431"/>
      <c r="FQ317" s="431"/>
      <c r="FR317" s="431"/>
      <c r="FS317" s="420"/>
      <c r="FT317" s="420"/>
      <c r="FU317" s="419"/>
      <c r="FV317" s="419"/>
      <c r="FW317" s="419"/>
      <c r="FX317" s="420"/>
      <c r="FY317" s="420"/>
      <c r="FZ317" s="419"/>
      <c r="GA317" s="419"/>
      <c r="GB317" s="419"/>
      <c r="GC317" s="420"/>
      <c r="GD317" s="420"/>
      <c r="GE317" s="419">
        <v>15296488.539999999</v>
      </c>
      <c r="GF317" s="419"/>
      <c r="GG317" s="419">
        <v>1988543.51</v>
      </c>
      <c r="GH317" s="420">
        <f t="shared" si="261"/>
        <v>15296488.538461501</v>
      </c>
      <c r="GI317" s="423">
        <f t="shared" si="262"/>
        <v>-1.5384610742330601E-3</v>
      </c>
      <c r="GJ317" s="419"/>
      <c r="GK317" s="419"/>
      <c r="GL317" s="419"/>
      <c r="GM317" s="420">
        <f t="shared" si="257"/>
        <v>0</v>
      </c>
      <c r="GN317" s="420">
        <f t="shared" si="258"/>
        <v>0</v>
      </c>
      <c r="GO317" s="419">
        <v>-9.9999997764825804E-3</v>
      </c>
      <c r="GP317" s="419"/>
      <c r="GQ317" s="419">
        <v>1.00000000093132E-2</v>
      </c>
      <c r="GR317" s="420">
        <f t="shared" si="249"/>
        <v>7.6923076994716899E-2</v>
      </c>
      <c r="GS317" s="423">
        <f t="shared" si="246"/>
        <v>8.6923076771199495E-2</v>
      </c>
      <c r="GT317" s="419"/>
      <c r="GU317" s="419"/>
      <c r="GV317" s="419"/>
      <c r="GW317" s="420">
        <f t="shared" si="247"/>
        <v>0</v>
      </c>
      <c r="GX317" s="420">
        <f t="shared" si="248"/>
        <v>0</v>
      </c>
    </row>
    <row r="318" spans="1:206" ht="15">
      <c r="A318" s="414"/>
      <c r="B318" s="415"/>
      <c r="C318" s="698"/>
      <c r="D318" s="467" t="s">
        <v>662</v>
      </c>
      <c r="E318" s="434" t="s">
        <v>604</v>
      </c>
      <c r="F318" s="417">
        <v>0.13</v>
      </c>
      <c r="G318" s="418">
        <f t="shared" si="244"/>
        <v>10764506.18</v>
      </c>
      <c r="H318" s="418">
        <f t="shared" si="245"/>
        <v>10764506.18</v>
      </c>
      <c r="I318" s="418">
        <f t="shared" si="245"/>
        <v>1399385.82</v>
      </c>
      <c r="J318" s="418">
        <f t="shared" si="252"/>
        <v>10764506.307692301</v>
      </c>
      <c r="K318" s="418">
        <f t="shared" si="250"/>
        <v>0.12769230827689201</v>
      </c>
      <c r="L318" s="418">
        <f t="shared" si="218"/>
        <v>0.12769230827689201</v>
      </c>
      <c r="M318" s="424"/>
      <c r="N318" s="424"/>
      <c r="O318" s="424"/>
      <c r="P318" s="424"/>
      <c r="Q318" s="419"/>
      <c r="R318" s="419"/>
      <c r="S318" s="419"/>
      <c r="T318" s="420"/>
      <c r="U318" s="423"/>
      <c r="V318" s="420"/>
      <c r="W318" s="420"/>
      <c r="X318" s="419"/>
      <c r="Y318" s="419"/>
      <c r="Z318" s="423"/>
      <c r="AA318" s="423"/>
      <c r="AB318" s="419"/>
      <c r="AC318" s="419"/>
      <c r="AD318" s="420"/>
      <c r="AE318" s="423"/>
      <c r="AF318" s="419"/>
      <c r="AG318" s="419"/>
      <c r="AH318" s="419"/>
      <c r="AI318" s="420"/>
      <c r="AJ318" s="423"/>
      <c r="AK318" s="419"/>
      <c r="AL318" s="420"/>
      <c r="AM318" s="419"/>
      <c r="AN318" s="420"/>
      <c r="AO318" s="423"/>
      <c r="AP318" s="419"/>
      <c r="AQ318" s="419"/>
      <c r="AR318" s="420"/>
      <c r="AS318" s="420"/>
      <c r="AT318" s="420"/>
      <c r="AU318" s="420"/>
      <c r="AV318" s="420"/>
      <c r="AW318" s="420"/>
      <c r="AX318" s="426"/>
      <c r="AY318" s="420"/>
      <c r="AZ318" s="420"/>
      <c r="BA318" s="420"/>
      <c r="BB318" s="419"/>
      <c r="BC318" s="420"/>
      <c r="BD318" s="427"/>
      <c r="BE318" s="420"/>
      <c r="BF318" s="420"/>
      <c r="BG318" s="420"/>
      <c r="BH318" s="423"/>
      <c r="BI318" s="420"/>
      <c r="BJ318" s="420"/>
      <c r="BK318" s="420"/>
      <c r="BL318" s="420"/>
      <c r="BM318" s="420"/>
      <c r="BN318" s="420"/>
      <c r="BO318" s="420"/>
      <c r="BP318" s="429"/>
      <c r="BQ318" s="420"/>
      <c r="BR318" s="423"/>
      <c r="BS318" s="423"/>
      <c r="BT318" s="420"/>
      <c r="BU318" s="420"/>
      <c r="BV318" s="420"/>
      <c r="BW318" s="420"/>
      <c r="BX318" s="429"/>
      <c r="BY318" s="419"/>
      <c r="BZ318" s="419"/>
      <c r="CA318" s="419"/>
      <c r="CB318" s="420"/>
      <c r="CC318" s="430"/>
      <c r="CD318" s="419"/>
      <c r="CE318" s="419"/>
      <c r="CF318" s="419"/>
      <c r="CG318" s="420"/>
      <c r="CH318" s="423"/>
      <c r="CI318" s="431"/>
      <c r="CJ318" s="431"/>
      <c r="CK318" s="431"/>
      <c r="CL318" s="420"/>
      <c r="CM318" s="423"/>
      <c r="CN318" s="420"/>
      <c r="CO318" s="420"/>
      <c r="CP318" s="420"/>
      <c r="CQ318" s="432"/>
      <c r="CR318" s="432"/>
      <c r="CS318" s="420"/>
      <c r="CT318" s="420"/>
      <c r="CU318" s="420"/>
      <c r="CV318" s="420"/>
      <c r="CW318" s="420"/>
      <c r="CX318" s="419"/>
      <c r="CY318" s="419"/>
      <c r="CZ318" s="419"/>
      <c r="DA318" s="419"/>
      <c r="DB318" s="419"/>
      <c r="DC318" s="419"/>
      <c r="DD318" s="419"/>
      <c r="DE318" s="419"/>
      <c r="DF318" s="420"/>
      <c r="DG318" s="421"/>
      <c r="DH318" s="419"/>
      <c r="DI318" s="419"/>
      <c r="DJ318" s="419"/>
      <c r="DK318" s="420"/>
      <c r="DL318" s="422"/>
      <c r="DM318" s="420"/>
      <c r="DN318" s="420"/>
      <c r="DO318" s="420"/>
      <c r="DP318" s="420"/>
      <c r="DQ318" s="420"/>
      <c r="DR318" s="419"/>
      <c r="DS318" s="419"/>
      <c r="DT318" s="419"/>
      <c r="DU318" s="420"/>
      <c r="DV318" s="423"/>
      <c r="DW318" s="419"/>
      <c r="DX318" s="419"/>
      <c r="DY318" s="419"/>
      <c r="DZ318" s="420"/>
      <c r="EA318" s="423"/>
      <c r="EB318" s="419"/>
      <c r="EC318" s="419"/>
      <c r="ED318" s="420"/>
      <c r="EE318" s="419"/>
      <c r="EF318" s="420"/>
      <c r="EG318" s="419"/>
      <c r="EH318" s="419"/>
      <c r="EI318" s="419"/>
      <c r="EJ318" s="420"/>
      <c r="EK318" s="420"/>
      <c r="EL318" s="419"/>
      <c r="EM318" s="419"/>
      <c r="EN318" s="419"/>
      <c r="EO318" s="419"/>
      <c r="EP318" s="419"/>
      <c r="EQ318" s="420"/>
      <c r="ER318" s="420"/>
      <c r="ES318" s="420"/>
      <c r="ET318" s="419"/>
      <c r="EU318" s="419"/>
      <c r="EV318" s="455"/>
      <c r="EW318" s="455"/>
      <c r="EX318" s="455"/>
      <c r="EY318" s="419"/>
      <c r="EZ318" s="419"/>
      <c r="FA318" s="420"/>
      <c r="FB318" s="420"/>
      <c r="FC318" s="420"/>
      <c r="FD318" s="420"/>
      <c r="FE318" s="420"/>
      <c r="FF318" s="419"/>
      <c r="FG318" s="420"/>
      <c r="FH318" s="419"/>
      <c r="FI318" s="419"/>
      <c r="FJ318" s="419"/>
      <c r="FK318" s="419"/>
      <c r="FL318" s="419"/>
      <c r="FM318" s="419"/>
      <c r="FN318" s="420"/>
      <c r="FO318" s="423"/>
      <c r="FP318" s="431"/>
      <c r="FQ318" s="431"/>
      <c r="FR318" s="431"/>
      <c r="FS318" s="420"/>
      <c r="FT318" s="420"/>
      <c r="FU318" s="419"/>
      <c r="FV318" s="419"/>
      <c r="FW318" s="419"/>
      <c r="FX318" s="420"/>
      <c r="FY318" s="420"/>
      <c r="FZ318" s="419"/>
      <c r="GA318" s="419"/>
      <c r="GB318" s="419"/>
      <c r="GC318" s="420"/>
      <c r="GD318" s="420"/>
      <c r="GE318" s="419">
        <v>10764506.18</v>
      </c>
      <c r="GF318" s="419">
        <v>10764506.18</v>
      </c>
      <c r="GG318" s="419">
        <v>1399385.82</v>
      </c>
      <c r="GH318" s="420">
        <f t="shared" si="261"/>
        <v>10764506.307692301</v>
      </c>
      <c r="GI318" s="423">
        <f t="shared" si="262"/>
        <v>0.12769230827689201</v>
      </c>
      <c r="GJ318" s="419"/>
      <c r="GK318" s="419"/>
      <c r="GL318" s="419"/>
      <c r="GM318" s="420">
        <f t="shared" si="257"/>
        <v>0</v>
      </c>
      <c r="GN318" s="420">
        <f t="shared" si="258"/>
        <v>0</v>
      </c>
      <c r="GO318" s="419"/>
      <c r="GP318" s="419"/>
      <c r="GQ318" s="419"/>
      <c r="GR318" s="420">
        <f t="shared" si="249"/>
        <v>0</v>
      </c>
      <c r="GS318" s="423">
        <f t="shared" si="246"/>
        <v>0</v>
      </c>
      <c r="GT318" s="419"/>
      <c r="GU318" s="419"/>
      <c r="GV318" s="419"/>
      <c r="GW318" s="420">
        <f t="shared" si="247"/>
        <v>0</v>
      </c>
      <c r="GX318" s="420">
        <f t="shared" si="248"/>
        <v>0</v>
      </c>
    </row>
    <row r="319" spans="1:206" ht="15">
      <c r="A319" s="414"/>
      <c r="B319" s="415"/>
      <c r="C319" s="698"/>
      <c r="D319" s="467" t="s">
        <v>663</v>
      </c>
      <c r="E319" s="434" t="s">
        <v>604</v>
      </c>
      <c r="F319" s="417">
        <v>0.13</v>
      </c>
      <c r="G319" s="418">
        <f t="shared" si="244"/>
        <v>19200745.800000001</v>
      </c>
      <c r="H319" s="418">
        <f t="shared" si="245"/>
        <v>34497234.329999998</v>
      </c>
      <c r="I319" s="418">
        <f t="shared" si="245"/>
        <v>2496096.9463999998</v>
      </c>
      <c r="J319" s="418">
        <f t="shared" si="252"/>
        <v>19200745.741538499</v>
      </c>
      <c r="K319" s="418">
        <f t="shared" si="250"/>
        <v>-15296488.5884615</v>
      </c>
      <c r="L319" s="418">
        <f t="shared" si="218"/>
        <v>-5.8461539447307601E-2</v>
      </c>
      <c r="M319" s="424"/>
      <c r="N319" s="424"/>
      <c r="O319" s="424"/>
      <c r="P319" s="424"/>
      <c r="Q319" s="419"/>
      <c r="R319" s="419"/>
      <c r="S319" s="419"/>
      <c r="T319" s="420"/>
      <c r="U319" s="423"/>
      <c r="V319" s="420"/>
      <c r="W319" s="420"/>
      <c r="X319" s="419"/>
      <c r="Y319" s="419"/>
      <c r="Z319" s="423"/>
      <c r="AA319" s="423"/>
      <c r="AB319" s="419"/>
      <c r="AC319" s="419"/>
      <c r="AD319" s="420"/>
      <c r="AE319" s="423"/>
      <c r="AF319" s="419"/>
      <c r="AG319" s="419"/>
      <c r="AH319" s="419"/>
      <c r="AI319" s="420"/>
      <c r="AJ319" s="423"/>
      <c r="AK319" s="419"/>
      <c r="AL319" s="420"/>
      <c r="AM319" s="419"/>
      <c r="AN319" s="420"/>
      <c r="AO319" s="423"/>
      <c r="AP319" s="419"/>
      <c r="AQ319" s="419"/>
      <c r="AR319" s="420"/>
      <c r="AS319" s="420"/>
      <c r="AT319" s="420"/>
      <c r="AU319" s="420"/>
      <c r="AV319" s="420"/>
      <c r="AW319" s="420"/>
      <c r="AX319" s="426"/>
      <c r="AY319" s="420"/>
      <c r="AZ319" s="420"/>
      <c r="BA319" s="420"/>
      <c r="BB319" s="419"/>
      <c r="BC319" s="420"/>
      <c r="BD319" s="427"/>
      <c r="BE319" s="420"/>
      <c r="BF319" s="420"/>
      <c r="BG319" s="420"/>
      <c r="BH319" s="423"/>
      <c r="BI319" s="420"/>
      <c r="BJ319" s="420"/>
      <c r="BK319" s="420"/>
      <c r="BL319" s="420"/>
      <c r="BM319" s="420"/>
      <c r="BN319" s="420"/>
      <c r="BO319" s="420"/>
      <c r="BP319" s="429"/>
      <c r="BQ319" s="420"/>
      <c r="BR319" s="423"/>
      <c r="BS319" s="423"/>
      <c r="BT319" s="420"/>
      <c r="BU319" s="420"/>
      <c r="BV319" s="420"/>
      <c r="BW319" s="420"/>
      <c r="BX319" s="429"/>
      <c r="BY319" s="419"/>
      <c r="BZ319" s="419"/>
      <c r="CA319" s="419"/>
      <c r="CB319" s="420"/>
      <c r="CC319" s="430"/>
      <c r="CD319" s="419"/>
      <c r="CE319" s="419"/>
      <c r="CF319" s="419"/>
      <c r="CG319" s="420"/>
      <c r="CH319" s="423"/>
      <c r="CI319" s="431"/>
      <c r="CJ319" s="431"/>
      <c r="CK319" s="431"/>
      <c r="CL319" s="420"/>
      <c r="CM319" s="423"/>
      <c r="CN319" s="420"/>
      <c r="CO319" s="420"/>
      <c r="CP319" s="420"/>
      <c r="CQ319" s="432"/>
      <c r="CR319" s="432"/>
      <c r="CS319" s="420"/>
      <c r="CT319" s="420"/>
      <c r="CU319" s="420"/>
      <c r="CV319" s="420"/>
      <c r="CW319" s="420"/>
      <c r="CX319" s="419"/>
      <c r="CY319" s="419"/>
      <c r="CZ319" s="419"/>
      <c r="DA319" s="419"/>
      <c r="DB319" s="419"/>
      <c r="DC319" s="419"/>
      <c r="DD319" s="419"/>
      <c r="DE319" s="419"/>
      <c r="DF319" s="420"/>
      <c r="DG319" s="421"/>
      <c r="DH319" s="419"/>
      <c r="DI319" s="419"/>
      <c r="DJ319" s="419"/>
      <c r="DK319" s="420"/>
      <c r="DL319" s="422"/>
      <c r="DM319" s="420"/>
      <c r="DN319" s="420"/>
      <c r="DO319" s="420"/>
      <c r="DP319" s="420"/>
      <c r="DQ319" s="420"/>
      <c r="DR319" s="419"/>
      <c r="DS319" s="419"/>
      <c r="DT319" s="419"/>
      <c r="DU319" s="420"/>
      <c r="DV319" s="423"/>
      <c r="DW319" s="419"/>
      <c r="DX319" s="419"/>
      <c r="DY319" s="419"/>
      <c r="DZ319" s="420"/>
      <c r="EA319" s="423"/>
      <c r="EB319" s="419"/>
      <c r="EC319" s="419"/>
      <c r="ED319" s="420"/>
      <c r="EE319" s="419"/>
      <c r="EF319" s="420"/>
      <c r="EG319" s="419"/>
      <c r="EH319" s="419"/>
      <c r="EI319" s="419"/>
      <c r="EJ319" s="420"/>
      <c r="EK319" s="420"/>
      <c r="EL319" s="419"/>
      <c r="EM319" s="419"/>
      <c r="EN319" s="419"/>
      <c r="EO319" s="419"/>
      <c r="EP319" s="419"/>
      <c r="EQ319" s="420"/>
      <c r="ER319" s="420"/>
      <c r="ES319" s="420"/>
      <c r="ET319" s="419"/>
      <c r="EU319" s="419"/>
      <c r="EV319" s="455"/>
      <c r="EW319" s="455"/>
      <c r="EX319" s="455"/>
      <c r="EY319" s="419"/>
      <c r="EZ319" s="419"/>
      <c r="FA319" s="420"/>
      <c r="FB319" s="420"/>
      <c r="FC319" s="420"/>
      <c r="FD319" s="420"/>
      <c r="FE319" s="420"/>
      <c r="FF319" s="419"/>
      <c r="FG319" s="420"/>
      <c r="FH319" s="419"/>
      <c r="FI319" s="419"/>
      <c r="FJ319" s="419"/>
      <c r="FK319" s="419"/>
      <c r="FL319" s="419"/>
      <c r="FM319" s="419"/>
      <c r="FN319" s="420"/>
      <c r="FO319" s="423"/>
      <c r="FP319" s="431"/>
      <c r="FQ319" s="431"/>
      <c r="FR319" s="431"/>
      <c r="FS319" s="420"/>
      <c r="FT319" s="420"/>
      <c r="FU319" s="419"/>
      <c r="FV319" s="419"/>
      <c r="FW319" s="419"/>
      <c r="FX319" s="420"/>
      <c r="FY319" s="420"/>
      <c r="FZ319" s="419"/>
      <c r="GA319" s="419"/>
      <c r="GB319" s="419"/>
      <c r="GC319" s="420"/>
      <c r="GD319" s="420"/>
      <c r="GE319" s="419"/>
      <c r="GF319" s="419"/>
      <c r="GG319" s="419"/>
      <c r="GH319" s="420"/>
      <c r="GI319" s="423"/>
      <c r="GJ319" s="419">
        <v>10178660.279999999</v>
      </c>
      <c r="GK319" s="419"/>
      <c r="GL319" s="419">
        <v>1323225.8363999999</v>
      </c>
      <c r="GM319" s="420">
        <f t="shared" si="257"/>
        <v>10178660.279999999</v>
      </c>
      <c r="GN319" s="420">
        <f t="shared" si="258"/>
        <v>0</v>
      </c>
      <c r="GO319" s="420">
        <v>9022085.5199999996</v>
      </c>
      <c r="GP319" s="420">
        <v>34497234.329999998</v>
      </c>
      <c r="GQ319" s="420">
        <v>1172871.1100000001</v>
      </c>
      <c r="GR319" s="420">
        <f t="shared" si="249"/>
        <v>9022085.4615384601</v>
      </c>
      <c r="GS319" s="423">
        <f t="shared" si="246"/>
        <v>-5.8461537584662403E-2</v>
      </c>
      <c r="GT319" s="419"/>
      <c r="GU319" s="419"/>
      <c r="GV319" s="419"/>
      <c r="GW319" s="420">
        <f t="shared" si="247"/>
        <v>0</v>
      </c>
      <c r="GX319" s="420">
        <f t="shared" si="248"/>
        <v>0</v>
      </c>
    </row>
    <row r="320" spans="1:206" ht="15">
      <c r="A320" s="414"/>
      <c r="B320" s="415"/>
      <c r="C320" s="698"/>
      <c r="D320" s="467" t="s">
        <v>664</v>
      </c>
      <c r="E320" s="434" t="s">
        <v>604</v>
      </c>
      <c r="F320" s="417">
        <v>0.13</v>
      </c>
      <c r="G320" s="418">
        <f t="shared" si="244"/>
        <v>9879040.1999999993</v>
      </c>
      <c r="H320" s="418">
        <f t="shared" si="245"/>
        <v>9879040.1999999993</v>
      </c>
      <c r="I320" s="418">
        <f t="shared" si="245"/>
        <v>1284275.25</v>
      </c>
      <c r="J320" s="418">
        <f t="shared" si="252"/>
        <v>9879040.3846153803</v>
      </c>
      <c r="K320" s="418">
        <f t="shared" si="250"/>
        <v>0.18461538478732101</v>
      </c>
      <c r="L320" s="418">
        <f t="shared" si="218"/>
        <v>0.18461538478732101</v>
      </c>
      <c r="M320" s="424"/>
      <c r="N320" s="424"/>
      <c r="O320" s="424"/>
      <c r="P320" s="424"/>
      <c r="Q320" s="419"/>
      <c r="R320" s="419"/>
      <c r="S320" s="419"/>
      <c r="T320" s="420"/>
      <c r="U320" s="423"/>
      <c r="V320" s="420"/>
      <c r="W320" s="420"/>
      <c r="X320" s="419"/>
      <c r="Y320" s="419"/>
      <c r="Z320" s="423"/>
      <c r="AA320" s="423"/>
      <c r="AB320" s="419"/>
      <c r="AC320" s="419"/>
      <c r="AD320" s="420"/>
      <c r="AE320" s="423"/>
      <c r="AF320" s="419"/>
      <c r="AG320" s="419"/>
      <c r="AH320" s="419"/>
      <c r="AI320" s="420"/>
      <c r="AJ320" s="423"/>
      <c r="AK320" s="419"/>
      <c r="AL320" s="420"/>
      <c r="AM320" s="419"/>
      <c r="AN320" s="420"/>
      <c r="AO320" s="423"/>
      <c r="AP320" s="419"/>
      <c r="AQ320" s="419"/>
      <c r="AR320" s="420"/>
      <c r="AS320" s="420"/>
      <c r="AT320" s="420"/>
      <c r="AU320" s="420"/>
      <c r="AV320" s="420"/>
      <c r="AW320" s="420"/>
      <c r="AX320" s="426"/>
      <c r="AY320" s="420"/>
      <c r="AZ320" s="420"/>
      <c r="BA320" s="420"/>
      <c r="BB320" s="419"/>
      <c r="BC320" s="420"/>
      <c r="BD320" s="427"/>
      <c r="BE320" s="420"/>
      <c r="BF320" s="420"/>
      <c r="BG320" s="420"/>
      <c r="BH320" s="423"/>
      <c r="BI320" s="420"/>
      <c r="BJ320" s="420"/>
      <c r="BK320" s="420"/>
      <c r="BL320" s="420"/>
      <c r="BM320" s="420"/>
      <c r="BN320" s="420"/>
      <c r="BO320" s="420"/>
      <c r="BP320" s="429"/>
      <c r="BQ320" s="420"/>
      <c r="BR320" s="423"/>
      <c r="BS320" s="423"/>
      <c r="BT320" s="420"/>
      <c r="BU320" s="420"/>
      <c r="BV320" s="420"/>
      <c r="BW320" s="420"/>
      <c r="BX320" s="429"/>
      <c r="BY320" s="419"/>
      <c r="BZ320" s="419"/>
      <c r="CA320" s="419"/>
      <c r="CB320" s="420"/>
      <c r="CC320" s="430"/>
      <c r="CD320" s="419"/>
      <c r="CE320" s="419"/>
      <c r="CF320" s="419"/>
      <c r="CG320" s="420"/>
      <c r="CH320" s="423"/>
      <c r="CI320" s="431"/>
      <c r="CJ320" s="431"/>
      <c r="CK320" s="431"/>
      <c r="CL320" s="420"/>
      <c r="CM320" s="423"/>
      <c r="CN320" s="420"/>
      <c r="CO320" s="420"/>
      <c r="CP320" s="420"/>
      <c r="CQ320" s="432"/>
      <c r="CR320" s="432"/>
      <c r="CS320" s="420"/>
      <c r="CT320" s="420"/>
      <c r="CU320" s="420"/>
      <c r="CV320" s="420"/>
      <c r="CW320" s="420"/>
      <c r="CX320" s="419"/>
      <c r="CY320" s="419"/>
      <c r="CZ320" s="419"/>
      <c r="DA320" s="419"/>
      <c r="DB320" s="419"/>
      <c r="DC320" s="419"/>
      <c r="DD320" s="419"/>
      <c r="DE320" s="419"/>
      <c r="DF320" s="420"/>
      <c r="DG320" s="421"/>
      <c r="DH320" s="419"/>
      <c r="DI320" s="419"/>
      <c r="DJ320" s="419"/>
      <c r="DK320" s="420"/>
      <c r="DL320" s="422"/>
      <c r="DM320" s="420"/>
      <c r="DN320" s="420"/>
      <c r="DO320" s="420"/>
      <c r="DP320" s="420"/>
      <c r="DQ320" s="420"/>
      <c r="DR320" s="419"/>
      <c r="DS320" s="419"/>
      <c r="DT320" s="419"/>
      <c r="DU320" s="420"/>
      <c r="DV320" s="423"/>
      <c r="DW320" s="419"/>
      <c r="DX320" s="419"/>
      <c r="DY320" s="419"/>
      <c r="DZ320" s="420"/>
      <c r="EA320" s="423"/>
      <c r="EB320" s="419"/>
      <c r="EC320" s="419"/>
      <c r="ED320" s="420"/>
      <c r="EE320" s="419"/>
      <c r="EF320" s="420"/>
      <c r="EG320" s="419"/>
      <c r="EH320" s="419"/>
      <c r="EI320" s="419"/>
      <c r="EJ320" s="420"/>
      <c r="EK320" s="420"/>
      <c r="EL320" s="419"/>
      <c r="EM320" s="419"/>
      <c r="EN320" s="419"/>
      <c r="EO320" s="419"/>
      <c r="EP320" s="419"/>
      <c r="EQ320" s="420"/>
      <c r="ER320" s="420"/>
      <c r="ES320" s="420"/>
      <c r="ET320" s="419"/>
      <c r="EU320" s="419"/>
      <c r="EV320" s="455"/>
      <c r="EW320" s="455"/>
      <c r="EX320" s="455"/>
      <c r="EY320" s="419"/>
      <c r="EZ320" s="419"/>
      <c r="FA320" s="420"/>
      <c r="FB320" s="420"/>
      <c r="FC320" s="420"/>
      <c r="FD320" s="420"/>
      <c r="FE320" s="420"/>
      <c r="FF320" s="419"/>
      <c r="FG320" s="420"/>
      <c r="FH320" s="419"/>
      <c r="FI320" s="419"/>
      <c r="FJ320" s="419"/>
      <c r="FK320" s="419"/>
      <c r="FL320" s="419"/>
      <c r="FM320" s="419"/>
      <c r="FN320" s="420"/>
      <c r="FO320" s="423"/>
      <c r="FP320" s="431"/>
      <c r="FQ320" s="431"/>
      <c r="FR320" s="431"/>
      <c r="FS320" s="420"/>
      <c r="FT320" s="420"/>
      <c r="FU320" s="419"/>
      <c r="FV320" s="419"/>
      <c r="FW320" s="419"/>
      <c r="FX320" s="420"/>
      <c r="FY320" s="420"/>
      <c r="FZ320" s="419"/>
      <c r="GA320" s="419"/>
      <c r="GB320" s="419"/>
      <c r="GC320" s="420"/>
      <c r="GD320" s="420"/>
      <c r="GE320" s="419"/>
      <c r="GF320" s="419"/>
      <c r="GG320" s="419"/>
      <c r="GH320" s="420"/>
      <c r="GI320" s="423"/>
      <c r="GJ320" s="419">
        <v>9879040.1999999993</v>
      </c>
      <c r="GK320" s="419">
        <v>9879040.1999999993</v>
      </c>
      <c r="GL320" s="419">
        <v>1284275.25</v>
      </c>
      <c r="GM320" s="420">
        <f t="shared" si="257"/>
        <v>9879040.3846153803</v>
      </c>
      <c r="GN320" s="420">
        <f t="shared" si="258"/>
        <v>0.18461538478732101</v>
      </c>
      <c r="GO320" s="419"/>
      <c r="GP320" s="419"/>
      <c r="GQ320" s="419"/>
      <c r="GR320" s="420">
        <f t="shared" si="249"/>
        <v>0</v>
      </c>
      <c r="GS320" s="423">
        <f t="shared" si="246"/>
        <v>0</v>
      </c>
      <c r="GT320" s="419"/>
      <c r="GU320" s="419"/>
      <c r="GV320" s="419"/>
      <c r="GW320" s="420">
        <f t="shared" si="247"/>
        <v>0</v>
      </c>
      <c r="GX320" s="420">
        <f t="shared" si="248"/>
        <v>0</v>
      </c>
    </row>
    <row r="321" spans="1:206" ht="15">
      <c r="A321" s="414"/>
      <c r="B321" s="415"/>
      <c r="C321" s="698"/>
      <c r="D321" s="467" t="s">
        <v>665</v>
      </c>
      <c r="E321" s="434" t="s">
        <v>604</v>
      </c>
      <c r="F321" s="417">
        <v>0.13</v>
      </c>
      <c r="G321" s="418">
        <f t="shared" si="244"/>
        <v>12621101.23</v>
      </c>
      <c r="H321" s="418">
        <f t="shared" si="245"/>
        <v>12621101.23</v>
      </c>
      <c r="I321" s="418">
        <f t="shared" si="245"/>
        <v>1640743.12</v>
      </c>
      <c r="J321" s="418">
        <f t="shared" si="252"/>
        <v>12621100.9230769</v>
      </c>
      <c r="K321" s="418">
        <f t="shared" si="250"/>
        <v>-0.30692307651042899</v>
      </c>
      <c r="L321" s="418">
        <f t="shared" si="218"/>
        <v>-0.30692307651042899</v>
      </c>
      <c r="M321" s="424"/>
      <c r="N321" s="424"/>
      <c r="O321" s="424"/>
      <c r="P321" s="424"/>
      <c r="Q321" s="419"/>
      <c r="R321" s="419"/>
      <c r="S321" s="419"/>
      <c r="T321" s="420"/>
      <c r="U321" s="423"/>
      <c r="V321" s="420"/>
      <c r="W321" s="420"/>
      <c r="X321" s="419"/>
      <c r="Y321" s="419"/>
      <c r="Z321" s="423"/>
      <c r="AA321" s="423"/>
      <c r="AB321" s="419"/>
      <c r="AC321" s="419"/>
      <c r="AD321" s="420"/>
      <c r="AE321" s="423"/>
      <c r="AF321" s="419"/>
      <c r="AG321" s="419"/>
      <c r="AH321" s="419"/>
      <c r="AI321" s="420"/>
      <c r="AJ321" s="423"/>
      <c r="AK321" s="419"/>
      <c r="AL321" s="420"/>
      <c r="AM321" s="419"/>
      <c r="AN321" s="420"/>
      <c r="AO321" s="423"/>
      <c r="AP321" s="419"/>
      <c r="AQ321" s="419"/>
      <c r="AR321" s="420"/>
      <c r="AS321" s="420"/>
      <c r="AT321" s="420"/>
      <c r="AU321" s="420"/>
      <c r="AV321" s="420"/>
      <c r="AW321" s="420"/>
      <c r="AX321" s="426"/>
      <c r="AY321" s="420"/>
      <c r="AZ321" s="420"/>
      <c r="BA321" s="420"/>
      <c r="BB321" s="419"/>
      <c r="BC321" s="420"/>
      <c r="BD321" s="427"/>
      <c r="BE321" s="420"/>
      <c r="BF321" s="420"/>
      <c r="BG321" s="420"/>
      <c r="BH321" s="423"/>
      <c r="BI321" s="420"/>
      <c r="BJ321" s="420"/>
      <c r="BK321" s="420"/>
      <c r="BL321" s="420"/>
      <c r="BM321" s="420"/>
      <c r="BN321" s="420"/>
      <c r="BO321" s="420"/>
      <c r="BP321" s="429"/>
      <c r="BQ321" s="420"/>
      <c r="BR321" s="423"/>
      <c r="BS321" s="423"/>
      <c r="BT321" s="420"/>
      <c r="BU321" s="420"/>
      <c r="BV321" s="420"/>
      <c r="BW321" s="420"/>
      <c r="BX321" s="429"/>
      <c r="BY321" s="419"/>
      <c r="BZ321" s="419"/>
      <c r="CA321" s="419"/>
      <c r="CB321" s="420"/>
      <c r="CC321" s="430"/>
      <c r="CD321" s="419"/>
      <c r="CE321" s="419"/>
      <c r="CF321" s="419"/>
      <c r="CG321" s="420"/>
      <c r="CH321" s="423"/>
      <c r="CI321" s="431"/>
      <c r="CJ321" s="431"/>
      <c r="CK321" s="431"/>
      <c r="CL321" s="420"/>
      <c r="CM321" s="423"/>
      <c r="CN321" s="420"/>
      <c r="CO321" s="420"/>
      <c r="CP321" s="420"/>
      <c r="CQ321" s="432"/>
      <c r="CR321" s="432"/>
      <c r="CS321" s="420"/>
      <c r="CT321" s="420"/>
      <c r="CU321" s="420"/>
      <c r="CV321" s="420"/>
      <c r="CW321" s="420"/>
      <c r="CX321" s="419"/>
      <c r="CY321" s="419"/>
      <c r="CZ321" s="419"/>
      <c r="DA321" s="419"/>
      <c r="DB321" s="419"/>
      <c r="DC321" s="419"/>
      <c r="DD321" s="419"/>
      <c r="DE321" s="419"/>
      <c r="DF321" s="420"/>
      <c r="DG321" s="421"/>
      <c r="DH321" s="419"/>
      <c r="DI321" s="419"/>
      <c r="DJ321" s="419"/>
      <c r="DK321" s="420"/>
      <c r="DL321" s="422"/>
      <c r="DM321" s="420"/>
      <c r="DN321" s="420"/>
      <c r="DO321" s="420"/>
      <c r="DP321" s="420"/>
      <c r="DQ321" s="420"/>
      <c r="DR321" s="419"/>
      <c r="DS321" s="419"/>
      <c r="DT321" s="419"/>
      <c r="DU321" s="420"/>
      <c r="DV321" s="423"/>
      <c r="DW321" s="419"/>
      <c r="DX321" s="419"/>
      <c r="DY321" s="419"/>
      <c r="DZ321" s="420"/>
      <c r="EA321" s="423"/>
      <c r="EB321" s="419"/>
      <c r="EC321" s="419"/>
      <c r="ED321" s="420"/>
      <c r="EE321" s="419"/>
      <c r="EF321" s="420"/>
      <c r="EG321" s="419"/>
      <c r="EH321" s="419"/>
      <c r="EI321" s="419"/>
      <c r="EJ321" s="420"/>
      <c r="EK321" s="420"/>
      <c r="EL321" s="419"/>
      <c r="EM321" s="419"/>
      <c r="EN321" s="419"/>
      <c r="EO321" s="419"/>
      <c r="EP321" s="419"/>
      <c r="EQ321" s="420"/>
      <c r="ER321" s="420"/>
      <c r="ES321" s="420"/>
      <c r="ET321" s="419"/>
      <c r="EU321" s="419"/>
      <c r="EV321" s="455"/>
      <c r="EW321" s="455"/>
      <c r="EX321" s="455"/>
      <c r="EY321" s="419"/>
      <c r="EZ321" s="419"/>
      <c r="FA321" s="420"/>
      <c r="FB321" s="420"/>
      <c r="FC321" s="420"/>
      <c r="FD321" s="420"/>
      <c r="FE321" s="420"/>
      <c r="FF321" s="419"/>
      <c r="FG321" s="420"/>
      <c r="FH321" s="419"/>
      <c r="FI321" s="419"/>
      <c r="FJ321" s="419"/>
      <c r="FK321" s="419"/>
      <c r="FL321" s="419"/>
      <c r="FM321" s="419"/>
      <c r="FN321" s="420"/>
      <c r="FO321" s="423"/>
      <c r="FP321" s="431"/>
      <c r="FQ321" s="431"/>
      <c r="FR321" s="431"/>
      <c r="FS321" s="420"/>
      <c r="FT321" s="420"/>
      <c r="FU321" s="419"/>
      <c r="FV321" s="419"/>
      <c r="FW321" s="419"/>
      <c r="FX321" s="420"/>
      <c r="FY321" s="420"/>
      <c r="FZ321" s="419"/>
      <c r="GA321" s="419"/>
      <c r="GB321" s="419"/>
      <c r="GC321" s="420"/>
      <c r="GD321" s="420"/>
      <c r="GE321" s="419"/>
      <c r="GF321" s="419"/>
      <c r="GG321" s="419"/>
      <c r="GH321" s="420"/>
      <c r="GI321" s="423"/>
      <c r="GJ321" s="419">
        <v>12621101.23</v>
      </c>
      <c r="GK321" s="419">
        <v>12621101.23</v>
      </c>
      <c r="GL321" s="419">
        <v>1640743.12</v>
      </c>
      <c r="GM321" s="420">
        <f t="shared" si="257"/>
        <v>12621100.9230769</v>
      </c>
      <c r="GN321" s="420">
        <f t="shared" si="258"/>
        <v>-0.30692307651042899</v>
      </c>
      <c r="GO321" s="419"/>
      <c r="GP321" s="419"/>
      <c r="GQ321" s="419"/>
      <c r="GR321" s="420">
        <f t="shared" si="249"/>
        <v>0</v>
      </c>
      <c r="GS321" s="423">
        <f t="shared" si="246"/>
        <v>0</v>
      </c>
      <c r="GT321" s="419"/>
      <c r="GU321" s="419"/>
      <c r="GV321" s="419"/>
      <c r="GW321" s="420">
        <f t="shared" si="247"/>
        <v>0</v>
      </c>
      <c r="GX321" s="420">
        <f t="shared" si="248"/>
        <v>0</v>
      </c>
    </row>
    <row r="322" spans="1:206" ht="15">
      <c r="A322" s="414"/>
      <c r="B322" s="415"/>
      <c r="C322" s="698"/>
      <c r="D322" s="467" t="s">
        <v>666</v>
      </c>
      <c r="E322" s="434" t="s">
        <v>604</v>
      </c>
      <c r="F322" s="417">
        <v>0.13</v>
      </c>
      <c r="G322" s="418">
        <f t="shared" si="244"/>
        <v>11836771.49</v>
      </c>
      <c r="H322" s="418">
        <f t="shared" si="245"/>
        <v>19130806.510000002</v>
      </c>
      <c r="I322" s="418">
        <f t="shared" si="245"/>
        <v>1538780.3</v>
      </c>
      <c r="J322" s="418">
        <f t="shared" si="252"/>
        <v>11836771.538461501</v>
      </c>
      <c r="K322" s="418">
        <f t="shared" si="250"/>
        <v>-7294034.9715384599</v>
      </c>
      <c r="L322" s="418">
        <f t="shared" si="218"/>
        <v>4.8461535945534699E-2</v>
      </c>
      <c r="M322" s="424"/>
      <c r="N322" s="424"/>
      <c r="O322" s="424"/>
      <c r="P322" s="424"/>
      <c r="Q322" s="419"/>
      <c r="R322" s="419"/>
      <c r="S322" s="419"/>
      <c r="T322" s="420"/>
      <c r="U322" s="423"/>
      <c r="V322" s="420"/>
      <c r="W322" s="420"/>
      <c r="X322" s="419"/>
      <c r="Y322" s="419"/>
      <c r="Z322" s="423"/>
      <c r="AA322" s="423"/>
      <c r="AB322" s="419"/>
      <c r="AC322" s="419"/>
      <c r="AD322" s="420"/>
      <c r="AE322" s="423"/>
      <c r="AF322" s="419"/>
      <c r="AG322" s="419"/>
      <c r="AH322" s="419"/>
      <c r="AI322" s="420"/>
      <c r="AJ322" s="423"/>
      <c r="AK322" s="419"/>
      <c r="AL322" s="420"/>
      <c r="AM322" s="419"/>
      <c r="AN322" s="420"/>
      <c r="AO322" s="423"/>
      <c r="AP322" s="419"/>
      <c r="AQ322" s="419"/>
      <c r="AR322" s="420"/>
      <c r="AS322" s="420"/>
      <c r="AT322" s="420"/>
      <c r="AU322" s="420"/>
      <c r="AV322" s="420"/>
      <c r="AW322" s="420"/>
      <c r="AX322" s="426"/>
      <c r="AY322" s="420"/>
      <c r="AZ322" s="420"/>
      <c r="BA322" s="420"/>
      <c r="BB322" s="419"/>
      <c r="BC322" s="420"/>
      <c r="BD322" s="427"/>
      <c r="BE322" s="420"/>
      <c r="BF322" s="420"/>
      <c r="BG322" s="420"/>
      <c r="BH322" s="423"/>
      <c r="BI322" s="420"/>
      <c r="BJ322" s="420"/>
      <c r="BK322" s="420"/>
      <c r="BL322" s="420"/>
      <c r="BM322" s="420"/>
      <c r="BN322" s="420"/>
      <c r="BO322" s="420"/>
      <c r="BP322" s="429"/>
      <c r="BQ322" s="420"/>
      <c r="BR322" s="423"/>
      <c r="BS322" s="423"/>
      <c r="BT322" s="420"/>
      <c r="BU322" s="420"/>
      <c r="BV322" s="420"/>
      <c r="BW322" s="420"/>
      <c r="BX322" s="429"/>
      <c r="BY322" s="419"/>
      <c r="BZ322" s="419"/>
      <c r="CA322" s="419"/>
      <c r="CB322" s="420"/>
      <c r="CC322" s="430"/>
      <c r="CD322" s="419"/>
      <c r="CE322" s="419"/>
      <c r="CF322" s="419"/>
      <c r="CG322" s="420"/>
      <c r="CH322" s="423"/>
      <c r="CI322" s="431"/>
      <c r="CJ322" s="431"/>
      <c r="CK322" s="431"/>
      <c r="CL322" s="420"/>
      <c r="CM322" s="423"/>
      <c r="CN322" s="420"/>
      <c r="CO322" s="420"/>
      <c r="CP322" s="420"/>
      <c r="CQ322" s="432"/>
      <c r="CR322" s="432"/>
      <c r="CS322" s="420"/>
      <c r="CT322" s="420"/>
      <c r="CU322" s="420"/>
      <c r="CV322" s="420"/>
      <c r="CW322" s="420"/>
      <c r="CX322" s="419"/>
      <c r="CY322" s="419"/>
      <c r="CZ322" s="419"/>
      <c r="DA322" s="419"/>
      <c r="DB322" s="419"/>
      <c r="DC322" s="419"/>
      <c r="DD322" s="419"/>
      <c r="DE322" s="419"/>
      <c r="DF322" s="420"/>
      <c r="DG322" s="421"/>
      <c r="DH322" s="419"/>
      <c r="DI322" s="419"/>
      <c r="DJ322" s="419"/>
      <c r="DK322" s="420"/>
      <c r="DL322" s="422"/>
      <c r="DM322" s="420"/>
      <c r="DN322" s="420"/>
      <c r="DO322" s="420"/>
      <c r="DP322" s="420"/>
      <c r="DQ322" s="420"/>
      <c r="DR322" s="419"/>
      <c r="DS322" s="419"/>
      <c r="DT322" s="419"/>
      <c r="DU322" s="420"/>
      <c r="DV322" s="423"/>
      <c r="DW322" s="419"/>
      <c r="DX322" s="419"/>
      <c r="DY322" s="419"/>
      <c r="DZ322" s="420"/>
      <c r="EA322" s="423"/>
      <c r="EB322" s="419"/>
      <c r="EC322" s="419"/>
      <c r="ED322" s="420"/>
      <c r="EE322" s="419"/>
      <c r="EF322" s="420"/>
      <c r="EG322" s="419"/>
      <c r="EH322" s="419"/>
      <c r="EI322" s="419"/>
      <c r="EJ322" s="420"/>
      <c r="EK322" s="420"/>
      <c r="EL322" s="419"/>
      <c r="EM322" s="419"/>
      <c r="EN322" s="419"/>
      <c r="EO322" s="419"/>
      <c r="EP322" s="419"/>
      <c r="EQ322" s="420"/>
      <c r="ER322" s="420"/>
      <c r="ES322" s="420"/>
      <c r="ET322" s="419"/>
      <c r="EU322" s="419"/>
      <c r="EV322" s="455"/>
      <c r="EW322" s="455"/>
      <c r="EX322" s="455"/>
      <c r="EY322" s="419"/>
      <c r="EZ322" s="419"/>
      <c r="FA322" s="420"/>
      <c r="FB322" s="420"/>
      <c r="FC322" s="420"/>
      <c r="FD322" s="420"/>
      <c r="FE322" s="420"/>
      <c r="FF322" s="419"/>
      <c r="FG322" s="420"/>
      <c r="FH322" s="419"/>
      <c r="FI322" s="419"/>
      <c r="FJ322" s="419"/>
      <c r="FK322" s="419"/>
      <c r="FL322" s="419"/>
      <c r="FM322" s="419"/>
      <c r="FN322" s="420"/>
      <c r="FO322" s="423"/>
      <c r="FP322" s="431"/>
      <c r="FQ322" s="431"/>
      <c r="FR322" s="431"/>
      <c r="FS322" s="420"/>
      <c r="FT322" s="420"/>
      <c r="FU322" s="419"/>
      <c r="FV322" s="419"/>
      <c r="FW322" s="419"/>
      <c r="FX322" s="420"/>
      <c r="FY322" s="420"/>
      <c r="FZ322" s="419"/>
      <c r="GA322" s="419"/>
      <c r="GB322" s="419"/>
      <c r="GC322" s="420"/>
      <c r="GD322" s="420"/>
      <c r="GE322" s="419"/>
      <c r="GF322" s="419"/>
      <c r="GG322" s="419"/>
      <c r="GH322" s="420"/>
      <c r="GI322" s="423"/>
      <c r="GJ322" s="419">
        <v>11274313.810000001</v>
      </c>
      <c r="GK322" s="419">
        <v>13604421.039999999</v>
      </c>
      <c r="GL322" s="419">
        <v>1465660.81</v>
      </c>
      <c r="GM322" s="420">
        <f t="shared" si="257"/>
        <v>11274313.9230769</v>
      </c>
      <c r="GN322" s="420">
        <f t="shared" si="258"/>
        <v>0.11307692341506501</v>
      </c>
      <c r="GO322" s="419">
        <v>2220563.2200000002</v>
      </c>
      <c r="GP322" s="419">
        <v>3422760.25</v>
      </c>
      <c r="GQ322" s="419">
        <v>288673.19</v>
      </c>
      <c r="GR322" s="420">
        <f t="shared" si="249"/>
        <v>2220563</v>
      </c>
      <c r="GS322" s="423">
        <f t="shared" si="246"/>
        <v>-0.22000000020489099</v>
      </c>
      <c r="GT322" s="419">
        <v>-1658105.54</v>
      </c>
      <c r="GU322" s="419">
        <v>2103625.2200000002</v>
      </c>
      <c r="GV322" s="419">
        <v>-215553.7</v>
      </c>
      <c r="GW322" s="420">
        <f t="shared" si="247"/>
        <v>-1658105.38</v>
      </c>
      <c r="GX322" s="420">
        <f t="shared" si="248"/>
        <v>0.160000000149012</v>
      </c>
    </row>
    <row r="323" spans="1:206" ht="15">
      <c r="A323" s="414"/>
      <c r="B323" s="415"/>
      <c r="C323" s="698"/>
      <c r="D323" s="467" t="s">
        <v>667</v>
      </c>
      <c r="E323" s="434" t="s">
        <v>604</v>
      </c>
      <c r="F323" s="417">
        <v>0.13</v>
      </c>
      <c r="G323" s="418">
        <f t="shared" si="244"/>
        <v>3871274.77</v>
      </c>
      <c r="H323" s="418">
        <f t="shared" si="245"/>
        <v>0</v>
      </c>
      <c r="I323" s="418">
        <f t="shared" si="245"/>
        <v>503265.66</v>
      </c>
      <c r="J323" s="418">
        <f t="shared" si="252"/>
        <v>3871274.3076923098</v>
      </c>
      <c r="K323" s="418">
        <f t="shared" si="250"/>
        <v>3871274.3076923098</v>
      </c>
      <c r="L323" s="418">
        <f t="shared" si="218"/>
        <v>-0.46230769297108099</v>
      </c>
      <c r="M323" s="424"/>
      <c r="N323" s="424"/>
      <c r="O323" s="424"/>
      <c r="P323" s="424"/>
      <c r="Q323" s="419"/>
      <c r="R323" s="419"/>
      <c r="S323" s="419"/>
      <c r="T323" s="420"/>
      <c r="U323" s="423"/>
      <c r="V323" s="420"/>
      <c r="W323" s="420"/>
      <c r="X323" s="419"/>
      <c r="Y323" s="419"/>
      <c r="Z323" s="423"/>
      <c r="AA323" s="423"/>
      <c r="AB323" s="419"/>
      <c r="AC323" s="419"/>
      <c r="AD323" s="420"/>
      <c r="AE323" s="423"/>
      <c r="AF323" s="419"/>
      <c r="AG323" s="419"/>
      <c r="AH323" s="419"/>
      <c r="AI323" s="420"/>
      <c r="AJ323" s="423"/>
      <c r="AK323" s="419"/>
      <c r="AL323" s="420"/>
      <c r="AM323" s="419"/>
      <c r="AN323" s="420"/>
      <c r="AO323" s="423"/>
      <c r="AP323" s="419"/>
      <c r="AQ323" s="419"/>
      <c r="AR323" s="420"/>
      <c r="AS323" s="420"/>
      <c r="AT323" s="420"/>
      <c r="AU323" s="420"/>
      <c r="AV323" s="420"/>
      <c r="AW323" s="420"/>
      <c r="AX323" s="426"/>
      <c r="AY323" s="420"/>
      <c r="AZ323" s="420"/>
      <c r="BA323" s="420"/>
      <c r="BB323" s="419"/>
      <c r="BC323" s="420"/>
      <c r="BD323" s="427"/>
      <c r="BE323" s="420"/>
      <c r="BF323" s="420"/>
      <c r="BG323" s="420"/>
      <c r="BH323" s="423"/>
      <c r="BI323" s="420"/>
      <c r="BJ323" s="420"/>
      <c r="BK323" s="420"/>
      <c r="BL323" s="420"/>
      <c r="BM323" s="420"/>
      <c r="BN323" s="420"/>
      <c r="BO323" s="420"/>
      <c r="BP323" s="429"/>
      <c r="BQ323" s="420"/>
      <c r="BR323" s="423"/>
      <c r="BS323" s="423"/>
      <c r="BT323" s="420"/>
      <c r="BU323" s="420"/>
      <c r="BV323" s="420"/>
      <c r="BW323" s="420"/>
      <c r="BX323" s="429"/>
      <c r="BY323" s="419"/>
      <c r="BZ323" s="419"/>
      <c r="CA323" s="419"/>
      <c r="CB323" s="420"/>
      <c r="CC323" s="430"/>
      <c r="CD323" s="419"/>
      <c r="CE323" s="419"/>
      <c r="CF323" s="419"/>
      <c r="CG323" s="420"/>
      <c r="CH323" s="423"/>
      <c r="CI323" s="431"/>
      <c r="CJ323" s="431"/>
      <c r="CK323" s="431"/>
      <c r="CL323" s="420"/>
      <c r="CM323" s="423"/>
      <c r="CN323" s="420"/>
      <c r="CO323" s="420"/>
      <c r="CP323" s="420"/>
      <c r="CQ323" s="432"/>
      <c r="CR323" s="432"/>
      <c r="CS323" s="420"/>
      <c r="CT323" s="420"/>
      <c r="CU323" s="420"/>
      <c r="CV323" s="420"/>
      <c r="CW323" s="420"/>
      <c r="CX323" s="419"/>
      <c r="CY323" s="419"/>
      <c r="CZ323" s="419"/>
      <c r="DA323" s="419"/>
      <c r="DB323" s="419"/>
      <c r="DC323" s="419"/>
      <c r="DD323" s="419"/>
      <c r="DE323" s="419"/>
      <c r="DF323" s="420"/>
      <c r="DG323" s="421"/>
      <c r="DH323" s="419"/>
      <c r="DI323" s="419"/>
      <c r="DJ323" s="419"/>
      <c r="DK323" s="420"/>
      <c r="DL323" s="422"/>
      <c r="DM323" s="420"/>
      <c r="DN323" s="420"/>
      <c r="DO323" s="420"/>
      <c r="DP323" s="420"/>
      <c r="DQ323" s="420"/>
      <c r="DR323" s="419"/>
      <c r="DS323" s="419"/>
      <c r="DT323" s="419"/>
      <c r="DU323" s="420"/>
      <c r="DV323" s="423"/>
      <c r="DW323" s="419"/>
      <c r="DX323" s="419"/>
      <c r="DY323" s="419"/>
      <c r="DZ323" s="420"/>
      <c r="EA323" s="423"/>
      <c r="EB323" s="419"/>
      <c r="EC323" s="419"/>
      <c r="ED323" s="420"/>
      <c r="EE323" s="419"/>
      <c r="EF323" s="420"/>
      <c r="EG323" s="419"/>
      <c r="EH323" s="419"/>
      <c r="EI323" s="419"/>
      <c r="EJ323" s="420"/>
      <c r="EK323" s="420"/>
      <c r="EL323" s="419"/>
      <c r="EM323" s="419"/>
      <c r="EN323" s="419"/>
      <c r="EO323" s="419"/>
      <c r="EP323" s="419"/>
      <c r="EQ323" s="420"/>
      <c r="ER323" s="420"/>
      <c r="ES323" s="420"/>
      <c r="ET323" s="419"/>
      <c r="EU323" s="419"/>
      <c r="EV323" s="455"/>
      <c r="EW323" s="455"/>
      <c r="EX323" s="455"/>
      <c r="EY323" s="419"/>
      <c r="EZ323" s="419"/>
      <c r="FA323" s="420"/>
      <c r="FB323" s="420"/>
      <c r="FC323" s="420"/>
      <c r="FD323" s="420"/>
      <c r="FE323" s="420"/>
      <c r="FF323" s="419"/>
      <c r="FG323" s="420"/>
      <c r="FH323" s="419"/>
      <c r="FI323" s="419"/>
      <c r="FJ323" s="419"/>
      <c r="FK323" s="419"/>
      <c r="FL323" s="419"/>
      <c r="FM323" s="419"/>
      <c r="FN323" s="420"/>
      <c r="FO323" s="423"/>
      <c r="FP323" s="431"/>
      <c r="FQ323" s="431"/>
      <c r="FR323" s="431"/>
      <c r="FS323" s="420"/>
      <c r="FT323" s="420"/>
      <c r="FU323" s="419"/>
      <c r="FV323" s="419"/>
      <c r="FW323" s="419"/>
      <c r="FX323" s="420"/>
      <c r="FY323" s="420"/>
      <c r="FZ323" s="419"/>
      <c r="GA323" s="419"/>
      <c r="GB323" s="419"/>
      <c r="GC323" s="420"/>
      <c r="GD323" s="420"/>
      <c r="GE323" s="419"/>
      <c r="GF323" s="419"/>
      <c r="GG323" s="419"/>
      <c r="GH323" s="420"/>
      <c r="GI323" s="423"/>
      <c r="GJ323" s="419">
        <v>2330107.23</v>
      </c>
      <c r="GK323" s="419"/>
      <c r="GL323" s="419">
        <v>302913.90999999997</v>
      </c>
      <c r="GM323" s="420">
        <f t="shared" si="257"/>
        <v>2330107</v>
      </c>
      <c r="GN323" s="420">
        <f t="shared" si="258"/>
        <v>-0.230000000447035</v>
      </c>
      <c r="GO323" s="419">
        <v>2016478.58</v>
      </c>
      <c r="GP323" s="419"/>
      <c r="GQ323" s="419">
        <v>262142.21</v>
      </c>
      <c r="GR323" s="420">
        <f t="shared" si="249"/>
        <v>2016478.5384615399</v>
      </c>
      <c r="GS323" s="423">
        <f t="shared" si="246"/>
        <v>-4.1538461809977903E-2</v>
      </c>
      <c r="GT323" s="419">
        <v>-475311.04</v>
      </c>
      <c r="GU323" s="419"/>
      <c r="GV323" s="419">
        <v>-61790.46</v>
      </c>
      <c r="GW323" s="420">
        <f t="shared" si="247"/>
        <v>-475311.23</v>
      </c>
      <c r="GX323" s="420">
        <f t="shared" si="248"/>
        <v>-0.190000000002328</v>
      </c>
    </row>
    <row r="324" spans="1:206" ht="15">
      <c r="A324" s="414"/>
      <c r="B324" s="415"/>
      <c r="C324" s="698"/>
      <c r="D324" s="467" t="s">
        <v>668</v>
      </c>
      <c r="E324" s="434" t="s">
        <v>604</v>
      </c>
      <c r="F324" s="417">
        <v>0.13</v>
      </c>
      <c r="G324" s="418">
        <f t="shared" ref="G324:G349" si="263">SUM(M324,P324:Q324,V324,AA324,AF324,AK324,AP324,AU324,AZ324,BE324,BJ324,BO324,BT324,BY324,CD324,CI324,CN324,CS324,CX324,DC324,DH324,DM324,DR324,DW324,EB324,EG324,EL324,EQ324,EV324,FA324,FF324,FK324,FP324,FU324,FZ324,GE324,GJ324,GO324,GT324)</f>
        <v>2069919.91</v>
      </c>
      <c r="H324" s="418">
        <f t="shared" ref="H324:I349" si="264">SUM(N324,R324,W324,AB324,AG324,AL324,AQ324,AV324,BA324,BF324,BK324,BP324,BU324,BZ324,CE324,CJ324,CO324,CT324,CY324,DD324,DI324,DN324,DS324,DX324,EC324,EH324,EM324,ER324,EW324,FB324,FG324,FL324,FQ324,FV324,GA324,GF324,GK324,GP324,GU324)</f>
        <v>2069919.91</v>
      </c>
      <c r="I324" s="418">
        <f t="shared" si="264"/>
        <v>269089.59000000003</v>
      </c>
      <c r="J324" s="418">
        <f t="shared" si="252"/>
        <v>2069919.92307692</v>
      </c>
      <c r="K324" s="418">
        <f t="shared" si="250"/>
        <v>1.3076923321932599E-2</v>
      </c>
      <c r="L324" s="418">
        <f t="shared" si="218"/>
        <v>1.3076923321932599E-2</v>
      </c>
      <c r="M324" s="424"/>
      <c r="N324" s="424"/>
      <c r="O324" s="424"/>
      <c r="P324" s="424"/>
      <c r="Q324" s="419"/>
      <c r="R324" s="419"/>
      <c r="S324" s="419"/>
      <c r="T324" s="420"/>
      <c r="U324" s="423"/>
      <c r="V324" s="420"/>
      <c r="W324" s="420"/>
      <c r="X324" s="419"/>
      <c r="Y324" s="419"/>
      <c r="Z324" s="423"/>
      <c r="AA324" s="423"/>
      <c r="AB324" s="419"/>
      <c r="AC324" s="419"/>
      <c r="AD324" s="420"/>
      <c r="AE324" s="423"/>
      <c r="AF324" s="419"/>
      <c r="AG324" s="419"/>
      <c r="AH324" s="419"/>
      <c r="AI324" s="420"/>
      <c r="AJ324" s="423"/>
      <c r="AK324" s="419"/>
      <c r="AL324" s="420"/>
      <c r="AM324" s="419"/>
      <c r="AN324" s="420"/>
      <c r="AO324" s="423"/>
      <c r="AP324" s="419"/>
      <c r="AQ324" s="419"/>
      <c r="AR324" s="420"/>
      <c r="AS324" s="420"/>
      <c r="AT324" s="420"/>
      <c r="AU324" s="420"/>
      <c r="AV324" s="420"/>
      <c r="AW324" s="420"/>
      <c r="AX324" s="426"/>
      <c r="AY324" s="420"/>
      <c r="AZ324" s="420"/>
      <c r="BA324" s="420"/>
      <c r="BB324" s="419"/>
      <c r="BC324" s="420"/>
      <c r="BD324" s="427"/>
      <c r="BE324" s="420"/>
      <c r="BF324" s="420"/>
      <c r="BG324" s="420"/>
      <c r="BH324" s="423"/>
      <c r="BI324" s="420"/>
      <c r="BJ324" s="420"/>
      <c r="BK324" s="420"/>
      <c r="BL324" s="420"/>
      <c r="BM324" s="420"/>
      <c r="BN324" s="420"/>
      <c r="BO324" s="420"/>
      <c r="BP324" s="429"/>
      <c r="BQ324" s="420"/>
      <c r="BR324" s="423"/>
      <c r="BS324" s="423"/>
      <c r="BT324" s="420"/>
      <c r="BU324" s="420"/>
      <c r="BV324" s="420"/>
      <c r="BW324" s="420"/>
      <c r="BX324" s="429"/>
      <c r="BY324" s="419"/>
      <c r="BZ324" s="419"/>
      <c r="CA324" s="419"/>
      <c r="CB324" s="420"/>
      <c r="CC324" s="430"/>
      <c r="CD324" s="419"/>
      <c r="CE324" s="419"/>
      <c r="CF324" s="419"/>
      <c r="CG324" s="420"/>
      <c r="CH324" s="423"/>
      <c r="CI324" s="431"/>
      <c r="CJ324" s="431"/>
      <c r="CK324" s="431"/>
      <c r="CL324" s="420"/>
      <c r="CM324" s="423"/>
      <c r="CN324" s="420"/>
      <c r="CO324" s="420"/>
      <c r="CP324" s="420"/>
      <c r="CQ324" s="432"/>
      <c r="CR324" s="432"/>
      <c r="CS324" s="420"/>
      <c r="CT324" s="420"/>
      <c r="CU324" s="420"/>
      <c r="CV324" s="420"/>
      <c r="CW324" s="420"/>
      <c r="CX324" s="419"/>
      <c r="CY324" s="419"/>
      <c r="CZ324" s="419"/>
      <c r="DA324" s="419"/>
      <c r="DB324" s="419"/>
      <c r="DC324" s="419"/>
      <c r="DD324" s="419"/>
      <c r="DE324" s="419"/>
      <c r="DF324" s="420"/>
      <c r="DG324" s="421"/>
      <c r="DH324" s="419"/>
      <c r="DI324" s="419"/>
      <c r="DJ324" s="419"/>
      <c r="DK324" s="420"/>
      <c r="DL324" s="422"/>
      <c r="DM324" s="420"/>
      <c r="DN324" s="420"/>
      <c r="DO324" s="420"/>
      <c r="DP324" s="420"/>
      <c r="DQ324" s="420"/>
      <c r="DR324" s="419"/>
      <c r="DS324" s="419"/>
      <c r="DT324" s="419"/>
      <c r="DU324" s="420"/>
      <c r="DV324" s="423"/>
      <c r="DW324" s="419"/>
      <c r="DX324" s="419"/>
      <c r="DY324" s="419"/>
      <c r="DZ324" s="420"/>
      <c r="EA324" s="423"/>
      <c r="EB324" s="419"/>
      <c r="EC324" s="419"/>
      <c r="ED324" s="420"/>
      <c r="EE324" s="419"/>
      <c r="EF324" s="420"/>
      <c r="EG324" s="419"/>
      <c r="EH324" s="419"/>
      <c r="EI324" s="419"/>
      <c r="EJ324" s="420"/>
      <c r="EK324" s="420"/>
      <c r="EL324" s="419"/>
      <c r="EM324" s="419"/>
      <c r="EN324" s="419"/>
      <c r="EO324" s="419"/>
      <c r="EP324" s="419"/>
      <c r="EQ324" s="420"/>
      <c r="ER324" s="420"/>
      <c r="ES324" s="420"/>
      <c r="ET324" s="419"/>
      <c r="EU324" s="419"/>
      <c r="EV324" s="455"/>
      <c r="EW324" s="455"/>
      <c r="EX324" s="455"/>
      <c r="EY324" s="419"/>
      <c r="EZ324" s="419"/>
      <c r="FA324" s="420"/>
      <c r="FB324" s="420"/>
      <c r="FC324" s="420"/>
      <c r="FD324" s="420"/>
      <c r="FE324" s="420"/>
      <c r="FF324" s="419"/>
      <c r="FG324" s="420"/>
      <c r="FH324" s="419"/>
      <c r="FI324" s="419"/>
      <c r="FJ324" s="419"/>
      <c r="FK324" s="419"/>
      <c r="FL324" s="419"/>
      <c r="FM324" s="419"/>
      <c r="FN324" s="420"/>
      <c r="FO324" s="423"/>
      <c r="FP324" s="431"/>
      <c r="FQ324" s="431"/>
      <c r="FR324" s="431"/>
      <c r="FS324" s="420"/>
      <c r="FT324" s="420"/>
      <c r="FU324" s="419"/>
      <c r="FV324" s="419"/>
      <c r="FW324" s="419"/>
      <c r="FX324" s="420"/>
      <c r="FY324" s="420"/>
      <c r="FZ324" s="419"/>
      <c r="GA324" s="419"/>
      <c r="GB324" s="419"/>
      <c r="GC324" s="420"/>
      <c r="GD324" s="420"/>
      <c r="GE324" s="419"/>
      <c r="GF324" s="419"/>
      <c r="GG324" s="419"/>
      <c r="GH324" s="420"/>
      <c r="GI324" s="423"/>
      <c r="GJ324" s="419">
        <v>2069919.91</v>
      </c>
      <c r="GK324" s="419">
        <v>2069919.91</v>
      </c>
      <c r="GL324" s="419">
        <v>269089.59000000003</v>
      </c>
      <c r="GM324" s="420">
        <f t="shared" si="257"/>
        <v>2069919.92307692</v>
      </c>
      <c r="GN324" s="420">
        <f t="shared" si="258"/>
        <v>1.3076923321932599E-2</v>
      </c>
      <c r="GO324" s="419"/>
      <c r="GP324" s="419"/>
      <c r="GQ324" s="419"/>
      <c r="GR324" s="420">
        <f t="shared" si="249"/>
        <v>0</v>
      </c>
      <c r="GS324" s="423">
        <f t="shared" ref="GS324:GS349" si="265">GR324-GO324</f>
        <v>0</v>
      </c>
      <c r="GT324" s="419"/>
      <c r="GU324" s="419"/>
      <c r="GV324" s="419"/>
      <c r="GW324" s="420">
        <f t="shared" ref="GW324:GW349" si="266">ROUND(GV324/F324,2)</f>
        <v>0</v>
      </c>
      <c r="GX324" s="420">
        <f t="shared" ref="GX324:GX349" si="267">GW324-GT324</f>
        <v>0</v>
      </c>
    </row>
    <row r="325" spans="1:206" ht="13.5" customHeight="1">
      <c r="A325" s="414"/>
      <c r="B325" s="415"/>
      <c r="C325" s="698"/>
      <c r="D325" s="467" t="s">
        <v>669</v>
      </c>
      <c r="E325" s="434" t="s">
        <v>604</v>
      </c>
      <c r="F325" s="417">
        <v>0.13</v>
      </c>
      <c r="G325" s="418">
        <f t="shared" si="263"/>
        <v>157351.10999999999</v>
      </c>
      <c r="H325" s="418">
        <f t="shared" si="264"/>
        <v>157351.10999999999</v>
      </c>
      <c r="I325" s="418">
        <f t="shared" si="264"/>
        <v>20455.64</v>
      </c>
      <c r="J325" s="418">
        <f t="shared" si="252"/>
        <v>157351.07692307699</v>
      </c>
      <c r="K325" s="418">
        <f t="shared" si="250"/>
        <v>-3.3076923078624497E-2</v>
      </c>
      <c r="L325" s="418">
        <f t="shared" si="218"/>
        <v>-3.3076923078624497E-2</v>
      </c>
      <c r="M325" s="424"/>
      <c r="N325" s="424"/>
      <c r="O325" s="424"/>
      <c r="P325" s="424"/>
      <c r="Q325" s="419"/>
      <c r="R325" s="419"/>
      <c r="S325" s="419"/>
      <c r="T325" s="420"/>
      <c r="U325" s="423"/>
      <c r="V325" s="420"/>
      <c r="W325" s="420"/>
      <c r="X325" s="419"/>
      <c r="Y325" s="419"/>
      <c r="Z325" s="423"/>
      <c r="AA325" s="423"/>
      <c r="AB325" s="419"/>
      <c r="AC325" s="419"/>
      <c r="AD325" s="420"/>
      <c r="AE325" s="423"/>
      <c r="AF325" s="419"/>
      <c r="AG325" s="419"/>
      <c r="AH325" s="419"/>
      <c r="AI325" s="420"/>
      <c r="AJ325" s="423"/>
      <c r="AK325" s="419"/>
      <c r="AL325" s="420"/>
      <c r="AM325" s="419"/>
      <c r="AN325" s="420"/>
      <c r="AO325" s="423"/>
      <c r="AP325" s="419"/>
      <c r="AQ325" s="419"/>
      <c r="AR325" s="420"/>
      <c r="AS325" s="420"/>
      <c r="AT325" s="420"/>
      <c r="AU325" s="420"/>
      <c r="AV325" s="420"/>
      <c r="AW325" s="420"/>
      <c r="AX325" s="426"/>
      <c r="AY325" s="420"/>
      <c r="AZ325" s="420"/>
      <c r="BA325" s="420"/>
      <c r="BB325" s="419"/>
      <c r="BC325" s="420"/>
      <c r="BD325" s="427"/>
      <c r="BE325" s="420"/>
      <c r="BF325" s="420"/>
      <c r="BG325" s="420"/>
      <c r="BH325" s="423"/>
      <c r="BI325" s="420"/>
      <c r="BJ325" s="420"/>
      <c r="BK325" s="420"/>
      <c r="BL325" s="420"/>
      <c r="BM325" s="420"/>
      <c r="BN325" s="420"/>
      <c r="BO325" s="420"/>
      <c r="BP325" s="429"/>
      <c r="BQ325" s="420"/>
      <c r="BR325" s="423"/>
      <c r="BS325" s="423"/>
      <c r="BT325" s="420"/>
      <c r="BU325" s="420"/>
      <c r="BV325" s="420"/>
      <c r="BW325" s="420"/>
      <c r="BX325" s="429"/>
      <c r="BY325" s="419"/>
      <c r="BZ325" s="419"/>
      <c r="CA325" s="419"/>
      <c r="CB325" s="420"/>
      <c r="CC325" s="430"/>
      <c r="CD325" s="419"/>
      <c r="CE325" s="419"/>
      <c r="CF325" s="419"/>
      <c r="CG325" s="420"/>
      <c r="CH325" s="423"/>
      <c r="CI325" s="431"/>
      <c r="CJ325" s="431"/>
      <c r="CK325" s="431"/>
      <c r="CL325" s="420"/>
      <c r="CM325" s="423"/>
      <c r="CN325" s="420"/>
      <c r="CO325" s="420"/>
      <c r="CP325" s="420"/>
      <c r="CQ325" s="432"/>
      <c r="CR325" s="432"/>
      <c r="CS325" s="420"/>
      <c r="CT325" s="420"/>
      <c r="CU325" s="420"/>
      <c r="CV325" s="420"/>
      <c r="CW325" s="420"/>
      <c r="CX325" s="419"/>
      <c r="CY325" s="419"/>
      <c r="CZ325" s="419"/>
      <c r="DA325" s="419"/>
      <c r="DB325" s="419"/>
      <c r="DC325" s="419"/>
      <c r="DD325" s="419"/>
      <c r="DE325" s="419"/>
      <c r="DF325" s="420"/>
      <c r="DG325" s="421"/>
      <c r="DH325" s="419"/>
      <c r="DI325" s="419"/>
      <c r="DJ325" s="419"/>
      <c r="DK325" s="420"/>
      <c r="DL325" s="422"/>
      <c r="DM325" s="420"/>
      <c r="DN325" s="420"/>
      <c r="DO325" s="420"/>
      <c r="DP325" s="420"/>
      <c r="DQ325" s="420"/>
      <c r="DR325" s="419"/>
      <c r="DS325" s="419"/>
      <c r="DT325" s="419"/>
      <c r="DU325" s="420"/>
      <c r="DV325" s="423"/>
      <c r="DW325" s="419"/>
      <c r="DX325" s="419"/>
      <c r="DY325" s="419"/>
      <c r="DZ325" s="420"/>
      <c r="EA325" s="423"/>
      <c r="EB325" s="419"/>
      <c r="EC325" s="419"/>
      <c r="ED325" s="420"/>
      <c r="EE325" s="419"/>
      <c r="EF325" s="420"/>
      <c r="EG325" s="419"/>
      <c r="EH325" s="419"/>
      <c r="EI325" s="419"/>
      <c r="EJ325" s="420"/>
      <c r="EK325" s="420"/>
      <c r="EL325" s="419"/>
      <c r="EM325" s="419"/>
      <c r="EN325" s="419"/>
      <c r="EO325" s="419"/>
      <c r="EP325" s="419"/>
      <c r="EQ325" s="420"/>
      <c r="ER325" s="420"/>
      <c r="ES325" s="420"/>
      <c r="ET325" s="419"/>
      <c r="EU325" s="419"/>
      <c r="EV325" s="455"/>
      <c r="EW325" s="455"/>
      <c r="EX325" s="455"/>
      <c r="EY325" s="419"/>
      <c r="EZ325" s="419"/>
      <c r="FA325" s="420"/>
      <c r="FB325" s="420"/>
      <c r="FC325" s="420"/>
      <c r="FD325" s="420"/>
      <c r="FE325" s="420"/>
      <c r="FF325" s="419"/>
      <c r="FG325" s="420"/>
      <c r="FH325" s="419"/>
      <c r="FI325" s="419"/>
      <c r="FJ325" s="419"/>
      <c r="FK325" s="419"/>
      <c r="FL325" s="419"/>
      <c r="FM325" s="419"/>
      <c r="FN325" s="420"/>
      <c r="FO325" s="423"/>
      <c r="FP325" s="431"/>
      <c r="FQ325" s="431"/>
      <c r="FR325" s="431"/>
      <c r="FS325" s="420"/>
      <c r="FT325" s="420"/>
      <c r="FU325" s="419"/>
      <c r="FV325" s="419"/>
      <c r="FW325" s="419"/>
      <c r="FX325" s="420"/>
      <c r="FY325" s="420"/>
      <c r="FZ325" s="419">
        <v>157351.10999999999</v>
      </c>
      <c r="GA325" s="419">
        <v>157351.10999999999</v>
      </c>
      <c r="GB325" s="419">
        <v>20455.64</v>
      </c>
      <c r="GC325" s="420">
        <f t="shared" si="253"/>
        <v>157351.07999999999</v>
      </c>
      <c r="GD325" s="420">
        <f t="shared" si="254"/>
        <v>-2.9999999998835802E-2</v>
      </c>
      <c r="GE325" s="419"/>
      <c r="GF325" s="419"/>
      <c r="GG325" s="419"/>
      <c r="GH325" s="420">
        <f t="shared" si="261"/>
        <v>0</v>
      </c>
      <c r="GI325" s="423">
        <f t="shared" si="262"/>
        <v>0</v>
      </c>
      <c r="GJ325" s="419"/>
      <c r="GK325" s="419"/>
      <c r="GL325" s="419"/>
      <c r="GM325" s="420">
        <f t="shared" si="257"/>
        <v>0</v>
      </c>
      <c r="GN325" s="420">
        <f t="shared" si="258"/>
        <v>0</v>
      </c>
      <c r="GO325" s="419"/>
      <c r="GP325" s="419"/>
      <c r="GQ325" s="419"/>
      <c r="GR325" s="420">
        <f t="shared" ref="GR325:GR349" si="268">GQ325/F325</f>
        <v>0</v>
      </c>
      <c r="GS325" s="423">
        <f t="shared" si="265"/>
        <v>0</v>
      </c>
      <c r="GT325" s="419"/>
      <c r="GU325" s="419"/>
      <c r="GV325" s="419"/>
      <c r="GW325" s="420">
        <f t="shared" si="266"/>
        <v>0</v>
      </c>
      <c r="GX325" s="420">
        <f t="shared" si="267"/>
        <v>0</v>
      </c>
    </row>
    <row r="326" spans="1:206" ht="13.5" customHeight="1">
      <c r="A326" s="414"/>
      <c r="B326" s="415"/>
      <c r="C326" s="698"/>
      <c r="D326" s="467" t="s">
        <v>670</v>
      </c>
      <c r="E326" s="434" t="s">
        <v>604</v>
      </c>
      <c r="F326" s="417">
        <v>0.13</v>
      </c>
      <c r="G326" s="418">
        <f t="shared" si="263"/>
        <v>38011734.979999997</v>
      </c>
      <c r="H326" s="418">
        <f t="shared" si="264"/>
        <v>38011734.979999997</v>
      </c>
      <c r="I326" s="418">
        <f t="shared" si="264"/>
        <v>4941525.5199999996</v>
      </c>
      <c r="J326" s="418">
        <f t="shared" si="252"/>
        <v>38011734.769230798</v>
      </c>
      <c r="K326" s="418">
        <f t="shared" si="250"/>
        <v>-0.210769228637218</v>
      </c>
      <c r="L326" s="418">
        <f t="shared" si="218"/>
        <v>-0.21076923608779899</v>
      </c>
      <c r="M326" s="424"/>
      <c r="N326" s="424"/>
      <c r="O326" s="424"/>
      <c r="P326" s="424"/>
      <c r="Q326" s="419"/>
      <c r="R326" s="419"/>
      <c r="S326" s="419"/>
      <c r="T326" s="420"/>
      <c r="U326" s="423"/>
      <c r="V326" s="420"/>
      <c r="W326" s="420"/>
      <c r="X326" s="419"/>
      <c r="Y326" s="419"/>
      <c r="Z326" s="423"/>
      <c r="AA326" s="423"/>
      <c r="AB326" s="419"/>
      <c r="AC326" s="419"/>
      <c r="AD326" s="420"/>
      <c r="AE326" s="423"/>
      <c r="AF326" s="419"/>
      <c r="AG326" s="419"/>
      <c r="AH326" s="419"/>
      <c r="AI326" s="420"/>
      <c r="AJ326" s="423"/>
      <c r="AK326" s="419"/>
      <c r="AL326" s="420"/>
      <c r="AM326" s="419"/>
      <c r="AN326" s="420"/>
      <c r="AO326" s="423"/>
      <c r="AP326" s="419"/>
      <c r="AQ326" s="419"/>
      <c r="AR326" s="420"/>
      <c r="AS326" s="420"/>
      <c r="AT326" s="420"/>
      <c r="AU326" s="420"/>
      <c r="AV326" s="420"/>
      <c r="AW326" s="420"/>
      <c r="AX326" s="426"/>
      <c r="AY326" s="420"/>
      <c r="AZ326" s="420"/>
      <c r="BA326" s="420"/>
      <c r="BB326" s="419"/>
      <c r="BC326" s="420"/>
      <c r="BD326" s="427"/>
      <c r="BE326" s="420"/>
      <c r="BF326" s="420"/>
      <c r="BG326" s="420"/>
      <c r="BH326" s="423"/>
      <c r="BI326" s="420"/>
      <c r="BJ326" s="420"/>
      <c r="BK326" s="420"/>
      <c r="BL326" s="420"/>
      <c r="BM326" s="420"/>
      <c r="BN326" s="420"/>
      <c r="BO326" s="420"/>
      <c r="BP326" s="429"/>
      <c r="BQ326" s="420"/>
      <c r="BR326" s="423"/>
      <c r="BS326" s="423"/>
      <c r="BT326" s="420"/>
      <c r="BU326" s="420"/>
      <c r="BV326" s="420"/>
      <c r="BW326" s="420"/>
      <c r="BX326" s="429"/>
      <c r="BY326" s="419"/>
      <c r="BZ326" s="419"/>
      <c r="CA326" s="419"/>
      <c r="CB326" s="420"/>
      <c r="CC326" s="430"/>
      <c r="CD326" s="419"/>
      <c r="CE326" s="419"/>
      <c r="CF326" s="419"/>
      <c r="CG326" s="420"/>
      <c r="CH326" s="423"/>
      <c r="CI326" s="431"/>
      <c r="CJ326" s="431"/>
      <c r="CK326" s="431"/>
      <c r="CL326" s="420"/>
      <c r="CM326" s="423"/>
      <c r="CN326" s="420"/>
      <c r="CO326" s="420"/>
      <c r="CP326" s="420"/>
      <c r="CQ326" s="432"/>
      <c r="CR326" s="432"/>
      <c r="CS326" s="420"/>
      <c r="CT326" s="420"/>
      <c r="CU326" s="420"/>
      <c r="CV326" s="420"/>
      <c r="CW326" s="420"/>
      <c r="CX326" s="419"/>
      <c r="CY326" s="419"/>
      <c r="CZ326" s="419"/>
      <c r="DA326" s="419"/>
      <c r="DB326" s="419"/>
      <c r="DC326" s="419"/>
      <c r="DD326" s="419"/>
      <c r="DE326" s="419"/>
      <c r="DF326" s="420"/>
      <c r="DG326" s="421"/>
      <c r="DH326" s="419"/>
      <c r="DI326" s="419"/>
      <c r="DJ326" s="419"/>
      <c r="DK326" s="420"/>
      <c r="DL326" s="422"/>
      <c r="DM326" s="420"/>
      <c r="DN326" s="420"/>
      <c r="DO326" s="420"/>
      <c r="DP326" s="420"/>
      <c r="DQ326" s="420"/>
      <c r="DR326" s="419"/>
      <c r="DS326" s="419"/>
      <c r="DT326" s="419"/>
      <c r="DU326" s="420"/>
      <c r="DV326" s="423"/>
      <c r="DW326" s="419"/>
      <c r="DX326" s="419"/>
      <c r="DY326" s="419"/>
      <c r="DZ326" s="420"/>
      <c r="EA326" s="423"/>
      <c r="EB326" s="419"/>
      <c r="EC326" s="419"/>
      <c r="ED326" s="420"/>
      <c r="EE326" s="419"/>
      <c r="EF326" s="420"/>
      <c r="EG326" s="419"/>
      <c r="EH326" s="419"/>
      <c r="EI326" s="419"/>
      <c r="EJ326" s="420"/>
      <c r="EK326" s="420"/>
      <c r="EL326" s="419"/>
      <c r="EM326" s="419"/>
      <c r="EN326" s="419"/>
      <c r="EO326" s="419"/>
      <c r="EP326" s="419"/>
      <c r="EQ326" s="420"/>
      <c r="ER326" s="420"/>
      <c r="ES326" s="420"/>
      <c r="ET326" s="419"/>
      <c r="EU326" s="419"/>
      <c r="EV326" s="455"/>
      <c r="EW326" s="455"/>
      <c r="EX326" s="455"/>
      <c r="EY326" s="419"/>
      <c r="EZ326" s="419"/>
      <c r="FA326" s="420"/>
      <c r="FB326" s="420"/>
      <c r="FC326" s="420"/>
      <c r="FD326" s="420"/>
      <c r="FE326" s="420"/>
      <c r="FF326" s="419"/>
      <c r="FG326" s="420"/>
      <c r="FH326" s="419"/>
      <c r="FI326" s="419"/>
      <c r="FJ326" s="419"/>
      <c r="FK326" s="419"/>
      <c r="FL326" s="419"/>
      <c r="FM326" s="419"/>
      <c r="FN326" s="420"/>
      <c r="FO326" s="423"/>
      <c r="FP326" s="431"/>
      <c r="FQ326" s="431"/>
      <c r="FR326" s="431"/>
      <c r="FS326" s="420"/>
      <c r="FT326" s="420"/>
      <c r="FU326" s="419"/>
      <c r="FV326" s="419"/>
      <c r="FW326" s="419"/>
      <c r="FX326" s="420"/>
      <c r="FY326" s="420"/>
      <c r="FZ326" s="419"/>
      <c r="GA326" s="419"/>
      <c r="GB326" s="419"/>
      <c r="GC326" s="420"/>
      <c r="GD326" s="420"/>
      <c r="GE326" s="419"/>
      <c r="GF326" s="419"/>
      <c r="GG326" s="419"/>
      <c r="GH326" s="420"/>
      <c r="GI326" s="423"/>
      <c r="GJ326" s="419"/>
      <c r="GK326" s="419"/>
      <c r="GL326" s="419"/>
      <c r="GM326" s="420"/>
      <c r="GN326" s="420"/>
      <c r="GO326" s="419">
        <v>26428830.260000002</v>
      </c>
      <c r="GP326" s="419"/>
      <c r="GQ326" s="419">
        <v>3435747.96</v>
      </c>
      <c r="GR326" s="420">
        <f t="shared" si="268"/>
        <v>26428830.461538501</v>
      </c>
      <c r="GS326" s="423">
        <f t="shared" si="265"/>
        <v>0.20153845846653001</v>
      </c>
      <c r="GT326" s="419">
        <v>11582904.720000001</v>
      </c>
      <c r="GU326" s="419">
        <v>38011734.979999997</v>
      </c>
      <c r="GV326" s="419">
        <v>1505777.56</v>
      </c>
      <c r="GW326" s="420">
        <f t="shared" si="266"/>
        <v>11582904.310000001</v>
      </c>
      <c r="GX326" s="420">
        <f t="shared" si="267"/>
        <v>-0.410000000149012</v>
      </c>
    </row>
    <row r="327" spans="1:206" ht="13.5" customHeight="1">
      <c r="A327" s="414"/>
      <c r="B327" s="415"/>
      <c r="C327" s="698"/>
      <c r="D327" s="467" t="s">
        <v>671</v>
      </c>
      <c r="E327" s="434" t="s">
        <v>604</v>
      </c>
      <c r="F327" s="417">
        <v>0.13</v>
      </c>
      <c r="G327" s="418">
        <f t="shared" si="263"/>
        <v>14468879.859999999</v>
      </c>
      <c r="H327" s="418">
        <f t="shared" si="264"/>
        <v>0</v>
      </c>
      <c r="I327" s="418">
        <f t="shared" si="264"/>
        <v>1880954.38</v>
      </c>
      <c r="J327" s="418">
        <f t="shared" si="252"/>
        <v>14468879.846153799</v>
      </c>
      <c r="K327" s="418">
        <f t="shared" si="250"/>
        <v>14468879.846153799</v>
      </c>
      <c r="L327" s="418">
        <f t="shared" si="218"/>
        <v>-1.38461533933878E-2</v>
      </c>
      <c r="M327" s="424"/>
      <c r="N327" s="424"/>
      <c r="O327" s="424"/>
      <c r="P327" s="424"/>
      <c r="Q327" s="419"/>
      <c r="R327" s="419"/>
      <c r="S327" s="419"/>
      <c r="T327" s="420"/>
      <c r="U327" s="423"/>
      <c r="V327" s="420"/>
      <c r="W327" s="420"/>
      <c r="X327" s="419"/>
      <c r="Y327" s="419"/>
      <c r="Z327" s="423"/>
      <c r="AA327" s="423"/>
      <c r="AB327" s="419"/>
      <c r="AC327" s="419"/>
      <c r="AD327" s="420"/>
      <c r="AE327" s="423"/>
      <c r="AF327" s="419"/>
      <c r="AG327" s="419"/>
      <c r="AH327" s="419"/>
      <c r="AI327" s="420"/>
      <c r="AJ327" s="423"/>
      <c r="AK327" s="419"/>
      <c r="AL327" s="420"/>
      <c r="AM327" s="419"/>
      <c r="AN327" s="420"/>
      <c r="AO327" s="423"/>
      <c r="AP327" s="419"/>
      <c r="AQ327" s="419"/>
      <c r="AR327" s="420"/>
      <c r="AS327" s="420"/>
      <c r="AT327" s="420"/>
      <c r="AU327" s="420"/>
      <c r="AV327" s="420"/>
      <c r="AW327" s="420"/>
      <c r="AX327" s="426"/>
      <c r="AY327" s="420"/>
      <c r="AZ327" s="420"/>
      <c r="BA327" s="420"/>
      <c r="BB327" s="419"/>
      <c r="BC327" s="420"/>
      <c r="BD327" s="427"/>
      <c r="BE327" s="420"/>
      <c r="BF327" s="420"/>
      <c r="BG327" s="420"/>
      <c r="BH327" s="423"/>
      <c r="BI327" s="420"/>
      <c r="BJ327" s="420"/>
      <c r="BK327" s="420"/>
      <c r="BL327" s="420"/>
      <c r="BM327" s="420"/>
      <c r="BN327" s="420"/>
      <c r="BO327" s="420"/>
      <c r="BP327" s="429"/>
      <c r="BQ327" s="420"/>
      <c r="BR327" s="423"/>
      <c r="BS327" s="423"/>
      <c r="BT327" s="420"/>
      <c r="BU327" s="420"/>
      <c r="BV327" s="420"/>
      <c r="BW327" s="420"/>
      <c r="BX327" s="429"/>
      <c r="BY327" s="419"/>
      <c r="BZ327" s="419"/>
      <c r="CA327" s="419"/>
      <c r="CB327" s="420"/>
      <c r="CC327" s="430"/>
      <c r="CD327" s="419"/>
      <c r="CE327" s="419"/>
      <c r="CF327" s="419"/>
      <c r="CG327" s="420"/>
      <c r="CH327" s="423"/>
      <c r="CI327" s="431"/>
      <c r="CJ327" s="431"/>
      <c r="CK327" s="431"/>
      <c r="CL327" s="420"/>
      <c r="CM327" s="423"/>
      <c r="CN327" s="420"/>
      <c r="CO327" s="420"/>
      <c r="CP327" s="420"/>
      <c r="CQ327" s="432"/>
      <c r="CR327" s="432"/>
      <c r="CS327" s="420"/>
      <c r="CT327" s="420"/>
      <c r="CU327" s="420"/>
      <c r="CV327" s="420"/>
      <c r="CW327" s="420"/>
      <c r="CX327" s="419"/>
      <c r="CY327" s="419"/>
      <c r="CZ327" s="419"/>
      <c r="DA327" s="419"/>
      <c r="DB327" s="419"/>
      <c r="DC327" s="419"/>
      <c r="DD327" s="419"/>
      <c r="DE327" s="419"/>
      <c r="DF327" s="420"/>
      <c r="DG327" s="421"/>
      <c r="DH327" s="419"/>
      <c r="DI327" s="419"/>
      <c r="DJ327" s="419"/>
      <c r="DK327" s="420"/>
      <c r="DL327" s="422"/>
      <c r="DM327" s="420"/>
      <c r="DN327" s="420"/>
      <c r="DO327" s="420"/>
      <c r="DP327" s="420"/>
      <c r="DQ327" s="420"/>
      <c r="DR327" s="419"/>
      <c r="DS327" s="419"/>
      <c r="DT327" s="419"/>
      <c r="DU327" s="420"/>
      <c r="DV327" s="423"/>
      <c r="DW327" s="419"/>
      <c r="DX327" s="419"/>
      <c r="DY327" s="419"/>
      <c r="DZ327" s="420"/>
      <c r="EA327" s="423"/>
      <c r="EB327" s="419"/>
      <c r="EC327" s="419"/>
      <c r="ED327" s="420"/>
      <c r="EE327" s="419"/>
      <c r="EF327" s="420"/>
      <c r="EG327" s="419"/>
      <c r="EH327" s="419"/>
      <c r="EI327" s="419"/>
      <c r="EJ327" s="420"/>
      <c r="EK327" s="420"/>
      <c r="EL327" s="419"/>
      <c r="EM327" s="419"/>
      <c r="EN327" s="419"/>
      <c r="EO327" s="419"/>
      <c r="EP327" s="419"/>
      <c r="EQ327" s="420"/>
      <c r="ER327" s="420"/>
      <c r="ES327" s="420"/>
      <c r="ET327" s="419"/>
      <c r="EU327" s="419"/>
      <c r="EV327" s="455"/>
      <c r="EW327" s="455"/>
      <c r="EX327" s="455"/>
      <c r="EY327" s="419"/>
      <c r="EZ327" s="419"/>
      <c r="FA327" s="420"/>
      <c r="FB327" s="420"/>
      <c r="FC327" s="420"/>
      <c r="FD327" s="420"/>
      <c r="FE327" s="420"/>
      <c r="FF327" s="419"/>
      <c r="FG327" s="420"/>
      <c r="FH327" s="419"/>
      <c r="FI327" s="419"/>
      <c r="FJ327" s="419"/>
      <c r="FK327" s="419"/>
      <c r="FL327" s="419"/>
      <c r="FM327" s="419"/>
      <c r="FN327" s="420"/>
      <c r="FO327" s="423"/>
      <c r="FP327" s="431"/>
      <c r="FQ327" s="431"/>
      <c r="FR327" s="431"/>
      <c r="FS327" s="420"/>
      <c r="FT327" s="420"/>
      <c r="FU327" s="419"/>
      <c r="FV327" s="419"/>
      <c r="FW327" s="419"/>
      <c r="FX327" s="420"/>
      <c r="FY327" s="420"/>
      <c r="FZ327" s="419"/>
      <c r="GA327" s="419"/>
      <c r="GB327" s="419"/>
      <c r="GC327" s="420"/>
      <c r="GD327" s="420"/>
      <c r="GE327" s="419"/>
      <c r="GF327" s="419"/>
      <c r="GG327" s="419"/>
      <c r="GH327" s="420"/>
      <c r="GI327" s="423"/>
      <c r="GJ327" s="419"/>
      <c r="GK327" s="419"/>
      <c r="GL327" s="419"/>
      <c r="GM327" s="420"/>
      <c r="GN327" s="420"/>
      <c r="GO327" s="419">
        <v>8564166.1099999994</v>
      </c>
      <c r="GP327" s="419"/>
      <c r="GQ327" s="419">
        <v>1113341.5900000001</v>
      </c>
      <c r="GR327" s="420">
        <f t="shared" si="268"/>
        <v>8564166.0769230798</v>
      </c>
      <c r="GS327" s="423">
        <f t="shared" si="265"/>
        <v>-3.3076921477913898E-2</v>
      </c>
      <c r="GT327" s="419">
        <v>5904713.75</v>
      </c>
      <c r="GU327" s="419"/>
      <c r="GV327" s="419">
        <v>767612.79</v>
      </c>
      <c r="GW327" s="420">
        <f t="shared" si="266"/>
        <v>5904713.7699999996</v>
      </c>
      <c r="GX327" s="420">
        <f t="shared" si="267"/>
        <v>1.9999999552965199E-2</v>
      </c>
    </row>
    <row r="328" spans="1:206" ht="13.5" customHeight="1">
      <c r="A328" s="414"/>
      <c r="B328" s="415"/>
      <c r="C328" s="698"/>
      <c r="D328" s="467" t="s">
        <v>672</v>
      </c>
      <c r="E328" s="434" t="s">
        <v>604</v>
      </c>
      <c r="F328" s="417">
        <v>0.13</v>
      </c>
      <c r="G328" s="418">
        <f t="shared" si="263"/>
        <v>690201.76</v>
      </c>
      <c r="H328" s="418">
        <f t="shared" si="264"/>
        <v>0</v>
      </c>
      <c r="I328" s="418">
        <f t="shared" si="264"/>
        <v>89726.23</v>
      </c>
      <c r="J328" s="418">
        <f t="shared" si="252"/>
        <v>690201.76923076902</v>
      </c>
      <c r="K328" s="418">
        <f t="shared" si="250"/>
        <v>690201.76923076902</v>
      </c>
      <c r="L328" s="418">
        <f t="shared" si="218"/>
        <v>9.2307691229507292E-3</v>
      </c>
      <c r="M328" s="424"/>
      <c r="N328" s="424"/>
      <c r="O328" s="424"/>
      <c r="P328" s="424"/>
      <c r="Q328" s="419"/>
      <c r="R328" s="419"/>
      <c r="S328" s="419"/>
      <c r="T328" s="420"/>
      <c r="U328" s="423"/>
      <c r="V328" s="420"/>
      <c r="W328" s="420"/>
      <c r="X328" s="419"/>
      <c r="Y328" s="419"/>
      <c r="Z328" s="423"/>
      <c r="AA328" s="423"/>
      <c r="AB328" s="419"/>
      <c r="AC328" s="419"/>
      <c r="AD328" s="420"/>
      <c r="AE328" s="423"/>
      <c r="AF328" s="419"/>
      <c r="AG328" s="419"/>
      <c r="AH328" s="419"/>
      <c r="AI328" s="420"/>
      <c r="AJ328" s="423"/>
      <c r="AK328" s="419"/>
      <c r="AL328" s="420"/>
      <c r="AM328" s="419"/>
      <c r="AN328" s="420"/>
      <c r="AO328" s="423"/>
      <c r="AP328" s="419"/>
      <c r="AQ328" s="419"/>
      <c r="AR328" s="420"/>
      <c r="AS328" s="420"/>
      <c r="AT328" s="420"/>
      <c r="AU328" s="420"/>
      <c r="AV328" s="420"/>
      <c r="AW328" s="420"/>
      <c r="AX328" s="426"/>
      <c r="AY328" s="420"/>
      <c r="AZ328" s="420"/>
      <c r="BA328" s="420"/>
      <c r="BB328" s="419"/>
      <c r="BC328" s="420"/>
      <c r="BD328" s="427"/>
      <c r="BE328" s="420"/>
      <c r="BF328" s="420"/>
      <c r="BG328" s="420"/>
      <c r="BH328" s="423"/>
      <c r="BI328" s="420"/>
      <c r="BJ328" s="420"/>
      <c r="BK328" s="420"/>
      <c r="BL328" s="420"/>
      <c r="BM328" s="420"/>
      <c r="BN328" s="420"/>
      <c r="BO328" s="420"/>
      <c r="BP328" s="429"/>
      <c r="BQ328" s="420"/>
      <c r="BR328" s="423"/>
      <c r="BS328" s="423"/>
      <c r="BT328" s="420"/>
      <c r="BU328" s="420"/>
      <c r="BV328" s="420"/>
      <c r="BW328" s="420"/>
      <c r="BX328" s="429"/>
      <c r="BY328" s="419"/>
      <c r="BZ328" s="419"/>
      <c r="CA328" s="419"/>
      <c r="CB328" s="420"/>
      <c r="CC328" s="430"/>
      <c r="CD328" s="419"/>
      <c r="CE328" s="419"/>
      <c r="CF328" s="419"/>
      <c r="CG328" s="420"/>
      <c r="CH328" s="423"/>
      <c r="CI328" s="431"/>
      <c r="CJ328" s="431"/>
      <c r="CK328" s="431"/>
      <c r="CL328" s="420"/>
      <c r="CM328" s="423"/>
      <c r="CN328" s="420"/>
      <c r="CO328" s="420"/>
      <c r="CP328" s="420"/>
      <c r="CQ328" s="432"/>
      <c r="CR328" s="432"/>
      <c r="CS328" s="420"/>
      <c r="CT328" s="420"/>
      <c r="CU328" s="420"/>
      <c r="CV328" s="420"/>
      <c r="CW328" s="420"/>
      <c r="CX328" s="419"/>
      <c r="CY328" s="419"/>
      <c r="CZ328" s="419"/>
      <c r="DA328" s="419"/>
      <c r="DB328" s="419"/>
      <c r="DC328" s="419"/>
      <c r="DD328" s="419"/>
      <c r="DE328" s="419"/>
      <c r="DF328" s="420"/>
      <c r="DG328" s="421"/>
      <c r="DH328" s="419"/>
      <c r="DI328" s="419"/>
      <c r="DJ328" s="419"/>
      <c r="DK328" s="420"/>
      <c r="DL328" s="422"/>
      <c r="DM328" s="420"/>
      <c r="DN328" s="420"/>
      <c r="DO328" s="420"/>
      <c r="DP328" s="420"/>
      <c r="DQ328" s="420"/>
      <c r="DR328" s="419"/>
      <c r="DS328" s="419"/>
      <c r="DT328" s="419"/>
      <c r="DU328" s="420"/>
      <c r="DV328" s="423"/>
      <c r="DW328" s="419"/>
      <c r="DX328" s="419"/>
      <c r="DY328" s="419"/>
      <c r="DZ328" s="420"/>
      <c r="EA328" s="423"/>
      <c r="EB328" s="419"/>
      <c r="EC328" s="419"/>
      <c r="ED328" s="420"/>
      <c r="EE328" s="419"/>
      <c r="EF328" s="420"/>
      <c r="EG328" s="419"/>
      <c r="EH328" s="419"/>
      <c r="EI328" s="419"/>
      <c r="EJ328" s="420"/>
      <c r="EK328" s="420"/>
      <c r="EL328" s="419"/>
      <c r="EM328" s="419"/>
      <c r="EN328" s="419"/>
      <c r="EO328" s="419"/>
      <c r="EP328" s="419"/>
      <c r="EQ328" s="420"/>
      <c r="ER328" s="420"/>
      <c r="ES328" s="420"/>
      <c r="ET328" s="419"/>
      <c r="EU328" s="419"/>
      <c r="EV328" s="455"/>
      <c r="EW328" s="455"/>
      <c r="EX328" s="455"/>
      <c r="EY328" s="419"/>
      <c r="EZ328" s="419"/>
      <c r="FA328" s="420"/>
      <c r="FB328" s="420"/>
      <c r="FC328" s="420"/>
      <c r="FD328" s="420"/>
      <c r="FE328" s="420"/>
      <c r="FF328" s="419"/>
      <c r="FG328" s="420"/>
      <c r="FH328" s="419"/>
      <c r="FI328" s="419"/>
      <c r="FJ328" s="419"/>
      <c r="FK328" s="419"/>
      <c r="FL328" s="419"/>
      <c r="FM328" s="419"/>
      <c r="FN328" s="420"/>
      <c r="FO328" s="423"/>
      <c r="FP328" s="431"/>
      <c r="FQ328" s="431"/>
      <c r="FR328" s="431"/>
      <c r="FS328" s="420"/>
      <c r="FT328" s="420"/>
      <c r="FU328" s="419"/>
      <c r="FV328" s="419"/>
      <c r="FW328" s="419"/>
      <c r="FX328" s="420"/>
      <c r="FY328" s="420"/>
      <c r="FZ328" s="419"/>
      <c r="GA328" s="419"/>
      <c r="GB328" s="419"/>
      <c r="GC328" s="420"/>
      <c r="GD328" s="420"/>
      <c r="GE328" s="419"/>
      <c r="GF328" s="419"/>
      <c r="GG328" s="419"/>
      <c r="GH328" s="420"/>
      <c r="GI328" s="423"/>
      <c r="GJ328" s="419"/>
      <c r="GK328" s="419"/>
      <c r="GL328" s="419"/>
      <c r="GM328" s="420"/>
      <c r="GN328" s="420"/>
      <c r="GO328" s="419">
        <v>690201.76</v>
      </c>
      <c r="GP328" s="419"/>
      <c r="GQ328" s="419">
        <v>89726.23</v>
      </c>
      <c r="GR328" s="420">
        <f t="shared" si="268"/>
        <v>690201.76923076902</v>
      </c>
      <c r="GS328" s="423">
        <f t="shared" si="265"/>
        <v>9.2307691229507292E-3</v>
      </c>
      <c r="GT328" s="419"/>
      <c r="GU328" s="419"/>
      <c r="GV328" s="419"/>
      <c r="GW328" s="420">
        <f t="shared" si="266"/>
        <v>0</v>
      </c>
      <c r="GX328" s="420">
        <f t="shared" si="267"/>
        <v>0</v>
      </c>
    </row>
    <row r="329" spans="1:206" ht="13.5" customHeight="1">
      <c r="A329" s="414"/>
      <c r="B329" s="415"/>
      <c r="C329" s="698"/>
      <c r="D329" s="467" t="s">
        <v>673</v>
      </c>
      <c r="E329" s="434" t="s">
        <v>604</v>
      </c>
      <c r="F329" s="417">
        <v>0.13</v>
      </c>
      <c r="G329" s="418">
        <f t="shared" si="263"/>
        <v>10447801.4</v>
      </c>
      <c r="H329" s="418">
        <f t="shared" si="264"/>
        <v>10447801.4</v>
      </c>
      <c r="I329" s="418">
        <f t="shared" si="264"/>
        <v>1358214.16</v>
      </c>
      <c r="J329" s="418">
        <f t="shared" si="252"/>
        <v>10447801.2307692</v>
      </c>
      <c r="K329" s="418">
        <f t="shared" si="250"/>
        <v>-0.16923077031969999</v>
      </c>
      <c r="L329" s="418">
        <f t="shared" si="218"/>
        <v>-0.16923077031969999</v>
      </c>
      <c r="M329" s="424"/>
      <c r="N329" s="424"/>
      <c r="O329" s="424"/>
      <c r="P329" s="424"/>
      <c r="Q329" s="419"/>
      <c r="R329" s="419"/>
      <c r="S329" s="419"/>
      <c r="T329" s="420"/>
      <c r="U329" s="423"/>
      <c r="V329" s="420"/>
      <c r="W329" s="420"/>
      <c r="X329" s="419"/>
      <c r="Y329" s="419"/>
      <c r="Z329" s="423"/>
      <c r="AA329" s="423"/>
      <c r="AB329" s="419"/>
      <c r="AC329" s="419"/>
      <c r="AD329" s="420"/>
      <c r="AE329" s="423"/>
      <c r="AF329" s="419"/>
      <c r="AG329" s="419"/>
      <c r="AH329" s="419"/>
      <c r="AI329" s="420"/>
      <c r="AJ329" s="423"/>
      <c r="AK329" s="419"/>
      <c r="AL329" s="420"/>
      <c r="AM329" s="419"/>
      <c r="AN329" s="420"/>
      <c r="AO329" s="423"/>
      <c r="AP329" s="419"/>
      <c r="AQ329" s="419"/>
      <c r="AR329" s="420"/>
      <c r="AS329" s="420"/>
      <c r="AT329" s="420"/>
      <c r="AU329" s="420"/>
      <c r="AV329" s="420"/>
      <c r="AW329" s="420"/>
      <c r="AX329" s="426"/>
      <c r="AY329" s="420"/>
      <c r="AZ329" s="420"/>
      <c r="BA329" s="420"/>
      <c r="BB329" s="419"/>
      <c r="BC329" s="420"/>
      <c r="BD329" s="427"/>
      <c r="BE329" s="420"/>
      <c r="BF329" s="420"/>
      <c r="BG329" s="420"/>
      <c r="BH329" s="423"/>
      <c r="BI329" s="420"/>
      <c r="BJ329" s="420"/>
      <c r="BK329" s="420"/>
      <c r="BL329" s="420"/>
      <c r="BM329" s="420"/>
      <c r="BN329" s="420"/>
      <c r="BO329" s="420"/>
      <c r="BP329" s="429"/>
      <c r="BQ329" s="420"/>
      <c r="BR329" s="423"/>
      <c r="BS329" s="423"/>
      <c r="BT329" s="420"/>
      <c r="BU329" s="420"/>
      <c r="BV329" s="420"/>
      <c r="BW329" s="420"/>
      <c r="BX329" s="429"/>
      <c r="BY329" s="419"/>
      <c r="BZ329" s="419"/>
      <c r="CA329" s="419"/>
      <c r="CB329" s="420"/>
      <c r="CC329" s="430"/>
      <c r="CD329" s="419"/>
      <c r="CE329" s="419"/>
      <c r="CF329" s="419"/>
      <c r="CG329" s="420"/>
      <c r="CH329" s="423"/>
      <c r="CI329" s="431"/>
      <c r="CJ329" s="431"/>
      <c r="CK329" s="431"/>
      <c r="CL329" s="420"/>
      <c r="CM329" s="423"/>
      <c r="CN329" s="420"/>
      <c r="CO329" s="420"/>
      <c r="CP329" s="420"/>
      <c r="CQ329" s="432"/>
      <c r="CR329" s="432"/>
      <c r="CS329" s="420"/>
      <c r="CT329" s="420"/>
      <c r="CU329" s="420"/>
      <c r="CV329" s="420"/>
      <c r="CW329" s="420"/>
      <c r="CX329" s="419"/>
      <c r="CY329" s="419"/>
      <c r="CZ329" s="419"/>
      <c r="DA329" s="419"/>
      <c r="DB329" s="419"/>
      <c r="DC329" s="419"/>
      <c r="DD329" s="419"/>
      <c r="DE329" s="419"/>
      <c r="DF329" s="420"/>
      <c r="DG329" s="421"/>
      <c r="DH329" s="419"/>
      <c r="DI329" s="419"/>
      <c r="DJ329" s="419"/>
      <c r="DK329" s="420"/>
      <c r="DL329" s="422"/>
      <c r="DM329" s="420"/>
      <c r="DN329" s="420"/>
      <c r="DO329" s="420"/>
      <c r="DP329" s="420"/>
      <c r="DQ329" s="420"/>
      <c r="DR329" s="419"/>
      <c r="DS329" s="419"/>
      <c r="DT329" s="419"/>
      <c r="DU329" s="420"/>
      <c r="DV329" s="423"/>
      <c r="DW329" s="419"/>
      <c r="DX329" s="419"/>
      <c r="DY329" s="419"/>
      <c r="DZ329" s="420"/>
      <c r="EA329" s="423"/>
      <c r="EB329" s="419"/>
      <c r="EC329" s="419"/>
      <c r="ED329" s="420"/>
      <c r="EE329" s="419"/>
      <c r="EF329" s="420"/>
      <c r="EG329" s="419"/>
      <c r="EH329" s="419"/>
      <c r="EI329" s="419"/>
      <c r="EJ329" s="420"/>
      <c r="EK329" s="420"/>
      <c r="EL329" s="419"/>
      <c r="EM329" s="419"/>
      <c r="EN329" s="419"/>
      <c r="EO329" s="419"/>
      <c r="EP329" s="419"/>
      <c r="EQ329" s="420"/>
      <c r="ER329" s="420"/>
      <c r="ES329" s="420"/>
      <c r="ET329" s="419"/>
      <c r="EU329" s="419"/>
      <c r="EV329" s="455"/>
      <c r="EW329" s="455"/>
      <c r="EX329" s="455"/>
      <c r="EY329" s="419"/>
      <c r="EZ329" s="419"/>
      <c r="FA329" s="420"/>
      <c r="FB329" s="420"/>
      <c r="FC329" s="420"/>
      <c r="FD329" s="420"/>
      <c r="FE329" s="420"/>
      <c r="FF329" s="419"/>
      <c r="FG329" s="420"/>
      <c r="FH329" s="419"/>
      <c r="FI329" s="419"/>
      <c r="FJ329" s="419"/>
      <c r="FK329" s="419"/>
      <c r="FL329" s="419"/>
      <c r="FM329" s="419"/>
      <c r="FN329" s="420"/>
      <c r="FO329" s="423"/>
      <c r="FP329" s="431"/>
      <c r="FQ329" s="431"/>
      <c r="FR329" s="431"/>
      <c r="FS329" s="420"/>
      <c r="FT329" s="420"/>
      <c r="FU329" s="419"/>
      <c r="FV329" s="419"/>
      <c r="FW329" s="419"/>
      <c r="FX329" s="420"/>
      <c r="FY329" s="420"/>
      <c r="FZ329" s="419"/>
      <c r="GA329" s="419"/>
      <c r="GB329" s="419"/>
      <c r="GC329" s="420"/>
      <c r="GD329" s="420"/>
      <c r="GE329" s="419"/>
      <c r="GF329" s="419"/>
      <c r="GG329" s="419"/>
      <c r="GH329" s="420"/>
      <c r="GI329" s="423"/>
      <c r="GJ329" s="419"/>
      <c r="GK329" s="419"/>
      <c r="GL329" s="419"/>
      <c r="GM329" s="420"/>
      <c r="GN329" s="420"/>
      <c r="GO329" s="419">
        <v>10447801.4</v>
      </c>
      <c r="GP329" s="420">
        <v>10447801.4</v>
      </c>
      <c r="GQ329" s="419">
        <v>1358214.16</v>
      </c>
      <c r="GR329" s="420">
        <f t="shared" si="268"/>
        <v>10447801.2307692</v>
      </c>
      <c r="GS329" s="423">
        <f t="shared" si="265"/>
        <v>-0.16923077031969999</v>
      </c>
      <c r="GT329" s="419"/>
      <c r="GU329" s="419"/>
      <c r="GV329" s="419"/>
      <c r="GW329" s="420">
        <f t="shared" si="266"/>
        <v>0</v>
      </c>
      <c r="GX329" s="420">
        <f t="shared" si="267"/>
        <v>0</v>
      </c>
    </row>
    <row r="330" spans="1:206" ht="13.5" customHeight="1">
      <c r="A330" s="414"/>
      <c r="B330" s="415"/>
      <c r="C330" s="698"/>
      <c r="D330" s="467" t="s">
        <v>674</v>
      </c>
      <c r="E330" s="434" t="s">
        <v>604</v>
      </c>
      <c r="F330" s="417">
        <v>0.13</v>
      </c>
      <c r="G330" s="418">
        <f t="shared" si="263"/>
        <v>3368199.73</v>
      </c>
      <c r="H330" s="418">
        <f t="shared" si="264"/>
        <v>7306260.6900000004</v>
      </c>
      <c r="I330" s="418">
        <f t="shared" si="264"/>
        <v>437865.95</v>
      </c>
      <c r="J330" s="418">
        <f t="shared" si="252"/>
        <v>3368199.6153846201</v>
      </c>
      <c r="K330" s="418">
        <f t="shared" si="250"/>
        <v>-3938061.0746153798</v>
      </c>
      <c r="L330" s="418">
        <f t="shared" si="218"/>
        <v>-0.11461538448929801</v>
      </c>
      <c r="M330" s="424"/>
      <c r="N330" s="424"/>
      <c r="O330" s="424"/>
      <c r="P330" s="424"/>
      <c r="Q330" s="419"/>
      <c r="R330" s="419"/>
      <c r="S330" s="419"/>
      <c r="T330" s="420"/>
      <c r="U330" s="423"/>
      <c r="V330" s="420"/>
      <c r="W330" s="420"/>
      <c r="X330" s="419"/>
      <c r="Y330" s="419"/>
      <c r="Z330" s="423"/>
      <c r="AA330" s="423"/>
      <c r="AB330" s="419"/>
      <c r="AC330" s="419"/>
      <c r="AD330" s="420"/>
      <c r="AE330" s="423"/>
      <c r="AF330" s="419"/>
      <c r="AG330" s="419"/>
      <c r="AH330" s="419"/>
      <c r="AI330" s="420"/>
      <c r="AJ330" s="423"/>
      <c r="AK330" s="419"/>
      <c r="AL330" s="420"/>
      <c r="AM330" s="419"/>
      <c r="AN330" s="420"/>
      <c r="AO330" s="423"/>
      <c r="AP330" s="419"/>
      <c r="AQ330" s="419"/>
      <c r="AR330" s="420"/>
      <c r="AS330" s="420"/>
      <c r="AT330" s="420"/>
      <c r="AU330" s="420"/>
      <c r="AV330" s="420"/>
      <c r="AW330" s="420"/>
      <c r="AX330" s="426"/>
      <c r="AY330" s="420"/>
      <c r="AZ330" s="420"/>
      <c r="BA330" s="420"/>
      <c r="BB330" s="419"/>
      <c r="BC330" s="420"/>
      <c r="BD330" s="427"/>
      <c r="BE330" s="420"/>
      <c r="BF330" s="420"/>
      <c r="BG330" s="420"/>
      <c r="BH330" s="423"/>
      <c r="BI330" s="420"/>
      <c r="BJ330" s="420"/>
      <c r="BK330" s="420"/>
      <c r="BL330" s="420"/>
      <c r="BM330" s="420"/>
      <c r="BN330" s="420"/>
      <c r="BO330" s="420"/>
      <c r="BP330" s="429"/>
      <c r="BQ330" s="420"/>
      <c r="BR330" s="423"/>
      <c r="BS330" s="423"/>
      <c r="BT330" s="420"/>
      <c r="BU330" s="420"/>
      <c r="BV330" s="420"/>
      <c r="BW330" s="420"/>
      <c r="BX330" s="429"/>
      <c r="BY330" s="419"/>
      <c r="BZ330" s="419"/>
      <c r="CA330" s="419"/>
      <c r="CB330" s="420"/>
      <c r="CC330" s="430"/>
      <c r="CD330" s="419"/>
      <c r="CE330" s="419"/>
      <c r="CF330" s="419"/>
      <c r="CG330" s="420"/>
      <c r="CH330" s="423"/>
      <c r="CI330" s="431"/>
      <c r="CJ330" s="431"/>
      <c r="CK330" s="431"/>
      <c r="CL330" s="420"/>
      <c r="CM330" s="423"/>
      <c r="CN330" s="420"/>
      <c r="CO330" s="420"/>
      <c r="CP330" s="420"/>
      <c r="CQ330" s="432"/>
      <c r="CR330" s="432"/>
      <c r="CS330" s="420"/>
      <c r="CT330" s="420"/>
      <c r="CU330" s="420"/>
      <c r="CV330" s="420"/>
      <c r="CW330" s="420"/>
      <c r="CX330" s="419"/>
      <c r="CY330" s="419"/>
      <c r="CZ330" s="419"/>
      <c r="DA330" s="419"/>
      <c r="DB330" s="419"/>
      <c r="DC330" s="419"/>
      <c r="DD330" s="419"/>
      <c r="DE330" s="419"/>
      <c r="DF330" s="420"/>
      <c r="DG330" s="421"/>
      <c r="DH330" s="419"/>
      <c r="DI330" s="419"/>
      <c r="DJ330" s="419"/>
      <c r="DK330" s="420"/>
      <c r="DL330" s="422"/>
      <c r="DM330" s="420"/>
      <c r="DN330" s="420"/>
      <c r="DO330" s="420"/>
      <c r="DP330" s="420"/>
      <c r="DQ330" s="420"/>
      <c r="DR330" s="419"/>
      <c r="DS330" s="419"/>
      <c r="DT330" s="419"/>
      <c r="DU330" s="420"/>
      <c r="DV330" s="423"/>
      <c r="DW330" s="419"/>
      <c r="DX330" s="419"/>
      <c r="DY330" s="419"/>
      <c r="DZ330" s="420"/>
      <c r="EA330" s="423"/>
      <c r="EB330" s="419"/>
      <c r="EC330" s="419"/>
      <c r="ED330" s="420"/>
      <c r="EE330" s="419"/>
      <c r="EF330" s="420"/>
      <c r="EG330" s="419"/>
      <c r="EH330" s="419"/>
      <c r="EI330" s="419"/>
      <c r="EJ330" s="420"/>
      <c r="EK330" s="420"/>
      <c r="EL330" s="419"/>
      <c r="EM330" s="419"/>
      <c r="EN330" s="419"/>
      <c r="EO330" s="419"/>
      <c r="EP330" s="419"/>
      <c r="EQ330" s="420"/>
      <c r="ER330" s="420"/>
      <c r="ES330" s="420"/>
      <c r="ET330" s="419"/>
      <c r="EU330" s="419"/>
      <c r="EV330" s="455"/>
      <c r="EW330" s="455"/>
      <c r="EX330" s="455"/>
      <c r="EY330" s="419"/>
      <c r="EZ330" s="419"/>
      <c r="FA330" s="420"/>
      <c r="FB330" s="420"/>
      <c r="FC330" s="420"/>
      <c r="FD330" s="420"/>
      <c r="FE330" s="420"/>
      <c r="FF330" s="419"/>
      <c r="FG330" s="420"/>
      <c r="FH330" s="419"/>
      <c r="FI330" s="419"/>
      <c r="FJ330" s="419"/>
      <c r="FK330" s="419"/>
      <c r="FL330" s="419"/>
      <c r="FM330" s="419"/>
      <c r="FN330" s="420"/>
      <c r="FO330" s="423"/>
      <c r="FP330" s="431"/>
      <c r="FQ330" s="431"/>
      <c r="FR330" s="431"/>
      <c r="FS330" s="420"/>
      <c r="FT330" s="420"/>
      <c r="FU330" s="419"/>
      <c r="FV330" s="419"/>
      <c r="FW330" s="419"/>
      <c r="FX330" s="420"/>
      <c r="FY330" s="420"/>
      <c r="FZ330" s="419"/>
      <c r="GA330" s="419"/>
      <c r="GB330" s="419"/>
      <c r="GC330" s="420"/>
      <c r="GD330" s="420"/>
      <c r="GE330" s="419"/>
      <c r="GF330" s="419"/>
      <c r="GG330" s="419"/>
      <c r="GH330" s="420"/>
      <c r="GI330" s="423"/>
      <c r="GJ330" s="419"/>
      <c r="GK330" s="419"/>
      <c r="GL330" s="419"/>
      <c r="GM330" s="420"/>
      <c r="GN330" s="420"/>
      <c r="GO330" s="419">
        <v>3368199.73</v>
      </c>
      <c r="GP330" s="420">
        <v>7306260.6900000004</v>
      </c>
      <c r="GQ330" s="419">
        <v>437865.95</v>
      </c>
      <c r="GR330" s="420">
        <f t="shared" si="268"/>
        <v>3368199.6153846201</v>
      </c>
      <c r="GS330" s="423">
        <f t="shared" si="265"/>
        <v>-0.11461538448929801</v>
      </c>
      <c r="GT330" s="419"/>
      <c r="GU330" s="419"/>
      <c r="GV330" s="419"/>
      <c r="GW330" s="420">
        <f t="shared" si="266"/>
        <v>0</v>
      </c>
      <c r="GX330" s="420">
        <f t="shared" si="267"/>
        <v>0</v>
      </c>
    </row>
    <row r="331" spans="1:206" ht="13.5" customHeight="1">
      <c r="A331" s="414"/>
      <c r="B331" s="415"/>
      <c r="C331" s="699"/>
      <c r="D331" s="467" t="s">
        <v>675</v>
      </c>
      <c r="E331" s="434" t="s">
        <v>604</v>
      </c>
      <c r="F331" s="417">
        <v>0.13</v>
      </c>
      <c r="G331" s="418">
        <f t="shared" si="263"/>
        <v>4320338.0199999996</v>
      </c>
      <c r="H331" s="418">
        <f t="shared" si="264"/>
        <v>0</v>
      </c>
      <c r="I331" s="418">
        <f t="shared" si="264"/>
        <v>561643.93999999994</v>
      </c>
      <c r="J331" s="418">
        <f t="shared" si="252"/>
        <v>4320338</v>
      </c>
      <c r="K331" s="418">
        <f t="shared" si="250"/>
        <v>4320338</v>
      </c>
      <c r="L331" s="418">
        <f t="shared" si="218"/>
        <v>-2.0000000484287701E-2</v>
      </c>
      <c r="M331" s="424"/>
      <c r="N331" s="424"/>
      <c r="O331" s="424"/>
      <c r="P331" s="424"/>
      <c r="Q331" s="419"/>
      <c r="R331" s="419"/>
      <c r="S331" s="419"/>
      <c r="T331" s="420"/>
      <c r="U331" s="423"/>
      <c r="V331" s="420"/>
      <c r="W331" s="420"/>
      <c r="X331" s="419"/>
      <c r="Y331" s="419"/>
      <c r="Z331" s="423"/>
      <c r="AA331" s="423"/>
      <c r="AB331" s="419"/>
      <c r="AC331" s="419"/>
      <c r="AD331" s="420"/>
      <c r="AE331" s="423"/>
      <c r="AF331" s="419"/>
      <c r="AG331" s="419"/>
      <c r="AH331" s="419"/>
      <c r="AI331" s="420"/>
      <c r="AJ331" s="423"/>
      <c r="AK331" s="419"/>
      <c r="AL331" s="420"/>
      <c r="AM331" s="419"/>
      <c r="AN331" s="420"/>
      <c r="AO331" s="423"/>
      <c r="AP331" s="419"/>
      <c r="AQ331" s="419"/>
      <c r="AR331" s="420"/>
      <c r="AS331" s="420"/>
      <c r="AT331" s="420"/>
      <c r="AU331" s="420"/>
      <c r="AV331" s="420"/>
      <c r="AW331" s="420"/>
      <c r="AX331" s="426"/>
      <c r="AY331" s="420"/>
      <c r="AZ331" s="420"/>
      <c r="BA331" s="420"/>
      <c r="BB331" s="419"/>
      <c r="BC331" s="420"/>
      <c r="BD331" s="427"/>
      <c r="BE331" s="420"/>
      <c r="BF331" s="420"/>
      <c r="BG331" s="420"/>
      <c r="BH331" s="423"/>
      <c r="BI331" s="420"/>
      <c r="BJ331" s="420"/>
      <c r="BK331" s="420"/>
      <c r="BL331" s="420"/>
      <c r="BM331" s="420"/>
      <c r="BN331" s="420"/>
      <c r="BO331" s="420"/>
      <c r="BP331" s="429"/>
      <c r="BQ331" s="420"/>
      <c r="BR331" s="423"/>
      <c r="BS331" s="423"/>
      <c r="BT331" s="420"/>
      <c r="BU331" s="420"/>
      <c r="BV331" s="420"/>
      <c r="BW331" s="420"/>
      <c r="BX331" s="429"/>
      <c r="BY331" s="419"/>
      <c r="BZ331" s="419"/>
      <c r="CA331" s="419"/>
      <c r="CB331" s="420"/>
      <c r="CC331" s="430"/>
      <c r="CD331" s="419"/>
      <c r="CE331" s="419"/>
      <c r="CF331" s="419"/>
      <c r="CG331" s="420"/>
      <c r="CH331" s="423"/>
      <c r="CI331" s="431"/>
      <c r="CJ331" s="431"/>
      <c r="CK331" s="431"/>
      <c r="CL331" s="420"/>
      <c r="CM331" s="423"/>
      <c r="CN331" s="420"/>
      <c r="CO331" s="420"/>
      <c r="CP331" s="420"/>
      <c r="CQ331" s="432"/>
      <c r="CR331" s="432"/>
      <c r="CS331" s="420"/>
      <c r="CT331" s="420"/>
      <c r="CU331" s="420"/>
      <c r="CV331" s="420"/>
      <c r="CW331" s="420"/>
      <c r="CX331" s="419"/>
      <c r="CY331" s="419"/>
      <c r="CZ331" s="419"/>
      <c r="DA331" s="419"/>
      <c r="DB331" s="419"/>
      <c r="DC331" s="419"/>
      <c r="DD331" s="419"/>
      <c r="DE331" s="419"/>
      <c r="DF331" s="420"/>
      <c r="DG331" s="421"/>
      <c r="DH331" s="419"/>
      <c r="DI331" s="419"/>
      <c r="DJ331" s="419"/>
      <c r="DK331" s="420"/>
      <c r="DL331" s="422"/>
      <c r="DM331" s="420"/>
      <c r="DN331" s="420"/>
      <c r="DO331" s="420"/>
      <c r="DP331" s="420"/>
      <c r="DQ331" s="420"/>
      <c r="DR331" s="419"/>
      <c r="DS331" s="419"/>
      <c r="DT331" s="419"/>
      <c r="DU331" s="420"/>
      <c r="DV331" s="423"/>
      <c r="DW331" s="419"/>
      <c r="DX331" s="419"/>
      <c r="DY331" s="419"/>
      <c r="DZ331" s="420"/>
      <c r="EA331" s="423"/>
      <c r="EB331" s="419"/>
      <c r="EC331" s="419"/>
      <c r="ED331" s="420"/>
      <c r="EE331" s="419"/>
      <c r="EF331" s="420"/>
      <c r="EG331" s="419"/>
      <c r="EH331" s="419"/>
      <c r="EI331" s="419"/>
      <c r="EJ331" s="420"/>
      <c r="EK331" s="420"/>
      <c r="EL331" s="419"/>
      <c r="EM331" s="419"/>
      <c r="EN331" s="419"/>
      <c r="EO331" s="419"/>
      <c r="EP331" s="419"/>
      <c r="EQ331" s="420"/>
      <c r="ER331" s="420"/>
      <c r="ES331" s="420"/>
      <c r="ET331" s="419"/>
      <c r="EU331" s="419"/>
      <c r="EV331" s="455"/>
      <c r="EW331" s="455"/>
      <c r="EX331" s="455"/>
      <c r="EY331" s="419"/>
      <c r="EZ331" s="419"/>
      <c r="FA331" s="420"/>
      <c r="FB331" s="420"/>
      <c r="FC331" s="420"/>
      <c r="FD331" s="420"/>
      <c r="FE331" s="420"/>
      <c r="FF331" s="419"/>
      <c r="FG331" s="420"/>
      <c r="FH331" s="419"/>
      <c r="FI331" s="419"/>
      <c r="FJ331" s="419"/>
      <c r="FK331" s="419"/>
      <c r="FL331" s="419"/>
      <c r="FM331" s="419"/>
      <c r="FN331" s="420"/>
      <c r="FO331" s="423"/>
      <c r="FP331" s="431"/>
      <c r="FQ331" s="431"/>
      <c r="FR331" s="431"/>
      <c r="FS331" s="420"/>
      <c r="FT331" s="420"/>
      <c r="FU331" s="419"/>
      <c r="FV331" s="419"/>
      <c r="FW331" s="419"/>
      <c r="FX331" s="420"/>
      <c r="FY331" s="420"/>
      <c r="FZ331" s="419"/>
      <c r="GA331" s="419"/>
      <c r="GB331" s="419"/>
      <c r="GC331" s="420"/>
      <c r="GD331" s="420"/>
      <c r="GE331" s="419"/>
      <c r="GF331" s="419"/>
      <c r="GG331" s="419"/>
      <c r="GH331" s="420"/>
      <c r="GI331" s="423"/>
      <c r="GJ331" s="419"/>
      <c r="GK331" s="419"/>
      <c r="GL331" s="419"/>
      <c r="GM331" s="420"/>
      <c r="GN331" s="420"/>
      <c r="GO331" s="419">
        <v>4320338.0199999996</v>
      </c>
      <c r="GP331" s="419"/>
      <c r="GQ331" s="419">
        <v>561643.93999999994</v>
      </c>
      <c r="GR331" s="420">
        <f t="shared" si="268"/>
        <v>4320338</v>
      </c>
      <c r="GS331" s="423">
        <f t="shared" si="265"/>
        <v>-2.0000000484287701E-2</v>
      </c>
      <c r="GT331" s="419"/>
      <c r="GU331" s="419"/>
      <c r="GV331" s="419"/>
      <c r="GW331" s="420">
        <f t="shared" si="266"/>
        <v>0</v>
      </c>
      <c r="GX331" s="420">
        <f t="shared" si="267"/>
        <v>0</v>
      </c>
    </row>
    <row r="332" spans="1:206" ht="15">
      <c r="A332" s="414"/>
      <c r="B332" s="415"/>
      <c r="C332" s="416" t="s">
        <v>676</v>
      </c>
      <c r="D332" s="467" t="s">
        <v>677</v>
      </c>
      <c r="E332" s="434" t="s">
        <v>676</v>
      </c>
      <c r="F332" s="417">
        <v>0.13</v>
      </c>
      <c r="G332" s="418">
        <f t="shared" si="263"/>
        <v>47365301.409999996</v>
      </c>
      <c r="H332" s="418">
        <f t="shared" si="264"/>
        <v>23253773.579999998</v>
      </c>
      <c r="I332" s="418">
        <f t="shared" si="264"/>
        <v>6157489.2300000004</v>
      </c>
      <c r="J332" s="418">
        <f t="shared" si="252"/>
        <v>47365301.769230798</v>
      </c>
      <c r="K332" s="418">
        <f t="shared" si="250"/>
        <v>24111528.1892308</v>
      </c>
      <c r="L332" s="418">
        <f t="shared" si="218"/>
        <v>0.35923076421022399</v>
      </c>
      <c r="M332" s="424"/>
      <c r="N332" s="424"/>
      <c r="O332" s="424"/>
      <c r="P332" s="424"/>
      <c r="Q332" s="419"/>
      <c r="R332" s="419"/>
      <c r="S332" s="419"/>
      <c r="T332" s="420"/>
      <c r="U332" s="423"/>
      <c r="V332" s="420"/>
      <c r="W332" s="420"/>
      <c r="X332" s="419"/>
      <c r="Y332" s="419"/>
      <c r="Z332" s="423"/>
      <c r="AA332" s="423"/>
      <c r="AB332" s="419"/>
      <c r="AC332" s="419"/>
      <c r="AD332" s="420"/>
      <c r="AE332" s="423"/>
      <c r="AF332" s="419"/>
      <c r="AG332" s="419"/>
      <c r="AH332" s="419"/>
      <c r="AI332" s="420"/>
      <c r="AJ332" s="423"/>
      <c r="AK332" s="419"/>
      <c r="AL332" s="420"/>
      <c r="AM332" s="419"/>
      <c r="AN332" s="420"/>
      <c r="AO332" s="423"/>
      <c r="AP332" s="419"/>
      <c r="AQ332" s="419"/>
      <c r="AR332" s="420"/>
      <c r="AS332" s="420"/>
      <c r="AT332" s="420"/>
      <c r="AU332" s="420"/>
      <c r="AV332" s="420"/>
      <c r="AW332" s="420"/>
      <c r="AX332" s="426"/>
      <c r="AY332" s="420"/>
      <c r="AZ332" s="420"/>
      <c r="BA332" s="420"/>
      <c r="BB332" s="419"/>
      <c r="BC332" s="420"/>
      <c r="BD332" s="427"/>
      <c r="BE332" s="420"/>
      <c r="BF332" s="420"/>
      <c r="BG332" s="420"/>
      <c r="BH332" s="423"/>
      <c r="BI332" s="420"/>
      <c r="BJ332" s="420"/>
      <c r="BK332" s="420"/>
      <c r="BL332" s="420"/>
      <c r="BM332" s="420"/>
      <c r="BN332" s="420"/>
      <c r="BO332" s="420"/>
      <c r="BP332" s="429"/>
      <c r="BQ332" s="420"/>
      <c r="BR332" s="423"/>
      <c r="BS332" s="423"/>
      <c r="BT332" s="420"/>
      <c r="BU332" s="420"/>
      <c r="BV332" s="420"/>
      <c r="BW332" s="420"/>
      <c r="BX332" s="429"/>
      <c r="BY332" s="419"/>
      <c r="BZ332" s="419"/>
      <c r="CA332" s="419"/>
      <c r="CB332" s="420"/>
      <c r="CC332" s="430"/>
      <c r="CD332" s="419"/>
      <c r="CE332" s="419"/>
      <c r="CF332" s="419"/>
      <c r="CG332" s="420"/>
      <c r="CH332" s="423"/>
      <c r="CI332" s="431"/>
      <c r="CJ332" s="431"/>
      <c r="CK332" s="431"/>
      <c r="CL332" s="420"/>
      <c r="CM332" s="423"/>
      <c r="CN332" s="420"/>
      <c r="CO332" s="420"/>
      <c r="CP332" s="420"/>
      <c r="CQ332" s="432"/>
      <c r="CR332" s="432"/>
      <c r="CS332" s="420"/>
      <c r="CT332" s="420"/>
      <c r="CU332" s="420"/>
      <c r="CV332" s="420"/>
      <c r="CW332" s="420"/>
      <c r="CX332" s="419"/>
      <c r="CY332" s="419"/>
      <c r="CZ332" s="419"/>
      <c r="DA332" s="419"/>
      <c r="DB332" s="419"/>
      <c r="DC332" s="419"/>
      <c r="DD332" s="419"/>
      <c r="DE332" s="419"/>
      <c r="DF332" s="420"/>
      <c r="DG332" s="421"/>
      <c r="DH332" s="419"/>
      <c r="DI332" s="419"/>
      <c r="DJ332" s="419"/>
      <c r="DK332" s="420"/>
      <c r="DL332" s="422"/>
      <c r="DM332" s="420"/>
      <c r="DN332" s="420"/>
      <c r="DO332" s="420"/>
      <c r="DP332" s="420"/>
      <c r="DQ332" s="420"/>
      <c r="DR332" s="419"/>
      <c r="DS332" s="419"/>
      <c r="DT332" s="419"/>
      <c r="DU332" s="420"/>
      <c r="DV332" s="423"/>
      <c r="DW332" s="419"/>
      <c r="DX332" s="419"/>
      <c r="DY332" s="419"/>
      <c r="DZ332" s="420"/>
      <c r="EA332" s="423"/>
      <c r="EB332" s="419"/>
      <c r="EC332" s="419"/>
      <c r="ED332" s="420"/>
      <c r="EE332" s="419"/>
      <c r="EF332" s="420"/>
      <c r="EG332" s="419"/>
      <c r="EH332" s="419"/>
      <c r="EI332" s="419"/>
      <c r="EJ332" s="420"/>
      <c r="EK332" s="420"/>
      <c r="EL332" s="419"/>
      <c r="EM332" s="419"/>
      <c r="EN332" s="419"/>
      <c r="EO332" s="419"/>
      <c r="EP332" s="419"/>
      <c r="EQ332" s="420"/>
      <c r="ER332" s="420"/>
      <c r="ES332" s="420"/>
      <c r="ET332" s="419"/>
      <c r="EU332" s="419"/>
      <c r="EV332" s="455"/>
      <c r="EW332" s="455"/>
      <c r="EX332" s="455"/>
      <c r="EY332" s="419"/>
      <c r="EZ332" s="419"/>
      <c r="FA332" s="420"/>
      <c r="FB332" s="420"/>
      <c r="FC332" s="420"/>
      <c r="FD332" s="420"/>
      <c r="FE332" s="420"/>
      <c r="FF332" s="419"/>
      <c r="FG332" s="420"/>
      <c r="FH332" s="419"/>
      <c r="FI332" s="419"/>
      <c r="FJ332" s="419"/>
      <c r="FK332" s="419"/>
      <c r="FL332" s="419"/>
      <c r="FM332" s="419"/>
      <c r="FN332" s="420"/>
      <c r="FO332" s="423"/>
      <c r="FP332" s="431"/>
      <c r="FQ332" s="431"/>
      <c r="FR332" s="431"/>
      <c r="FS332" s="420"/>
      <c r="FT332" s="420"/>
      <c r="FU332" s="419"/>
      <c r="FV332" s="419"/>
      <c r="FW332" s="419"/>
      <c r="FX332" s="420"/>
      <c r="FY332" s="420"/>
      <c r="FZ332" s="419"/>
      <c r="GA332" s="419"/>
      <c r="GB332" s="419"/>
      <c r="GC332" s="420"/>
      <c r="GD332" s="420"/>
      <c r="GE332" s="420">
        <v>11999177.9</v>
      </c>
      <c r="GF332" s="420">
        <v>3244697.38</v>
      </c>
      <c r="GG332" s="420">
        <v>1559893.09</v>
      </c>
      <c r="GH332" s="420">
        <f t="shared" si="261"/>
        <v>11999177.615384599</v>
      </c>
      <c r="GI332" s="423">
        <f t="shared" si="262"/>
        <v>-0.28461538441479201</v>
      </c>
      <c r="GJ332" s="419">
        <v>11550138.539999999</v>
      </c>
      <c r="GK332" s="419">
        <v>19754828.420000002</v>
      </c>
      <c r="GL332" s="419">
        <v>1501518.06</v>
      </c>
      <c r="GM332" s="420">
        <f t="shared" si="257"/>
        <v>11550138.9230769</v>
      </c>
      <c r="GN332" s="420">
        <f t="shared" si="258"/>
        <v>0.38307692483067501</v>
      </c>
      <c r="GO332" s="419">
        <v>20212025.120000001</v>
      </c>
      <c r="GP332" s="419"/>
      <c r="GQ332" s="419">
        <v>2627563.2999999998</v>
      </c>
      <c r="GR332" s="420">
        <f t="shared" si="268"/>
        <v>20212025.384615399</v>
      </c>
      <c r="GS332" s="423">
        <f t="shared" si="265"/>
        <v>0.26461538299918202</v>
      </c>
      <c r="GT332" s="419">
        <v>3603959.85</v>
      </c>
      <c r="GU332" s="419">
        <v>254247.78</v>
      </c>
      <c r="GV332" s="419">
        <v>468514.78</v>
      </c>
      <c r="GW332" s="420">
        <f t="shared" si="266"/>
        <v>3603959.85</v>
      </c>
      <c r="GX332" s="420">
        <f t="shared" si="267"/>
        <v>0</v>
      </c>
    </row>
    <row r="333" spans="1:206" ht="15">
      <c r="A333" s="414"/>
      <c r="B333" s="415"/>
      <c r="C333" s="697"/>
      <c r="D333" s="711" t="s">
        <v>678</v>
      </c>
      <c r="E333" s="434" t="s">
        <v>679</v>
      </c>
      <c r="F333" s="417">
        <v>0.13</v>
      </c>
      <c r="G333" s="418">
        <f t="shared" si="263"/>
        <v>29020.3512684366</v>
      </c>
      <c r="H333" s="418">
        <f t="shared" si="264"/>
        <v>0</v>
      </c>
      <c r="I333" s="418">
        <f t="shared" si="264"/>
        <v>3772.6420648967601</v>
      </c>
      <c r="J333" s="418">
        <f t="shared" si="252"/>
        <v>29020.3235761289</v>
      </c>
      <c r="K333" s="418">
        <f t="shared" si="250"/>
        <v>29020.3235761289</v>
      </c>
      <c r="L333" s="418">
        <f t="shared" si="218"/>
        <v>-2.7692307696270301E-2</v>
      </c>
      <c r="M333" s="424"/>
      <c r="N333" s="424"/>
      <c r="O333" s="424"/>
      <c r="P333" s="424"/>
      <c r="Q333" s="419"/>
      <c r="R333" s="419"/>
      <c r="S333" s="419"/>
      <c r="T333" s="420"/>
      <c r="U333" s="423"/>
      <c r="V333" s="420"/>
      <c r="W333" s="420"/>
      <c r="X333" s="419"/>
      <c r="Y333" s="419"/>
      <c r="Z333" s="423"/>
      <c r="AA333" s="423"/>
      <c r="AB333" s="419"/>
      <c r="AC333" s="419"/>
      <c r="AD333" s="420"/>
      <c r="AE333" s="423"/>
      <c r="AF333" s="419"/>
      <c r="AG333" s="419"/>
      <c r="AH333" s="419"/>
      <c r="AI333" s="420"/>
      <c r="AJ333" s="423"/>
      <c r="AK333" s="419"/>
      <c r="AL333" s="420"/>
      <c r="AM333" s="419"/>
      <c r="AN333" s="420"/>
      <c r="AO333" s="423"/>
      <c r="AP333" s="419"/>
      <c r="AQ333" s="419"/>
      <c r="AR333" s="420"/>
      <c r="AS333" s="420"/>
      <c r="AT333" s="420"/>
      <c r="AU333" s="420"/>
      <c r="AV333" s="420"/>
      <c r="AW333" s="420"/>
      <c r="AX333" s="426"/>
      <c r="AY333" s="420"/>
      <c r="AZ333" s="420"/>
      <c r="BA333" s="420"/>
      <c r="BB333" s="419"/>
      <c r="BC333" s="420"/>
      <c r="BD333" s="427"/>
      <c r="BE333" s="420"/>
      <c r="BF333" s="420"/>
      <c r="BG333" s="420"/>
      <c r="BH333" s="423"/>
      <c r="BI333" s="420"/>
      <c r="BJ333" s="420"/>
      <c r="BK333" s="420"/>
      <c r="BL333" s="420"/>
      <c r="BM333" s="420"/>
      <c r="BN333" s="420"/>
      <c r="BO333" s="420"/>
      <c r="BP333" s="429"/>
      <c r="BQ333" s="420"/>
      <c r="BR333" s="423"/>
      <c r="BS333" s="423"/>
      <c r="BT333" s="420"/>
      <c r="BU333" s="420"/>
      <c r="BV333" s="420"/>
      <c r="BW333" s="420"/>
      <c r="BX333" s="429"/>
      <c r="BY333" s="419"/>
      <c r="BZ333" s="419"/>
      <c r="CA333" s="419"/>
      <c r="CB333" s="420"/>
      <c r="CC333" s="430"/>
      <c r="CD333" s="419"/>
      <c r="CE333" s="419"/>
      <c r="CF333" s="419"/>
      <c r="CG333" s="420"/>
      <c r="CH333" s="423"/>
      <c r="CI333" s="431"/>
      <c r="CJ333" s="431"/>
      <c r="CK333" s="431"/>
      <c r="CL333" s="420"/>
      <c r="CM333" s="423"/>
      <c r="CN333" s="420"/>
      <c r="CO333" s="420"/>
      <c r="CP333" s="420"/>
      <c r="CQ333" s="432"/>
      <c r="CR333" s="432"/>
      <c r="CS333" s="420"/>
      <c r="CT333" s="420"/>
      <c r="CU333" s="420"/>
      <c r="CV333" s="420"/>
      <c r="CW333" s="420"/>
      <c r="CX333" s="419"/>
      <c r="CY333" s="419"/>
      <c r="CZ333" s="419"/>
      <c r="DA333" s="419"/>
      <c r="DB333" s="419"/>
      <c r="DC333" s="419"/>
      <c r="DD333" s="419"/>
      <c r="DE333" s="419"/>
      <c r="DF333" s="420"/>
      <c r="DG333" s="421"/>
      <c r="DH333" s="419"/>
      <c r="DI333" s="419"/>
      <c r="DJ333" s="419"/>
      <c r="DK333" s="420"/>
      <c r="DL333" s="422"/>
      <c r="DM333" s="420"/>
      <c r="DN333" s="420"/>
      <c r="DO333" s="420"/>
      <c r="DP333" s="420"/>
      <c r="DQ333" s="420"/>
      <c r="DR333" s="419"/>
      <c r="DS333" s="419"/>
      <c r="DT333" s="419"/>
      <c r="DU333" s="420"/>
      <c r="DV333" s="423"/>
      <c r="DW333" s="419"/>
      <c r="DX333" s="419"/>
      <c r="DY333" s="419"/>
      <c r="DZ333" s="420"/>
      <c r="EA333" s="423"/>
      <c r="EB333" s="419"/>
      <c r="EC333" s="419"/>
      <c r="ED333" s="420"/>
      <c r="EE333" s="419"/>
      <c r="EF333" s="420"/>
      <c r="EG333" s="419"/>
      <c r="EH333" s="419"/>
      <c r="EI333" s="419"/>
      <c r="EJ333" s="420"/>
      <c r="EK333" s="420"/>
      <c r="EL333" s="419"/>
      <c r="EM333" s="419"/>
      <c r="EN333" s="419"/>
      <c r="EO333" s="419"/>
      <c r="EP333" s="419"/>
      <c r="EQ333" s="420"/>
      <c r="ER333" s="420"/>
      <c r="ES333" s="420"/>
      <c r="ET333" s="419"/>
      <c r="EU333" s="419"/>
      <c r="EV333" s="455"/>
      <c r="EW333" s="455"/>
      <c r="EX333" s="455"/>
      <c r="EY333" s="419"/>
      <c r="EZ333" s="419"/>
      <c r="FA333" s="420"/>
      <c r="FB333" s="420"/>
      <c r="FC333" s="420"/>
      <c r="FD333" s="420"/>
      <c r="FE333" s="420"/>
      <c r="FF333" s="419"/>
      <c r="FG333" s="420"/>
      <c r="FH333" s="419"/>
      <c r="FI333" s="419"/>
      <c r="FJ333" s="419"/>
      <c r="FK333" s="419"/>
      <c r="FL333" s="419"/>
      <c r="FM333" s="419"/>
      <c r="FN333" s="420"/>
      <c r="FO333" s="423"/>
      <c r="FP333" s="431"/>
      <c r="FQ333" s="431"/>
      <c r="FR333" s="431"/>
      <c r="FS333" s="420"/>
      <c r="FT333" s="420"/>
      <c r="FU333" s="419"/>
      <c r="FV333" s="419"/>
      <c r="FW333" s="419"/>
      <c r="FX333" s="420"/>
      <c r="FY333" s="420"/>
      <c r="FZ333" s="419">
        <v>13402.3</v>
      </c>
      <c r="GA333" s="419"/>
      <c r="GB333" s="419">
        <v>1742.3</v>
      </c>
      <c r="GC333" s="420"/>
      <c r="GD333" s="420"/>
      <c r="GE333" s="420">
        <v>7374.6312684365803</v>
      </c>
      <c r="GF333" s="419"/>
      <c r="GG333" s="420">
        <v>958.70206489675502</v>
      </c>
      <c r="GH333" s="420">
        <f t="shared" si="261"/>
        <v>7374.6312684365803</v>
      </c>
      <c r="GI333" s="423">
        <f t="shared" si="262"/>
        <v>0</v>
      </c>
      <c r="GJ333" s="419"/>
      <c r="GK333" s="419"/>
      <c r="GL333" s="419"/>
      <c r="GM333" s="420">
        <f t="shared" si="257"/>
        <v>0</v>
      </c>
      <c r="GN333" s="420">
        <f t="shared" si="258"/>
        <v>0</v>
      </c>
      <c r="GO333" s="419">
        <v>868.79</v>
      </c>
      <c r="GP333" s="419"/>
      <c r="GQ333" s="419">
        <v>112.94</v>
      </c>
      <c r="GR333" s="420">
        <f t="shared" si="268"/>
        <v>868.76923076923094</v>
      </c>
      <c r="GS333" s="423">
        <f t="shared" si="265"/>
        <v>-2.0769230769246898E-2</v>
      </c>
      <c r="GT333" s="419">
        <v>7374.63</v>
      </c>
      <c r="GU333" s="419"/>
      <c r="GV333" s="419">
        <v>958.7</v>
      </c>
      <c r="GW333" s="420">
        <f t="shared" si="266"/>
        <v>7374.62</v>
      </c>
      <c r="GX333" s="420">
        <f t="shared" si="267"/>
        <v>-1.00000000002183E-2</v>
      </c>
    </row>
    <row r="334" spans="1:206" ht="15">
      <c r="A334" s="414"/>
      <c r="B334" s="415"/>
      <c r="C334" s="698"/>
      <c r="D334" s="711"/>
      <c r="E334" s="434" t="s">
        <v>680</v>
      </c>
      <c r="F334" s="417">
        <v>0.06</v>
      </c>
      <c r="G334" s="418">
        <f t="shared" si="263"/>
        <v>455974.68092243199</v>
      </c>
      <c r="H334" s="418">
        <f t="shared" si="264"/>
        <v>227987.35</v>
      </c>
      <c r="I334" s="418">
        <f t="shared" si="264"/>
        <v>27358.486855345898</v>
      </c>
      <c r="J334" s="418">
        <f t="shared" si="252"/>
        <v>455974.78092243202</v>
      </c>
      <c r="K334" s="418">
        <f t="shared" si="250"/>
        <v>227987.43092243199</v>
      </c>
      <c r="L334" s="418">
        <f t="shared" si="218"/>
        <v>9.9999999976716894E-2</v>
      </c>
      <c r="M334" s="424"/>
      <c r="N334" s="424"/>
      <c r="O334" s="424"/>
      <c r="P334" s="424"/>
      <c r="Q334" s="419"/>
      <c r="R334" s="419"/>
      <c r="S334" s="419"/>
      <c r="T334" s="420"/>
      <c r="U334" s="423"/>
      <c r="V334" s="420"/>
      <c r="W334" s="420"/>
      <c r="X334" s="419"/>
      <c r="Y334" s="419"/>
      <c r="Z334" s="423"/>
      <c r="AA334" s="423"/>
      <c r="AB334" s="419"/>
      <c r="AC334" s="419"/>
      <c r="AD334" s="420"/>
      <c r="AE334" s="423"/>
      <c r="AF334" s="419"/>
      <c r="AG334" s="419"/>
      <c r="AH334" s="419"/>
      <c r="AI334" s="420"/>
      <c r="AJ334" s="423"/>
      <c r="AK334" s="419"/>
      <c r="AL334" s="420"/>
      <c r="AM334" s="419"/>
      <c r="AN334" s="420"/>
      <c r="AO334" s="423"/>
      <c r="AP334" s="419"/>
      <c r="AQ334" s="419"/>
      <c r="AR334" s="420"/>
      <c r="AS334" s="420"/>
      <c r="AT334" s="420"/>
      <c r="AU334" s="420"/>
      <c r="AV334" s="420"/>
      <c r="AW334" s="420"/>
      <c r="AX334" s="426"/>
      <c r="AY334" s="420"/>
      <c r="AZ334" s="420"/>
      <c r="BA334" s="420"/>
      <c r="BB334" s="419"/>
      <c r="BC334" s="420"/>
      <c r="BD334" s="427"/>
      <c r="BE334" s="420"/>
      <c r="BF334" s="420"/>
      <c r="BG334" s="420"/>
      <c r="BH334" s="423"/>
      <c r="BI334" s="420"/>
      <c r="BJ334" s="420"/>
      <c r="BK334" s="420"/>
      <c r="BL334" s="420"/>
      <c r="BM334" s="420"/>
      <c r="BN334" s="420"/>
      <c r="BO334" s="420"/>
      <c r="BP334" s="429"/>
      <c r="BQ334" s="420"/>
      <c r="BR334" s="423"/>
      <c r="BS334" s="423"/>
      <c r="BT334" s="420"/>
      <c r="BU334" s="420"/>
      <c r="BV334" s="420"/>
      <c r="BW334" s="420"/>
      <c r="BX334" s="429"/>
      <c r="BY334" s="419"/>
      <c r="BZ334" s="419"/>
      <c r="CA334" s="419"/>
      <c r="CB334" s="420"/>
      <c r="CC334" s="430"/>
      <c r="CD334" s="419"/>
      <c r="CE334" s="419"/>
      <c r="CF334" s="419"/>
      <c r="CG334" s="420"/>
      <c r="CH334" s="423"/>
      <c r="CI334" s="431"/>
      <c r="CJ334" s="431"/>
      <c r="CK334" s="431"/>
      <c r="CL334" s="420"/>
      <c r="CM334" s="423"/>
      <c r="CN334" s="420"/>
      <c r="CO334" s="420"/>
      <c r="CP334" s="420"/>
      <c r="CQ334" s="432"/>
      <c r="CR334" s="432"/>
      <c r="CS334" s="420"/>
      <c r="CT334" s="420"/>
      <c r="CU334" s="420"/>
      <c r="CV334" s="420"/>
      <c r="CW334" s="420"/>
      <c r="CX334" s="419"/>
      <c r="CY334" s="419"/>
      <c r="CZ334" s="419"/>
      <c r="DA334" s="419"/>
      <c r="DB334" s="419"/>
      <c r="DC334" s="419"/>
      <c r="DD334" s="419"/>
      <c r="DE334" s="419"/>
      <c r="DF334" s="420"/>
      <c r="DG334" s="421"/>
      <c r="DH334" s="419"/>
      <c r="DI334" s="419"/>
      <c r="DJ334" s="419"/>
      <c r="DK334" s="420"/>
      <c r="DL334" s="422"/>
      <c r="DM334" s="420"/>
      <c r="DN334" s="420"/>
      <c r="DO334" s="420"/>
      <c r="DP334" s="420"/>
      <c r="DQ334" s="420"/>
      <c r="DR334" s="419"/>
      <c r="DS334" s="419"/>
      <c r="DT334" s="419"/>
      <c r="DU334" s="420"/>
      <c r="DV334" s="423"/>
      <c r="DW334" s="419"/>
      <c r="DX334" s="419"/>
      <c r="DY334" s="419"/>
      <c r="DZ334" s="420"/>
      <c r="EA334" s="423"/>
      <c r="EB334" s="419"/>
      <c r="EC334" s="419"/>
      <c r="ED334" s="420"/>
      <c r="EE334" s="419"/>
      <c r="EF334" s="420"/>
      <c r="EG334" s="419"/>
      <c r="EH334" s="419"/>
      <c r="EI334" s="419"/>
      <c r="EJ334" s="420"/>
      <c r="EK334" s="420"/>
      <c r="EL334" s="419"/>
      <c r="EM334" s="419"/>
      <c r="EN334" s="419"/>
      <c r="EO334" s="419"/>
      <c r="EP334" s="419"/>
      <c r="EQ334" s="420"/>
      <c r="ER334" s="420"/>
      <c r="ES334" s="420"/>
      <c r="ET334" s="419"/>
      <c r="EU334" s="419"/>
      <c r="EV334" s="455"/>
      <c r="EW334" s="455"/>
      <c r="EX334" s="455"/>
      <c r="EY334" s="419"/>
      <c r="EZ334" s="419"/>
      <c r="FA334" s="420"/>
      <c r="FB334" s="420"/>
      <c r="FC334" s="420"/>
      <c r="FD334" s="420"/>
      <c r="FE334" s="420"/>
      <c r="FF334" s="419"/>
      <c r="FG334" s="420"/>
      <c r="FH334" s="419"/>
      <c r="FI334" s="419"/>
      <c r="FJ334" s="419"/>
      <c r="FK334" s="419"/>
      <c r="FL334" s="419"/>
      <c r="FM334" s="419"/>
      <c r="FN334" s="420"/>
      <c r="FO334" s="423"/>
      <c r="FP334" s="431"/>
      <c r="FQ334" s="431"/>
      <c r="FR334" s="431"/>
      <c r="FS334" s="420"/>
      <c r="FT334" s="420"/>
      <c r="FU334" s="419"/>
      <c r="FV334" s="419"/>
      <c r="FW334" s="419"/>
      <c r="FX334" s="420"/>
      <c r="FY334" s="420"/>
      <c r="FZ334" s="419">
        <v>138111.09</v>
      </c>
      <c r="GA334" s="419"/>
      <c r="GB334" s="419">
        <v>8286.67</v>
      </c>
      <c r="GC334" s="420">
        <f t="shared" ref="GC334:GC343" si="269">ROUND(GB334/F334,2)</f>
        <v>138111.17000000001</v>
      </c>
      <c r="GD334" s="420">
        <f t="shared" ref="GD334:GD343" si="270">GC334-FZ334</f>
        <v>8.0000000016298103E-2</v>
      </c>
      <c r="GE334" s="420">
        <v>75995.780922431906</v>
      </c>
      <c r="GF334" s="420"/>
      <c r="GG334" s="420">
        <v>4559.7468553459103</v>
      </c>
      <c r="GH334" s="420">
        <f t="shared" si="261"/>
        <v>75995.780922431804</v>
      </c>
      <c r="GI334" s="423">
        <f t="shared" si="262"/>
        <v>0</v>
      </c>
      <c r="GJ334" s="437">
        <v>83370.41</v>
      </c>
      <c r="GK334" s="419"/>
      <c r="GL334" s="419">
        <v>5002.22</v>
      </c>
      <c r="GM334" s="420">
        <f t="shared" si="257"/>
        <v>83370.333333333299</v>
      </c>
      <c r="GN334" s="420">
        <f t="shared" si="258"/>
        <v>-7.6666666660457794E-2</v>
      </c>
      <c r="GO334" s="419">
        <v>82501.62</v>
      </c>
      <c r="GP334" s="419">
        <v>227987.35</v>
      </c>
      <c r="GQ334" s="419">
        <v>4950.1000000000004</v>
      </c>
      <c r="GR334" s="420">
        <f t="shared" si="268"/>
        <v>82501.666666666701</v>
      </c>
      <c r="GS334" s="423">
        <f t="shared" si="265"/>
        <v>4.6666666676173897E-2</v>
      </c>
      <c r="GT334" s="419">
        <v>75995.78</v>
      </c>
      <c r="GU334" s="419"/>
      <c r="GV334" s="419">
        <v>4559.75</v>
      </c>
      <c r="GW334" s="420">
        <f t="shared" si="266"/>
        <v>75995.83</v>
      </c>
      <c r="GX334" s="420">
        <f t="shared" si="267"/>
        <v>5.0000000002910397E-2</v>
      </c>
    </row>
    <row r="335" spans="1:206" ht="15">
      <c r="A335" s="414"/>
      <c r="B335" s="415"/>
      <c r="C335" s="698"/>
      <c r="D335" s="467" t="s">
        <v>681</v>
      </c>
      <c r="E335" s="434" t="s">
        <v>125</v>
      </c>
      <c r="F335" s="417">
        <v>0.06</v>
      </c>
      <c r="G335" s="418">
        <f t="shared" si="263"/>
        <v>94339.62</v>
      </c>
      <c r="H335" s="418">
        <f t="shared" si="264"/>
        <v>94339.62</v>
      </c>
      <c r="I335" s="418">
        <f t="shared" si="264"/>
        <v>5660.3771999999999</v>
      </c>
      <c r="J335" s="418">
        <f t="shared" si="252"/>
        <v>94339.62</v>
      </c>
      <c r="K335" s="418">
        <f t="shared" si="250"/>
        <v>0</v>
      </c>
      <c r="L335" s="418">
        <f t="shared" si="218"/>
        <v>0</v>
      </c>
      <c r="M335" s="424">
        <v>94339.62</v>
      </c>
      <c r="N335" s="424">
        <v>94339.62</v>
      </c>
      <c r="O335" s="424">
        <v>5660.3771999999999</v>
      </c>
      <c r="P335" s="424"/>
      <c r="Q335" s="419"/>
      <c r="R335" s="419"/>
      <c r="S335" s="419"/>
      <c r="T335" s="420">
        <v>0</v>
      </c>
      <c r="U335" s="423">
        <f>T335-Q335</f>
        <v>0</v>
      </c>
      <c r="V335" s="420"/>
      <c r="W335" s="420"/>
      <c r="X335" s="419"/>
      <c r="Y335" s="419"/>
      <c r="Z335" s="423">
        <f>Y335-V335</f>
        <v>0</v>
      </c>
      <c r="AA335" s="423"/>
      <c r="AB335" s="419"/>
      <c r="AC335" s="419"/>
      <c r="AD335" s="420">
        <f>AC335/F335</f>
        <v>0</v>
      </c>
      <c r="AE335" s="423">
        <f>AD335-AA335</f>
        <v>0</v>
      </c>
      <c r="AF335" s="419"/>
      <c r="AG335" s="419"/>
      <c r="AH335" s="419"/>
      <c r="AI335" s="420">
        <f>AH335/F335</f>
        <v>0</v>
      </c>
      <c r="AJ335" s="423">
        <f>AI335-AF335</f>
        <v>0</v>
      </c>
      <c r="AK335" s="419"/>
      <c r="AL335" s="420"/>
      <c r="AM335" s="419"/>
      <c r="AN335" s="420">
        <f t="shared" ref="AN335:AN340" si="271">AM335/F335</f>
        <v>0</v>
      </c>
      <c r="AO335" s="423">
        <f t="shared" ref="AO335:AO340" si="272">AN335-AK335</f>
        <v>0</v>
      </c>
      <c r="AP335" s="419"/>
      <c r="AQ335" s="419"/>
      <c r="AR335" s="420"/>
      <c r="AS335" s="420">
        <f t="shared" ref="AS335:AS340" si="273">AR335/F335</f>
        <v>0</v>
      </c>
      <c r="AT335" s="420">
        <f t="shared" ref="AT335:AT340" si="274">AS335-AP335</f>
        <v>0</v>
      </c>
      <c r="AU335" s="420"/>
      <c r="AV335" s="420"/>
      <c r="AW335" s="420"/>
      <c r="AX335" s="426">
        <f t="shared" ref="AX335:AX340" si="275">AW335/F335</f>
        <v>0</v>
      </c>
      <c r="AY335" s="420">
        <f t="shared" ref="AY335:AY340" si="276">AX335-AU335</f>
        <v>0</v>
      </c>
      <c r="AZ335" s="420"/>
      <c r="BA335" s="420"/>
      <c r="BB335" s="419"/>
      <c r="BC335" s="420">
        <f t="shared" ref="BC335:BC340" si="277">BB335/F335</f>
        <v>0</v>
      </c>
      <c r="BD335" s="427">
        <f t="shared" ref="BD335:BD340" si="278">BC335-AZ335</f>
        <v>0</v>
      </c>
      <c r="BE335" s="420"/>
      <c r="BF335" s="420"/>
      <c r="BG335" s="420"/>
      <c r="BH335" s="423">
        <f t="shared" ref="BH335:BH340" si="279">BG335/F335</f>
        <v>0</v>
      </c>
      <c r="BI335" s="420">
        <f t="shared" ref="BI335:BI340" si="280">BH335-BE335</f>
        <v>0</v>
      </c>
      <c r="BJ335" s="420"/>
      <c r="BK335" s="420"/>
      <c r="BL335" s="420"/>
      <c r="BM335" s="420">
        <f t="shared" ref="BM335:BM340" si="281">BL335/F335</f>
        <v>0</v>
      </c>
      <c r="BN335" s="420">
        <f t="shared" ref="BN335:BN340" si="282">BM335-BJ335</f>
        <v>0</v>
      </c>
      <c r="BO335" s="419"/>
      <c r="BP335" s="428"/>
      <c r="BQ335" s="420">
        <v>0</v>
      </c>
      <c r="BR335" s="423">
        <f t="shared" ref="BR335:BR343" si="283">BQ335/F335</f>
        <v>0</v>
      </c>
      <c r="BS335" s="423">
        <f t="shared" ref="BS335:BS343" si="284">BR335-BO335</f>
        <v>0</v>
      </c>
      <c r="BT335" s="420"/>
      <c r="BU335" s="420"/>
      <c r="BV335" s="420"/>
      <c r="BW335" s="420"/>
      <c r="BX335" s="429">
        <f t="shared" ref="BX335:BX343" si="285">BW335-BT335</f>
        <v>0</v>
      </c>
      <c r="BY335" s="419"/>
      <c r="BZ335" s="419"/>
      <c r="CA335" s="419"/>
      <c r="CB335" s="420">
        <f t="shared" ref="CB335:CB343" si="286">CA335/F335</f>
        <v>0</v>
      </c>
      <c r="CC335" s="430">
        <f t="shared" ref="CC335:CC343" si="287">CB335-BY335</f>
        <v>0</v>
      </c>
      <c r="CD335" s="419"/>
      <c r="CE335" s="419"/>
      <c r="CF335" s="419"/>
      <c r="CG335" s="420">
        <f t="shared" ref="CG335:CG343" si="288">CF335/F335</f>
        <v>0</v>
      </c>
      <c r="CH335" s="423">
        <f t="shared" ref="CH335:CH343" si="289">CG335-CD335</f>
        <v>0</v>
      </c>
      <c r="CI335" s="431"/>
      <c r="CJ335" s="431"/>
      <c r="CK335" s="431"/>
      <c r="CL335" s="420">
        <f t="shared" ref="CL335:CL343" si="290">CK335/F335</f>
        <v>0</v>
      </c>
      <c r="CM335" s="423">
        <f t="shared" ref="CM335:CM343" si="291">CL335-CI335</f>
        <v>0</v>
      </c>
      <c r="CN335" s="420"/>
      <c r="CO335" s="420"/>
      <c r="CP335" s="420"/>
      <c r="CQ335" s="432"/>
      <c r="CR335" s="432">
        <f t="shared" ref="CR335:CR343" si="292">ROUND(CQ335-CN335,2)</f>
        <v>0</v>
      </c>
      <c r="CS335" s="420"/>
      <c r="CT335" s="420"/>
      <c r="CU335" s="420"/>
      <c r="CV335" s="420"/>
      <c r="CW335" s="420">
        <f t="shared" ref="CW335:CW343" si="293">CV335-CS335</f>
        <v>0</v>
      </c>
      <c r="CX335" s="419"/>
      <c r="CY335" s="419"/>
      <c r="CZ335" s="419"/>
      <c r="DA335" s="419">
        <f t="shared" ref="DA335:DA343" si="294">ROUND(CZ335/F335,2)</f>
        <v>0</v>
      </c>
      <c r="DB335" s="419">
        <f t="shared" ref="DB335:DB343" si="295">ROUND(DA335-CX335,2)</f>
        <v>0</v>
      </c>
      <c r="DC335" s="419"/>
      <c r="DD335" s="419"/>
      <c r="DE335" s="419"/>
      <c r="DF335" s="420">
        <f t="shared" ref="DF335:DF343" si="296">DE335/F335</f>
        <v>0</v>
      </c>
      <c r="DG335" s="421">
        <f t="shared" ref="DG335:DG343" si="297">DC335-DF335</f>
        <v>0</v>
      </c>
      <c r="DH335" s="419"/>
      <c r="DI335" s="419"/>
      <c r="DJ335" s="419"/>
      <c r="DK335" s="420">
        <f t="shared" ref="DK335:DK343" si="298">DJ335/F335</f>
        <v>0</v>
      </c>
      <c r="DL335" s="422">
        <f t="shared" ref="DL335:DL343" si="299">DK335-DH335</f>
        <v>0</v>
      </c>
      <c r="DM335" s="420"/>
      <c r="DN335" s="420"/>
      <c r="DO335" s="420"/>
      <c r="DP335" s="420">
        <f t="shared" ref="DP335:DP343" si="300">DO335/F335</f>
        <v>0</v>
      </c>
      <c r="DQ335" s="420">
        <f t="shared" ref="DQ335:DQ343" si="301">DP335-DM335</f>
        <v>0</v>
      </c>
      <c r="DR335" s="419"/>
      <c r="DS335" s="419"/>
      <c r="DT335" s="419"/>
      <c r="DU335" s="420">
        <f t="shared" ref="DU335:DU343" si="302">DT335/F335</f>
        <v>0</v>
      </c>
      <c r="DV335" s="423">
        <f t="shared" ref="DV335:DV343" si="303">DU335-DR335</f>
        <v>0</v>
      </c>
      <c r="DW335" s="419"/>
      <c r="DX335" s="419"/>
      <c r="DY335" s="419"/>
      <c r="DZ335" s="420">
        <f t="shared" ref="DZ335:DZ343" si="304">ROUND(DY335/F335,2)</f>
        <v>0</v>
      </c>
      <c r="EA335" s="423">
        <f t="shared" ref="EA335:EA343" si="305">ROUND(DZ335-DW335,2)</f>
        <v>0</v>
      </c>
      <c r="EB335" s="419"/>
      <c r="EC335" s="419"/>
      <c r="ED335" s="420"/>
      <c r="EE335" s="419"/>
      <c r="EF335" s="420">
        <f t="shared" ref="EF335:EF343" si="306">EE335-EB335</f>
        <v>0</v>
      </c>
      <c r="EG335" s="419"/>
      <c r="EH335" s="419"/>
      <c r="EI335" s="419"/>
      <c r="EJ335" s="420">
        <f t="shared" ref="EJ335:EJ343" si="307">ROUND(EI335/F335,2)</f>
        <v>0</v>
      </c>
      <c r="EK335" s="420">
        <f t="shared" ref="EK335:EK343" si="308">ROUND(EJ335-EG335,2)</f>
        <v>0</v>
      </c>
      <c r="EL335" s="419"/>
      <c r="EM335" s="419"/>
      <c r="EN335" s="419"/>
      <c r="EO335" s="419">
        <f t="shared" ref="EO335:EO349" si="309">ROUND(EN335/F335,2)</f>
        <v>0</v>
      </c>
      <c r="EP335" s="419">
        <f t="shared" ref="EP335:EP349" si="310">ROUND(EO335-EL335,2)</f>
        <v>0</v>
      </c>
      <c r="EQ335" s="419"/>
      <c r="ER335" s="419"/>
      <c r="ES335" s="419"/>
      <c r="ET335" s="419">
        <f t="shared" ref="ET335:ET349" si="311">ROUND(ES335/F335,2)</f>
        <v>0</v>
      </c>
      <c r="EU335" s="419">
        <f t="shared" ref="EU335:EU349" si="312">ROUND(ET335-EQ335,2)</f>
        <v>0</v>
      </c>
      <c r="EV335" s="419"/>
      <c r="EW335" s="419"/>
      <c r="EX335" s="419"/>
      <c r="EY335" s="419">
        <f t="shared" ref="EY335:EY343" si="313">ROUND(EX335/F335,2)</f>
        <v>0</v>
      </c>
      <c r="EZ335" s="419">
        <f t="shared" ref="EZ335:EZ343" si="314">ROUND(EY335-EV335,2)</f>
        <v>0</v>
      </c>
      <c r="FA335" s="420"/>
      <c r="FB335" s="420"/>
      <c r="FC335" s="420"/>
      <c r="FD335" s="420">
        <f t="shared" ref="FD335:FD343" si="315">ROUND(FC335/F335,2)</f>
        <v>0</v>
      </c>
      <c r="FE335" s="420">
        <f t="shared" ref="FE335:FE343" si="316">ROUND(FD335-FA335,2)</f>
        <v>0</v>
      </c>
      <c r="FF335" s="419"/>
      <c r="FG335" s="419"/>
      <c r="FH335" s="419"/>
      <c r="FI335" s="419">
        <f t="shared" ref="FI335:FI343" si="317">FH335/F335</f>
        <v>0</v>
      </c>
      <c r="FJ335" s="419">
        <f t="shared" ref="FJ335:FJ343" si="318">ROUND(FI335-FF335,2)</f>
        <v>0</v>
      </c>
      <c r="FK335" s="419"/>
      <c r="FL335" s="419"/>
      <c r="FM335" s="419"/>
      <c r="FN335" s="420">
        <f t="shared" ref="FN335:FN343" si="319">ROUND(FM335/F335,2)</f>
        <v>0</v>
      </c>
      <c r="FO335" s="423">
        <f t="shared" ref="FO335:FO343" si="320">ROUND(FN335-FK335,2)</f>
        <v>0</v>
      </c>
      <c r="FP335" s="419"/>
      <c r="FQ335" s="419"/>
      <c r="FR335" s="419"/>
      <c r="FS335" s="420">
        <f t="shared" ref="FS335:FS343" si="321">ROUND(FR335/F335,2)</f>
        <v>0</v>
      </c>
      <c r="FT335" s="420">
        <f t="shared" ref="FT335:FT343" si="322">FS335-FP335</f>
        <v>0</v>
      </c>
      <c r="FU335" s="419"/>
      <c r="FV335" s="419"/>
      <c r="FW335" s="419"/>
      <c r="FX335" s="420">
        <f t="shared" ref="FX335:FX343" si="323">ROUND(FW335/F335,2)</f>
        <v>0</v>
      </c>
      <c r="FY335" s="420">
        <f t="shared" ref="FY335:FY343" si="324">FX335-FU335</f>
        <v>0</v>
      </c>
      <c r="FZ335" s="419"/>
      <c r="GA335" s="419"/>
      <c r="GB335" s="419"/>
      <c r="GC335" s="420">
        <f t="shared" si="269"/>
        <v>0</v>
      </c>
      <c r="GD335" s="420">
        <f t="shared" si="270"/>
        <v>0</v>
      </c>
      <c r="GE335" s="419"/>
      <c r="GF335" s="419"/>
      <c r="GG335" s="419"/>
      <c r="GH335" s="420">
        <f t="shared" si="261"/>
        <v>0</v>
      </c>
      <c r="GI335" s="423">
        <f t="shared" si="262"/>
        <v>0</v>
      </c>
      <c r="GJ335" s="419"/>
      <c r="GK335" s="419"/>
      <c r="GL335" s="419"/>
      <c r="GM335" s="420">
        <f t="shared" si="257"/>
        <v>0</v>
      </c>
      <c r="GN335" s="420">
        <f t="shared" si="258"/>
        <v>0</v>
      </c>
      <c r="GO335" s="419"/>
      <c r="GP335" s="419"/>
      <c r="GQ335" s="419"/>
      <c r="GR335" s="420">
        <f t="shared" si="268"/>
        <v>0</v>
      </c>
      <c r="GS335" s="423">
        <f t="shared" si="265"/>
        <v>0</v>
      </c>
      <c r="GT335" s="419"/>
      <c r="GU335" s="419"/>
      <c r="GV335" s="419"/>
      <c r="GW335" s="420">
        <f t="shared" si="266"/>
        <v>0</v>
      </c>
      <c r="GX335" s="420">
        <f t="shared" si="267"/>
        <v>0</v>
      </c>
    </row>
    <row r="336" spans="1:206" ht="15">
      <c r="A336" s="414"/>
      <c r="B336" s="415"/>
      <c r="C336" s="698"/>
      <c r="D336" s="467" t="s">
        <v>682</v>
      </c>
      <c r="E336" s="434" t="s">
        <v>125</v>
      </c>
      <c r="F336" s="417">
        <v>0.06</v>
      </c>
      <c r="G336" s="418">
        <f t="shared" si="263"/>
        <v>566037.73</v>
      </c>
      <c r="H336" s="418">
        <f t="shared" si="264"/>
        <v>566037.73</v>
      </c>
      <c r="I336" s="418">
        <f t="shared" si="264"/>
        <v>33962.263800000001</v>
      </c>
      <c r="J336" s="418">
        <f t="shared" si="252"/>
        <v>566037.73</v>
      </c>
      <c r="K336" s="418">
        <f t="shared" si="250"/>
        <v>0</v>
      </c>
      <c r="L336" s="418">
        <f t="shared" si="218"/>
        <v>0</v>
      </c>
      <c r="M336" s="424">
        <v>566037.73</v>
      </c>
      <c r="N336" s="424">
        <v>566037.73</v>
      </c>
      <c r="O336" s="424">
        <v>33962.263800000001</v>
      </c>
      <c r="P336" s="424"/>
      <c r="Q336" s="419"/>
      <c r="R336" s="419"/>
      <c r="S336" s="419"/>
      <c r="T336" s="420">
        <v>0</v>
      </c>
      <c r="U336" s="423">
        <f>T336-Q336</f>
        <v>0</v>
      </c>
      <c r="V336" s="420"/>
      <c r="W336" s="420"/>
      <c r="X336" s="419"/>
      <c r="Y336" s="419"/>
      <c r="Z336" s="423">
        <f>Y336-V336</f>
        <v>0</v>
      </c>
      <c r="AA336" s="423"/>
      <c r="AB336" s="419"/>
      <c r="AC336" s="419"/>
      <c r="AD336" s="420">
        <f>AC336/F336</f>
        <v>0</v>
      </c>
      <c r="AE336" s="423">
        <f>AD336-AA336</f>
        <v>0</v>
      </c>
      <c r="AF336" s="419"/>
      <c r="AG336" s="419"/>
      <c r="AH336" s="419"/>
      <c r="AI336" s="420">
        <f>AH336/F336</f>
        <v>0</v>
      </c>
      <c r="AJ336" s="423">
        <f>AI336-AF336</f>
        <v>0</v>
      </c>
      <c r="AK336" s="419"/>
      <c r="AL336" s="420"/>
      <c r="AM336" s="419"/>
      <c r="AN336" s="420">
        <f t="shared" si="271"/>
        <v>0</v>
      </c>
      <c r="AO336" s="423">
        <f t="shared" si="272"/>
        <v>0</v>
      </c>
      <c r="AP336" s="419"/>
      <c r="AQ336" s="419"/>
      <c r="AR336" s="420"/>
      <c r="AS336" s="420">
        <f t="shared" si="273"/>
        <v>0</v>
      </c>
      <c r="AT336" s="420">
        <f t="shared" si="274"/>
        <v>0</v>
      </c>
      <c r="AU336" s="420"/>
      <c r="AV336" s="420"/>
      <c r="AW336" s="420"/>
      <c r="AX336" s="426">
        <f t="shared" si="275"/>
        <v>0</v>
      </c>
      <c r="AY336" s="420">
        <f t="shared" si="276"/>
        <v>0</v>
      </c>
      <c r="AZ336" s="420"/>
      <c r="BA336" s="420"/>
      <c r="BB336" s="419"/>
      <c r="BC336" s="420">
        <f t="shared" si="277"/>
        <v>0</v>
      </c>
      <c r="BD336" s="427">
        <f t="shared" si="278"/>
        <v>0</v>
      </c>
      <c r="BE336" s="420"/>
      <c r="BF336" s="420"/>
      <c r="BG336" s="420"/>
      <c r="BH336" s="423">
        <f t="shared" si="279"/>
        <v>0</v>
      </c>
      <c r="BI336" s="420">
        <f t="shared" si="280"/>
        <v>0</v>
      </c>
      <c r="BJ336" s="420"/>
      <c r="BK336" s="420"/>
      <c r="BL336" s="420"/>
      <c r="BM336" s="420">
        <f t="shared" si="281"/>
        <v>0</v>
      </c>
      <c r="BN336" s="420">
        <f t="shared" si="282"/>
        <v>0</v>
      </c>
      <c r="BO336" s="419"/>
      <c r="BP336" s="428"/>
      <c r="BQ336" s="420">
        <v>0</v>
      </c>
      <c r="BR336" s="423">
        <f t="shared" si="283"/>
        <v>0</v>
      </c>
      <c r="BS336" s="423">
        <f t="shared" si="284"/>
        <v>0</v>
      </c>
      <c r="BT336" s="420"/>
      <c r="BU336" s="420"/>
      <c r="BV336" s="420"/>
      <c r="BW336" s="420"/>
      <c r="BX336" s="429">
        <f t="shared" si="285"/>
        <v>0</v>
      </c>
      <c r="BY336" s="419"/>
      <c r="BZ336" s="419"/>
      <c r="CA336" s="419"/>
      <c r="CB336" s="420">
        <f t="shared" si="286"/>
        <v>0</v>
      </c>
      <c r="CC336" s="430">
        <f t="shared" si="287"/>
        <v>0</v>
      </c>
      <c r="CD336" s="419"/>
      <c r="CE336" s="419"/>
      <c r="CF336" s="419"/>
      <c r="CG336" s="420">
        <f t="shared" si="288"/>
        <v>0</v>
      </c>
      <c r="CH336" s="423">
        <f t="shared" si="289"/>
        <v>0</v>
      </c>
      <c r="CI336" s="431"/>
      <c r="CJ336" s="431"/>
      <c r="CK336" s="431"/>
      <c r="CL336" s="420">
        <f t="shared" si="290"/>
        <v>0</v>
      </c>
      <c r="CM336" s="423">
        <f t="shared" si="291"/>
        <v>0</v>
      </c>
      <c r="CN336" s="420"/>
      <c r="CO336" s="420"/>
      <c r="CP336" s="420"/>
      <c r="CQ336" s="432"/>
      <c r="CR336" s="432">
        <f t="shared" si="292"/>
        <v>0</v>
      </c>
      <c r="CS336" s="420"/>
      <c r="CT336" s="420"/>
      <c r="CU336" s="420"/>
      <c r="CV336" s="420"/>
      <c r="CW336" s="420">
        <f t="shared" si="293"/>
        <v>0</v>
      </c>
      <c r="CX336" s="419"/>
      <c r="CY336" s="419"/>
      <c r="CZ336" s="419"/>
      <c r="DA336" s="419">
        <f t="shared" si="294"/>
        <v>0</v>
      </c>
      <c r="DB336" s="419">
        <f t="shared" si="295"/>
        <v>0</v>
      </c>
      <c r="DC336" s="419"/>
      <c r="DD336" s="419"/>
      <c r="DE336" s="419"/>
      <c r="DF336" s="420">
        <f t="shared" si="296"/>
        <v>0</v>
      </c>
      <c r="DG336" s="421">
        <f t="shared" si="297"/>
        <v>0</v>
      </c>
      <c r="DH336" s="419"/>
      <c r="DI336" s="419"/>
      <c r="DJ336" s="419"/>
      <c r="DK336" s="420">
        <f t="shared" si="298"/>
        <v>0</v>
      </c>
      <c r="DL336" s="422">
        <f t="shared" si="299"/>
        <v>0</v>
      </c>
      <c r="DM336" s="420"/>
      <c r="DN336" s="420"/>
      <c r="DO336" s="420"/>
      <c r="DP336" s="420">
        <f t="shared" si="300"/>
        <v>0</v>
      </c>
      <c r="DQ336" s="420">
        <f t="shared" si="301"/>
        <v>0</v>
      </c>
      <c r="DR336" s="419"/>
      <c r="DS336" s="419"/>
      <c r="DT336" s="419"/>
      <c r="DU336" s="420">
        <f t="shared" si="302"/>
        <v>0</v>
      </c>
      <c r="DV336" s="423">
        <f t="shared" si="303"/>
        <v>0</v>
      </c>
      <c r="DW336" s="419"/>
      <c r="DX336" s="419"/>
      <c r="DY336" s="419"/>
      <c r="DZ336" s="420">
        <f t="shared" si="304"/>
        <v>0</v>
      </c>
      <c r="EA336" s="423">
        <f t="shared" si="305"/>
        <v>0</v>
      </c>
      <c r="EB336" s="419"/>
      <c r="EC336" s="419"/>
      <c r="ED336" s="420"/>
      <c r="EE336" s="419"/>
      <c r="EF336" s="420">
        <f t="shared" si="306"/>
        <v>0</v>
      </c>
      <c r="EG336" s="419"/>
      <c r="EH336" s="419"/>
      <c r="EI336" s="419"/>
      <c r="EJ336" s="420">
        <f t="shared" si="307"/>
        <v>0</v>
      </c>
      <c r="EK336" s="420">
        <f t="shared" si="308"/>
        <v>0</v>
      </c>
      <c r="EL336" s="419"/>
      <c r="EM336" s="419"/>
      <c r="EN336" s="419"/>
      <c r="EO336" s="419">
        <f t="shared" si="309"/>
        <v>0</v>
      </c>
      <c r="EP336" s="419">
        <f t="shared" si="310"/>
        <v>0</v>
      </c>
      <c r="EQ336" s="419"/>
      <c r="ER336" s="419"/>
      <c r="ES336" s="419"/>
      <c r="ET336" s="419">
        <f t="shared" si="311"/>
        <v>0</v>
      </c>
      <c r="EU336" s="419">
        <f t="shared" si="312"/>
        <v>0</v>
      </c>
      <c r="EV336" s="419"/>
      <c r="EW336" s="419"/>
      <c r="EX336" s="419"/>
      <c r="EY336" s="419">
        <f t="shared" si="313"/>
        <v>0</v>
      </c>
      <c r="EZ336" s="419">
        <f t="shared" si="314"/>
        <v>0</v>
      </c>
      <c r="FA336" s="420"/>
      <c r="FB336" s="420"/>
      <c r="FC336" s="420"/>
      <c r="FD336" s="420">
        <f t="shared" si="315"/>
        <v>0</v>
      </c>
      <c r="FE336" s="420">
        <f t="shared" si="316"/>
        <v>0</v>
      </c>
      <c r="FF336" s="419"/>
      <c r="FG336" s="419"/>
      <c r="FH336" s="419"/>
      <c r="FI336" s="419">
        <f t="shared" si="317"/>
        <v>0</v>
      </c>
      <c r="FJ336" s="419">
        <f t="shared" si="318"/>
        <v>0</v>
      </c>
      <c r="FK336" s="419"/>
      <c r="FL336" s="419"/>
      <c r="FM336" s="419"/>
      <c r="FN336" s="420">
        <f t="shared" si="319"/>
        <v>0</v>
      </c>
      <c r="FO336" s="423">
        <f t="shared" si="320"/>
        <v>0</v>
      </c>
      <c r="FP336" s="419"/>
      <c r="FQ336" s="419"/>
      <c r="FR336" s="419"/>
      <c r="FS336" s="420">
        <f t="shared" si="321"/>
        <v>0</v>
      </c>
      <c r="FT336" s="420">
        <f t="shared" si="322"/>
        <v>0</v>
      </c>
      <c r="FU336" s="419"/>
      <c r="FV336" s="419"/>
      <c r="FW336" s="419"/>
      <c r="FX336" s="420">
        <f t="shared" si="323"/>
        <v>0</v>
      </c>
      <c r="FY336" s="420">
        <f t="shared" si="324"/>
        <v>0</v>
      </c>
      <c r="FZ336" s="419"/>
      <c r="GA336" s="419"/>
      <c r="GB336" s="419"/>
      <c r="GC336" s="420">
        <f t="shared" si="269"/>
        <v>0</v>
      </c>
      <c r="GD336" s="420">
        <f t="shared" si="270"/>
        <v>0</v>
      </c>
      <c r="GE336" s="419"/>
      <c r="GF336" s="419"/>
      <c r="GG336" s="419"/>
      <c r="GH336" s="420">
        <f t="shared" si="261"/>
        <v>0</v>
      </c>
      <c r="GI336" s="423">
        <f t="shared" si="262"/>
        <v>0</v>
      </c>
      <c r="GJ336" s="419"/>
      <c r="GK336" s="419"/>
      <c r="GL336" s="419"/>
      <c r="GM336" s="420">
        <f t="shared" si="257"/>
        <v>0</v>
      </c>
      <c r="GN336" s="420">
        <f t="shared" si="258"/>
        <v>0</v>
      </c>
      <c r="GO336" s="419"/>
      <c r="GP336" s="419"/>
      <c r="GQ336" s="419"/>
      <c r="GR336" s="420">
        <f t="shared" si="268"/>
        <v>0</v>
      </c>
      <c r="GS336" s="423">
        <f t="shared" si="265"/>
        <v>0</v>
      </c>
      <c r="GT336" s="419"/>
      <c r="GU336" s="419"/>
      <c r="GV336" s="419"/>
      <c r="GW336" s="420">
        <f t="shared" si="266"/>
        <v>0</v>
      </c>
      <c r="GX336" s="420">
        <f t="shared" si="267"/>
        <v>0</v>
      </c>
    </row>
    <row r="337" spans="1:206" ht="15">
      <c r="A337" s="414"/>
      <c r="B337" s="415"/>
      <c r="C337" s="698"/>
      <c r="D337" s="467" t="s">
        <v>683</v>
      </c>
      <c r="E337" s="434" t="s">
        <v>125</v>
      </c>
      <c r="F337" s="417">
        <v>0.06</v>
      </c>
      <c r="G337" s="418">
        <f t="shared" si="263"/>
        <v>226415.09</v>
      </c>
      <c r="H337" s="418">
        <f t="shared" si="264"/>
        <v>226415.09</v>
      </c>
      <c r="I337" s="418">
        <f t="shared" si="264"/>
        <v>13584.9054</v>
      </c>
      <c r="J337" s="418">
        <f t="shared" si="252"/>
        <v>226415.09</v>
      </c>
      <c r="K337" s="418">
        <f t="shared" si="250"/>
        <v>0</v>
      </c>
      <c r="L337" s="418">
        <f t="shared" si="218"/>
        <v>0</v>
      </c>
      <c r="M337" s="424"/>
      <c r="N337" s="424"/>
      <c r="O337" s="424"/>
      <c r="P337" s="424"/>
      <c r="Q337" s="419"/>
      <c r="R337" s="419"/>
      <c r="S337" s="419"/>
      <c r="T337" s="420"/>
      <c r="U337" s="423"/>
      <c r="V337" s="420"/>
      <c r="W337" s="420"/>
      <c r="X337" s="419"/>
      <c r="Y337" s="419"/>
      <c r="Z337" s="423"/>
      <c r="AA337" s="423"/>
      <c r="AB337" s="419"/>
      <c r="AC337" s="419"/>
      <c r="AD337" s="420"/>
      <c r="AE337" s="423"/>
      <c r="AF337" s="419"/>
      <c r="AG337" s="419"/>
      <c r="AH337" s="419"/>
      <c r="AI337" s="420"/>
      <c r="AJ337" s="423"/>
      <c r="AK337" s="419"/>
      <c r="AL337" s="436">
        <v>226415.09</v>
      </c>
      <c r="AM337" s="419">
        <v>13584.9054</v>
      </c>
      <c r="AN337" s="420">
        <f t="shared" si="271"/>
        <v>226415.09</v>
      </c>
      <c r="AO337" s="423">
        <f t="shared" si="272"/>
        <v>226415.09</v>
      </c>
      <c r="AP337" s="444">
        <v>226415.09</v>
      </c>
      <c r="AQ337" s="419"/>
      <c r="AR337" s="420"/>
      <c r="AS337" s="420">
        <f t="shared" si="273"/>
        <v>0</v>
      </c>
      <c r="AT337" s="420">
        <f t="shared" si="274"/>
        <v>-226415.09</v>
      </c>
      <c r="AU337" s="420"/>
      <c r="AV337" s="420"/>
      <c r="AW337" s="420"/>
      <c r="AX337" s="426">
        <f t="shared" si="275"/>
        <v>0</v>
      </c>
      <c r="AY337" s="420">
        <f t="shared" si="276"/>
        <v>0</v>
      </c>
      <c r="AZ337" s="420"/>
      <c r="BA337" s="420"/>
      <c r="BB337" s="419"/>
      <c r="BC337" s="420">
        <f t="shared" si="277"/>
        <v>0</v>
      </c>
      <c r="BD337" s="427">
        <f t="shared" si="278"/>
        <v>0</v>
      </c>
      <c r="BE337" s="420"/>
      <c r="BF337" s="420"/>
      <c r="BG337" s="420"/>
      <c r="BH337" s="423">
        <f t="shared" si="279"/>
        <v>0</v>
      </c>
      <c r="BI337" s="420">
        <f t="shared" si="280"/>
        <v>0</v>
      </c>
      <c r="BJ337" s="420"/>
      <c r="BK337" s="420"/>
      <c r="BL337" s="420"/>
      <c r="BM337" s="420">
        <f t="shared" si="281"/>
        <v>0</v>
      </c>
      <c r="BN337" s="420">
        <f t="shared" si="282"/>
        <v>0</v>
      </c>
      <c r="BO337" s="419"/>
      <c r="BP337" s="428"/>
      <c r="BQ337" s="420">
        <v>0</v>
      </c>
      <c r="BR337" s="423">
        <f t="shared" si="283"/>
        <v>0</v>
      </c>
      <c r="BS337" s="423">
        <f t="shared" si="284"/>
        <v>0</v>
      </c>
      <c r="BT337" s="420"/>
      <c r="BU337" s="420"/>
      <c r="BV337" s="420"/>
      <c r="BW337" s="420"/>
      <c r="BX337" s="429">
        <f t="shared" si="285"/>
        <v>0</v>
      </c>
      <c r="BY337" s="419"/>
      <c r="BZ337" s="419"/>
      <c r="CA337" s="419"/>
      <c r="CB337" s="420">
        <f t="shared" si="286"/>
        <v>0</v>
      </c>
      <c r="CC337" s="430">
        <f t="shared" si="287"/>
        <v>0</v>
      </c>
      <c r="CD337" s="419"/>
      <c r="CE337" s="419"/>
      <c r="CF337" s="419"/>
      <c r="CG337" s="420">
        <f t="shared" si="288"/>
        <v>0</v>
      </c>
      <c r="CH337" s="423">
        <f t="shared" si="289"/>
        <v>0</v>
      </c>
      <c r="CI337" s="431"/>
      <c r="CJ337" s="431"/>
      <c r="CK337" s="431"/>
      <c r="CL337" s="420">
        <f t="shared" si="290"/>
        <v>0</v>
      </c>
      <c r="CM337" s="423">
        <f t="shared" si="291"/>
        <v>0</v>
      </c>
      <c r="CN337" s="420"/>
      <c r="CO337" s="420"/>
      <c r="CP337" s="420"/>
      <c r="CQ337" s="432"/>
      <c r="CR337" s="432">
        <f t="shared" si="292"/>
        <v>0</v>
      </c>
      <c r="CS337" s="420"/>
      <c r="CT337" s="420"/>
      <c r="CU337" s="420"/>
      <c r="CV337" s="420"/>
      <c r="CW337" s="420">
        <f t="shared" si="293"/>
        <v>0</v>
      </c>
      <c r="CX337" s="419"/>
      <c r="CY337" s="419"/>
      <c r="CZ337" s="419"/>
      <c r="DA337" s="419">
        <f t="shared" si="294"/>
        <v>0</v>
      </c>
      <c r="DB337" s="419">
        <f t="shared" si="295"/>
        <v>0</v>
      </c>
      <c r="DC337" s="419"/>
      <c r="DD337" s="419"/>
      <c r="DE337" s="419"/>
      <c r="DF337" s="420">
        <f t="shared" si="296"/>
        <v>0</v>
      </c>
      <c r="DG337" s="421">
        <f t="shared" si="297"/>
        <v>0</v>
      </c>
      <c r="DH337" s="419"/>
      <c r="DI337" s="419"/>
      <c r="DJ337" s="419"/>
      <c r="DK337" s="420">
        <f t="shared" si="298"/>
        <v>0</v>
      </c>
      <c r="DL337" s="422">
        <f t="shared" si="299"/>
        <v>0</v>
      </c>
      <c r="DM337" s="420"/>
      <c r="DN337" s="420"/>
      <c r="DO337" s="420"/>
      <c r="DP337" s="420">
        <f t="shared" si="300"/>
        <v>0</v>
      </c>
      <c r="DQ337" s="420">
        <f t="shared" si="301"/>
        <v>0</v>
      </c>
      <c r="DR337" s="419"/>
      <c r="DS337" s="419"/>
      <c r="DT337" s="419"/>
      <c r="DU337" s="420">
        <f t="shared" si="302"/>
        <v>0</v>
      </c>
      <c r="DV337" s="423">
        <f t="shared" si="303"/>
        <v>0</v>
      </c>
      <c r="DW337" s="419"/>
      <c r="DX337" s="419"/>
      <c r="DY337" s="419"/>
      <c r="DZ337" s="420">
        <f t="shared" si="304"/>
        <v>0</v>
      </c>
      <c r="EA337" s="423">
        <f t="shared" si="305"/>
        <v>0</v>
      </c>
      <c r="EB337" s="419"/>
      <c r="EC337" s="419"/>
      <c r="ED337" s="420"/>
      <c r="EE337" s="419"/>
      <c r="EF337" s="420">
        <f t="shared" si="306"/>
        <v>0</v>
      </c>
      <c r="EG337" s="419"/>
      <c r="EH337" s="419"/>
      <c r="EI337" s="419"/>
      <c r="EJ337" s="420">
        <f t="shared" si="307"/>
        <v>0</v>
      </c>
      <c r="EK337" s="420">
        <f t="shared" si="308"/>
        <v>0</v>
      </c>
      <c r="EL337" s="419"/>
      <c r="EM337" s="419"/>
      <c r="EN337" s="419"/>
      <c r="EO337" s="419">
        <f t="shared" si="309"/>
        <v>0</v>
      </c>
      <c r="EP337" s="419">
        <f t="shared" si="310"/>
        <v>0</v>
      </c>
      <c r="EQ337" s="419"/>
      <c r="ER337" s="419"/>
      <c r="ES337" s="419"/>
      <c r="ET337" s="419">
        <f t="shared" si="311"/>
        <v>0</v>
      </c>
      <c r="EU337" s="419">
        <f t="shared" si="312"/>
        <v>0</v>
      </c>
      <c r="EV337" s="419"/>
      <c r="EW337" s="419"/>
      <c r="EX337" s="419"/>
      <c r="EY337" s="419">
        <f t="shared" si="313"/>
        <v>0</v>
      </c>
      <c r="EZ337" s="419">
        <f t="shared" si="314"/>
        <v>0</v>
      </c>
      <c r="FA337" s="420"/>
      <c r="FB337" s="420"/>
      <c r="FC337" s="420"/>
      <c r="FD337" s="420">
        <f t="shared" si="315"/>
        <v>0</v>
      </c>
      <c r="FE337" s="420">
        <f t="shared" si="316"/>
        <v>0</v>
      </c>
      <c r="FF337" s="419"/>
      <c r="FG337" s="419"/>
      <c r="FH337" s="419"/>
      <c r="FI337" s="419">
        <f t="shared" si="317"/>
        <v>0</v>
      </c>
      <c r="FJ337" s="419">
        <f t="shared" si="318"/>
        <v>0</v>
      </c>
      <c r="FK337" s="419"/>
      <c r="FL337" s="419"/>
      <c r="FM337" s="419"/>
      <c r="FN337" s="420">
        <f t="shared" si="319"/>
        <v>0</v>
      </c>
      <c r="FO337" s="423">
        <f t="shared" si="320"/>
        <v>0</v>
      </c>
      <c r="FP337" s="419"/>
      <c r="FQ337" s="419"/>
      <c r="FR337" s="419"/>
      <c r="FS337" s="420">
        <f t="shared" si="321"/>
        <v>0</v>
      </c>
      <c r="FT337" s="420">
        <f t="shared" si="322"/>
        <v>0</v>
      </c>
      <c r="FU337" s="419"/>
      <c r="FV337" s="419"/>
      <c r="FW337" s="419"/>
      <c r="FX337" s="420">
        <f t="shared" si="323"/>
        <v>0</v>
      </c>
      <c r="FY337" s="420">
        <f t="shared" si="324"/>
        <v>0</v>
      </c>
      <c r="FZ337" s="419"/>
      <c r="GA337" s="419"/>
      <c r="GB337" s="419"/>
      <c r="GC337" s="420">
        <f t="shared" si="269"/>
        <v>0</v>
      </c>
      <c r="GD337" s="420">
        <f t="shared" si="270"/>
        <v>0</v>
      </c>
      <c r="GE337" s="419"/>
      <c r="GF337" s="419"/>
      <c r="GG337" s="419"/>
      <c r="GH337" s="420">
        <f t="shared" si="261"/>
        <v>0</v>
      </c>
      <c r="GI337" s="423">
        <f t="shared" si="262"/>
        <v>0</v>
      </c>
      <c r="GJ337" s="419"/>
      <c r="GK337" s="419"/>
      <c r="GL337" s="419"/>
      <c r="GM337" s="420">
        <f t="shared" si="257"/>
        <v>0</v>
      </c>
      <c r="GN337" s="420">
        <f t="shared" si="258"/>
        <v>0</v>
      </c>
      <c r="GO337" s="419"/>
      <c r="GP337" s="419"/>
      <c r="GQ337" s="419"/>
      <c r="GR337" s="420">
        <f t="shared" si="268"/>
        <v>0</v>
      </c>
      <c r="GS337" s="423">
        <f t="shared" si="265"/>
        <v>0</v>
      </c>
      <c r="GT337" s="419"/>
      <c r="GU337" s="419"/>
      <c r="GV337" s="419"/>
      <c r="GW337" s="420">
        <f t="shared" si="266"/>
        <v>0</v>
      </c>
      <c r="GX337" s="420">
        <f t="shared" si="267"/>
        <v>0</v>
      </c>
    </row>
    <row r="338" spans="1:206" ht="15">
      <c r="A338" s="414"/>
      <c r="B338" s="415"/>
      <c r="C338" s="698"/>
      <c r="D338" s="467" t="s">
        <v>684</v>
      </c>
      <c r="E338" s="434" t="s">
        <v>123</v>
      </c>
      <c r="F338" s="417">
        <v>0.13</v>
      </c>
      <c r="G338" s="418">
        <f t="shared" si="263"/>
        <v>-0.679999999701977</v>
      </c>
      <c r="H338" s="418">
        <f t="shared" si="264"/>
        <v>0</v>
      </c>
      <c r="I338" s="418">
        <f t="shared" si="264"/>
        <v>-9.0100000030361102E-2</v>
      </c>
      <c r="J338" s="418">
        <f t="shared" si="252"/>
        <v>-0.69307692331046999</v>
      </c>
      <c r="K338" s="418">
        <f t="shared" si="250"/>
        <v>-0.69307692331046999</v>
      </c>
      <c r="L338" s="418">
        <f t="shared" si="218"/>
        <v>-1.30769236084933E-2</v>
      </c>
      <c r="M338" s="424"/>
      <c r="N338" s="424"/>
      <c r="O338" s="424"/>
      <c r="P338" s="424"/>
      <c r="Q338" s="419"/>
      <c r="R338" s="419"/>
      <c r="S338" s="419"/>
      <c r="T338" s="420"/>
      <c r="U338" s="423"/>
      <c r="V338" s="420"/>
      <c r="W338" s="420"/>
      <c r="X338" s="419"/>
      <c r="Y338" s="419"/>
      <c r="Z338" s="423"/>
      <c r="AA338" s="423"/>
      <c r="AB338" s="419"/>
      <c r="AC338" s="419"/>
      <c r="AD338" s="420"/>
      <c r="AE338" s="423"/>
      <c r="AF338" s="419"/>
      <c r="AG338" s="419"/>
      <c r="AH338" s="419"/>
      <c r="AI338" s="420"/>
      <c r="AJ338" s="423"/>
      <c r="AK338" s="436">
        <v>4377779.2300000004</v>
      </c>
      <c r="AL338" s="436">
        <v>4377779.2300000004</v>
      </c>
      <c r="AM338" s="392">
        <v>569111.29989999998</v>
      </c>
      <c r="AN338" s="420">
        <f t="shared" si="271"/>
        <v>4377779.2300000004</v>
      </c>
      <c r="AO338" s="423">
        <f t="shared" si="272"/>
        <v>0</v>
      </c>
      <c r="AP338" s="419"/>
      <c r="AQ338" s="419"/>
      <c r="AR338" s="420"/>
      <c r="AS338" s="420">
        <f t="shared" si="273"/>
        <v>0</v>
      </c>
      <c r="AT338" s="420">
        <f t="shared" si="274"/>
        <v>0</v>
      </c>
      <c r="AU338" s="420"/>
      <c r="AV338" s="420"/>
      <c r="AW338" s="420"/>
      <c r="AX338" s="426">
        <f t="shared" si="275"/>
        <v>0</v>
      </c>
      <c r="AY338" s="420">
        <f t="shared" si="276"/>
        <v>0</v>
      </c>
      <c r="AZ338" s="419"/>
      <c r="BA338" s="420"/>
      <c r="BB338" s="419"/>
      <c r="BC338" s="420">
        <f t="shared" si="277"/>
        <v>0</v>
      </c>
      <c r="BD338" s="427">
        <f t="shared" si="278"/>
        <v>0</v>
      </c>
      <c r="BE338" s="420"/>
      <c r="BF338" s="420"/>
      <c r="BG338" s="420"/>
      <c r="BH338" s="423">
        <f t="shared" si="279"/>
        <v>0</v>
      </c>
      <c r="BI338" s="420">
        <f t="shared" si="280"/>
        <v>0</v>
      </c>
      <c r="BJ338" s="420"/>
      <c r="BK338" s="420"/>
      <c r="BL338" s="420"/>
      <c r="BM338" s="420">
        <f t="shared" si="281"/>
        <v>0</v>
      </c>
      <c r="BN338" s="420">
        <f t="shared" si="282"/>
        <v>0</v>
      </c>
      <c r="BO338" s="419"/>
      <c r="BP338" s="428"/>
      <c r="BQ338" s="420"/>
      <c r="BR338" s="423">
        <f t="shared" si="283"/>
        <v>0</v>
      </c>
      <c r="BS338" s="423">
        <f t="shared" si="284"/>
        <v>0</v>
      </c>
      <c r="BT338" s="420">
        <v>-4377779.91</v>
      </c>
      <c r="BU338" s="426">
        <v>-4377779.2300000004</v>
      </c>
      <c r="BV338" s="420">
        <v>-569111.39</v>
      </c>
      <c r="BW338" s="420">
        <v>-4377779.91</v>
      </c>
      <c r="BX338" s="429">
        <f t="shared" si="285"/>
        <v>0</v>
      </c>
      <c r="BY338" s="419"/>
      <c r="BZ338" s="419"/>
      <c r="CA338" s="419"/>
      <c r="CB338" s="420">
        <f t="shared" si="286"/>
        <v>0</v>
      </c>
      <c r="CC338" s="430">
        <f t="shared" si="287"/>
        <v>0</v>
      </c>
      <c r="CD338" s="419"/>
      <c r="CE338" s="419"/>
      <c r="CF338" s="419"/>
      <c r="CG338" s="420">
        <f t="shared" si="288"/>
        <v>0</v>
      </c>
      <c r="CH338" s="423">
        <f t="shared" si="289"/>
        <v>0</v>
      </c>
      <c r="CI338" s="431"/>
      <c r="CJ338" s="431"/>
      <c r="CK338" s="431"/>
      <c r="CL338" s="420">
        <f t="shared" si="290"/>
        <v>0</v>
      </c>
      <c r="CM338" s="423">
        <f t="shared" si="291"/>
        <v>0</v>
      </c>
      <c r="CN338" s="420"/>
      <c r="CO338" s="420"/>
      <c r="CP338" s="420"/>
      <c r="CQ338" s="432"/>
      <c r="CR338" s="432">
        <f t="shared" si="292"/>
        <v>0</v>
      </c>
      <c r="CS338" s="420"/>
      <c r="CT338" s="420"/>
      <c r="CU338" s="420"/>
      <c r="CV338" s="420"/>
      <c r="CW338" s="420">
        <f t="shared" si="293"/>
        <v>0</v>
      </c>
      <c r="CX338" s="419"/>
      <c r="CY338" s="419"/>
      <c r="CZ338" s="419"/>
      <c r="DA338" s="419">
        <f t="shared" si="294"/>
        <v>0</v>
      </c>
      <c r="DB338" s="419">
        <f t="shared" si="295"/>
        <v>0</v>
      </c>
      <c r="DC338" s="419"/>
      <c r="DD338" s="419"/>
      <c r="DE338" s="419"/>
      <c r="DF338" s="420">
        <f t="shared" si="296"/>
        <v>0</v>
      </c>
      <c r="DG338" s="421">
        <f t="shared" si="297"/>
        <v>0</v>
      </c>
      <c r="DH338" s="419"/>
      <c r="DI338" s="419"/>
      <c r="DJ338" s="419"/>
      <c r="DK338" s="420">
        <f t="shared" si="298"/>
        <v>0</v>
      </c>
      <c r="DL338" s="422">
        <f t="shared" si="299"/>
        <v>0</v>
      </c>
      <c r="DM338" s="420"/>
      <c r="DN338" s="420"/>
      <c r="DO338" s="420"/>
      <c r="DP338" s="420">
        <f t="shared" si="300"/>
        <v>0</v>
      </c>
      <c r="DQ338" s="420">
        <f t="shared" si="301"/>
        <v>0</v>
      </c>
      <c r="DR338" s="419"/>
      <c r="DS338" s="419"/>
      <c r="DT338" s="419"/>
      <c r="DU338" s="420">
        <f t="shared" si="302"/>
        <v>0</v>
      </c>
      <c r="DV338" s="423">
        <f t="shared" si="303"/>
        <v>0</v>
      </c>
      <c r="DW338" s="419"/>
      <c r="DX338" s="419"/>
      <c r="DY338" s="419"/>
      <c r="DZ338" s="420">
        <f t="shared" si="304"/>
        <v>0</v>
      </c>
      <c r="EA338" s="423">
        <f t="shared" si="305"/>
        <v>0</v>
      </c>
      <c r="EB338" s="419"/>
      <c r="EC338" s="419"/>
      <c r="ED338" s="420"/>
      <c r="EE338" s="419"/>
      <c r="EF338" s="420">
        <f t="shared" si="306"/>
        <v>0</v>
      </c>
      <c r="EG338" s="419"/>
      <c r="EH338" s="419"/>
      <c r="EI338" s="419"/>
      <c r="EJ338" s="420">
        <f t="shared" si="307"/>
        <v>0</v>
      </c>
      <c r="EK338" s="420">
        <f t="shared" si="308"/>
        <v>0</v>
      </c>
      <c r="EL338" s="419"/>
      <c r="EM338" s="419"/>
      <c r="EN338" s="419"/>
      <c r="EO338" s="419">
        <f t="shared" si="309"/>
        <v>0</v>
      </c>
      <c r="EP338" s="419">
        <f t="shared" si="310"/>
        <v>0</v>
      </c>
      <c r="EQ338" s="419"/>
      <c r="ER338" s="419"/>
      <c r="ES338" s="419"/>
      <c r="ET338" s="419">
        <f t="shared" si="311"/>
        <v>0</v>
      </c>
      <c r="EU338" s="419">
        <f t="shared" si="312"/>
        <v>0</v>
      </c>
      <c r="EV338" s="419"/>
      <c r="EW338" s="419"/>
      <c r="EX338" s="419"/>
      <c r="EY338" s="419">
        <f t="shared" si="313"/>
        <v>0</v>
      </c>
      <c r="EZ338" s="419">
        <f t="shared" si="314"/>
        <v>0</v>
      </c>
      <c r="FA338" s="420"/>
      <c r="FB338" s="420"/>
      <c r="FC338" s="420"/>
      <c r="FD338" s="420">
        <f t="shared" si="315"/>
        <v>0</v>
      </c>
      <c r="FE338" s="420">
        <f t="shared" si="316"/>
        <v>0</v>
      </c>
      <c r="FF338" s="419"/>
      <c r="FG338" s="419"/>
      <c r="FH338" s="419"/>
      <c r="FI338" s="419">
        <f t="shared" si="317"/>
        <v>0</v>
      </c>
      <c r="FJ338" s="419">
        <f t="shared" si="318"/>
        <v>0</v>
      </c>
      <c r="FK338" s="419"/>
      <c r="FL338" s="419"/>
      <c r="FM338" s="419"/>
      <c r="FN338" s="420">
        <f t="shared" si="319"/>
        <v>0</v>
      </c>
      <c r="FO338" s="423">
        <f t="shared" si="320"/>
        <v>0</v>
      </c>
      <c r="FP338" s="419"/>
      <c r="FQ338" s="419"/>
      <c r="FR338" s="419"/>
      <c r="FS338" s="420">
        <f t="shared" si="321"/>
        <v>0</v>
      </c>
      <c r="FT338" s="420">
        <f t="shared" si="322"/>
        <v>0</v>
      </c>
      <c r="FU338" s="419"/>
      <c r="FV338" s="419"/>
      <c r="FW338" s="419"/>
      <c r="FX338" s="420">
        <f t="shared" si="323"/>
        <v>0</v>
      </c>
      <c r="FY338" s="420">
        <f t="shared" si="324"/>
        <v>0</v>
      </c>
      <c r="FZ338" s="419"/>
      <c r="GA338" s="419"/>
      <c r="GB338" s="419"/>
      <c r="GC338" s="420">
        <f t="shared" si="269"/>
        <v>0</v>
      </c>
      <c r="GD338" s="420">
        <f t="shared" si="270"/>
        <v>0</v>
      </c>
      <c r="GE338" s="419"/>
      <c r="GF338" s="419"/>
      <c r="GG338" s="419"/>
      <c r="GH338" s="420">
        <f t="shared" si="261"/>
        <v>0</v>
      </c>
      <c r="GI338" s="423">
        <f t="shared" si="262"/>
        <v>0</v>
      </c>
      <c r="GJ338" s="419"/>
      <c r="GK338" s="419"/>
      <c r="GL338" s="419"/>
      <c r="GM338" s="420">
        <f t="shared" si="257"/>
        <v>0</v>
      </c>
      <c r="GN338" s="420">
        <f t="shared" si="258"/>
        <v>0</v>
      </c>
      <c r="GO338" s="419"/>
      <c r="GP338" s="419"/>
      <c r="GQ338" s="419"/>
      <c r="GR338" s="420">
        <f t="shared" si="268"/>
        <v>0</v>
      </c>
      <c r="GS338" s="423">
        <f t="shared" si="265"/>
        <v>0</v>
      </c>
      <c r="GT338" s="419"/>
      <c r="GU338" s="419"/>
      <c r="GV338" s="419"/>
      <c r="GW338" s="420">
        <f t="shared" si="266"/>
        <v>0</v>
      </c>
      <c r="GX338" s="420">
        <f t="shared" si="267"/>
        <v>0</v>
      </c>
    </row>
    <row r="339" spans="1:206" ht="15">
      <c r="A339" s="414"/>
      <c r="B339" s="415"/>
      <c r="C339" s="698"/>
      <c r="D339" s="467" t="s">
        <v>685</v>
      </c>
      <c r="E339" s="434" t="s">
        <v>123</v>
      </c>
      <c r="F339" s="417">
        <v>0.13</v>
      </c>
      <c r="G339" s="418">
        <f t="shared" si="263"/>
        <v>92467.26</v>
      </c>
      <c r="H339" s="418">
        <f t="shared" si="264"/>
        <v>92467.26</v>
      </c>
      <c r="I339" s="418">
        <f t="shared" si="264"/>
        <v>12020.7438</v>
      </c>
      <c r="J339" s="418">
        <f t="shared" si="252"/>
        <v>92467.26</v>
      </c>
      <c r="K339" s="418">
        <f t="shared" si="250"/>
        <v>0</v>
      </c>
      <c r="L339" s="418">
        <f t="shared" si="218"/>
        <v>0</v>
      </c>
      <c r="M339" s="424"/>
      <c r="N339" s="424"/>
      <c r="O339" s="424"/>
      <c r="P339" s="424"/>
      <c r="Q339" s="419"/>
      <c r="R339" s="419"/>
      <c r="S339" s="419"/>
      <c r="T339" s="420"/>
      <c r="U339" s="423"/>
      <c r="V339" s="420"/>
      <c r="W339" s="420"/>
      <c r="X339" s="419"/>
      <c r="Y339" s="419"/>
      <c r="Z339" s="423"/>
      <c r="AA339" s="423"/>
      <c r="AB339" s="419"/>
      <c r="AC339" s="419"/>
      <c r="AD339" s="420"/>
      <c r="AE339" s="423"/>
      <c r="AF339" s="419"/>
      <c r="AG339" s="419"/>
      <c r="AH339" s="419"/>
      <c r="AI339" s="420"/>
      <c r="AJ339" s="423"/>
      <c r="AK339" s="436">
        <v>92467.26</v>
      </c>
      <c r="AL339" s="436">
        <v>92467.26</v>
      </c>
      <c r="AM339" s="392">
        <v>12020.7438</v>
      </c>
      <c r="AN339" s="420">
        <f t="shared" si="271"/>
        <v>92467.26</v>
      </c>
      <c r="AO339" s="423">
        <f t="shared" si="272"/>
        <v>0</v>
      </c>
      <c r="AP339" s="419"/>
      <c r="AQ339" s="419"/>
      <c r="AR339" s="420"/>
      <c r="AS339" s="420">
        <f t="shared" si="273"/>
        <v>0</v>
      </c>
      <c r="AT339" s="420">
        <f t="shared" si="274"/>
        <v>0</v>
      </c>
      <c r="AU339" s="420"/>
      <c r="AV339" s="420"/>
      <c r="AW339" s="420"/>
      <c r="AX339" s="426">
        <f t="shared" si="275"/>
        <v>0</v>
      </c>
      <c r="AY339" s="420">
        <f t="shared" si="276"/>
        <v>0</v>
      </c>
      <c r="AZ339" s="419"/>
      <c r="BA339" s="420"/>
      <c r="BB339" s="419"/>
      <c r="BC339" s="420">
        <f t="shared" si="277"/>
        <v>0</v>
      </c>
      <c r="BD339" s="427">
        <f t="shared" si="278"/>
        <v>0</v>
      </c>
      <c r="BE339" s="420"/>
      <c r="BF339" s="420"/>
      <c r="BG339" s="420"/>
      <c r="BH339" s="423">
        <f t="shared" si="279"/>
        <v>0</v>
      </c>
      <c r="BI339" s="420">
        <f t="shared" si="280"/>
        <v>0</v>
      </c>
      <c r="BJ339" s="420"/>
      <c r="BK339" s="420"/>
      <c r="BL339" s="420"/>
      <c r="BM339" s="420">
        <f t="shared" si="281"/>
        <v>0</v>
      </c>
      <c r="BN339" s="420">
        <f t="shared" si="282"/>
        <v>0</v>
      </c>
      <c r="BO339" s="419"/>
      <c r="BP339" s="428"/>
      <c r="BQ339" s="420"/>
      <c r="BR339" s="423">
        <f t="shared" si="283"/>
        <v>0</v>
      </c>
      <c r="BS339" s="423">
        <f t="shared" si="284"/>
        <v>0</v>
      </c>
      <c r="BT339" s="420"/>
      <c r="BU339" s="420"/>
      <c r="BV339" s="420"/>
      <c r="BW339" s="420"/>
      <c r="BX339" s="429">
        <f t="shared" si="285"/>
        <v>0</v>
      </c>
      <c r="BY339" s="419"/>
      <c r="BZ339" s="419"/>
      <c r="CA339" s="419"/>
      <c r="CB339" s="420">
        <f t="shared" si="286"/>
        <v>0</v>
      </c>
      <c r="CC339" s="430">
        <f t="shared" si="287"/>
        <v>0</v>
      </c>
      <c r="CD339" s="419"/>
      <c r="CE339" s="419"/>
      <c r="CF339" s="419"/>
      <c r="CG339" s="420">
        <f t="shared" si="288"/>
        <v>0</v>
      </c>
      <c r="CH339" s="423">
        <f t="shared" si="289"/>
        <v>0</v>
      </c>
      <c r="CI339" s="431"/>
      <c r="CJ339" s="431"/>
      <c r="CK339" s="431"/>
      <c r="CL339" s="420">
        <f t="shared" si="290"/>
        <v>0</v>
      </c>
      <c r="CM339" s="423">
        <f t="shared" si="291"/>
        <v>0</v>
      </c>
      <c r="CN339" s="420"/>
      <c r="CO339" s="420"/>
      <c r="CP339" s="420"/>
      <c r="CQ339" s="432"/>
      <c r="CR339" s="432">
        <f t="shared" si="292"/>
        <v>0</v>
      </c>
      <c r="CS339" s="420"/>
      <c r="CT339" s="420"/>
      <c r="CU339" s="420"/>
      <c r="CV339" s="420"/>
      <c r="CW339" s="420">
        <f t="shared" si="293"/>
        <v>0</v>
      </c>
      <c r="CX339" s="419"/>
      <c r="CY339" s="419"/>
      <c r="CZ339" s="419"/>
      <c r="DA339" s="419">
        <f t="shared" si="294"/>
        <v>0</v>
      </c>
      <c r="DB339" s="419">
        <f t="shared" si="295"/>
        <v>0</v>
      </c>
      <c r="DC339" s="419"/>
      <c r="DD339" s="419"/>
      <c r="DE339" s="419"/>
      <c r="DF339" s="420">
        <f t="shared" si="296"/>
        <v>0</v>
      </c>
      <c r="DG339" s="421">
        <f t="shared" si="297"/>
        <v>0</v>
      </c>
      <c r="DH339" s="419"/>
      <c r="DI339" s="419"/>
      <c r="DJ339" s="419"/>
      <c r="DK339" s="420">
        <f t="shared" si="298"/>
        <v>0</v>
      </c>
      <c r="DL339" s="422">
        <f t="shared" si="299"/>
        <v>0</v>
      </c>
      <c r="DM339" s="420"/>
      <c r="DN339" s="420"/>
      <c r="DO339" s="420"/>
      <c r="DP339" s="420">
        <f t="shared" si="300"/>
        <v>0</v>
      </c>
      <c r="DQ339" s="420">
        <f t="shared" si="301"/>
        <v>0</v>
      </c>
      <c r="DR339" s="419"/>
      <c r="DS339" s="419"/>
      <c r="DT339" s="419"/>
      <c r="DU339" s="420">
        <f t="shared" si="302"/>
        <v>0</v>
      </c>
      <c r="DV339" s="423">
        <f t="shared" si="303"/>
        <v>0</v>
      </c>
      <c r="DW339" s="419"/>
      <c r="DX339" s="419"/>
      <c r="DY339" s="419"/>
      <c r="DZ339" s="420">
        <f t="shared" si="304"/>
        <v>0</v>
      </c>
      <c r="EA339" s="423">
        <f t="shared" si="305"/>
        <v>0</v>
      </c>
      <c r="EB339" s="419"/>
      <c r="EC339" s="419"/>
      <c r="ED339" s="420"/>
      <c r="EE339" s="419"/>
      <c r="EF339" s="420">
        <f t="shared" si="306"/>
        <v>0</v>
      </c>
      <c r="EG339" s="419"/>
      <c r="EH339" s="419"/>
      <c r="EI339" s="419"/>
      <c r="EJ339" s="420">
        <f t="shared" si="307"/>
        <v>0</v>
      </c>
      <c r="EK339" s="420">
        <f t="shared" si="308"/>
        <v>0</v>
      </c>
      <c r="EL339" s="419"/>
      <c r="EM339" s="419"/>
      <c r="EN339" s="419"/>
      <c r="EO339" s="419">
        <f t="shared" si="309"/>
        <v>0</v>
      </c>
      <c r="EP339" s="419">
        <f t="shared" si="310"/>
        <v>0</v>
      </c>
      <c r="EQ339" s="419"/>
      <c r="ER339" s="419"/>
      <c r="ES339" s="419"/>
      <c r="ET339" s="419">
        <f t="shared" si="311"/>
        <v>0</v>
      </c>
      <c r="EU339" s="419">
        <f t="shared" si="312"/>
        <v>0</v>
      </c>
      <c r="EV339" s="419"/>
      <c r="EW339" s="419"/>
      <c r="EX339" s="419"/>
      <c r="EY339" s="419">
        <f t="shared" si="313"/>
        <v>0</v>
      </c>
      <c r="EZ339" s="419">
        <f t="shared" si="314"/>
        <v>0</v>
      </c>
      <c r="FA339" s="420"/>
      <c r="FB339" s="420"/>
      <c r="FC339" s="420"/>
      <c r="FD339" s="420">
        <f t="shared" si="315"/>
        <v>0</v>
      </c>
      <c r="FE339" s="420">
        <f t="shared" si="316"/>
        <v>0</v>
      </c>
      <c r="FF339" s="419"/>
      <c r="FG339" s="419"/>
      <c r="FH339" s="419"/>
      <c r="FI339" s="419">
        <f t="shared" si="317"/>
        <v>0</v>
      </c>
      <c r="FJ339" s="419">
        <f t="shared" si="318"/>
        <v>0</v>
      </c>
      <c r="FK339" s="419"/>
      <c r="FL339" s="419"/>
      <c r="FM339" s="419"/>
      <c r="FN339" s="420">
        <f t="shared" si="319"/>
        <v>0</v>
      </c>
      <c r="FO339" s="423">
        <f t="shared" si="320"/>
        <v>0</v>
      </c>
      <c r="FP339" s="419"/>
      <c r="FQ339" s="419"/>
      <c r="FR339" s="419"/>
      <c r="FS339" s="420">
        <f t="shared" si="321"/>
        <v>0</v>
      </c>
      <c r="FT339" s="420">
        <f t="shared" si="322"/>
        <v>0</v>
      </c>
      <c r="FU339" s="419"/>
      <c r="FV339" s="419"/>
      <c r="FW339" s="419"/>
      <c r="FX339" s="420">
        <f t="shared" si="323"/>
        <v>0</v>
      </c>
      <c r="FY339" s="420">
        <f t="shared" si="324"/>
        <v>0</v>
      </c>
      <c r="FZ339" s="419"/>
      <c r="GA339" s="419"/>
      <c r="GB339" s="419"/>
      <c r="GC339" s="420">
        <f t="shared" si="269"/>
        <v>0</v>
      </c>
      <c r="GD339" s="420">
        <f t="shared" si="270"/>
        <v>0</v>
      </c>
      <c r="GE339" s="419"/>
      <c r="GF339" s="419"/>
      <c r="GG339" s="419"/>
      <c r="GH339" s="420">
        <f t="shared" si="261"/>
        <v>0</v>
      </c>
      <c r="GI339" s="423">
        <f t="shared" si="262"/>
        <v>0</v>
      </c>
      <c r="GJ339" s="419"/>
      <c r="GK339" s="419"/>
      <c r="GL339" s="419"/>
      <c r="GM339" s="420">
        <f t="shared" si="257"/>
        <v>0</v>
      </c>
      <c r="GN339" s="420">
        <f t="shared" si="258"/>
        <v>0</v>
      </c>
      <c r="GO339" s="419"/>
      <c r="GP339" s="419"/>
      <c r="GQ339" s="419"/>
      <c r="GR339" s="420">
        <f t="shared" si="268"/>
        <v>0</v>
      </c>
      <c r="GS339" s="423">
        <f t="shared" si="265"/>
        <v>0</v>
      </c>
      <c r="GT339" s="419"/>
      <c r="GU339" s="419"/>
      <c r="GV339" s="419"/>
      <c r="GW339" s="420">
        <f t="shared" si="266"/>
        <v>0</v>
      </c>
      <c r="GX339" s="420">
        <f t="shared" si="267"/>
        <v>0</v>
      </c>
    </row>
    <row r="340" spans="1:206" ht="15">
      <c r="A340" s="414"/>
      <c r="B340" s="415"/>
      <c r="C340" s="698"/>
      <c r="D340" s="467" t="s">
        <v>686</v>
      </c>
      <c r="E340" s="434" t="s">
        <v>125</v>
      </c>
      <c r="F340" s="417">
        <v>0.06</v>
      </c>
      <c r="G340" s="418">
        <f t="shared" si="263"/>
        <v>339622.64</v>
      </c>
      <c r="H340" s="418">
        <f t="shared" si="264"/>
        <v>339622.64</v>
      </c>
      <c r="I340" s="418">
        <f t="shared" si="264"/>
        <v>20377.358400000001</v>
      </c>
      <c r="J340" s="418">
        <f t="shared" si="252"/>
        <v>339622.64</v>
      </c>
      <c r="K340" s="418">
        <f t="shared" si="250"/>
        <v>0</v>
      </c>
      <c r="L340" s="418">
        <f t="shared" si="218"/>
        <v>0</v>
      </c>
      <c r="M340" s="424">
        <v>339622.64</v>
      </c>
      <c r="N340" s="424">
        <v>339622.64</v>
      </c>
      <c r="O340" s="424">
        <v>20377.358400000001</v>
      </c>
      <c r="P340" s="424"/>
      <c r="Q340" s="419"/>
      <c r="R340" s="419"/>
      <c r="S340" s="419"/>
      <c r="T340" s="420">
        <v>0</v>
      </c>
      <c r="U340" s="423">
        <f>T340-Q340</f>
        <v>0</v>
      </c>
      <c r="V340" s="420"/>
      <c r="W340" s="420"/>
      <c r="X340" s="419"/>
      <c r="Y340" s="419"/>
      <c r="Z340" s="423">
        <f>Y340-V340</f>
        <v>0</v>
      </c>
      <c r="AA340" s="423"/>
      <c r="AB340" s="419"/>
      <c r="AC340" s="419"/>
      <c r="AD340" s="420">
        <f>AC340/F340</f>
        <v>0</v>
      </c>
      <c r="AE340" s="423">
        <f>AD340-AA340</f>
        <v>0</v>
      </c>
      <c r="AF340" s="419"/>
      <c r="AG340" s="419"/>
      <c r="AH340" s="419"/>
      <c r="AI340" s="420">
        <f>AH340/F340</f>
        <v>0</v>
      </c>
      <c r="AJ340" s="423">
        <f>AI340-AF340</f>
        <v>0</v>
      </c>
      <c r="AK340" s="419"/>
      <c r="AL340" s="420"/>
      <c r="AM340" s="419"/>
      <c r="AN340" s="420">
        <f t="shared" si="271"/>
        <v>0</v>
      </c>
      <c r="AO340" s="423">
        <f t="shared" si="272"/>
        <v>0</v>
      </c>
      <c r="AP340" s="419"/>
      <c r="AQ340" s="419"/>
      <c r="AR340" s="420"/>
      <c r="AS340" s="420">
        <f t="shared" si="273"/>
        <v>0</v>
      </c>
      <c r="AT340" s="420">
        <f t="shared" si="274"/>
        <v>0</v>
      </c>
      <c r="AU340" s="420"/>
      <c r="AV340" s="420"/>
      <c r="AW340" s="420"/>
      <c r="AX340" s="426">
        <f t="shared" si="275"/>
        <v>0</v>
      </c>
      <c r="AY340" s="420">
        <f t="shared" si="276"/>
        <v>0</v>
      </c>
      <c r="AZ340" s="420"/>
      <c r="BA340" s="420"/>
      <c r="BB340" s="419"/>
      <c r="BC340" s="420">
        <f t="shared" si="277"/>
        <v>0</v>
      </c>
      <c r="BD340" s="427">
        <f t="shared" si="278"/>
        <v>0</v>
      </c>
      <c r="BE340" s="420"/>
      <c r="BF340" s="420"/>
      <c r="BG340" s="420"/>
      <c r="BH340" s="423">
        <f t="shared" si="279"/>
        <v>0</v>
      </c>
      <c r="BI340" s="420">
        <f t="shared" si="280"/>
        <v>0</v>
      </c>
      <c r="BJ340" s="420"/>
      <c r="BK340" s="420"/>
      <c r="BL340" s="420"/>
      <c r="BM340" s="420">
        <f t="shared" si="281"/>
        <v>0</v>
      </c>
      <c r="BN340" s="420">
        <f t="shared" si="282"/>
        <v>0</v>
      </c>
      <c r="BO340" s="419"/>
      <c r="BP340" s="428"/>
      <c r="BQ340" s="420">
        <v>0</v>
      </c>
      <c r="BR340" s="423">
        <f t="shared" si="283"/>
        <v>0</v>
      </c>
      <c r="BS340" s="423">
        <f t="shared" si="284"/>
        <v>0</v>
      </c>
      <c r="BT340" s="420"/>
      <c r="BU340" s="420"/>
      <c r="BV340" s="420"/>
      <c r="BW340" s="420"/>
      <c r="BX340" s="429">
        <f t="shared" si="285"/>
        <v>0</v>
      </c>
      <c r="BY340" s="419"/>
      <c r="BZ340" s="419"/>
      <c r="CA340" s="419"/>
      <c r="CB340" s="420">
        <f t="shared" si="286"/>
        <v>0</v>
      </c>
      <c r="CC340" s="430">
        <f t="shared" si="287"/>
        <v>0</v>
      </c>
      <c r="CD340" s="419"/>
      <c r="CE340" s="419"/>
      <c r="CF340" s="419"/>
      <c r="CG340" s="420">
        <f t="shared" si="288"/>
        <v>0</v>
      </c>
      <c r="CH340" s="423">
        <f t="shared" si="289"/>
        <v>0</v>
      </c>
      <c r="CI340" s="431"/>
      <c r="CJ340" s="431"/>
      <c r="CK340" s="431"/>
      <c r="CL340" s="420">
        <f t="shared" si="290"/>
        <v>0</v>
      </c>
      <c r="CM340" s="423">
        <f t="shared" si="291"/>
        <v>0</v>
      </c>
      <c r="CN340" s="420"/>
      <c r="CO340" s="420"/>
      <c r="CP340" s="420"/>
      <c r="CQ340" s="432"/>
      <c r="CR340" s="432">
        <f t="shared" si="292"/>
        <v>0</v>
      </c>
      <c r="CS340" s="420"/>
      <c r="CT340" s="420"/>
      <c r="CU340" s="420"/>
      <c r="CV340" s="420"/>
      <c r="CW340" s="420">
        <f t="shared" si="293"/>
        <v>0</v>
      </c>
      <c r="CX340" s="419"/>
      <c r="CY340" s="419"/>
      <c r="CZ340" s="419"/>
      <c r="DA340" s="419">
        <f t="shared" si="294"/>
        <v>0</v>
      </c>
      <c r="DB340" s="419">
        <f t="shared" si="295"/>
        <v>0</v>
      </c>
      <c r="DC340" s="419"/>
      <c r="DD340" s="419"/>
      <c r="DE340" s="419"/>
      <c r="DF340" s="420">
        <f t="shared" si="296"/>
        <v>0</v>
      </c>
      <c r="DG340" s="421">
        <f t="shared" si="297"/>
        <v>0</v>
      </c>
      <c r="DH340" s="419"/>
      <c r="DI340" s="419"/>
      <c r="DJ340" s="419"/>
      <c r="DK340" s="420">
        <f t="shared" si="298"/>
        <v>0</v>
      </c>
      <c r="DL340" s="422">
        <f t="shared" si="299"/>
        <v>0</v>
      </c>
      <c r="DM340" s="420"/>
      <c r="DN340" s="420"/>
      <c r="DO340" s="420"/>
      <c r="DP340" s="420">
        <f t="shared" si="300"/>
        <v>0</v>
      </c>
      <c r="DQ340" s="420">
        <f t="shared" si="301"/>
        <v>0</v>
      </c>
      <c r="DR340" s="419"/>
      <c r="DS340" s="419"/>
      <c r="DT340" s="419"/>
      <c r="DU340" s="420">
        <f t="shared" si="302"/>
        <v>0</v>
      </c>
      <c r="DV340" s="423">
        <f t="shared" si="303"/>
        <v>0</v>
      </c>
      <c r="DW340" s="419"/>
      <c r="DX340" s="419"/>
      <c r="DY340" s="419"/>
      <c r="DZ340" s="420">
        <f t="shared" si="304"/>
        <v>0</v>
      </c>
      <c r="EA340" s="423">
        <f t="shared" si="305"/>
        <v>0</v>
      </c>
      <c r="EB340" s="419"/>
      <c r="EC340" s="419"/>
      <c r="ED340" s="420"/>
      <c r="EE340" s="419"/>
      <c r="EF340" s="420">
        <f t="shared" si="306"/>
        <v>0</v>
      </c>
      <c r="EG340" s="419"/>
      <c r="EH340" s="419"/>
      <c r="EI340" s="419"/>
      <c r="EJ340" s="420">
        <f t="shared" si="307"/>
        <v>0</v>
      </c>
      <c r="EK340" s="420">
        <f t="shared" si="308"/>
        <v>0</v>
      </c>
      <c r="EL340" s="419"/>
      <c r="EM340" s="459"/>
      <c r="EN340" s="419"/>
      <c r="EO340" s="419">
        <f t="shared" si="309"/>
        <v>0</v>
      </c>
      <c r="EP340" s="419">
        <f t="shared" si="310"/>
        <v>0</v>
      </c>
      <c r="EQ340" s="419"/>
      <c r="ER340" s="419"/>
      <c r="ES340" s="419"/>
      <c r="ET340" s="419">
        <f t="shared" si="311"/>
        <v>0</v>
      </c>
      <c r="EU340" s="419">
        <f t="shared" si="312"/>
        <v>0</v>
      </c>
      <c r="EV340" s="419"/>
      <c r="EW340" s="419"/>
      <c r="EX340" s="419"/>
      <c r="EY340" s="419">
        <f t="shared" si="313"/>
        <v>0</v>
      </c>
      <c r="EZ340" s="419">
        <f t="shared" si="314"/>
        <v>0</v>
      </c>
      <c r="FA340" s="420"/>
      <c r="FB340" s="420"/>
      <c r="FC340" s="420"/>
      <c r="FD340" s="420">
        <f t="shared" si="315"/>
        <v>0</v>
      </c>
      <c r="FE340" s="420">
        <f t="shared" si="316"/>
        <v>0</v>
      </c>
      <c r="FF340" s="419"/>
      <c r="FG340" s="419"/>
      <c r="FH340" s="419"/>
      <c r="FI340" s="419">
        <f t="shared" si="317"/>
        <v>0</v>
      </c>
      <c r="FJ340" s="419">
        <f t="shared" si="318"/>
        <v>0</v>
      </c>
      <c r="FK340" s="419"/>
      <c r="FL340" s="419"/>
      <c r="FM340" s="419"/>
      <c r="FN340" s="420">
        <f t="shared" si="319"/>
        <v>0</v>
      </c>
      <c r="FO340" s="423">
        <f t="shared" si="320"/>
        <v>0</v>
      </c>
      <c r="FP340" s="419"/>
      <c r="FQ340" s="419"/>
      <c r="FR340" s="419"/>
      <c r="FS340" s="420">
        <f t="shared" si="321"/>
        <v>0</v>
      </c>
      <c r="FT340" s="420">
        <f t="shared" si="322"/>
        <v>0</v>
      </c>
      <c r="FU340" s="419"/>
      <c r="FV340" s="419"/>
      <c r="FW340" s="419"/>
      <c r="FX340" s="420">
        <f t="shared" si="323"/>
        <v>0</v>
      </c>
      <c r="FY340" s="420">
        <f t="shared" si="324"/>
        <v>0</v>
      </c>
      <c r="FZ340" s="419"/>
      <c r="GA340" s="419"/>
      <c r="GB340" s="419"/>
      <c r="GC340" s="420">
        <f t="shared" si="269"/>
        <v>0</v>
      </c>
      <c r="GD340" s="420">
        <f t="shared" si="270"/>
        <v>0</v>
      </c>
      <c r="GE340" s="419"/>
      <c r="GF340" s="419"/>
      <c r="GG340" s="419"/>
      <c r="GH340" s="420">
        <f t="shared" si="261"/>
        <v>0</v>
      </c>
      <c r="GI340" s="423">
        <f t="shared" si="262"/>
        <v>0</v>
      </c>
      <c r="GJ340" s="419"/>
      <c r="GK340" s="419"/>
      <c r="GL340" s="419"/>
      <c r="GM340" s="420">
        <f t="shared" si="257"/>
        <v>0</v>
      </c>
      <c r="GN340" s="420">
        <f t="shared" si="258"/>
        <v>0</v>
      </c>
      <c r="GO340" s="419"/>
      <c r="GP340" s="419"/>
      <c r="GQ340" s="419"/>
      <c r="GR340" s="420">
        <f t="shared" si="268"/>
        <v>0</v>
      </c>
      <c r="GS340" s="423">
        <f t="shared" si="265"/>
        <v>0</v>
      </c>
      <c r="GT340" s="419"/>
      <c r="GU340" s="419"/>
      <c r="GV340" s="419"/>
      <c r="GW340" s="420">
        <f t="shared" si="266"/>
        <v>0</v>
      </c>
      <c r="GX340" s="420">
        <f t="shared" si="267"/>
        <v>0</v>
      </c>
    </row>
    <row r="341" spans="1:206" ht="15">
      <c r="A341" s="414"/>
      <c r="B341" s="415"/>
      <c r="C341" s="698"/>
      <c r="D341" s="704" t="s">
        <v>687</v>
      </c>
      <c r="E341" s="434" t="s">
        <v>123</v>
      </c>
      <c r="F341" s="417">
        <v>0.13</v>
      </c>
      <c r="G341" s="418">
        <f t="shared" si="263"/>
        <v>942357.21</v>
      </c>
      <c r="H341" s="418">
        <f t="shared" si="264"/>
        <v>942357.21</v>
      </c>
      <c r="I341" s="418">
        <f t="shared" si="264"/>
        <v>122506.44</v>
      </c>
      <c r="J341" s="418">
        <f t="shared" si="252"/>
        <v>942357.23076923098</v>
      </c>
      <c r="K341" s="418">
        <f t="shared" si="250"/>
        <v>2.0769230788573598E-2</v>
      </c>
      <c r="L341" s="418">
        <f t="shared" si="218"/>
        <v>2.0769230788573598E-2</v>
      </c>
      <c r="M341" s="424"/>
      <c r="N341" s="424"/>
      <c r="O341" s="424"/>
      <c r="P341" s="424"/>
      <c r="Q341" s="419"/>
      <c r="R341" s="419"/>
      <c r="S341" s="419"/>
      <c r="T341" s="420"/>
      <c r="U341" s="423"/>
      <c r="V341" s="420"/>
      <c r="W341" s="420"/>
      <c r="X341" s="419"/>
      <c r="Y341" s="419"/>
      <c r="Z341" s="423"/>
      <c r="AA341" s="423"/>
      <c r="AB341" s="419"/>
      <c r="AC341" s="419"/>
      <c r="AD341" s="420"/>
      <c r="AE341" s="423"/>
      <c r="AF341" s="419"/>
      <c r="AG341" s="419"/>
      <c r="AH341" s="419"/>
      <c r="AI341" s="420"/>
      <c r="AJ341" s="423"/>
      <c r="AK341" s="419"/>
      <c r="AL341" s="420"/>
      <c r="AM341" s="419"/>
      <c r="AN341" s="420"/>
      <c r="AO341" s="423"/>
      <c r="AP341" s="419"/>
      <c r="AQ341" s="419"/>
      <c r="AR341" s="420"/>
      <c r="AS341" s="420"/>
      <c r="AT341" s="420"/>
      <c r="AU341" s="420"/>
      <c r="AV341" s="420"/>
      <c r="AW341" s="420"/>
      <c r="AX341" s="426"/>
      <c r="AY341" s="420"/>
      <c r="AZ341" s="420"/>
      <c r="BA341" s="420"/>
      <c r="BB341" s="419"/>
      <c r="BC341" s="420"/>
      <c r="BD341" s="427"/>
      <c r="BE341" s="420"/>
      <c r="BF341" s="420"/>
      <c r="BG341" s="420"/>
      <c r="BH341" s="423"/>
      <c r="BI341" s="420"/>
      <c r="BJ341" s="420"/>
      <c r="BK341" s="420"/>
      <c r="BL341" s="420"/>
      <c r="BM341" s="420"/>
      <c r="BN341" s="420"/>
      <c r="BO341" s="419"/>
      <c r="BP341" s="428"/>
      <c r="BQ341" s="420"/>
      <c r="BR341" s="423"/>
      <c r="BS341" s="423"/>
      <c r="BT341" s="420"/>
      <c r="BU341" s="420"/>
      <c r="BV341" s="420"/>
      <c r="BW341" s="420"/>
      <c r="BX341" s="429"/>
      <c r="BY341" s="419"/>
      <c r="BZ341" s="419"/>
      <c r="CA341" s="419"/>
      <c r="CB341" s="420"/>
      <c r="CC341" s="430"/>
      <c r="CD341" s="419"/>
      <c r="CE341" s="419"/>
      <c r="CF341" s="419"/>
      <c r="CG341" s="420"/>
      <c r="CH341" s="423"/>
      <c r="CI341" s="431"/>
      <c r="CJ341" s="431"/>
      <c r="CK341" s="431"/>
      <c r="CL341" s="420"/>
      <c r="CM341" s="423"/>
      <c r="CN341" s="420"/>
      <c r="CO341" s="420"/>
      <c r="CP341" s="420"/>
      <c r="CQ341" s="432"/>
      <c r="CR341" s="432"/>
      <c r="CS341" s="420"/>
      <c r="CT341" s="420"/>
      <c r="CU341" s="420"/>
      <c r="CV341" s="420"/>
      <c r="CW341" s="420"/>
      <c r="CX341" s="419"/>
      <c r="CY341" s="419"/>
      <c r="CZ341" s="419"/>
      <c r="DA341" s="419"/>
      <c r="DB341" s="419"/>
      <c r="DC341" s="419"/>
      <c r="DD341" s="419"/>
      <c r="DE341" s="419"/>
      <c r="DF341" s="420"/>
      <c r="DG341" s="421"/>
      <c r="DH341" s="419"/>
      <c r="DI341" s="419"/>
      <c r="DJ341" s="419"/>
      <c r="DK341" s="420"/>
      <c r="DL341" s="422"/>
      <c r="DM341" s="420"/>
      <c r="DN341" s="420"/>
      <c r="DO341" s="420"/>
      <c r="DP341" s="420"/>
      <c r="DQ341" s="420"/>
      <c r="DR341" s="419"/>
      <c r="DS341" s="419"/>
      <c r="DT341" s="419"/>
      <c r="DU341" s="420"/>
      <c r="DV341" s="423"/>
      <c r="DW341" s="419"/>
      <c r="DX341" s="419"/>
      <c r="DY341" s="419"/>
      <c r="DZ341" s="420"/>
      <c r="EA341" s="423"/>
      <c r="EB341" s="419"/>
      <c r="EC341" s="419"/>
      <c r="ED341" s="420"/>
      <c r="EE341" s="419"/>
      <c r="EF341" s="420"/>
      <c r="EG341" s="419"/>
      <c r="EH341" s="419"/>
      <c r="EI341" s="419"/>
      <c r="EJ341" s="420"/>
      <c r="EK341" s="420"/>
      <c r="EL341" s="419"/>
      <c r="EM341" s="459"/>
      <c r="EN341" s="419"/>
      <c r="EO341" s="419"/>
      <c r="EP341" s="419"/>
      <c r="EQ341" s="419"/>
      <c r="ER341" s="419"/>
      <c r="ES341" s="419"/>
      <c r="ET341" s="419"/>
      <c r="EU341" s="419"/>
      <c r="EV341" s="419"/>
      <c r="EW341" s="419"/>
      <c r="EX341" s="419"/>
      <c r="EY341" s="419"/>
      <c r="EZ341" s="419"/>
      <c r="FA341" s="420"/>
      <c r="FB341" s="420"/>
      <c r="FC341" s="420"/>
      <c r="FD341" s="420"/>
      <c r="FE341" s="420"/>
      <c r="FF341" s="419"/>
      <c r="FG341" s="419"/>
      <c r="FH341" s="419"/>
      <c r="FI341" s="419"/>
      <c r="FJ341" s="419"/>
      <c r="FK341" s="419"/>
      <c r="FL341" s="419"/>
      <c r="FM341" s="419"/>
      <c r="FN341" s="420"/>
      <c r="FO341" s="423"/>
      <c r="FP341" s="419"/>
      <c r="FQ341" s="419"/>
      <c r="FR341" s="419"/>
      <c r="FS341" s="420"/>
      <c r="FT341" s="420"/>
      <c r="FU341" s="419"/>
      <c r="FV341" s="419"/>
      <c r="FW341" s="419"/>
      <c r="FX341" s="420"/>
      <c r="FY341" s="420"/>
      <c r="FZ341" s="419"/>
      <c r="GA341" s="419"/>
      <c r="GB341" s="419"/>
      <c r="GC341" s="420"/>
      <c r="GD341" s="420"/>
      <c r="GE341" s="419"/>
      <c r="GF341" s="420">
        <v>942357.21</v>
      </c>
      <c r="GG341" s="419"/>
      <c r="GH341" s="420">
        <f t="shared" si="261"/>
        <v>0</v>
      </c>
      <c r="GI341" s="423">
        <f t="shared" si="262"/>
        <v>0</v>
      </c>
      <c r="GJ341" s="419">
        <v>942357.21</v>
      </c>
      <c r="GK341" s="419"/>
      <c r="GL341" s="419">
        <v>122506.44</v>
      </c>
      <c r="GM341" s="420">
        <f t="shared" si="257"/>
        <v>942357.23076923098</v>
      </c>
      <c r="GN341" s="420">
        <f t="shared" si="258"/>
        <v>2.0769230788573598E-2</v>
      </c>
      <c r="GO341" s="419"/>
      <c r="GP341" s="419"/>
      <c r="GQ341" s="419"/>
      <c r="GR341" s="420">
        <f t="shared" si="268"/>
        <v>0</v>
      </c>
      <c r="GS341" s="423">
        <f t="shared" si="265"/>
        <v>0</v>
      </c>
      <c r="GT341" s="419"/>
      <c r="GU341" s="419"/>
      <c r="GV341" s="419"/>
      <c r="GW341" s="420">
        <f t="shared" si="266"/>
        <v>0</v>
      </c>
      <c r="GX341" s="420">
        <f t="shared" si="267"/>
        <v>0</v>
      </c>
    </row>
    <row r="342" spans="1:206" ht="15">
      <c r="A342" s="414"/>
      <c r="B342" s="415"/>
      <c r="C342" s="698"/>
      <c r="D342" s="707"/>
      <c r="E342" s="434" t="s">
        <v>125</v>
      </c>
      <c r="F342" s="417">
        <v>0.06</v>
      </c>
      <c r="G342" s="418">
        <f t="shared" si="263"/>
        <v>289042.78000000003</v>
      </c>
      <c r="H342" s="418">
        <f t="shared" si="264"/>
        <v>289042.78000000003</v>
      </c>
      <c r="I342" s="418">
        <f t="shared" si="264"/>
        <v>17342.57</v>
      </c>
      <c r="J342" s="418">
        <f t="shared" si="252"/>
        <v>289042.83333333302</v>
      </c>
      <c r="K342" s="418">
        <f t="shared" si="250"/>
        <v>5.3333333285991102E-2</v>
      </c>
      <c r="L342" s="418">
        <f t="shared" si="218"/>
        <v>5.3333333285991102E-2</v>
      </c>
      <c r="M342" s="424"/>
      <c r="N342" s="424"/>
      <c r="O342" s="424"/>
      <c r="P342" s="424"/>
      <c r="Q342" s="419"/>
      <c r="R342" s="419"/>
      <c r="S342" s="419"/>
      <c r="T342" s="420"/>
      <c r="U342" s="423"/>
      <c r="V342" s="420"/>
      <c r="W342" s="420"/>
      <c r="X342" s="419"/>
      <c r="Y342" s="419"/>
      <c r="Z342" s="423"/>
      <c r="AA342" s="423"/>
      <c r="AB342" s="419"/>
      <c r="AC342" s="419"/>
      <c r="AD342" s="420"/>
      <c r="AE342" s="423"/>
      <c r="AF342" s="419"/>
      <c r="AG342" s="419"/>
      <c r="AH342" s="419"/>
      <c r="AI342" s="420"/>
      <c r="AJ342" s="423"/>
      <c r="AK342" s="419"/>
      <c r="AL342" s="420"/>
      <c r="AM342" s="419"/>
      <c r="AN342" s="420"/>
      <c r="AO342" s="423"/>
      <c r="AP342" s="419"/>
      <c r="AQ342" s="419"/>
      <c r="AR342" s="420"/>
      <c r="AS342" s="420"/>
      <c r="AT342" s="420"/>
      <c r="AU342" s="420"/>
      <c r="AV342" s="420"/>
      <c r="AW342" s="420"/>
      <c r="AX342" s="426"/>
      <c r="AY342" s="420"/>
      <c r="AZ342" s="420"/>
      <c r="BA342" s="420"/>
      <c r="BB342" s="419"/>
      <c r="BC342" s="420"/>
      <c r="BD342" s="427"/>
      <c r="BE342" s="420"/>
      <c r="BF342" s="420"/>
      <c r="BG342" s="420"/>
      <c r="BH342" s="423"/>
      <c r="BI342" s="420"/>
      <c r="BJ342" s="420"/>
      <c r="BK342" s="420"/>
      <c r="BL342" s="420"/>
      <c r="BM342" s="420"/>
      <c r="BN342" s="420"/>
      <c r="BO342" s="419"/>
      <c r="BP342" s="428"/>
      <c r="BQ342" s="420"/>
      <c r="BR342" s="423"/>
      <c r="BS342" s="423"/>
      <c r="BT342" s="420"/>
      <c r="BU342" s="420"/>
      <c r="BV342" s="420"/>
      <c r="BW342" s="420"/>
      <c r="BX342" s="429"/>
      <c r="BY342" s="419"/>
      <c r="BZ342" s="419"/>
      <c r="CA342" s="419"/>
      <c r="CB342" s="420"/>
      <c r="CC342" s="430"/>
      <c r="CD342" s="419"/>
      <c r="CE342" s="419"/>
      <c r="CF342" s="419"/>
      <c r="CG342" s="420"/>
      <c r="CH342" s="423"/>
      <c r="CI342" s="431"/>
      <c r="CJ342" s="431"/>
      <c r="CK342" s="431"/>
      <c r="CL342" s="420"/>
      <c r="CM342" s="423"/>
      <c r="CN342" s="420"/>
      <c r="CO342" s="420"/>
      <c r="CP342" s="420"/>
      <c r="CQ342" s="432"/>
      <c r="CR342" s="432"/>
      <c r="CS342" s="420"/>
      <c r="CT342" s="420"/>
      <c r="CU342" s="420"/>
      <c r="CV342" s="420"/>
      <c r="CW342" s="420"/>
      <c r="CX342" s="419"/>
      <c r="CY342" s="419"/>
      <c r="CZ342" s="419"/>
      <c r="DA342" s="419"/>
      <c r="DB342" s="419"/>
      <c r="DC342" s="419"/>
      <c r="DD342" s="419"/>
      <c r="DE342" s="419"/>
      <c r="DF342" s="420"/>
      <c r="DG342" s="421"/>
      <c r="DH342" s="419"/>
      <c r="DI342" s="419"/>
      <c r="DJ342" s="419"/>
      <c r="DK342" s="420"/>
      <c r="DL342" s="422"/>
      <c r="DM342" s="420"/>
      <c r="DN342" s="420"/>
      <c r="DO342" s="420"/>
      <c r="DP342" s="420"/>
      <c r="DQ342" s="420"/>
      <c r="DR342" s="419"/>
      <c r="DS342" s="419"/>
      <c r="DT342" s="419"/>
      <c r="DU342" s="420"/>
      <c r="DV342" s="423"/>
      <c r="DW342" s="419"/>
      <c r="DX342" s="419"/>
      <c r="DY342" s="419"/>
      <c r="DZ342" s="420"/>
      <c r="EA342" s="423"/>
      <c r="EB342" s="419"/>
      <c r="EC342" s="419"/>
      <c r="ED342" s="420"/>
      <c r="EE342" s="419"/>
      <c r="EF342" s="420"/>
      <c r="EG342" s="419"/>
      <c r="EH342" s="419"/>
      <c r="EI342" s="419"/>
      <c r="EJ342" s="420"/>
      <c r="EK342" s="420"/>
      <c r="EL342" s="419"/>
      <c r="EM342" s="459"/>
      <c r="EN342" s="419"/>
      <c r="EO342" s="419"/>
      <c r="EP342" s="419"/>
      <c r="EQ342" s="419"/>
      <c r="ER342" s="419"/>
      <c r="ES342" s="419"/>
      <c r="ET342" s="419"/>
      <c r="EU342" s="419"/>
      <c r="EV342" s="419"/>
      <c r="EW342" s="419"/>
      <c r="EX342" s="419"/>
      <c r="EY342" s="419"/>
      <c r="EZ342" s="419"/>
      <c r="FA342" s="420"/>
      <c r="FB342" s="420"/>
      <c r="FC342" s="420"/>
      <c r="FD342" s="420"/>
      <c r="FE342" s="420"/>
      <c r="FF342" s="419"/>
      <c r="FG342" s="419"/>
      <c r="FH342" s="419"/>
      <c r="FI342" s="419"/>
      <c r="FJ342" s="419"/>
      <c r="FK342" s="419"/>
      <c r="FL342" s="419"/>
      <c r="FM342" s="419"/>
      <c r="FN342" s="420"/>
      <c r="FO342" s="423"/>
      <c r="FP342" s="419"/>
      <c r="FQ342" s="419"/>
      <c r="FR342" s="419"/>
      <c r="FS342" s="420"/>
      <c r="FT342" s="420"/>
      <c r="FU342" s="419"/>
      <c r="FV342" s="419"/>
      <c r="FW342" s="419"/>
      <c r="FX342" s="420"/>
      <c r="FY342" s="420"/>
      <c r="FZ342" s="419"/>
      <c r="GA342" s="419"/>
      <c r="GB342" s="419"/>
      <c r="GC342" s="420"/>
      <c r="GD342" s="420"/>
      <c r="GE342" s="419"/>
      <c r="GF342" s="420">
        <v>289042.78000000003</v>
      </c>
      <c r="GG342" s="419"/>
      <c r="GH342" s="420">
        <f t="shared" si="261"/>
        <v>0</v>
      </c>
      <c r="GI342" s="423">
        <f t="shared" si="262"/>
        <v>0</v>
      </c>
      <c r="GJ342" s="437">
        <v>289042.78000000003</v>
      </c>
      <c r="GK342" s="419"/>
      <c r="GL342" s="419">
        <v>17342.57</v>
      </c>
      <c r="GM342" s="420">
        <f t="shared" si="257"/>
        <v>289042.83333333302</v>
      </c>
      <c r="GN342" s="420">
        <f t="shared" si="258"/>
        <v>5.3333333285991102E-2</v>
      </c>
      <c r="GO342" s="419"/>
      <c r="GP342" s="419"/>
      <c r="GQ342" s="419"/>
      <c r="GR342" s="420">
        <f t="shared" si="268"/>
        <v>0</v>
      </c>
      <c r="GS342" s="423">
        <f t="shared" si="265"/>
        <v>0</v>
      </c>
      <c r="GT342" s="419"/>
      <c r="GU342" s="419"/>
      <c r="GV342" s="419"/>
      <c r="GW342" s="420">
        <f t="shared" si="266"/>
        <v>0</v>
      </c>
      <c r="GX342" s="420">
        <f t="shared" si="267"/>
        <v>0</v>
      </c>
    </row>
    <row r="343" spans="1:206" ht="15">
      <c r="A343" s="414"/>
      <c r="B343" s="415"/>
      <c r="C343" s="699"/>
      <c r="D343" s="467" t="s">
        <v>688</v>
      </c>
      <c r="E343" s="434" t="s">
        <v>123</v>
      </c>
      <c r="F343" s="417">
        <v>0.13</v>
      </c>
      <c r="G343" s="418">
        <f t="shared" si="263"/>
        <v>3115530.97</v>
      </c>
      <c r="H343" s="418">
        <f t="shared" si="264"/>
        <v>3115530.97</v>
      </c>
      <c r="I343" s="418">
        <f t="shared" si="264"/>
        <v>405019.03</v>
      </c>
      <c r="J343" s="418">
        <f t="shared" si="252"/>
        <v>3115531</v>
      </c>
      <c r="K343" s="418">
        <f t="shared" si="250"/>
        <v>2.9999999795108999E-2</v>
      </c>
      <c r="L343" s="418">
        <f t="shared" si="218"/>
        <v>2.9999999795108999E-2</v>
      </c>
      <c r="M343" s="424"/>
      <c r="N343" s="424"/>
      <c r="O343" s="424"/>
      <c r="P343" s="424"/>
      <c r="Q343" s="419"/>
      <c r="R343" s="419"/>
      <c r="S343" s="419"/>
      <c r="T343" s="420"/>
      <c r="U343" s="423"/>
      <c r="V343" s="420"/>
      <c r="W343" s="420"/>
      <c r="X343" s="419"/>
      <c r="Y343" s="419"/>
      <c r="Z343" s="423"/>
      <c r="AA343" s="423"/>
      <c r="AB343" s="419"/>
      <c r="AC343" s="419"/>
      <c r="AD343" s="420"/>
      <c r="AE343" s="423"/>
      <c r="AF343" s="419"/>
      <c r="AG343" s="419"/>
      <c r="AH343" s="419"/>
      <c r="AI343" s="420"/>
      <c r="AJ343" s="423"/>
      <c r="AK343" s="419"/>
      <c r="AL343" s="420"/>
      <c r="AM343" s="419"/>
      <c r="AN343" s="420"/>
      <c r="AO343" s="423"/>
      <c r="AP343" s="419"/>
      <c r="AQ343" s="419"/>
      <c r="AR343" s="420"/>
      <c r="AS343" s="420"/>
      <c r="AT343" s="420"/>
      <c r="AU343" s="420"/>
      <c r="AV343" s="420"/>
      <c r="AW343" s="420"/>
      <c r="AX343" s="426"/>
      <c r="AY343" s="420"/>
      <c r="AZ343" s="420"/>
      <c r="BA343" s="420"/>
      <c r="BB343" s="419"/>
      <c r="BC343" s="420"/>
      <c r="BD343" s="427"/>
      <c r="BE343" s="420"/>
      <c r="BF343" s="420"/>
      <c r="BG343" s="420"/>
      <c r="BH343" s="423"/>
      <c r="BI343" s="420"/>
      <c r="BJ343" s="420"/>
      <c r="BK343" s="420"/>
      <c r="BL343" s="420"/>
      <c r="BM343" s="420"/>
      <c r="BN343" s="420"/>
      <c r="BO343" s="420">
        <v>3115530.97</v>
      </c>
      <c r="BP343" s="429">
        <v>3115530.97</v>
      </c>
      <c r="BQ343" s="420">
        <v>405019.03</v>
      </c>
      <c r="BR343" s="423">
        <f t="shared" si="283"/>
        <v>3115531</v>
      </c>
      <c r="BS343" s="423">
        <f t="shared" si="284"/>
        <v>2.9999999795108999E-2</v>
      </c>
      <c r="BT343" s="420"/>
      <c r="BU343" s="420"/>
      <c r="BV343" s="420"/>
      <c r="BW343" s="420"/>
      <c r="BX343" s="429">
        <f t="shared" si="285"/>
        <v>0</v>
      </c>
      <c r="BY343" s="419"/>
      <c r="BZ343" s="419"/>
      <c r="CA343" s="419"/>
      <c r="CB343" s="420">
        <f t="shared" si="286"/>
        <v>0</v>
      </c>
      <c r="CC343" s="430">
        <f t="shared" si="287"/>
        <v>0</v>
      </c>
      <c r="CD343" s="419"/>
      <c r="CE343" s="419"/>
      <c r="CF343" s="419"/>
      <c r="CG343" s="420">
        <f t="shared" si="288"/>
        <v>0</v>
      </c>
      <c r="CH343" s="423">
        <f t="shared" si="289"/>
        <v>0</v>
      </c>
      <c r="CI343" s="431"/>
      <c r="CJ343" s="431"/>
      <c r="CK343" s="431"/>
      <c r="CL343" s="420">
        <f t="shared" si="290"/>
        <v>0</v>
      </c>
      <c r="CM343" s="423">
        <f t="shared" si="291"/>
        <v>0</v>
      </c>
      <c r="CN343" s="420"/>
      <c r="CO343" s="420"/>
      <c r="CP343" s="420"/>
      <c r="CQ343" s="432"/>
      <c r="CR343" s="432">
        <f t="shared" si="292"/>
        <v>0</v>
      </c>
      <c r="CS343" s="420"/>
      <c r="CT343" s="420"/>
      <c r="CU343" s="420"/>
      <c r="CV343" s="420"/>
      <c r="CW343" s="420">
        <f t="shared" si="293"/>
        <v>0</v>
      </c>
      <c r="CX343" s="419"/>
      <c r="CY343" s="419"/>
      <c r="CZ343" s="419"/>
      <c r="DA343" s="419">
        <f t="shared" si="294"/>
        <v>0</v>
      </c>
      <c r="DB343" s="419">
        <f t="shared" si="295"/>
        <v>0</v>
      </c>
      <c r="DC343" s="419"/>
      <c r="DD343" s="419"/>
      <c r="DE343" s="419"/>
      <c r="DF343" s="420">
        <f t="shared" si="296"/>
        <v>0</v>
      </c>
      <c r="DG343" s="421">
        <f t="shared" si="297"/>
        <v>0</v>
      </c>
      <c r="DH343" s="419"/>
      <c r="DI343" s="419"/>
      <c r="DJ343" s="419"/>
      <c r="DK343" s="420">
        <f t="shared" si="298"/>
        <v>0</v>
      </c>
      <c r="DL343" s="422">
        <f t="shared" si="299"/>
        <v>0</v>
      </c>
      <c r="DM343" s="420"/>
      <c r="DN343" s="420"/>
      <c r="DO343" s="420"/>
      <c r="DP343" s="420">
        <f t="shared" si="300"/>
        <v>0</v>
      </c>
      <c r="DQ343" s="420">
        <f t="shared" si="301"/>
        <v>0</v>
      </c>
      <c r="DR343" s="419"/>
      <c r="DS343" s="419"/>
      <c r="DT343" s="419"/>
      <c r="DU343" s="420">
        <f t="shared" si="302"/>
        <v>0</v>
      </c>
      <c r="DV343" s="423">
        <f t="shared" si="303"/>
        <v>0</v>
      </c>
      <c r="DW343" s="419"/>
      <c r="DX343" s="419"/>
      <c r="DY343" s="419"/>
      <c r="DZ343" s="420">
        <f t="shared" si="304"/>
        <v>0</v>
      </c>
      <c r="EA343" s="423">
        <f t="shared" si="305"/>
        <v>0</v>
      </c>
      <c r="EB343" s="419"/>
      <c r="EC343" s="419"/>
      <c r="ED343" s="420"/>
      <c r="EE343" s="419"/>
      <c r="EF343" s="420">
        <f t="shared" si="306"/>
        <v>0</v>
      </c>
      <c r="EG343" s="419"/>
      <c r="EH343" s="419"/>
      <c r="EI343" s="419"/>
      <c r="EJ343" s="420">
        <f t="shared" si="307"/>
        <v>0</v>
      </c>
      <c r="EK343" s="420">
        <f t="shared" si="308"/>
        <v>0</v>
      </c>
      <c r="EL343" s="419"/>
      <c r="EM343" s="419"/>
      <c r="EN343" s="419"/>
      <c r="EO343" s="419">
        <f t="shared" si="309"/>
        <v>0</v>
      </c>
      <c r="EP343" s="419">
        <f t="shared" si="310"/>
        <v>0</v>
      </c>
      <c r="EQ343" s="419"/>
      <c r="ER343" s="419"/>
      <c r="ES343" s="419"/>
      <c r="ET343" s="419">
        <f t="shared" si="311"/>
        <v>0</v>
      </c>
      <c r="EU343" s="419">
        <f t="shared" si="312"/>
        <v>0</v>
      </c>
      <c r="EV343" s="419"/>
      <c r="EW343" s="419"/>
      <c r="EX343" s="419"/>
      <c r="EY343" s="419">
        <f t="shared" si="313"/>
        <v>0</v>
      </c>
      <c r="EZ343" s="419">
        <f t="shared" si="314"/>
        <v>0</v>
      </c>
      <c r="FA343" s="420"/>
      <c r="FB343" s="420"/>
      <c r="FC343" s="420"/>
      <c r="FD343" s="420">
        <f t="shared" si="315"/>
        <v>0</v>
      </c>
      <c r="FE343" s="420">
        <f t="shared" si="316"/>
        <v>0</v>
      </c>
      <c r="FF343" s="419"/>
      <c r="FG343" s="419"/>
      <c r="FH343" s="419"/>
      <c r="FI343" s="419">
        <f t="shared" si="317"/>
        <v>0</v>
      </c>
      <c r="FJ343" s="419">
        <f t="shared" si="318"/>
        <v>0</v>
      </c>
      <c r="FK343" s="419"/>
      <c r="FL343" s="419"/>
      <c r="FM343" s="419"/>
      <c r="FN343" s="420">
        <f t="shared" si="319"/>
        <v>0</v>
      </c>
      <c r="FO343" s="423">
        <f t="shared" si="320"/>
        <v>0</v>
      </c>
      <c r="FP343" s="419"/>
      <c r="FQ343" s="419"/>
      <c r="FR343" s="419"/>
      <c r="FS343" s="420">
        <f t="shared" si="321"/>
        <v>0</v>
      </c>
      <c r="FT343" s="420">
        <f t="shared" si="322"/>
        <v>0</v>
      </c>
      <c r="FU343" s="419"/>
      <c r="FV343" s="419"/>
      <c r="FW343" s="419"/>
      <c r="FX343" s="420">
        <f t="shared" si="323"/>
        <v>0</v>
      </c>
      <c r="FY343" s="420">
        <f t="shared" si="324"/>
        <v>0</v>
      </c>
      <c r="FZ343" s="419"/>
      <c r="GA343" s="419"/>
      <c r="GB343" s="419"/>
      <c r="GC343" s="420">
        <f t="shared" si="269"/>
        <v>0</v>
      </c>
      <c r="GD343" s="420">
        <f t="shared" si="270"/>
        <v>0</v>
      </c>
      <c r="GE343" s="419"/>
      <c r="GF343" s="419"/>
      <c r="GG343" s="419"/>
      <c r="GH343" s="420">
        <f t="shared" si="261"/>
        <v>0</v>
      </c>
      <c r="GI343" s="423">
        <f t="shared" si="262"/>
        <v>0</v>
      </c>
      <c r="GJ343" s="419"/>
      <c r="GK343" s="419"/>
      <c r="GL343" s="419"/>
      <c r="GM343" s="420">
        <f t="shared" si="257"/>
        <v>0</v>
      </c>
      <c r="GN343" s="420">
        <f t="shared" si="258"/>
        <v>0</v>
      </c>
      <c r="GO343" s="419"/>
      <c r="GP343" s="419"/>
      <c r="GQ343" s="419"/>
      <c r="GR343" s="420">
        <f t="shared" si="268"/>
        <v>0</v>
      </c>
      <c r="GS343" s="423">
        <f t="shared" si="265"/>
        <v>0</v>
      </c>
      <c r="GT343" s="419"/>
      <c r="GU343" s="419"/>
      <c r="GV343" s="419"/>
      <c r="GW343" s="420">
        <f t="shared" si="266"/>
        <v>0</v>
      </c>
      <c r="GX343" s="420">
        <f t="shared" si="267"/>
        <v>0</v>
      </c>
    </row>
    <row r="344" spans="1:206" ht="15">
      <c r="A344" s="414"/>
      <c r="B344" s="415" t="s">
        <v>499</v>
      </c>
      <c r="C344" s="468"/>
      <c r="D344" s="467" t="s">
        <v>689</v>
      </c>
      <c r="E344" s="434" t="s">
        <v>680</v>
      </c>
      <c r="F344" s="417">
        <v>0.06</v>
      </c>
      <c r="G344" s="418">
        <f t="shared" si="263"/>
        <v>360063</v>
      </c>
      <c r="H344" s="418">
        <f t="shared" si="264"/>
        <v>0</v>
      </c>
      <c r="I344" s="418">
        <f t="shared" si="264"/>
        <v>21603.78</v>
      </c>
      <c r="J344" s="418"/>
      <c r="K344" s="418"/>
      <c r="L344" s="418"/>
      <c r="M344" s="424"/>
      <c r="N344" s="424"/>
      <c r="O344" s="424"/>
      <c r="P344" s="424"/>
      <c r="Q344" s="419"/>
      <c r="R344" s="419"/>
      <c r="S344" s="419"/>
      <c r="T344" s="420"/>
      <c r="U344" s="423"/>
      <c r="V344" s="420"/>
      <c r="W344" s="420"/>
      <c r="X344" s="419"/>
      <c r="Y344" s="419"/>
      <c r="Z344" s="423"/>
      <c r="AA344" s="423"/>
      <c r="AB344" s="419"/>
      <c r="AC344" s="419"/>
      <c r="AD344" s="420"/>
      <c r="AE344" s="423"/>
      <c r="AF344" s="419"/>
      <c r="AG344" s="419"/>
      <c r="AH344" s="419"/>
      <c r="AI344" s="420"/>
      <c r="AJ344" s="423"/>
      <c r="AK344" s="419"/>
      <c r="AL344" s="420"/>
      <c r="AM344" s="419"/>
      <c r="AN344" s="420"/>
      <c r="AO344" s="423"/>
      <c r="AP344" s="419"/>
      <c r="AQ344" s="419"/>
      <c r="AR344" s="420"/>
      <c r="AS344" s="420"/>
      <c r="AT344" s="420"/>
      <c r="AU344" s="420"/>
      <c r="AV344" s="420"/>
      <c r="AW344" s="420"/>
      <c r="AX344" s="426"/>
      <c r="AY344" s="420"/>
      <c r="AZ344" s="420"/>
      <c r="BA344" s="420"/>
      <c r="BB344" s="419"/>
      <c r="BC344" s="420"/>
      <c r="BD344" s="427"/>
      <c r="BE344" s="420"/>
      <c r="BF344" s="420"/>
      <c r="BG344" s="420"/>
      <c r="BH344" s="423"/>
      <c r="BI344" s="420"/>
      <c r="BJ344" s="420"/>
      <c r="BK344" s="420"/>
      <c r="BL344" s="420"/>
      <c r="BM344" s="420"/>
      <c r="BN344" s="420"/>
      <c r="BO344" s="420"/>
      <c r="BP344" s="429"/>
      <c r="BQ344" s="420"/>
      <c r="BR344" s="423"/>
      <c r="BS344" s="423"/>
      <c r="BT344" s="420"/>
      <c r="BU344" s="420"/>
      <c r="BV344" s="420"/>
      <c r="BW344" s="420"/>
      <c r="BX344" s="429"/>
      <c r="BY344" s="419"/>
      <c r="BZ344" s="419"/>
      <c r="CA344" s="419"/>
      <c r="CB344" s="420"/>
      <c r="CC344" s="430"/>
      <c r="CD344" s="419"/>
      <c r="CE344" s="419"/>
      <c r="CF344" s="419"/>
      <c r="CG344" s="420"/>
      <c r="CH344" s="423"/>
      <c r="CI344" s="431"/>
      <c r="CJ344" s="431"/>
      <c r="CK344" s="431"/>
      <c r="CL344" s="420"/>
      <c r="CM344" s="423"/>
      <c r="CN344" s="420"/>
      <c r="CO344" s="420"/>
      <c r="CP344" s="420"/>
      <c r="CQ344" s="432"/>
      <c r="CR344" s="432"/>
      <c r="CS344" s="420"/>
      <c r="CT344" s="420"/>
      <c r="CU344" s="420"/>
      <c r="CV344" s="420"/>
      <c r="CW344" s="420"/>
      <c r="CX344" s="419"/>
      <c r="CY344" s="419"/>
      <c r="CZ344" s="419"/>
      <c r="DA344" s="419"/>
      <c r="DB344" s="419"/>
      <c r="DC344" s="419"/>
      <c r="DD344" s="419"/>
      <c r="DE344" s="419"/>
      <c r="DF344" s="420"/>
      <c r="DG344" s="421"/>
      <c r="DH344" s="419"/>
      <c r="DI344" s="419"/>
      <c r="DJ344" s="419"/>
      <c r="DK344" s="420"/>
      <c r="DL344" s="422"/>
      <c r="DM344" s="420"/>
      <c r="DN344" s="420"/>
      <c r="DO344" s="420"/>
      <c r="DP344" s="420"/>
      <c r="DQ344" s="420"/>
      <c r="DR344" s="419"/>
      <c r="DS344" s="419"/>
      <c r="DT344" s="419"/>
      <c r="DU344" s="420"/>
      <c r="DV344" s="423"/>
      <c r="DW344" s="419"/>
      <c r="DX344" s="419"/>
      <c r="DY344" s="419"/>
      <c r="DZ344" s="420"/>
      <c r="EA344" s="423"/>
      <c r="EB344" s="419"/>
      <c r="EC344" s="419"/>
      <c r="ED344" s="420"/>
      <c r="EE344" s="419"/>
      <c r="EF344" s="420"/>
      <c r="EG344" s="419"/>
      <c r="EI344" s="419"/>
      <c r="EJ344" s="420"/>
      <c r="EK344" s="420"/>
      <c r="EL344" s="419"/>
      <c r="EM344" s="419"/>
      <c r="EN344" s="419"/>
      <c r="EO344" s="419"/>
      <c r="EP344" s="419"/>
      <c r="EQ344" s="419"/>
      <c r="ER344" s="419"/>
      <c r="ES344" s="419"/>
      <c r="ET344" s="419"/>
      <c r="EU344" s="419"/>
      <c r="EV344" s="419"/>
      <c r="EW344" s="419"/>
      <c r="EX344" s="419"/>
      <c r="EY344" s="419"/>
      <c r="EZ344" s="419"/>
      <c r="FA344" s="420"/>
      <c r="FB344" s="420"/>
      <c r="FC344" s="420"/>
      <c r="FD344" s="420"/>
      <c r="FE344" s="420"/>
      <c r="FF344" s="419"/>
      <c r="FG344" s="419"/>
      <c r="FH344" s="419"/>
      <c r="FI344" s="419"/>
      <c r="FJ344" s="419"/>
      <c r="FK344" s="419"/>
      <c r="FL344" s="419"/>
      <c r="FM344" s="419"/>
      <c r="FN344" s="420"/>
      <c r="FO344" s="423"/>
      <c r="FP344" s="419"/>
      <c r="FQ344" s="419"/>
      <c r="FR344" s="419"/>
      <c r="FS344" s="420"/>
      <c r="FT344" s="420"/>
      <c r="FU344" s="419"/>
      <c r="FV344" s="419"/>
      <c r="FW344" s="419"/>
      <c r="FX344" s="420"/>
      <c r="FY344" s="420"/>
      <c r="FZ344" s="419"/>
      <c r="GA344" s="419"/>
      <c r="GB344" s="419"/>
      <c r="GC344" s="420"/>
      <c r="GD344" s="420"/>
      <c r="GE344" s="419"/>
      <c r="GF344" s="419"/>
      <c r="GG344" s="419"/>
      <c r="GH344" s="420"/>
      <c r="GI344" s="423"/>
      <c r="GJ344" s="419"/>
      <c r="GK344" s="419"/>
      <c r="GL344" s="419"/>
      <c r="GM344" s="420"/>
      <c r="GN344" s="420"/>
      <c r="GO344" s="419">
        <v>180031.5</v>
      </c>
      <c r="GP344" s="419"/>
      <c r="GQ344" s="419">
        <v>10801.89</v>
      </c>
      <c r="GR344" s="420">
        <f t="shared" si="268"/>
        <v>180031.5</v>
      </c>
      <c r="GS344" s="423">
        <f t="shared" si="265"/>
        <v>0</v>
      </c>
      <c r="GT344" s="419">
        <v>180031.5</v>
      </c>
      <c r="GU344" s="419"/>
      <c r="GV344" s="419">
        <v>10801.89</v>
      </c>
      <c r="GW344" s="420">
        <f t="shared" si="266"/>
        <v>180031.5</v>
      </c>
      <c r="GX344" s="420">
        <f t="shared" si="267"/>
        <v>0</v>
      </c>
    </row>
    <row r="345" spans="1:206" ht="14.1" customHeight="1">
      <c r="A345" s="414"/>
      <c r="B345" s="415" t="s">
        <v>690</v>
      </c>
      <c r="C345" s="469" t="s">
        <v>691</v>
      </c>
      <c r="D345" s="467" t="s">
        <v>692</v>
      </c>
      <c r="E345" s="434" t="s">
        <v>693</v>
      </c>
      <c r="F345" s="417">
        <v>0.06</v>
      </c>
      <c r="G345" s="418">
        <f t="shared" si="263"/>
        <v>309740.21999999997</v>
      </c>
      <c r="H345" s="418">
        <f t="shared" si="264"/>
        <v>309740.21000000002</v>
      </c>
      <c r="I345" s="418">
        <f t="shared" si="264"/>
        <v>18584.418799999999</v>
      </c>
      <c r="J345" s="418">
        <f t="shared" si="252"/>
        <v>309740.313333333</v>
      </c>
      <c r="K345" s="418">
        <f t="shared" si="250"/>
        <v>0.103333333390765</v>
      </c>
      <c r="L345" s="418">
        <f t="shared" si="218"/>
        <v>9.3333333381451694E-2</v>
      </c>
      <c r="M345" s="424"/>
      <c r="N345" s="424"/>
      <c r="O345" s="424"/>
      <c r="P345" s="424"/>
      <c r="Q345" s="419"/>
      <c r="R345" s="419"/>
      <c r="S345" s="419"/>
      <c r="T345" s="420"/>
      <c r="U345" s="423"/>
      <c r="V345" s="420"/>
      <c r="W345" s="420"/>
      <c r="X345" s="419"/>
      <c r="Y345" s="419"/>
      <c r="Z345" s="423"/>
      <c r="AA345" s="423"/>
      <c r="AB345" s="419"/>
      <c r="AC345" s="419"/>
      <c r="AD345" s="420"/>
      <c r="AE345" s="423"/>
      <c r="AF345" s="419"/>
      <c r="AG345" s="419"/>
      <c r="AH345" s="419"/>
      <c r="AI345" s="420"/>
      <c r="AJ345" s="423"/>
      <c r="AK345" s="419"/>
      <c r="AL345" s="420"/>
      <c r="AM345" s="419"/>
      <c r="AN345" s="420"/>
      <c r="AO345" s="423"/>
      <c r="AP345" s="419"/>
      <c r="AQ345" s="419"/>
      <c r="AR345" s="420"/>
      <c r="AS345" s="420"/>
      <c r="AT345" s="420"/>
      <c r="AU345" s="420"/>
      <c r="AV345" s="420"/>
      <c r="AW345" s="420"/>
      <c r="AX345" s="426"/>
      <c r="AY345" s="420"/>
      <c r="AZ345" s="420"/>
      <c r="BA345" s="420"/>
      <c r="BB345" s="419"/>
      <c r="BC345" s="420"/>
      <c r="BD345" s="427"/>
      <c r="BE345" s="420"/>
      <c r="BF345" s="420"/>
      <c r="BG345" s="420"/>
      <c r="BH345" s="423"/>
      <c r="BI345" s="420"/>
      <c r="BJ345" s="420"/>
      <c r="BK345" s="420"/>
      <c r="BL345" s="420"/>
      <c r="BM345" s="420"/>
      <c r="BN345" s="420"/>
      <c r="BO345" s="419">
        <v>4666.93</v>
      </c>
      <c r="BP345" s="429"/>
      <c r="BQ345" s="420">
        <v>280.01580000000001</v>
      </c>
      <c r="BR345" s="423">
        <f>BQ345/F345</f>
        <v>4666.93</v>
      </c>
      <c r="BS345" s="423">
        <f>BR345-BO345</f>
        <v>0</v>
      </c>
      <c r="BT345" s="420">
        <v>1219.82</v>
      </c>
      <c r="BU345" s="420"/>
      <c r="BV345" s="420">
        <v>73.19</v>
      </c>
      <c r="BW345" s="420">
        <v>1219.82</v>
      </c>
      <c r="BX345" s="429">
        <f>BW345-BT345</f>
        <v>0</v>
      </c>
      <c r="BY345" s="419"/>
      <c r="BZ345" s="419"/>
      <c r="CA345" s="419"/>
      <c r="CB345" s="420">
        <f>CA345/F345</f>
        <v>0</v>
      </c>
      <c r="CC345" s="430">
        <f>CB345-BY345</f>
        <v>0</v>
      </c>
      <c r="CD345" s="419">
        <v>12633.27</v>
      </c>
      <c r="CE345" s="419"/>
      <c r="CF345" s="419">
        <v>758</v>
      </c>
      <c r="CG345" s="420">
        <f>CF345/F345</f>
        <v>12633.333333333299</v>
      </c>
      <c r="CH345" s="423">
        <f>CG345-CD345</f>
        <v>6.3333333333503106E-2</v>
      </c>
      <c r="CI345" s="432">
        <v>10766.85</v>
      </c>
      <c r="CJ345" s="432"/>
      <c r="CK345" s="432">
        <v>646.01</v>
      </c>
      <c r="CL345" s="420">
        <f>CK345/F345</f>
        <v>10766.833333333299</v>
      </c>
      <c r="CM345" s="423">
        <f>CL345-CI345</f>
        <v>-1.66666666664241E-2</v>
      </c>
      <c r="CN345" s="420">
        <v>9993.17</v>
      </c>
      <c r="CO345" s="420"/>
      <c r="CP345" s="420">
        <v>599.59</v>
      </c>
      <c r="CQ345" s="432">
        <v>9993.17</v>
      </c>
      <c r="CR345" s="432">
        <f>ROUND(CQ345-CN345,2)</f>
        <v>0</v>
      </c>
      <c r="CS345" s="420">
        <v>17191.88</v>
      </c>
      <c r="CT345" s="420"/>
      <c r="CU345" s="420">
        <v>1031.51</v>
      </c>
      <c r="CV345" s="420">
        <v>17191.88</v>
      </c>
      <c r="CW345" s="420">
        <f>CV345-CS345</f>
        <v>0</v>
      </c>
      <c r="CX345" s="419">
        <v>18690.62</v>
      </c>
      <c r="CY345" s="419"/>
      <c r="CZ345" s="419">
        <v>1121.44</v>
      </c>
      <c r="DA345" s="419">
        <f>ROUND(CZ345/F345,2)</f>
        <v>18690.669999999998</v>
      </c>
      <c r="DB345" s="419">
        <f>ROUND(DA345-CX345,2)</f>
        <v>0.05</v>
      </c>
      <c r="DC345" s="419">
        <v>19035.310000000001</v>
      </c>
      <c r="DD345" s="419"/>
      <c r="DE345" s="419">
        <v>1142.1199999999999</v>
      </c>
      <c r="DF345" s="420">
        <f>DE345/F345</f>
        <v>19035.333333333299</v>
      </c>
      <c r="DG345" s="421">
        <f>DC345-DF345</f>
        <v>-2.3333333330811001E-2</v>
      </c>
      <c r="DH345" s="419">
        <v>20102.12</v>
      </c>
      <c r="DI345" s="419">
        <v>94197.85</v>
      </c>
      <c r="DJ345" s="419">
        <v>1206.1300000000001</v>
      </c>
      <c r="DK345" s="420">
        <f>DJ345/F345</f>
        <v>20102.166666666701</v>
      </c>
      <c r="DL345" s="422">
        <f>DK345-DH345</f>
        <v>4.6666666668898002E-2</v>
      </c>
      <c r="DM345" s="420">
        <v>21130.51</v>
      </c>
      <c r="DN345" s="420"/>
      <c r="DO345" s="420">
        <v>1267.83</v>
      </c>
      <c r="DP345" s="420">
        <f>DO345/F345</f>
        <v>21130.5</v>
      </c>
      <c r="DQ345" s="420">
        <f>DP345-DM345</f>
        <v>-9.9999999983992893E-3</v>
      </c>
      <c r="DR345" s="419">
        <v>18699.080000000002</v>
      </c>
      <c r="DS345" s="419"/>
      <c r="DT345" s="419">
        <v>1121.94</v>
      </c>
      <c r="DU345" s="420">
        <f>DT345/F345</f>
        <v>18699</v>
      </c>
      <c r="DV345" s="423">
        <f>DU345-DR345</f>
        <v>-8.0000000001746202E-2</v>
      </c>
      <c r="DW345" s="419">
        <v>20026.84</v>
      </c>
      <c r="DX345" s="419"/>
      <c r="DY345" s="419">
        <v>1201.6099999999999</v>
      </c>
      <c r="DZ345" s="420">
        <f>ROUND(DY345/F345,2)</f>
        <v>20026.830000000002</v>
      </c>
      <c r="EA345" s="423">
        <f>ROUND(DZ345-DW345,2)</f>
        <v>-0.01</v>
      </c>
      <c r="EB345" s="419">
        <v>23071.55</v>
      </c>
      <c r="EC345" s="419"/>
      <c r="ED345" s="420">
        <v>1384.2929999999999</v>
      </c>
      <c r="EE345" s="419">
        <v>23071.55</v>
      </c>
      <c r="EF345" s="420">
        <f>EE345-EB345</f>
        <v>0</v>
      </c>
      <c r="EG345" s="419">
        <v>112512.27</v>
      </c>
      <c r="EI345" s="419">
        <v>6750.74</v>
      </c>
      <c r="EJ345" s="420">
        <f>ROUND(EI345/F345,2)</f>
        <v>112512.33</v>
      </c>
      <c r="EK345" s="420">
        <f>ROUND(EJ345-EG345,2)</f>
        <v>0.06</v>
      </c>
      <c r="EL345" s="419"/>
      <c r="EM345" s="419"/>
      <c r="EN345" s="419"/>
      <c r="EO345" s="419">
        <f t="shared" si="309"/>
        <v>0</v>
      </c>
      <c r="EP345" s="419">
        <f t="shared" si="310"/>
        <v>0</v>
      </c>
      <c r="EQ345" s="419"/>
      <c r="ER345" s="419">
        <v>215542.36</v>
      </c>
      <c r="ES345" s="419"/>
      <c r="ET345" s="419">
        <f t="shared" si="311"/>
        <v>0</v>
      </c>
      <c r="EU345" s="419">
        <f t="shared" si="312"/>
        <v>0</v>
      </c>
      <c r="EV345" s="419"/>
      <c r="EW345" s="419"/>
      <c r="EX345" s="419"/>
      <c r="EY345" s="419">
        <f t="shared" si="222"/>
        <v>0</v>
      </c>
      <c r="EZ345" s="419">
        <f t="shared" si="242"/>
        <v>0</v>
      </c>
      <c r="FA345" s="456"/>
      <c r="FB345" s="420"/>
      <c r="FC345" s="420"/>
      <c r="FD345" s="420">
        <f t="shared" si="223"/>
        <v>0</v>
      </c>
      <c r="FE345" s="420">
        <f t="shared" si="224"/>
        <v>0</v>
      </c>
      <c r="FF345" s="419"/>
      <c r="FG345" s="419"/>
      <c r="FH345" s="419"/>
      <c r="FI345" s="419">
        <f t="shared" si="225"/>
        <v>0</v>
      </c>
      <c r="FJ345" s="419">
        <f t="shared" si="226"/>
        <v>0</v>
      </c>
      <c r="FK345" s="419"/>
      <c r="FL345" s="419"/>
      <c r="FM345" s="419"/>
      <c r="FN345" s="420">
        <f t="shared" si="227"/>
        <v>0</v>
      </c>
      <c r="FO345" s="423">
        <f t="shared" si="228"/>
        <v>0</v>
      </c>
      <c r="FP345" s="419"/>
      <c r="FQ345" s="419"/>
      <c r="FR345" s="419"/>
      <c r="FS345" s="420">
        <f t="shared" si="259"/>
        <v>0</v>
      </c>
      <c r="FT345" s="420">
        <f t="shared" si="260"/>
        <v>0</v>
      </c>
      <c r="FU345" s="419"/>
      <c r="FV345" s="419"/>
      <c r="FW345" s="419"/>
      <c r="FX345" s="420">
        <f t="shared" si="255"/>
        <v>0</v>
      </c>
      <c r="FY345" s="420">
        <f t="shared" si="256"/>
        <v>0</v>
      </c>
      <c r="FZ345" s="419"/>
      <c r="GA345" s="419"/>
      <c r="GB345" s="419"/>
      <c r="GC345" s="420">
        <f t="shared" si="253"/>
        <v>0</v>
      </c>
      <c r="GD345" s="420">
        <f t="shared" si="254"/>
        <v>0</v>
      </c>
      <c r="GE345" s="419"/>
      <c r="GF345" s="419"/>
      <c r="GG345" s="419"/>
      <c r="GH345" s="420">
        <f t="shared" si="261"/>
        <v>0</v>
      </c>
      <c r="GI345" s="423">
        <f t="shared" si="262"/>
        <v>0</v>
      </c>
      <c r="GJ345" s="419"/>
      <c r="GK345" s="419"/>
      <c r="GL345" s="419"/>
      <c r="GM345" s="420">
        <f t="shared" si="257"/>
        <v>0</v>
      </c>
      <c r="GN345" s="420">
        <f t="shared" si="258"/>
        <v>0</v>
      </c>
      <c r="GO345" s="419"/>
      <c r="GP345" s="419"/>
      <c r="GQ345" s="419"/>
      <c r="GR345" s="420">
        <f t="shared" si="268"/>
        <v>0</v>
      </c>
      <c r="GS345" s="423">
        <f t="shared" si="265"/>
        <v>0</v>
      </c>
      <c r="GT345" s="419"/>
      <c r="GU345" s="419"/>
      <c r="GV345" s="419"/>
      <c r="GW345" s="420">
        <f t="shared" si="266"/>
        <v>0</v>
      </c>
      <c r="GX345" s="420">
        <f t="shared" si="267"/>
        <v>0</v>
      </c>
    </row>
    <row r="346" spans="1:206" ht="15">
      <c r="A346" s="414"/>
      <c r="B346" s="415"/>
      <c r="C346" s="697" t="s">
        <v>694</v>
      </c>
      <c r="D346" s="467" t="s">
        <v>695</v>
      </c>
      <c r="E346" s="434" t="s">
        <v>694</v>
      </c>
      <c r="F346" s="417">
        <v>0.06</v>
      </c>
      <c r="G346" s="418">
        <f t="shared" si="263"/>
        <v>2413890.35</v>
      </c>
      <c r="H346" s="418">
        <f t="shared" si="264"/>
        <v>307215.59000000003</v>
      </c>
      <c r="I346" s="418">
        <f t="shared" si="264"/>
        <v>144833.41</v>
      </c>
      <c r="J346" s="418">
        <f t="shared" si="252"/>
        <v>2413890.1666666698</v>
      </c>
      <c r="K346" s="418">
        <f t="shared" si="250"/>
        <v>2106674.5766666699</v>
      </c>
      <c r="L346" s="418">
        <f t="shared" si="218"/>
        <v>-0.18333333311602501</v>
      </c>
      <c r="M346" s="424"/>
      <c r="N346" s="424"/>
      <c r="O346" s="424"/>
      <c r="P346" s="424"/>
      <c r="Q346" s="419"/>
      <c r="R346" s="419"/>
      <c r="S346" s="419"/>
      <c r="T346" s="420"/>
      <c r="U346" s="423"/>
      <c r="V346" s="420"/>
      <c r="W346" s="420"/>
      <c r="X346" s="419"/>
      <c r="Y346" s="419"/>
      <c r="Z346" s="423"/>
      <c r="AA346" s="423"/>
      <c r="AB346" s="419"/>
      <c r="AC346" s="419"/>
      <c r="AD346" s="420"/>
      <c r="AE346" s="423"/>
      <c r="AF346" s="419"/>
      <c r="AG346" s="419"/>
      <c r="AH346" s="419"/>
      <c r="AI346" s="420"/>
      <c r="AJ346" s="423"/>
      <c r="AK346" s="419"/>
      <c r="AL346" s="420"/>
      <c r="AM346" s="419"/>
      <c r="AN346" s="420"/>
      <c r="AO346" s="423"/>
      <c r="AP346" s="419"/>
      <c r="AQ346" s="419"/>
      <c r="AR346" s="420"/>
      <c r="AS346" s="420"/>
      <c r="AT346" s="420"/>
      <c r="AU346" s="420"/>
      <c r="AV346" s="420"/>
      <c r="AW346" s="420"/>
      <c r="AX346" s="426"/>
      <c r="AY346" s="420"/>
      <c r="AZ346" s="420"/>
      <c r="BA346" s="420"/>
      <c r="BB346" s="419"/>
      <c r="BC346" s="420"/>
      <c r="BD346" s="427"/>
      <c r="BE346" s="420">
        <v>72562.5</v>
      </c>
      <c r="BF346" s="420"/>
      <c r="BG346" s="420">
        <v>4353.75</v>
      </c>
      <c r="BH346" s="423">
        <f>BG346/F346</f>
        <v>72562.5</v>
      </c>
      <c r="BI346" s="420">
        <f>BH346-BE346</f>
        <v>0</v>
      </c>
      <c r="BJ346" s="420"/>
      <c r="BK346" s="420">
        <v>72562.5</v>
      </c>
      <c r="BL346" s="420">
        <v>0</v>
      </c>
      <c r="BM346" s="420">
        <f>BL346/F346</f>
        <v>0</v>
      </c>
      <c r="BN346" s="420">
        <f>BM346-BJ346</f>
        <v>0</v>
      </c>
      <c r="BO346" s="419"/>
      <c r="BP346" s="428"/>
      <c r="BQ346" s="420">
        <v>0</v>
      </c>
      <c r="BR346" s="423">
        <f>BQ346/F346</f>
        <v>0</v>
      </c>
      <c r="BS346" s="423">
        <f>BR346-BO346</f>
        <v>0</v>
      </c>
      <c r="BT346" s="420">
        <f>2341327.85</f>
        <v>2341327.85</v>
      </c>
      <c r="BU346" s="420"/>
      <c r="BV346" s="420">
        <v>140479.66</v>
      </c>
      <c r="BW346" s="420">
        <v>2341327.85</v>
      </c>
      <c r="BX346" s="429">
        <f>BW346-BT346</f>
        <v>0</v>
      </c>
      <c r="BY346" s="419"/>
      <c r="BZ346" s="431">
        <v>3755109.62</v>
      </c>
      <c r="CA346" s="419"/>
      <c r="CB346" s="420">
        <f>CA346/F346</f>
        <v>0</v>
      </c>
      <c r="CC346" s="430">
        <f>CB346-BY346</f>
        <v>0</v>
      </c>
      <c r="CD346" s="419"/>
      <c r="CE346" s="419">
        <v>-3520456.53</v>
      </c>
      <c r="CF346" s="419"/>
      <c r="CG346" s="420">
        <f>CF346/F346</f>
        <v>0</v>
      </c>
      <c r="CH346" s="423">
        <f>CG346-CD346</f>
        <v>0</v>
      </c>
      <c r="CI346" s="431"/>
      <c r="CJ346" s="431"/>
      <c r="CK346" s="431"/>
      <c r="CL346" s="420">
        <f>CK346/F346</f>
        <v>0</v>
      </c>
      <c r="CM346" s="423">
        <f>CL346-CI346</f>
        <v>0</v>
      </c>
      <c r="CN346" s="420"/>
      <c r="CO346" s="420"/>
      <c r="CP346" s="420"/>
      <c r="CQ346" s="432"/>
      <c r="CR346" s="432">
        <f>ROUND(CQ346-CN346,2)</f>
        <v>0</v>
      </c>
      <c r="CS346" s="420"/>
      <c r="CT346" s="420"/>
      <c r="CU346" s="420"/>
      <c r="CV346" s="420"/>
      <c r="CW346" s="420">
        <f>CV346-CS346</f>
        <v>0</v>
      </c>
      <c r="CX346" s="419"/>
      <c r="CY346" s="419"/>
      <c r="CZ346" s="419"/>
      <c r="DA346" s="419">
        <f>ROUND(CZ346/F346,2)</f>
        <v>0</v>
      </c>
      <c r="DB346" s="419">
        <f>ROUND(DA346-CX346,2)</f>
        <v>0</v>
      </c>
      <c r="DC346" s="419"/>
      <c r="DD346" s="419"/>
      <c r="DE346" s="419"/>
      <c r="DF346" s="420">
        <f>DE346/F346</f>
        <v>0</v>
      </c>
      <c r="DG346" s="421">
        <f>DC346-DF346</f>
        <v>0</v>
      </c>
      <c r="DH346" s="419"/>
      <c r="DI346" s="419"/>
      <c r="DJ346" s="419"/>
      <c r="DK346" s="420">
        <f>DJ346/F346</f>
        <v>0</v>
      </c>
      <c r="DL346" s="422">
        <f>DK346-DH346</f>
        <v>0</v>
      </c>
      <c r="DM346" s="420"/>
      <c r="DN346" s="420"/>
      <c r="DO346" s="420"/>
      <c r="DP346" s="420">
        <f>DO346/F346</f>
        <v>0</v>
      </c>
      <c r="DQ346" s="420">
        <f>DP346-DM346</f>
        <v>0</v>
      </c>
      <c r="DR346" s="419"/>
      <c r="DS346" s="419"/>
      <c r="DT346" s="419"/>
      <c r="DU346" s="420">
        <f>DT346/F346</f>
        <v>0</v>
      </c>
      <c r="DV346" s="423">
        <f>DU346-DR346</f>
        <v>0</v>
      </c>
      <c r="DW346" s="419"/>
      <c r="DX346" s="419"/>
      <c r="DY346" s="419"/>
      <c r="DZ346" s="420">
        <f>ROUND(DY346/F346,2)</f>
        <v>0</v>
      </c>
      <c r="EA346" s="423">
        <f>ROUND(DZ346-DW346,2)</f>
        <v>0</v>
      </c>
      <c r="EB346" s="419"/>
      <c r="EC346" s="419"/>
      <c r="ED346" s="420"/>
      <c r="EE346" s="419"/>
      <c r="EF346" s="420">
        <f>EE346-EB346</f>
        <v>0</v>
      </c>
      <c r="EG346" s="419"/>
      <c r="EH346" s="419"/>
      <c r="EI346" s="419"/>
      <c r="EJ346" s="420">
        <f>ROUND(EI346/F346,2)</f>
        <v>0</v>
      </c>
      <c r="EK346" s="420">
        <f>ROUND(EJ346-EG346,2)</f>
        <v>0</v>
      </c>
      <c r="EL346" s="419"/>
      <c r="EM346" s="419"/>
      <c r="EN346" s="419"/>
      <c r="EO346" s="419">
        <f t="shared" si="309"/>
        <v>0</v>
      </c>
      <c r="EP346" s="419">
        <f t="shared" si="310"/>
        <v>0</v>
      </c>
      <c r="EQ346" s="419"/>
      <c r="ER346" s="419"/>
      <c r="ES346" s="419"/>
      <c r="ET346" s="419">
        <f t="shared" si="311"/>
        <v>0</v>
      </c>
      <c r="EU346" s="419">
        <f t="shared" si="312"/>
        <v>0</v>
      </c>
      <c r="EV346" s="419"/>
      <c r="EW346" s="419"/>
      <c r="EX346" s="419"/>
      <c r="EY346" s="419">
        <f t="shared" si="222"/>
        <v>0</v>
      </c>
      <c r="EZ346" s="419">
        <f t="shared" si="242"/>
        <v>0</v>
      </c>
      <c r="FA346" s="420"/>
      <c r="FB346" s="420"/>
      <c r="FC346" s="420"/>
      <c r="FD346" s="420">
        <f t="shared" si="223"/>
        <v>0</v>
      </c>
      <c r="FE346" s="420">
        <f t="shared" si="224"/>
        <v>0</v>
      </c>
      <c r="FF346" s="419"/>
      <c r="FG346" s="419"/>
      <c r="FH346" s="419"/>
      <c r="FI346" s="419">
        <f t="shared" si="225"/>
        <v>0</v>
      </c>
      <c r="FJ346" s="419">
        <f t="shared" si="226"/>
        <v>0</v>
      </c>
      <c r="FK346" s="419"/>
      <c r="FL346" s="419"/>
      <c r="FM346" s="419"/>
      <c r="FN346" s="420">
        <f t="shared" si="227"/>
        <v>0</v>
      </c>
      <c r="FO346" s="423">
        <f t="shared" si="228"/>
        <v>0</v>
      </c>
      <c r="FP346" s="419"/>
      <c r="FQ346" s="419"/>
      <c r="FR346" s="419"/>
      <c r="FS346" s="420">
        <f t="shared" si="259"/>
        <v>0</v>
      </c>
      <c r="FT346" s="420">
        <f t="shared" si="260"/>
        <v>0</v>
      </c>
      <c r="FU346" s="419"/>
      <c r="FV346" s="419"/>
      <c r="FW346" s="419"/>
      <c r="FX346" s="420">
        <f t="shared" si="255"/>
        <v>0</v>
      </c>
      <c r="FY346" s="420">
        <f t="shared" si="256"/>
        <v>0</v>
      </c>
      <c r="FZ346" s="419"/>
      <c r="GA346" s="419"/>
      <c r="GB346" s="419"/>
      <c r="GC346" s="420">
        <f t="shared" si="253"/>
        <v>0</v>
      </c>
      <c r="GD346" s="420">
        <f t="shared" si="254"/>
        <v>0</v>
      </c>
      <c r="GE346" s="419"/>
      <c r="GF346" s="419"/>
      <c r="GG346" s="419"/>
      <c r="GH346" s="420">
        <f t="shared" si="261"/>
        <v>0</v>
      </c>
      <c r="GI346" s="423">
        <f t="shared" si="262"/>
        <v>0</v>
      </c>
      <c r="GJ346" s="419"/>
      <c r="GK346" s="419"/>
      <c r="GL346" s="419"/>
      <c r="GM346" s="420">
        <f t="shared" si="257"/>
        <v>0</v>
      </c>
      <c r="GN346" s="420">
        <f t="shared" si="258"/>
        <v>0</v>
      </c>
      <c r="GO346" s="419"/>
      <c r="GP346" s="419"/>
      <c r="GQ346" s="419"/>
      <c r="GR346" s="420">
        <f t="shared" si="268"/>
        <v>0</v>
      </c>
      <c r="GS346" s="423">
        <f t="shared" si="265"/>
        <v>0</v>
      </c>
      <c r="GT346" s="419"/>
      <c r="GU346" s="419"/>
      <c r="GV346" s="419"/>
      <c r="GW346" s="420">
        <f t="shared" si="266"/>
        <v>0</v>
      </c>
      <c r="GX346" s="420">
        <f t="shared" si="267"/>
        <v>0</v>
      </c>
    </row>
    <row r="347" spans="1:206" ht="15">
      <c r="A347" s="414"/>
      <c r="B347" s="415" t="s">
        <v>696</v>
      </c>
      <c r="C347" s="698"/>
      <c r="D347" s="467" t="s">
        <v>697</v>
      </c>
      <c r="E347" s="434" t="s">
        <v>694</v>
      </c>
      <c r="F347" s="417">
        <v>0.06</v>
      </c>
      <c r="G347" s="418">
        <f t="shared" si="263"/>
        <v>10409610.619999999</v>
      </c>
      <c r="H347" s="418">
        <f t="shared" si="264"/>
        <v>10409610.59</v>
      </c>
      <c r="I347" s="418">
        <f t="shared" si="264"/>
        <v>624576.6324</v>
      </c>
      <c r="J347" s="418">
        <f t="shared" si="252"/>
        <v>10409610.539999999</v>
      </c>
      <c r="K347" s="418">
        <f t="shared" si="250"/>
        <v>-4.9999998882412897E-2</v>
      </c>
      <c r="L347" s="418">
        <f t="shared" si="218"/>
        <v>-7.9999998211860698E-2</v>
      </c>
      <c r="M347" s="424"/>
      <c r="N347" s="424"/>
      <c r="O347" s="424"/>
      <c r="P347" s="424"/>
      <c r="Q347" s="419"/>
      <c r="R347" s="419"/>
      <c r="S347" s="419"/>
      <c r="T347" s="420"/>
      <c r="U347" s="423"/>
      <c r="V347" s="420"/>
      <c r="W347" s="420"/>
      <c r="X347" s="419"/>
      <c r="Y347" s="419"/>
      <c r="Z347" s="423"/>
      <c r="AA347" s="423"/>
      <c r="AB347" s="419"/>
      <c r="AC347" s="419"/>
      <c r="AD347" s="420"/>
      <c r="AE347" s="423"/>
      <c r="AF347" s="419"/>
      <c r="AG347" s="419"/>
      <c r="AH347" s="419"/>
      <c r="AI347" s="420"/>
      <c r="AJ347" s="423"/>
      <c r="AK347" s="419"/>
      <c r="AL347" s="420"/>
      <c r="AM347" s="419"/>
      <c r="AN347" s="420"/>
      <c r="AO347" s="423"/>
      <c r="AP347" s="419"/>
      <c r="AQ347" s="419"/>
      <c r="AR347" s="420"/>
      <c r="AS347" s="420"/>
      <c r="AT347" s="420"/>
      <c r="AU347" s="420"/>
      <c r="AV347" s="420"/>
      <c r="AW347" s="420"/>
      <c r="AX347" s="426"/>
      <c r="AY347" s="420"/>
      <c r="AZ347" s="420">
        <v>1582367.79</v>
      </c>
      <c r="BA347" s="420">
        <v>1582367.78</v>
      </c>
      <c r="BB347" s="423">
        <f>BA347*F347</f>
        <v>94942.066800000001</v>
      </c>
      <c r="BC347" s="420">
        <f>BB347/F347</f>
        <v>1582367.78</v>
      </c>
      <c r="BD347" s="427">
        <f>BC347-AZ347</f>
        <v>-1.00000000093132E-2</v>
      </c>
      <c r="BE347" s="420">
        <v>3459171.78</v>
      </c>
      <c r="BF347" s="420">
        <v>3531734.26</v>
      </c>
      <c r="BG347" s="420">
        <f>BF347*F347</f>
        <v>211904.05559999999</v>
      </c>
      <c r="BH347" s="423">
        <f>BG347/F347</f>
        <v>3531734.26</v>
      </c>
      <c r="BI347" s="420">
        <f>BH347-BE347</f>
        <v>72562.48</v>
      </c>
      <c r="BJ347" s="420"/>
      <c r="BK347" s="470">
        <v>-72562.5</v>
      </c>
      <c r="BL347" s="420">
        <v>-4353.75</v>
      </c>
      <c r="BM347" s="420">
        <f>BL347/F347</f>
        <v>-72562.5</v>
      </c>
      <c r="BN347" s="420">
        <f>BM347-BJ347</f>
        <v>-72562.5</v>
      </c>
      <c r="BO347" s="419"/>
      <c r="BP347" s="428"/>
      <c r="BQ347" s="420">
        <v>0</v>
      </c>
      <c r="BR347" s="423">
        <f>BQ347/F347</f>
        <v>0</v>
      </c>
      <c r="BS347" s="423">
        <f>BR347-BO347</f>
        <v>0</v>
      </c>
      <c r="BT347" s="420"/>
      <c r="BU347" s="420"/>
      <c r="BV347" s="420"/>
      <c r="BW347" s="420"/>
      <c r="BX347" s="429">
        <f>BW347-BT347</f>
        <v>0</v>
      </c>
      <c r="BY347" s="419"/>
      <c r="BZ347" s="419"/>
      <c r="CA347" s="419"/>
      <c r="CB347" s="420">
        <f>CA347/F347</f>
        <v>0</v>
      </c>
      <c r="CC347" s="430">
        <f>CB347-BY347</f>
        <v>0</v>
      </c>
      <c r="CD347" s="419"/>
      <c r="CE347" s="419"/>
      <c r="CF347" s="419"/>
      <c r="CG347" s="420">
        <f>CF347/F347</f>
        <v>0</v>
      </c>
      <c r="CH347" s="423">
        <f>CG347-CD347</f>
        <v>0</v>
      </c>
      <c r="CI347" s="431">
        <v>2556323.91</v>
      </c>
      <c r="CJ347" s="431">
        <v>0</v>
      </c>
      <c r="CK347" s="431">
        <v>153379.43</v>
      </c>
      <c r="CL347" s="420">
        <f>CK347/F347</f>
        <v>2556323.8333333302</v>
      </c>
      <c r="CM347" s="423">
        <f>CL347-CI347</f>
        <v>-7.6666666660457794E-2</v>
      </c>
      <c r="CN347" s="420"/>
      <c r="CO347" s="420"/>
      <c r="CP347" s="420"/>
      <c r="CQ347" s="432"/>
      <c r="CR347" s="432">
        <f>ROUND(CQ347-CN347,2)</f>
        <v>0</v>
      </c>
      <c r="CS347" s="420"/>
      <c r="CT347" s="420"/>
      <c r="CU347" s="420"/>
      <c r="CV347" s="420"/>
      <c r="CW347" s="420">
        <f>CV347-CS347</f>
        <v>0</v>
      </c>
      <c r="CX347" s="420">
        <v>2771181.1</v>
      </c>
      <c r="CY347" s="420"/>
      <c r="CZ347" s="420">
        <v>166270.87</v>
      </c>
      <c r="DA347" s="419">
        <f>ROUND(CZ347/F347,2)</f>
        <v>2771181.17</v>
      </c>
      <c r="DB347" s="419">
        <f>ROUND(DA347-CX347,2)</f>
        <v>7.0000000000000007E-2</v>
      </c>
      <c r="DC347" s="419"/>
      <c r="DD347" s="419"/>
      <c r="DE347" s="419"/>
      <c r="DF347" s="420">
        <f>DE347/F347</f>
        <v>0</v>
      </c>
      <c r="DG347" s="421">
        <f>DC347-DF347</f>
        <v>0</v>
      </c>
      <c r="DH347" s="419"/>
      <c r="DI347" s="419"/>
      <c r="DJ347" s="419"/>
      <c r="DK347" s="420">
        <f>DJ347/F347</f>
        <v>0</v>
      </c>
      <c r="DL347" s="422">
        <f>DK347-DH347</f>
        <v>0</v>
      </c>
      <c r="DM347" s="420">
        <v>40566.04</v>
      </c>
      <c r="DN347" s="420"/>
      <c r="DO347" s="420">
        <v>2433.96</v>
      </c>
      <c r="DP347" s="420">
        <f>DO347/F347</f>
        <v>40566</v>
      </c>
      <c r="DQ347" s="420">
        <f>DP347-DM347</f>
        <v>-4.0000000000873101E-2</v>
      </c>
      <c r="DR347" s="419"/>
      <c r="DS347" s="419"/>
      <c r="DT347" s="419"/>
      <c r="DU347" s="420">
        <f>DT347/F347</f>
        <v>0</v>
      </c>
      <c r="DV347" s="423">
        <f>DU347-DR347</f>
        <v>0</v>
      </c>
      <c r="DW347" s="419"/>
      <c r="DX347" s="419"/>
      <c r="DY347" s="419"/>
      <c r="DZ347" s="420">
        <f>ROUND(DY347/F347,2)</f>
        <v>0</v>
      </c>
      <c r="EA347" s="423">
        <f>ROUND(DZ347-DW347,2)</f>
        <v>0</v>
      </c>
      <c r="EB347" s="419"/>
      <c r="EC347" s="419"/>
      <c r="ED347" s="420"/>
      <c r="EE347" s="419"/>
      <c r="EF347" s="420">
        <f>EE347-EB347</f>
        <v>0</v>
      </c>
      <c r="EG347" s="419"/>
      <c r="EH347" s="419"/>
      <c r="EI347" s="419"/>
      <c r="EJ347" s="420">
        <f>ROUND(EI347/F347,2)</f>
        <v>0</v>
      </c>
      <c r="EK347" s="420">
        <f>ROUND(EJ347-EG347,2)</f>
        <v>0</v>
      </c>
      <c r="EL347" s="419"/>
      <c r="EM347" s="419"/>
      <c r="EN347" s="419"/>
      <c r="EO347" s="419">
        <f t="shared" si="309"/>
        <v>0</v>
      </c>
      <c r="EP347" s="419">
        <f t="shared" si="310"/>
        <v>0</v>
      </c>
      <c r="EQ347" s="419"/>
      <c r="ER347" s="420">
        <v>5368071.05</v>
      </c>
      <c r="ES347" s="419"/>
      <c r="ET347" s="419">
        <f t="shared" si="311"/>
        <v>0</v>
      </c>
      <c r="EU347" s="419">
        <f t="shared" si="312"/>
        <v>0</v>
      </c>
      <c r="EV347" s="419"/>
      <c r="EW347" s="419"/>
      <c r="EX347" s="419"/>
      <c r="EY347" s="419">
        <f t="shared" si="222"/>
        <v>0</v>
      </c>
      <c r="EZ347" s="419">
        <f t="shared" si="242"/>
        <v>0</v>
      </c>
      <c r="FA347" s="420"/>
      <c r="FB347" s="420"/>
      <c r="FC347" s="420"/>
      <c r="FD347" s="420">
        <f t="shared" si="223"/>
        <v>0</v>
      </c>
      <c r="FE347" s="420">
        <f t="shared" si="224"/>
        <v>0</v>
      </c>
      <c r="FF347" s="419"/>
      <c r="FG347" s="419"/>
      <c r="FH347" s="419"/>
      <c r="FI347" s="419">
        <f t="shared" si="225"/>
        <v>0</v>
      </c>
      <c r="FJ347" s="419">
        <f t="shared" si="226"/>
        <v>0</v>
      </c>
      <c r="FK347" s="419"/>
      <c r="FL347" s="419"/>
      <c r="FM347" s="419"/>
      <c r="FN347" s="420">
        <f t="shared" si="227"/>
        <v>0</v>
      </c>
      <c r="FO347" s="423">
        <f t="shared" si="228"/>
        <v>0</v>
      </c>
      <c r="FP347" s="419"/>
      <c r="FQ347" s="419"/>
      <c r="FR347" s="419"/>
      <c r="FS347" s="420">
        <f t="shared" si="259"/>
        <v>0</v>
      </c>
      <c r="FT347" s="420">
        <f t="shared" si="260"/>
        <v>0</v>
      </c>
      <c r="FU347" s="419"/>
      <c r="FV347" s="419"/>
      <c r="FW347" s="419"/>
      <c r="FX347" s="420">
        <f t="shared" si="255"/>
        <v>0</v>
      </c>
      <c r="FY347" s="420">
        <f t="shared" si="256"/>
        <v>0</v>
      </c>
      <c r="FZ347" s="419"/>
      <c r="GA347" s="419"/>
      <c r="GB347" s="419"/>
      <c r="GC347" s="420">
        <f t="shared" si="253"/>
        <v>0</v>
      </c>
      <c r="GD347" s="420">
        <f t="shared" si="254"/>
        <v>0</v>
      </c>
      <c r="GE347" s="419"/>
      <c r="GF347" s="419"/>
      <c r="GG347" s="419"/>
      <c r="GH347" s="420">
        <f t="shared" si="261"/>
        <v>0</v>
      </c>
      <c r="GI347" s="423">
        <f t="shared" si="262"/>
        <v>0</v>
      </c>
      <c r="GJ347" s="419"/>
      <c r="GK347" s="419"/>
      <c r="GL347" s="419"/>
      <c r="GM347" s="420">
        <f t="shared" si="257"/>
        <v>0</v>
      </c>
      <c r="GN347" s="420">
        <f t="shared" si="258"/>
        <v>0</v>
      </c>
      <c r="GO347" s="419"/>
      <c r="GP347" s="419"/>
      <c r="GQ347" s="419"/>
      <c r="GR347" s="420">
        <f t="shared" si="268"/>
        <v>0</v>
      </c>
      <c r="GS347" s="423">
        <f t="shared" si="265"/>
        <v>0</v>
      </c>
      <c r="GT347" s="419"/>
      <c r="GU347" s="419"/>
      <c r="GV347" s="419"/>
      <c r="GW347" s="420">
        <f t="shared" si="266"/>
        <v>0</v>
      </c>
      <c r="GX347" s="420">
        <f t="shared" si="267"/>
        <v>0</v>
      </c>
    </row>
    <row r="348" spans="1:206" ht="15">
      <c r="A348" s="414"/>
      <c r="B348" s="415" t="s">
        <v>698</v>
      </c>
      <c r="C348" s="698"/>
      <c r="D348" s="467" t="s">
        <v>699</v>
      </c>
      <c r="E348" s="434" t="s">
        <v>694</v>
      </c>
      <c r="F348" s="417">
        <v>0.06</v>
      </c>
      <c r="G348" s="418">
        <f t="shared" si="263"/>
        <v>6547978.5499999998</v>
      </c>
      <c r="H348" s="418">
        <f t="shared" si="264"/>
        <v>8654653.2899999991</v>
      </c>
      <c r="I348" s="418">
        <f t="shared" si="264"/>
        <v>392878.73639999999</v>
      </c>
      <c r="J348" s="418">
        <f t="shared" si="252"/>
        <v>6547978.9400000004</v>
      </c>
      <c r="K348" s="418">
        <f t="shared" si="250"/>
        <v>-2106674.35</v>
      </c>
      <c r="L348" s="418">
        <f t="shared" si="218"/>
        <v>0.39000000245869199</v>
      </c>
      <c r="M348" s="424"/>
      <c r="N348" s="424"/>
      <c r="O348" s="424"/>
      <c r="P348" s="424"/>
      <c r="Q348" s="419"/>
      <c r="R348" s="419"/>
      <c r="S348" s="419"/>
      <c r="T348" s="420"/>
      <c r="U348" s="423"/>
      <c r="V348" s="420"/>
      <c r="W348" s="420"/>
      <c r="X348" s="419"/>
      <c r="Y348" s="419"/>
      <c r="Z348" s="423"/>
      <c r="AA348" s="423"/>
      <c r="AB348" s="419"/>
      <c r="AC348" s="419"/>
      <c r="AD348" s="420"/>
      <c r="AE348" s="423"/>
      <c r="AF348" s="419"/>
      <c r="AG348" s="419"/>
      <c r="AH348" s="419"/>
      <c r="AI348" s="420"/>
      <c r="AJ348" s="423"/>
      <c r="AK348" s="419"/>
      <c r="AL348" s="420"/>
      <c r="AM348" s="419"/>
      <c r="AN348" s="420"/>
      <c r="AO348" s="423"/>
      <c r="AP348" s="419"/>
      <c r="AQ348" s="419"/>
      <c r="AR348" s="420"/>
      <c r="AS348" s="420"/>
      <c r="AT348" s="420"/>
      <c r="AU348" s="420"/>
      <c r="AV348" s="420"/>
      <c r="AW348" s="420"/>
      <c r="AX348" s="426"/>
      <c r="AY348" s="420"/>
      <c r="AZ348" s="420">
        <v>895897.94</v>
      </c>
      <c r="BA348" s="420"/>
      <c r="BB348" s="423">
        <f>AZ348*F348</f>
        <v>53753.876400000001</v>
      </c>
      <c r="BC348" s="420">
        <f>BB348/F348</f>
        <v>895897.94</v>
      </c>
      <c r="BD348" s="427">
        <f>BC348-AZ348</f>
        <v>0</v>
      </c>
      <c r="BE348" s="420">
        <v>214145.24</v>
      </c>
      <c r="BF348" s="420">
        <v>1110043.1499999999</v>
      </c>
      <c r="BG348" s="420">
        <v>12848.71</v>
      </c>
      <c r="BH348" s="423">
        <f>BG348/F348</f>
        <v>214145.16666666701</v>
      </c>
      <c r="BI348" s="420">
        <f>BH348-BE348</f>
        <v>-7.3333333333721398E-2</v>
      </c>
      <c r="BJ348" s="420"/>
      <c r="BK348" s="420"/>
      <c r="BL348" s="420"/>
      <c r="BM348" s="420">
        <f>BL348/F348</f>
        <v>0</v>
      </c>
      <c r="BN348" s="420">
        <f>BM348-BJ348</f>
        <v>0</v>
      </c>
      <c r="BO348" s="419"/>
      <c r="BP348" s="428"/>
      <c r="BQ348" s="420">
        <v>0</v>
      </c>
      <c r="BR348" s="423">
        <f>BQ348/F348</f>
        <v>0</v>
      </c>
      <c r="BS348" s="423">
        <f>BR348-BO348</f>
        <v>0</v>
      </c>
      <c r="BT348" s="420">
        <f>3755109.62+581138.6+234653.09</f>
        <v>4570901.3099999996</v>
      </c>
      <c r="BU348" s="420"/>
      <c r="BV348" s="420">
        <f>225306.58+34868.32+14079.19</f>
        <v>274254.09000000003</v>
      </c>
      <c r="BW348" s="420">
        <v>4570901.3099999996</v>
      </c>
      <c r="BX348" s="429">
        <f>BW348-BT348</f>
        <v>0</v>
      </c>
      <c r="BY348" s="419"/>
      <c r="BZ348" s="471">
        <v>6677576.0800000001</v>
      </c>
      <c r="CA348" s="419"/>
      <c r="CB348" s="420">
        <f>CA348/F348</f>
        <v>0</v>
      </c>
      <c r="CC348" s="430">
        <f>CB348-BY348</f>
        <v>0</v>
      </c>
      <c r="CD348" s="419"/>
      <c r="CE348" s="419"/>
      <c r="CF348" s="419"/>
      <c r="CG348" s="420">
        <f>CF348/F348</f>
        <v>0</v>
      </c>
      <c r="CH348" s="423">
        <f>CG348-CD348</f>
        <v>0</v>
      </c>
      <c r="CI348" s="431">
        <v>219861.84</v>
      </c>
      <c r="CJ348" s="431">
        <v>0</v>
      </c>
      <c r="CK348" s="431">
        <v>13191.71</v>
      </c>
      <c r="CL348" s="420">
        <f>CK348/F348</f>
        <v>219861.83333333299</v>
      </c>
      <c r="CM348" s="423">
        <f>CL348-CI348</f>
        <v>-6.6666666825767598E-3</v>
      </c>
      <c r="CN348" s="420"/>
      <c r="CO348" s="420"/>
      <c r="CP348" s="420"/>
      <c r="CQ348" s="432"/>
      <c r="CR348" s="432">
        <f>ROUND(CQ348-CN348,2)</f>
        <v>0</v>
      </c>
      <c r="CS348" s="420"/>
      <c r="CT348" s="420"/>
      <c r="CU348" s="420"/>
      <c r="CV348" s="420"/>
      <c r="CW348" s="420">
        <f>CV348-CS348</f>
        <v>0</v>
      </c>
      <c r="CX348" s="419">
        <v>387091.01</v>
      </c>
      <c r="CY348" s="419"/>
      <c r="CZ348" s="419">
        <v>23225.47</v>
      </c>
      <c r="DA348" s="419">
        <f>ROUND(CZ348/F348,2)</f>
        <v>387091.17</v>
      </c>
      <c r="DB348" s="419">
        <f>ROUND(DA348-CX348,2)</f>
        <v>0.16</v>
      </c>
      <c r="DC348" s="419"/>
      <c r="DD348" s="419"/>
      <c r="DE348" s="419"/>
      <c r="DF348" s="420">
        <f>DE348/F348</f>
        <v>0</v>
      </c>
      <c r="DG348" s="421">
        <f>DC348-DF348</f>
        <v>0</v>
      </c>
      <c r="DH348" s="419"/>
      <c r="DI348" s="419"/>
      <c r="DJ348" s="419"/>
      <c r="DK348" s="420">
        <f>DJ348/F348</f>
        <v>0</v>
      </c>
      <c r="DL348" s="422">
        <f>DK348-DH348</f>
        <v>0</v>
      </c>
      <c r="DM348" s="420">
        <v>260081.21</v>
      </c>
      <c r="DN348" s="420"/>
      <c r="DO348" s="420">
        <v>15604.88</v>
      </c>
      <c r="DP348" s="420">
        <f>DO348/F348</f>
        <v>260081.33333333299</v>
      </c>
      <c r="DQ348" s="420">
        <f>DP348-DM348</f>
        <v>0.123333333351184</v>
      </c>
      <c r="DR348" s="419"/>
      <c r="DS348" s="419"/>
      <c r="DT348" s="419"/>
      <c r="DU348" s="420">
        <f>DT348/F348</f>
        <v>0</v>
      </c>
      <c r="DV348" s="423">
        <f>DU348-DR348</f>
        <v>0</v>
      </c>
      <c r="DW348" s="419"/>
      <c r="DX348" s="419"/>
      <c r="DY348" s="419"/>
      <c r="DZ348" s="420">
        <f>ROUND(DY348/F348,2)</f>
        <v>0</v>
      </c>
      <c r="EA348" s="423">
        <f>ROUND(DZ348-DW348,2)</f>
        <v>0</v>
      </c>
      <c r="EB348" s="419"/>
      <c r="EC348" s="419"/>
      <c r="ED348" s="420"/>
      <c r="EE348" s="419"/>
      <c r="EF348" s="420">
        <f>EE348-EB348</f>
        <v>0</v>
      </c>
      <c r="EG348" s="419"/>
      <c r="EH348" s="419"/>
      <c r="EI348" s="419"/>
      <c r="EJ348" s="420">
        <f>ROUND(EI348/F348,2)</f>
        <v>0</v>
      </c>
      <c r="EK348" s="420">
        <f>ROUND(EJ348-EG348,2)</f>
        <v>0</v>
      </c>
      <c r="EL348" s="419"/>
      <c r="EM348" s="419"/>
      <c r="EN348" s="419"/>
      <c r="EO348" s="419">
        <f t="shared" si="309"/>
        <v>0</v>
      </c>
      <c r="EP348" s="419">
        <f t="shared" si="310"/>
        <v>0</v>
      </c>
      <c r="EQ348" s="419"/>
      <c r="ER348" s="420">
        <v>867034.06</v>
      </c>
      <c r="ES348" s="419"/>
      <c r="ET348" s="419">
        <f t="shared" si="311"/>
        <v>0</v>
      </c>
      <c r="EU348" s="419">
        <f t="shared" si="312"/>
        <v>0</v>
      </c>
      <c r="EV348" s="419"/>
      <c r="EW348" s="419"/>
      <c r="EX348" s="419"/>
      <c r="EY348" s="419">
        <f t="shared" si="222"/>
        <v>0</v>
      </c>
      <c r="EZ348" s="419">
        <f t="shared" si="242"/>
        <v>0</v>
      </c>
      <c r="FA348" s="420"/>
      <c r="FB348" s="420"/>
      <c r="FC348" s="420"/>
      <c r="FD348" s="420">
        <f t="shared" si="223"/>
        <v>0</v>
      </c>
      <c r="FE348" s="420">
        <f t="shared" si="224"/>
        <v>0</v>
      </c>
      <c r="FF348" s="419"/>
      <c r="FG348" s="419"/>
      <c r="FH348" s="419"/>
      <c r="FI348" s="419">
        <f t="shared" si="225"/>
        <v>0</v>
      </c>
      <c r="FJ348" s="419">
        <f t="shared" si="226"/>
        <v>0</v>
      </c>
      <c r="FK348" s="419"/>
      <c r="FL348" s="419"/>
      <c r="FM348" s="419"/>
      <c r="FN348" s="420">
        <f>ROUND(FM348/F348,2)</f>
        <v>0</v>
      </c>
      <c r="FO348" s="423">
        <f>ROUND(FN348-FK348,2)</f>
        <v>0</v>
      </c>
      <c r="FP348" s="419"/>
      <c r="FQ348" s="419"/>
      <c r="FR348" s="419"/>
      <c r="FS348" s="420">
        <f t="shared" si="259"/>
        <v>0</v>
      </c>
      <c r="FT348" s="420">
        <f t="shared" si="260"/>
        <v>0</v>
      </c>
      <c r="FU348" s="419"/>
      <c r="FV348" s="419"/>
      <c r="FW348" s="419"/>
      <c r="FX348" s="420">
        <f t="shared" si="255"/>
        <v>0</v>
      </c>
      <c r="FY348" s="420">
        <f t="shared" si="256"/>
        <v>0</v>
      </c>
      <c r="FZ348" s="419"/>
      <c r="GA348" s="419"/>
      <c r="GB348" s="419"/>
      <c r="GC348" s="420">
        <f t="shared" si="253"/>
        <v>0</v>
      </c>
      <c r="GD348" s="420">
        <f t="shared" si="254"/>
        <v>0</v>
      </c>
      <c r="GE348" s="419"/>
      <c r="GF348" s="419"/>
      <c r="GG348" s="419"/>
      <c r="GH348" s="420">
        <f t="shared" si="261"/>
        <v>0</v>
      </c>
      <c r="GI348" s="423">
        <f t="shared" si="262"/>
        <v>0</v>
      </c>
      <c r="GJ348" s="419"/>
      <c r="GK348" s="419"/>
      <c r="GL348" s="419"/>
      <c r="GM348" s="420">
        <f t="shared" si="257"/>
        <v>0</v>
      </c>
      <c r="GN348" s="420">
        <f t="shared" si="258"/>
        <v>0</v>
      </c>
      <c r="GO348" s="419"/>
      <c r="GP348" s="419"/>
      <c r="GQ348" s="419"/>
      <c r="GR348" s="420">
        <f t="shared" si="268"/>
        <v>0</v>
      </c>
      <c r="GS348" s="423">
        <f t="shared" si="265"/>
        <v>0</v>
      </c>
      <c r="GT348" s="419"/>
      <c r="GU348" s="419"/>
      <c r="GV348" s="419"/>
      <c r="GW348" s="420">
        <f t="shared" si="266"/>
        <v>0</v>
      </c>
      <c r="GX348" s="420">
        <f t="shared" si="267"/>
        <v>0</v>
      </c>
    </row>
    <row r="349" spans="1:206" ht="15">
      <c r="A349" s="414"/>
      <c r="B349" s="415" t="s">
        <v>700</v>
      </c>
      <c r="C349" s="699"/>
      <c r="D349" s="467" t="s">
        <v>701</v>
      </c>
      <c r="E349" s="434" t="s">
        <v>694</v>
      </c>
      <c r="F349" s="417">
        <v>0.06</v>
      </c>
      <c r="G349" s="418">
        <f t="shared" si="263"/>
        <v>512633.79</v>
      </c>
      <c r="H349" s="418">
        <f t="shared" si="264"/>
        <v>512633.79</v>
      </c>
      <c r="I349" s="418">
        <f t="shared" si="264"/>
        <v>30758.03</v>
      </c>
      <c r="J349" s="418">
        <f t="shared" si="252"/>
        <v>512633.83333333302</v>
      </c>
      <c r="K349" s="418">
        <f>I349/F349-H349</f>
        <v>4.3333333276677898E-2</v>
      </c>
      <c r="L349" s="418">
        <f t="shared" si="218"/>
        <v>4.3333333334885503E-2</v>
      </c>
      <c r="M349" s="424"/>
      <c r="N349" s="424"/>
      <c r="O349" s="424"/>
      <c r="P349" s="424"/>
      <c r="Q349" s="419"/>
      <c r="R349" s="419"/>
      <c r="S349" s="419"/>
      <c r="T349" s="420"/>
      <c r="U349" s="423"/>
      <c r="V349" s="420"/>
      <c r="W349" s="420"/>
      <c r="X349" s="419"/>
      <c r="Y349" s="419"/>
      <c r="Z349" s="423"/>
      <c r="AA349" s="423"/>
      <c r="AB349" s="419"/>
      <c r="AC349" s="419"/>
      <c r="AD349" s="420"/>
      <c r="AE349" s="423"/>
      <c r="AF349" s="419"/>
      <c r="AG349" s="419"/>
      <c r="AH349" s="419"/>
      <c r="AI349" s="420"/>
      <c r="AJ349" s="423"/>
      <c r="AK349" s="419"/>
      <c r="AL349" s="420"/>
      <c r="AM349" s="419"/>
      <c r="AN349" s="420"/>
      <c r="AO349" s="423"/>
      <c r="AP349" s="419"/>
      <c r="AQ349" s="419"/>
      <c r="AR349" s="420"/>
      <c r="AS349" s="420"/>
      <c r="AT349" s="420"/>
      <c r="AU349" s="420"/>
      <c r="AV349" s="420"/>
      <c r="AW349" s="420"/>
      <c r="AX349" s="426"/>
      <c r="AY349" s="420"/>
      <c r="AZ349" s="420"/>
      <c r="BA349" s="420"/>
      <c r="BB349" s="423"/>
      <c r="BC349" s="420"/>
      <c r="BD349" s="427"/>
      <c r="BE349" s="420"/>
      <c r="BF349" s="420"/>
      <c r="BG349" s="420"/>
      <c r="BH349" s="423"/>
      <c r="BI349" s="420"/>
      <c r="BJ349" s="420"/>
      <c r="BK349" s="420"/>
      <c r="BL349" s="420"/>
      <c r="BM349" s="420"/>
      <c r="BN349" s="420"/>
      <c r="BO349" s="419"/>
      <c r="BP349" s="428"/>
      <c r="BQ349" s="420"/>
      <c r="BR349" s="423"/>
      <c r="BS349" s="423"/>
      <c r="BT349" s="420"/>
      <c r="BU349" s="420"/>
      <c r="BV349" s="420"/>
      <c r="BW349" s="420"/>
      <c r="BX349" s="429"/>
      <c r="BY349" s="419"/>
      <c r="BZ349" s="471"/>
      <c r="CA349" s="419"/>
      <c r="CB349" s="420"/>
      <c r="CC349" s="430"/>
      <c r="CD349" s="419"/>
      <c r="CE349" s="419"/>
      <c r="CF349" s="419"/>
      <c r="CG349" s="420"/>
      <c r="CH349" s="423"/>
      <c r="CI349" s="431">
        <v>162846.53</v>
      </c>
      <c r="CJ349" s="431"/>
      <c r="CK349" s="431">
        <v>9770.7900000000009</v>
      </c>
      <c r="CL349" s="420">
        <f>CK349/F349</f>
        <v>162846.5</v>
      </c>
      <c r="CM349" s="423">
        <f>CL349-CI349</f>
        <v>-2.9999999969731999E-2</v>
      </c>
      <c r="CN349" s="420"/>
      <c r="CO349" s="420"/>
      <c r="CP349" s="420"/>
      <c r="CQ349" s="432"/>
      <c r="CR349" s="432">
        <f>ROUND(CQ349-CN349,2)</f>
        <v>0</v>
      </c>
      <c r="CS349" s="420"/>
      <c r="CT349" s="420"/>
      <c r="CU349" s="420"/>
      <c r="CV349" s="420"/>
      <c r="CW349" s="420">
        <f>CV349-CS349</f>
        <v>0</v>
      </c>
      <c r="CX349" s="420">
        <v>245418.33</v>
      </c>
      <c r="CY349" s="420">
        <v>162846.53</v>
      </c>
      <c r="CZ349" s="420">
        <v>14725.1</v>
      </c>
      <c r="DA349" s="419">
        <f>ROUND(CZ349/F349,2)</f>
        <v>245418.33</v>
      </c>
      <c r="DB349" s="419">
        <f>ROUND(DA349-CX349,2)</f>
        <v>0</v>
      </c>
      <c r="DC349" s="419"/>
      <c r="DD349" s="419"/>
      <c r="DE349" s="419"/>
      <c r="DF349" s="420">
        <f>DE349/F349</f>
        <v>0</v>
      </c>
      <c r="DG349" s="421">
        <f>DC349-DF349</f>
        <v>0</v>
      </c>
      <c r="DH349" s="419"/>
      <c r="DI349" s="419"/>
      <c r="DJ349" s="419"/>
      <c r="DK349" s="420">
        <f>DJ349/F349</f>
        <v>0</v>
      </c>
      <c r="DL349" s="422">
        <f>DK349-DH349</f>
        <v>0</v>
      </c>
      <c r="DM349" s="420">
        <v>104368.93</v>
      </c>
      <c r="DN349" s="420"/>
      <c r="DO349" s="420">
        <v>6262.14</v>
      </c>
      <c r="DP349" s="420">
        <f>DO349/F349</f>
        <v>104369</v>
      </c>
      <c r="DQ349" s="420">
        <f>DP349-DM349</f>
        <v>7.0000000021536807E-2</v>
      </c>
      <c r="DR349" s="419"/>
      <c r="DS349" s="419"/>
      <c r="DT349" s="419"/>
      <c r="DU349" s="420">
        <f>DT349/F349</f>
        <v>0</v>
      </c>
      <c r="DV349" s="423">
        <f>DU349-DR349</f>
        <v>0</v>
      </c>
      <c r="DW349" s="419"/>
      <c r="DX349" s="419"/>
      <c r="DY349" s="419"/>
      <c r="DZ349" s="420">
        <f>ROUND(DY349/F349,2)</f>
        <v>0</v>
      </c>
      <c r="EA349" s="423">
        <f>ROUND(DZ349-DW349,2)</f>
        <v>0</v>
      </c>
      <c r="EB349" s="419"/>
      <c r="EC349" s="419"/>
      <c r="ED349" s="420"/>
      <c r="EE349" s="419"/>
      <c r="EF349" s="420">
        <f>EE349-EB349</f>
        <v>0</v>
      </c>
      <c r="EG349" s="419"/>
      <c r="EH349" s="419"/>
      <c r="EI349" s="419"/>
      <c r="EJ349" s="420">
        <f>ROUND(EI349/F349,2)</f>
        <v>0</v>
      </c>
      <c r="EK349" s="420">
        <f>ROUND(EJ349-EG349,2)</f>
        <v>0</v>
      </c>
      <c r="EL349" s="419"/>
      <c r="EM349" s="419"/>
      <c r="EN349" s="419"/>
      <c r="EO349" s="419">
        <f t="shared" si="309"/>
        <v>0</v>
      </c>
      <c r="EP349" s="419">
        <f t="shared" si="310"/>
        <v>0</v>
      </c>
      <c r="EQ349" s="419"/>
      <c r="ER349" s="420">
        <v>349787.26</v>
      </c>
      <c r="ES349" s="419"/>
      <c r="ET349" s="419">
        <f t="shared" si="311"/>
        <v>0</v>
      </c>
      <c r="EU349" s="419">
        <f t="shared" si="312"/>
        <v>0</v>
      </c>
      <c r="EV349" s="419"/>
      <c r="EW349" s="419"/>
      <c r="EX349" s="419"/>
      <c r="EY349" s="419">
        <f t="shared" si="222"/>
        <v>0</v>
      </c>
      <c r="EZ349" s="419">
        <f t="shared" si="242"/>
        <v>0</v>
      </c>
      <c r="FA349" s="420"/>
      <c r="FB349" s="420"/>
      <c r="FC349" s="420"/>
      <c r="FD349" s="420">
        <f t="shared" si="223"/>
        <v>0</v>
      </c>
      <c r="FE349" s="420">
        <f t="shared" si="224"/>
        <v>0</v>
      </c>
      <c r="FF349" s="419"/>
      <c r="FG349" s="419"/>
      <c r="FH349" s="419"/>
      <c r="FI349" s="419">
        <f t="shared" si="225"/>
        <v>0</v>
      </c>
      <c r="FJ349" s="419">
        <f t="shared" si="226"/>
        <v>0</v>
      </c>
      <c r="FK349" s="419"/>
      <c r="FL349" s="419"/>
      <c r="FM349" s="419"/>
      <c r="FN349" s="420">
        <f>ROUND(FM349/F349,2)</f>
        <v>0</v>
      </c>
      <c r="FO349" s="423">
        <f>ROUND(FN349-FK349,2)</f>
        <v>0</v>
      </c>
      <c r="FP349" s="419"/>
      <c r="FQ349" s="419"/>
      <c r="FR349" s="419"/>
      <c r="FS349" s="420">
        <f t="shared" si="259"/>
        <v>0</v>
      </c>
      <c r="FT349" s="420">
        <f t="shared" si="260"/>
        <v>0</v>
      </c>
      <c r="FU349" s="419"/>
      <c r="FV349" s="419"/>
      <c r="FW349" s="419"/>
      <c r="FX349" s="420">
        <f t="shared" si="255"/>
        <v>0</v>
      </c>
      <c r="FY349" s="420">
        <f t="shared" si="256"/>
        <v>0</v>
      </c>
      <c r="FZ349" s="419"/>
      <c r="GA349" s="419"/>
      <c r="GB349" s="419"/>
      <c r="GC349" s="420">
        <f t="shared" si="253"/>
        <v>0</v>
      </c>
      <c r="GD349" s="420">
        <f t="shared" si="254"/>
        <v>0</v>
      </c>
      <c r="GE349" s="419"/>
      <c r="GF349" s="419"/>
      <c r="GG349" s="419"/>
      <c r="GH349" s="420">
        <f t="shared" si="261"/>
        <v>0</v>
      </c>
      <c r="GI349" s="423">
        <f t="shared" si="262"/>
        <v>0</v>
      </c>
      <c r="GJ349" s="419"/>
      <c r="GK349" s="419"/>
      <c r="GL349" s="419"/>
      <c r="GM349" s="420">
        <f t="shared" si="257"/>
        <v>0</v>
      </c>
      <c r="GN349" s="420">
        <f t="shared" si="258"/>
        <v>0</v>
      </c>
      <c r="GO349" s="419"/>
      <c r="GP349" s="419"/>
      <c r="GQ349" s="419"/>
      <c r="GR349" s="420">
        <f t="shared" si="268"/>
        <v>0</v>
      </c>
      <c r="GS349" s="423">
        <f t="shared" si="265"/>
        <v>0</v>
      </c>
      <c r="GT349" s="419"/>
      <c r="GU349" s="419"/>
      <c r="GV349" s="419"/>
      <c r="GW349" s="420">
        <f t="shared" si="266"/>
        <v>0</v>
      </c>
      <c r="GX349" s="420">
        <f t="shared" si="267"/>
        <v>0</v>
      </c>
    </row>
    <row r="350" spans="1:206">
      <c r="A350" s="414"/>
      <c r="C350" s="691" t="s">
        <v>702</v>
      </c>
      <c r="D350" s="692"/>
      <c r="E350" s="692"/>
      <c r="F350" s="693"/>
      <c r="G350" s="472">
        <f>SUM(G3:G349)</f>
        <v>11897425453.446199</v>
      </c>
      <c r="H350" s="472">
        <f t="shared" ref="H350:AL350" si="325">SUM(H3:H349)</f>
        <v>11509361719.805799</v>
      </c>
      <c r="I350" s="472">
        <f t="shared" si="325"/>
        <v>1320052826.83462</v>
      </c>
      <c r="J350" s="472">
        <f t="shared" si="325"/>
        <v>11896883677.192101</v>
      </c>
      <c r="K350" s="472">
        <f t="shared" si="325"/>
        <v>379490451.41560602</v>
      </c>
      <c r="L350" s="472">
        <f t="shared" si="325"/>
        <v>-23479404.565033399</v>
      </c>
      <c r="M350" s="472">
        <f t="shared" si="325"/>
        <v>1566461185.6296599</v>
      </c>
      <c r="N350" s="472">
        <f t="shared" si="325"/>
        <v>856862217.14999998</v>
      </c>
      <c r="O350" s="472">
        <f t="shared" si="325"/>
        <v>178767522.49557501</v>
      </c>
      <c r="P350" s="472">
        <f t="shared" si="325"/>
        <v>-4460605.5528992098</v>
      </c>
      <c r="Q350" s="472">
        <f t="shared" si="325"/>
        <v>17180374.6798531</v>
      </c>
      <c r="R350" s="472">
        <f t="shared" si="325"/>
        <v>68121013.159999996</v>
      </c>
      <c r="S350" s="472">
        <f t="shared" si="325"/>
        <v>391959.15230000002</v>
      </c>
      <c r="T350" s="472">
        <f t="shared" si="325"/>
        <v>3135069.0766666699</v>
      </c>
      <c r="U350" s="472">
        <f t="shared" si="325"/>
        <v>-14045305.603186401</v>
      </c>
      <c r="V350" s="472">
        <f t="shared" si="325"/>
        <v>2246364.5499999998</v>
      </c>
      <c r="W350" s="472">
        <f t="shared" si="325"/>
        <v>0</v>
      </c>
      <c r="X350" s="472">
        <f t="shared" si="325"/>
        <v>443899.4228</v>
      </c>
      <c r="Y350" s="472">
        <f t="shared" si="325"/>
        <v>4990651.5599999996</v>
      </c>
      <c r="Z350" s="472">
        <f t="shared" si="325"/>
        <v>2744287.01</v>
      </c>
      <c r="AA350" s="472">
        <f t="shared" si="325"/>
        <v>24320351.359999999</v>
      </c>
      <c r="AB350" s="472">
        <f t="shared" si="325"/>
        <v>279332529.95578003</v>
      </c>
      <c r="AC350" s="472">
        <f t="shared" si="325"/>
        <v>1960880.77595229</v>
      </c>
      <c r="AD350" s="472">
        <f t="shared" si="325"/>
        <v>15930554.2694699</v>
      </c>
      <c r="AE350" s="472">
        <f t="shared" si="325"/>
        <v>-8389797.0905300695</v>
      </c>
      <c r="AF350" s="472">
        <f t="shared" si="325"/>
        <v>55810857.939999998</v>
      </c>
      <c r="AG350" s="472">
        <f t="shared" si="325"/>
        <v>153819557.33000001</v>
      </c>
      <c r="AH350" s="472">
        <f t="shared" si="325"/>
        <v>5904167.5365893003</v>
      </c>
      <c r="AI350" s="472">
        <f t="shared" si="325"/>
        <v>45628879.410736099</v>
      </c>
      <c r="AJ350" s="472">
        <f t="shared" si="325"/>
        <v>-10181978.529263901</v>
      </c>
      <c r="AK350" s="472">
        <f t="shared" si="325"/>
        <v>124627986.54000001</v>
      </c>
      <c r="AL350" s="472">
        <f t="shared" si="325"/>
        <v>203194665.06</v>
      </c>
      <c r="AM350" s="472">
        <f t="shared" ref="AM350:CX350" si="326">SUM(AM3:AM349)</f>
        <v>11045263.5160744</v>
      </c>
      <c r="AN350" s="472">
        <f t="shared" si="326"/>
        <v>85664994.655172706</v>
      </c>
      <c r="AO350" s="472">
        <f t="shared" si="326"/>
        <v>-38962991.884827301</v>
      </c>
      <c r="AP350" s="472">
        <f t="shared" si="326"/>
        <v>68383205.584700003</v>
      </c>
      <c r="AQ350" s="472">
        <f t="shared" si="326"/>
        <v>0</v>
      </c>
      <c r="AR350" s="472">
        <f t="shared" si="326"/>
        <v>6329455.0502429996</v>
      </c>
      <c r="AS350" s="472">
        <f t="shared" si="326"/>
        <v>56289802.1535111</v>
      </c>
      <c r="AT350" s="472">
        <f t="shared" si="326"/>
        <v>-12093403.4311889</v>
      </c>
      <c r="AU350" s="472">
        <f t="shared" si="326"/>
        <v>39840042.460000001</v>
      </c>
      <c r="AV350" s="472">
        <f t="shared" si="326"/>
        <v>86383896.469999999</v>
      </c>
      <c r="AW350" s="472">
        <f t="shared" si="326"/>
        <v>4336825.4501219997</v>
      </c>
      <c r="AX350" s="472">
        <f t="shared" si="326"/>
        <v>38836342.939542703</v>
      </c>
      <c r="AY350" s="472">
        <f t="shared" si="326"/>
        <v>-1003699.52045727</v>
      </c>
      <c r="AZ350" s="472">
        <f t="shared" si="326"/>
        <v>123951461.94</v>
      </c>
      <c r="BA350" s="472">
        <f t="shared" si="326"/>
        <v>74428412.239999995</v>
      </c>
      <c r="BB350" s="472">
        <f t="shared" si="326"/>
        <v>13326329.27949</v>
      </c>
      <c r="BC350" s="472">
        <f t="shared" si="326"/>
        <v>123951461.877533</v>
      </c>
      <c r="BD350" s="472">
        <f t="shared" si="326"/>
        <v>0.11753334074819601</v>
      </c>
      <c r="BE350" s="472">
        <f t="shared" si="326"/>
        <v>74823163.018999994</v>
      </c>
      <c r="BF350" s="472">
        <f t="shared" si="326"/>
        <v>30691359.920000002</v>
      </c>
      <c r="BG350" s="472">
        <f t="shared" si="326"/>
        <v>6725074.7177149998</v>
      </c>
      <c r="BH350" s="472">
        <f t="shared" si="326"/>
        <v>74895725.700411096</v>
      </c>
      <c r="BI350" s="472">
        <f t="shared" si="326"/>
        <v>72562.681411111407</v>
      </c>
      <c r="BJ350" s="472">
        <f t="shared" si="326"/>
        <v>45800887.979999997</v>
      </c>
      <c r="BK350" s="472">
        <f t="shared" si="326"/>
        <v>230971.83</v>
      </c>
      <c r="BL350" s="472">
        <f t="shared" si="326"/>
        <v>4452219.99</v>
      </c>
      <c r="BM350" s="472">
        <f t="shared" si="326"/>
        <v>45728325.277777798</v>
      </c>
      <c r="BN350" s="472">
        <f t="shared" si="326"/>
        <v>-72562.702222222506</v>
      </c>
      <c r="BO350" s="472">
        <f t="shared" si="326"/>
        <v>152787017.78</v>
      </c>
      <c r="BP350" s="472">
        <f t="shared" si="326"/>
        <v>135478949.80000001</v>
      </c>
      <c r="BQ350" s="472">
        <f t="shared" si="326"/>
        <v>16185715.4112</v>
      </c>
      <c r="BR350" s="472">
        <f t="shared" si="326"/>
        <v>152787017.95162401</v>
      </c>
      <c r="BS350" s="472">
        <f t="shared" si="326"/>
        <v>0.17162392486352501</v>
      </c>
      <c r="BT350" s="472">
        <f t="shared" si="326"/>
        <v>235339049.41999999</v>
      </c>
      <c r="BU350" s="472">
        <f t="shared" si="326"/>
        <v>234309649.31999999</v>
      </c>
      <c r="BV350" s="472">
        <f t="shared" si="326"/>
        <v>27391144.280000001</v>
      </c>
      <c r="BW350" s="472">
        <f t="shared" si="326"/>
        <v>235339049.41999999</v>
      </c>
      <c r="BX350" s="472">
        <f t="shared" si="326"/>
        <v>0</v>
      </c>
      <c r="BY350" s="472">
        <f t="shared" si="326"/>
        <v>163519678.75</v>
      </c>
      <c r="BZ350" s="472">
        <f t="shared" si="326"/>
        <v>143620482.97</v>
      </c>
      <c r="CA350" s="472">
        <f t="shared" si="326"/>
        <v>17657509.649999999</v>
      </c>
      <c r="CB350" s="472">
        <f t="shared" si="326"/>
        <v>163519678.350427</v>
      </c>
      <c r="CC350" s="472">
        <f t="shared" si="326"/>
        <v>-0.39957264792701602</v>
      </c>
      <c r="CD350" s="472">
        <f t="shared" si="326"/>
        <v>16052881.390000001</v>
      </c>
      <c r="CE350" s="472">
        <f t="shared" si="326"/>
        <v>-3520456.53</v>
      </c>
      <c r="CF350" s="472">
        <f t="shared" si="326"/>
        <v>1426929.47</v>
      </c>
      <c r="CG350" s="472">
        <f t="shared" si="326"/>
        <v>16052881.444444399</v>
      </c>
      <c r="CH350" s="472">
        <f t="shared" si="326"/>
        <v>5.4444445532453797E-2</v>
      </c>
      <c r="CI350" s="472">
        <f t="shared" si="326"/>
        <v>39238200.18</v>
      </c>
      <c r="CJ350" s="472">
        <f t="shared" si="326"/>
        <v>306943.84999999998</v>
      </c>
      <c r="CK350" s="472">
        <f t="shared" si="326"/>
        <v>3904310.34</v>
      </c>
      <c r="CL350" s="472">
        <f t="shared" si="326"/>
        <v>39238200.277777798</v>
      </c>
      <c r="CM350" s="472">
        <f t="shared" si="326"/>
        <v>0.20777777822763699</v>
      </c>
      <c r="CN350" s="472">
        <f t="shared" si="326"/>
        <v>121635265.16</v>
      </c>
      <c r="CO350" s="472">
        <f t="shared" si="326"/>
        <v>0</v>
      </c>
      <c r="CP350" s="472">
        <f t="shared" si="326"/>
        <v>13965422.220000001</v>
      </c>
      <c r="CQ350" s="472">
        <f t="shared" si="326"/>
        <v>121635265.16</v>
      </c>
      <c r="CR350" s="472">
        <f t="shared" si="326"/>
        <v>0</v>
      </c>
      <c r="CS350" s="472">
        <f t="shared" si="326"/>
        <v>137624508.56</v>
      </c>
      <c r="CT350" s="472">
        <f t="shared" si="326"/>
        <v>0</v>
      </c>
      <c r="CU350" s="472">
        <f t="shared" si="326"/>
        <v>15867278.66</v>
      </c>
      <c r="CV350" s="472">
        <f t="shared" si="326"/>
        <v>137624508.56</v>
      </c>
      <c r="CW350" s="472">
        <f t="shared" si="326"/>
        <v>0</v>
      </c>
      <c r="CX350" s="472">
        <f t="shared" si="326"/>
        <v>176174260.41</v>
      </c>
      <c r="CY350" s="472">
        <f t="shared" ref="CY350:FJ350" si="327">SUM(CY3:CY349)</f>
        <v>262394296.06</v>
      </c>
      <c r="CZ350" s="472">
        <f t="shared" si="327"/>
        <v>18555548.210000001</v>
      </c>
      <c r="DA350" s="472">
        <f t="shared" si="327"/>
        <v>176174261.18000001</v>
      </c>
      <c r="DB350" s="472">
        <f t="shared" si="327"/>
        <v>0.77</v>
      </c>
      <c r="DC350" s="472">
        <f t="shared" si="327"/>
        <v>260608490.56999999</v>
      </c>
      <c r="DD350" s="472">
        <f t="shared" si="327"/>
        <v>292280575.43000001</v>
      </c>
      <c r="DE350" s="472">
        <f t="shared" si="327"/>
        <v>27921295.43</v>
      </c>
      <c r="DF350" s="472">
        <f t="shared" si="327"/>
        <v>260608490.905983</v>
      </c>
      <c r="DG350" s="472">
        <f t="shared" si="327"/>
        <v>-0.33598290814131798</v>
      </c>
      <c r="DH350" s="472">
        <f t="shared" si="327"/>
        <v>370902791.86000001</v>
      </c>
      <c r="DI350" s="472">
        <f t="shared" si="327"/>
        <v>498521925.56</v>
      </c>
      <c r="DJ350" s="472">
        <f t="shared" si="327"/>
        <v>43581230.600000001</v>
      </c>
      <c r="DK350" s="472">
        <f t="shared" si="327"/>
        <v>370902792.19230801</v>
      </c>
      <c r="DL350" s="472">
        <f t="shared" si="327"/>
        <v>0.33230768950795703</v>
      </c>
      <c r="DM350" s="472">
        <f t="shared" si="327"/>
        <v>356115262.06999999</v>
      </c>
      <c r="DN350" s="472">
        <f t="shared" si="327"/>
        <v>371070913.41000003</v>
      </c>
      <c r="DO350" s="472">
        <f t="shared" si="327"/>
        <v>39402959.869999997</v>
      </c>
      <c r="DP350" s="472">
        <f t="shared" si="327"/>
        <v>356115262.128205</v>
      </c>
      <c r="DQ350" s="472">
        <f t="shared" si="327"/>
        <v>5.8205117678853599E-2</v>
      </c>
      <c r="DR350" s="472">
        <f t="shared" si="327"/>
        <v>332714467.18000001</v>
      </c>
      <c r="DS350" s="472">
        <f t="shared" si="327"/>
        <v>279737038.67000002</v>
      </c>
      <c r="DT350" s="472">
        <f t="shared" si="327"/>
        <v>35601004.034199998</v>
      </c>
      <c r="DU350" s="472">
        <f t="shared" si="327"/>
        <v>332714466.68188</v>
      </c>
      <c r="DV350" s="472">
        <f t="shared" si="327"/>
        <v>-0.498119651298225</v>
      </c>
      <c r="DW350" s="472">
        <f t="shared" si="327"/>
        <v>329993757.62054998</v>
      </c>
      <c r="DX350" s="472">
        <f t="shared" si="327"/>
        <v>330437839.64999998</v>
      </c>
      <c r="DY350" s="472">
        <f t="shared" si="327"/>
        <v>37680322.972833</v>
      </c>
      <c r="DZ350" s="472">
        <f t="shared" si="327"/>
        <v>329993757.38</v>
      </c>
      <c r="EA350" s="472">
        <f t="shared" si="327"/>
        <v>-0.25</v>
      </c>
      <c r="EB350" s="472">
        <f t="shared" si="327"/>
        <v>664875826.97000003</v>
      </c>
      <c r="EC350" s="472">
        <f t="shared" si="327"/>
        <v>158455056.97</v>
      </c>
      <c r="ED350" s="472">
        <f t="shared" si="327"/>
        <v>78719175.764599994</v>
      </c>
      <c r="EE350" s="472">
        <f t="shared" si="327"/>
        <v>664875826.97000003</v>
      </c>
      <c r="EF350" s="472">
        <f t="shared" si="327"/>
        <v>0</v>
      </c>
      <c r="EG350" s="472">
        <f t="shared" si="327"/>
        <v>200566798.63075</v>
      </c>
      <c r="EH350" s="472">
        <f t="shared" si="327"/>
        <v>572220024.30999994</v>
      </c>
      <c r="EI350" s="472">
        <f t="shared" si="327"/>
        <v>20412162.633645002</v>
      </c>
      <c r="EJ350" s="472">
        <f t="shared" si="327"/>
        <v>200566799.97999999</v>
      </c>
      <c r="EK350" s="472">
        <f t="shared" si="327"/>
        <v>1.35</v>
      </c>
      <c r="EL350" s="472">
        <f t="shared" si="327"/>
        <v>556827130.05058801</v>
      </c>
      <c r="EM350" s="472">
        <f t="shared" si="327"/>
        <v>471615704.91000003</v>
      </c>
      <c r="EN350" s="472">
        <f t="shared" si="327"/>
        <v>65855068.8411768</v>
      </c>
      <c r="EO350" s="472">
        <f t="shared" si="327"/>
        <v>534714758.29000002</v>
      </c>
      <c r="EP350" s="472">
        <f t="shared" si="327"/>
        <v>-22112371.75</v>
      </c>
      <c r="EQ350" s="472">
        <f t="shared" si="327"/>
        <v>229194254.84</v>
      </c>
      <c r="ER350" s="472">
        <f t="shared" si="327"/>
        <v>728368312.58000004</v>
      </c>
      <c r="ES350" s="472">
        <f t="shared" si="327"/>
        <v>27122064.079999998</v>
      </c>
      <c r="ET350" s="472">
        <f t="shared" si="327"/>
        <v>251306625.34999999</v>
      </c>
      <c r="EU350" s="472">
        <f t="shared" si="327"/>
        <v>22112370.510000002</v>
      </c>
      <c r="EV350" s="472">
        <f t="shared" si="327"/>
        <v>840827161.97000003</v>
      </c>
      <c r="EW350" s="472">
        <f t="shared" si="327"/>
        <v>520849568.31999999</v>
      </c>
      <c r="EX350" s="472">
        <f t="shared" si="327"/>
        <v>89999724</v>
      </c>
      <c r="EY350" s="472">
        <f t="shared" si="327"/>
        <v>840827163.33000004</v>
      </c>
      <c r="EZ350" s="472">
        <f t="shared" si="327"/>
        <v>1.36</v>
      </c>
      <c r="FA350" s="472">
        <f t="shared" si="327"/>
        <v>599112482.32000005</v>
      </c>
      <c r="FB350" s="472">
        <f t="shared" si="327"/>
        <v>524998888.63999999</v>
      </c>
      <c r="FC350" s="472">
        <f t="shared" si="327"/>
        <v>72791644.669999897</v>
      </c>
      <c r="FD350" s="472">
        <f t="shared" si="327"/>
        <v>599112483.34000003</v>
      </c>
      <c r="FE350" s="472">
        <f t="shared" si="327"/>
        <v>1.02</v>
      </c>
      <c r="FF350" s="472">
        <f t="shared" si="327"/>
        <v>337077422.26999998</v>
      </c>
      <c r="FG350" s="472">
        <f t="shared" si="327"/>
        <v>294455656.89999998</v>
      </c>
      <c r="FH350" s="472">
        <f t="shared" si="327"/>
        <v>37819599.75</v>
      </c>
      <c r="FI350" s="472">
        <f t="shared" si="327"/>
        <v>337077423.01282001</v>
      </c>
      <c r="FJ350" s="472">
        <f t="shared" si="327"/>
        <v>0.74</v>
      </c>
      <c r="FK350" s="472">
        <f t="shared" ref="FK350:GX350" si="328">SUM(FK3:FK349)</f>
        <v>452355685.70499998</v>
      </c>
      <c r="FL350" s="472">
        <f t="shared" si="328"/>
        <v>474261417.79000002</v>
      </c>
      <c r="FM350" s="472">
        <f t="shared" si="328"/>
        <v>51898284.753250003</v>
      </c>
      <c r="FN350" s="472">
        <f t="shared" si="328"/>
        <v>452355684.44</v>
      </c>
      <c r="FO350" s="472">
        <f t="shared" si="328"/>
        <v>-1.27</v>
      </c>
      <c r="FP350" s="472">
        <f t="shared" si="328"/>
        <v>362930640.76972097</v>
      </c>
      <c r="FQ350" s="472">
        <f t="shared" si="328"/>
        <v>362768868.66000003</v>
      </c>
      <c r="FR350" s="472">
        <f t="shared" si="328"/>
        <v>42795874.017363802</v>
      </c>
      <c r="FS350" s="472">
        <f t="shared" si="328"/>
        <v>362930641.29000002</v>
      </c>
      <c r="FT350" s="472">
        <f t="shared" si="328"/>
        <v>0.520278775236657</v>
      </c>
      <c r="FU350" s="472">
        <f t="shared" si="328"/>
        <v>447951542.10467303</v>
      </c>
      <c r="FV350" s="472">
        <f t="shared" si="328"/>
        <v>521990403.70999998</v>
      </c>
      <c r="FW350" s="472">
        <f t="shared" si="328"/>
        <v>51913299.062407501</v>
      </c>
      <c r="FX350" s="472">
        <f t="shared" si="328"/>
        <v>447951532.99000001</v>
      </c>
      <c r="FY350" s="472">
        <f t="shared" si="328"/>
        <v>-9.1146725735888996</v>
      </c>
      <c r="FZ350" s="472">
        <f t="shared" si="328"/>
        <v>939804515.66203499</v>
      </c>
      <c r="GA350" s="472">
        <f t="shared" si="328"/>
        <v>658033326.85000002</v>
      </c>
      <c r="GB350" s="472">
        <f t="shared" si="328"/>
        <v>96354434.117964596</v>
      </c>
      <c r="GC350" s="472">
        <f t="shared" si="328"/>
        <v>939791112.59000003</v>
      </c>
      <c r="GD350" s="472">
        <f t="shared" si="328"/>
        <v>-0.77203541381997598</v>
      </c>
      <c r="GE350" s="472">
        <f t="shared" si="328"/>
        <v>364216983.41219097</v>
      </c>
      <c r="GF350" s="472">
        <f t="shared" si="328"/>
        <v>386469697.67000002</v>
      </c>
      <c r="GG350" s="472">
        <f t="shared" si="328"/>
        <v>39062971.928920299</v>
      </c>
      <c r="GH350" s="472">
        <f t="shared" si="328"/>
        <v>364216981.20278901</v>
      </c>
      <c r="GI350" s="472">
        <f t="shared" si="328"/>
        <v>-2.2094017128428498</v>
      </c>
      <c r="GJ350" s="472">
        <f t="shared" si="328"/>
        <v>428056365.69041401</v>
      </c>
      <c r="GK350" s="472">
        <f t="shared" si="328"/>
        <v>585660534.52999997</v>
      </c>
      <c r="GL350" s="472">
        <f t="shared" si="328"/>
        <v>49716016.460199997</v>
      </c>
      <c r="GM350" s="472">
        <f t="shared" si="328"/>
        <v>428056363.81341898</v>
      </c>
      <c r="GN350" s="472">
        <f t="shared" si="328"/>
        <v>-1.8769950803800399</v>
      </c>
      <c r="GO350" s="472">
        <f t="shared" si="328"/>
        <v>232836867.50999999</v>
      </c>
      <c r="GP350" s="472">
        <f t="shared" si="328"/>
        <v>509959890.49000001</v>
      </c>
      <c r="GQ350" s="472">
        <f t="shared" si="328"/>
        <v>25256859.649999999</v>
      </c>
      <c r="GR350" s="472">
        <f t="shared" si="328"/>
        <v>232836868.17948699</v>
      </c>
      <c r="GS350" s="472">
        <f t="shared" si="328"/>
        <v>0.66948717917352896</v>
      </c>
      <c r="GT350" s="472">
        <f t="shared" si="328"/>
        <v>409100868.45999998</v>
      </c>
      <c r="GU350" s="472">
        <f t="shared" si="328"/>
        <v>441551586.17000002</v>
      </c>
      <c r="GV350" s="472">
        <f t="shared" si="328"/>
        <v>37511378.57</v>
      </c>
      <c r="GW350" s="472">
        <f t="shared" si="328"/>
        <v>409100867.82999998</v>
      </c>
      <c r="GX350" s="472">
        <f t="shared" si="328"/>
        <v>-0.63000001268119399</v>
      </c>
    </row>
    <row r="351" spans="1:206" ht="15">
      <c r="A351" s="414"/>
      <c r="B351" s="415"/>
      <c r="C351" s="701" t="s">
        <v>703</v>
      </c>
      <c r="D351" s="467" t="s">
        <v>704</v>
      </c>
      <c r="E351" s="434" t="s">
        <v>703</v>
      </c>
      <c r="F351" s="417">
        <v>0.06</v>
      </c>
      <c r="G351" s="418">
        <f>SUM(M351,P351:Q351,V351,AA351,AF351,AK351,AP351,AU351,AZ351,BE351,BJ351,BO351,BT351,CX351,DC351,DH351,DM351,DR351,DW351)</f>
        <v>13858886.220000001</v>
      </c>
      <c r="H351" s="418">
        <f t="shared" ref="H351:I353" si="329">SUM(N351,R351,W351,AB351,AG351,AL351,AQ351,AV351,BA351,BF351,BK351,BP351,BU351,CY351,DD351,DI351,DN351,DS351,DX351)</f>
        <v>13824613.800000001</v>
      </c>
      <c r="I351" s="418">
        <f t="shared" si="329"/>
        <v>831533.17520000006</v>
      </c>
      <c r="J351" s="418">
        <f>I351/F351</f>
        <v>13858886.2533333</v>
      </c>
      <c r="K351" s="418">
        <f>I351/F351-H351</f>
        <v>34272.453333331301</v>
      </c>
      <c r="L351" s="418">
        <f>IF(H351&gt;G351,H351-G351,0)</f>
        <v>0</v>
      </c>
      <c r="M351" s="424">
        <f>13824613.8+34272.42</f>
        <v>13858886.220000001</v>
      </c>
      <c r="N351" s="424">
        <f>13824613.8</f>
        <v>13824613.800000001</v>
      </c>
      <c r="O351" s="424">
        <f>829476.83+2056.3452</f>
        <v>831533.17520000006</v>
      </c>
      <c r="P351" s="424"/>
      <c r="Q351" s="419"/>
      <c r="R351" s="419"/>
      <c r="S351" s="419"/>
      <c r="T351" s="420"/>
      <c r="U351" s="423">
        <f>T351-Q351</f>
        <v>0</v>
      </c>
      <c r="V351" s="420"/>
      <c r="W351" s="420"/>
      <c r="X351" s="419"/>
      <c r="Y351" s="419"/>
      <c r="Z351" s="423">
        <f>Y351-V351</f>
        <v>0</v>
      </c>
      <c r="AA351" s="423"/>
      <c r="AB351" s="419"/>
      <c r="AC351" s="419"/>
      <c r="AD351" s="419"/>
      <c r="AE351" s="423">
        <f>AD351-AA351</f>
        <v>0</v>
      </c>
      <c r="AF351" s="419"/>
      <c r="AG351" s="419"/>
      <c r="AH351" s="419"/>
      <c r="AI351" s="419"/>
      <c r="AJ351" s="419"/>
      <c r="AK351" s="419"/>
      <c r="AL351" s="420"/>
      <c r="AM351" s="419"/>
      <c r="AN351" s="419"/>
      <c r="AO351" s="419"/>
      <c r="AP351" s="419"/>
      <c r="AQ351" s="419"/>
      <c r="AR351" s="420"/>
      <c r="AS351" s="420"/>
      <c r="AT351" s="420"/>
      <c r="AU351" s="420"/>
      <c r="AV351" s="420"/>
      <c r="AW351" s="420"/>
      <c r="AX351" s="420"/>
      <c r="AY351" s="420"/>
      <c r="AZ351" s="420"/>
      <c r="BA351" s="420"/>
      <c r="BB351" s="419"/>
      <c r="BC351" s="419"/>
      <c r="BD351" s="427"/>
      <c r="BE351" s="420"/>
      <c r="BF351" s="420"/>
      <c r="BG351" s="420"/>
      <c r="BH351" s="419"/>
      <c r="BI351" s="420"/>
      <c r="BJ351" s="420"/>
      <c r="BK351" s="420"/>
      <c r="BL351" s="420"/>
      <c r="BM351" s="420"/>
      <c r="BN351" s="420"/>
      <c r="BO351" s="419"/>
      <c r="BP351" s="419"/>
      <c r="BQ351" s="420">
        <f>BO351*F351</f>
        <v>0</v>
      </c>
      <c r="BR351" s="419"/>
      <c r="BS351" s="419"/>
      <c r="BT351" s="420"/>
      <c r="BU351" s="420"/>
      <c r="BV351" s="420"/>
      <c r="BW351" s="420"/>
      <c r="BX351" s="429"/>
      <c r="BY351" s="419"/>
      <c r="BZ351" s="419"/>
      <c r="CA351" s="419"/>
      <c r="CB351" s="419"/>
      <c r="CC351" s="427"/>
      <c r="CD351" s="419"/>
      <c r="CE351" s="419"/>
      <c r="CF351" s="419"/>
      <c r="CG351" s="419"/>
      <c r="CH351" s="419"/>
      <c r="CI351" s="419"/>
      <c r="CJ351" s="419"/>
      <c r="CK351" s="419"/>
      <c r="CL351" s="419"/>
      <c r="CM351" s="419"/>
      <c r="CN351" s="432"/>
      <c r="CO351" s="432"/>
      <c r="CP351" s="432"/>
      <c r="CQ351" s="473">
        <v>0</v>
      </c>
      <c r="CR351" s="432"/>
      <c r="CS351" s="420"/>
      <c r="CT351" s="420"/>
      <c r="CU351" s="420"/>
      <c r="CV351" s="420"/>
      <c r="CW351" s="420"/>
      <c r="CX351" s="419"/>
      <c r="CY351" s="419"/>
      <c r="CZ351" s="419"/>
      <c r="DA351" s="419"/>
      <c r="DB351" s="419"/>
      <c r="DC351" s="419"/>
      <c r="DD351" s="419"/>
      <c r="DE351" s="419"/>
      <c r="DF351" s="420">
        <f>DE351/F351</f>
        <v>0</v>
      </c>
      <c r="DG351" s="419"/>
      <c r="DH351" s="419"/>
      <c r="DI351" s="419"/>
      <c r="DJ351" s="419"/>
      <c r="DK351" s="420"/>
      <c r="DL351" s="422"/>
      <c r="DM351" s="420"/>
      <c r="DN351" s="420"/>
      <c r="DO351" s="420"/>
      <c r="DP351" s="420">
        <f>DO351/F351</f>
        <v>0</v>
      </c>
      <c r="DQ351" s="420"/>
      <c r="DR351" s="419"/>
      <c r="DS351" s="419"/>
      <c r="DT351" s="419"/>
      <c r="DU351" s="419"/>
      <c r="DV351" s="419"/>
      <c r="DW351" s="419"/>
      <c r="DX351" s="419"/>
      <c r="DY351" s="419"/>
      <c r="DZ351" s="420">
        <f>ROUND(DY351/F351,2)</f>
        <v>0</v>
      </c>
      <c r="EA351" s="419"/>
      <c r="EB351" s="419"/>
      <c r="EC351" s="419"/>
      <c r="ED351" s="419"/>
      <c r="EE351" s="419"/>
      <c r="EF351" s="419"/>
      <c r="EG351" s="419"/>
      <c r="EH351" s="419"/>
      <c r="EI351" s="419"/>
      <c r="EJ351" s="419"/>
      <c r="EK351" s="420"/>
      <c r="EL351" s="420"/>
      <c r="EM351" s="420"/>
      <c r="EN351" s="420"/>
      <c r="EO351" s="420"/>
      <c r="EP351" s="420"/>
      <c r="EQ351" s="419"/>
      <c r="ER351" s="419"/>
      <c r="ES351" s="419"/>
      <c r="ET351" s="419"/>
      <c r="EU351" s="419"/>
      <c r="EV351" s="419"/>
      <c r="EW351" s="419"/>
      <c r="EX351" s="419"/>
      <c r="EY351" s="419"/>
      <c r="EZ351" s="419"/>
      <c r="FA351" s="420"/>
      <c r="FB351" s="420"/>
      <c r="FC351" s="420"/>
      <c r="FD351" s="420">
        <f>ROUND(FC351/F351,2)</f>
        <v>0</v>
      </c>
      <c r="FE351" s="420">
        <f>ROUND(FD351-FA351,2)</f>
        <v>0</v>
      </c>
      <c r="FF351" s="419"/>
      <c r="FG351" s="419"/>
      <c r="FH351" s="419"/>
      <c r="FI351" s="419"/>
      <c r="FJ351" s="419"/>
      <c r="FK351" s="419"/>
      <c r="FL351" s="419"/>
      <c r="FM351" s="419"/>
      <c r="FN351" s="419"/>
      <c r="FO351" s="419"/>
      <c r="FP351" s="419"/>
      <c r="FQ351" s="419"/>
      <c r="FR351" s="419"/>
      <c r="FS351" s="419"/>
      <c r="FT351" s="419"/>
      <c r="FU351" s="419"/>
      <c r="FV351" s="419"/>
      <c r="FW351" s="419"/>
      <c r="FX351" s="419"/>
      <c r="FY351" s="419"/>
      <c r="FZ351" s="419"/>
      <c r="GA351" s="419"/>
      <c r="GB351" s="419"/>
      <c r="GC351" s="420"/>
      <c r="GD351" s="420"/>
      <c r="GE351" s="420"/>
      <c r="GF351" s="420"/>
      <c r="GG351" s="420"/>
      <c r="GH351" s="420"/>
      <c r="GI351" s="420"/>
      <c r="GJ351" s="420"/>
      <c r="GK351" s="420"/>
      <c r="GL351" s="420"/>
      <c r="GM351" s="420"/>
      <c r="GN351" s="420"/>
      <c r="GO351" s="420"/>
      <c r="GP351" s="420"/>
      <c r="GQ351" s="420"/>
      <c r="GR351" s="420"/>
      <c r="GS351" s="420"/>
      <c r="GT351" s="420"/>
      <c r="GU351" s="420"/>
      <c r="GV351" s="420"/>
      <c r="GW351" s="420"/>
      <c r="GX351" s="420"/>
    </row>
    <row r="352" spans="1:206" ht="15">
      <c r="A352" s="414"/>
      <c r="B352" s="415"/>
      <c r="C352" s="702"/>
      <c r="D352" s="467" t="s">
        <v>705</v>
      </c>
      <c r="E352" s="434" t="s">
        <v>703</v>
      </c>
      <c r="F352" s="417">
        <v>0.06</v>
      </c>
      <c r="G352" s="418">
        <f>SUM(M352,P352:Q352,V352,AA352,AF352,AK352,AP352,AU352,AZ352,BE352,BJ352,BO352,BT352,CX352,DC352,DH352,DM352,DR352,DW352)</f>
        <v>44777902.656000003</v>
      </c>
      <c r="H352" s="418">
        <f t="shared" si="329"/>
        <v>41551284.659999996</v>
      </c>
      <c r="I352" s="418">
        <f t="shared" si="329"/>
        <v>2686674.1446000002</v>
      </c>
      <c r="J352" s="418">
        <f>I352/F352</f>
        <v>44777902.409999996</v>
      </c>
      <c r="K352" s="418">
        <f>I352/F352-H352</f>
        <v>3226617.7499999902</v>
      </c>
      <c r="L352" s="418">
        <f>IF(H352&gt;G352,H352-G352,0)</f>
        <v>0</v>
      </c>
      <c r="M352" s="424">
        <v>39232834.68</v>
      </c>
      <c r="N352" s="424">
        <v>39232834.68</v>
      </c>
      <c r="O352" s="424">
        <v>2353970.0808000001</v>
      </c>
      <c r="P352" s="424"/>
      <c r="Q352" s="420">
        <v>191900.23</v>
      </c>
      <c r="R352" s="419">
        <v>5532.56</v>
      </c>
      <c r="S352" s="423">
        <f>Q352*F352</f>
        <v>11514.013800000001</v>
      </c>
      <c r="T352" s="420">
        <f>S352/0.06</f>
        <v>191900.23</v>
      </c>
      <c r="U352" s="423">
        <f>T352-Q352</f>
        <v>0</v>
      </c>
      <c r="V352" s="420">
        <v>170311</v>
      </c>
      <c r="W352" s="420"/>
      <c r="X352" s="419">
        <v>10218.66</v>
      </c>
      <c r="Y352" s="419">
        <f>X352/F352</f>
        <v>170311</v>
      </c>
      <c r="Z352" s="419"/>
      <c r="AA352" s="419"/>
      <c r="AB352" s="420">
        <v>356678.67</v>
      </c>
      <c r="AC352" s="419"/>
      <c r="AE352" s="423">
        <f>AD352-AA352</f>
        <v>0</v>
      </c>
      <c r="AF352" s="419"/>
      <c r="AG352" s="419"/>
      <c r="AH352" s="419"/>
      <c r="AI352" s="419"/>
      <c r="AJ352" s="419"/>
      <c r="AK352" s="419"/>
      <c r="AL352" s="420"/>
      <c r="AM352" s="419"/>
      <c r="AN352" s="419"/>
      <c r="AO352" s="419"/>
      <c r="AP352" s="419"/>
      <c r="AQ352" s="419"/>
      <c r="AR352" s="420"/>
      <c r="AS352" s="420"/>
      <c r="AT352" s="420"/>
      <c r="AU352" s="420"/>
      <c r="AV352" s="420"/>
      <c r="AW352" s="420"/>
      <c r="AX352" s="420"/>
      <c r="AY352" s="420"/>
      <c r="AZ352" s="420"/>
      <c r="BA352" s="420"/>
      <c r="BB352" s="419"/>
      <c r="BC352" s="419"/>
      <c r="BD352" s="427"/>
      <c r="BE352" s="420"/>
      <c r="BF352" s="420"/>
      <c r="BG352" s="420"/>
      <c r="BH352" s="419"/>
      <c r="BI352" s="420"/>
      <c r="BJ352" s="420"/>
      <c r="BK352" s="420"/>
      <c r="BL352" s="420"/>
      <c r="BM352" s="420"/>
      <c r="BN352" s="420"/>
      <c r="BO352" s="419"/>
      <c r="BP352" s="419"/>
      <c r="BQ352" s="420">
        <f>BO352*F352</f>
        <v>0</v>
      </c>
      <c r="BR352" s="419"/>
      <c r="BS352" s="419"/>
      <c r="BT352" s="420"/>
      <c r="BU352" s="420"/>
      <c r="BV352" s="420"/>
      <c r="BW352" s="420"/>
      <c r="BX352" s="429"/>
      <c r="BY352" s="419"/>
      <c r="BZ352" s="419"/>
      <c r="CA352" s="419"/>
      <c r="CB352" s="419"/>
      <c r="CC352" s="427"/>
      <c r="CD352" s="420">
        <v>485325.58490566001</v>
      </c>
      <c r="CE352" s="419"/>
      <c r="CF352" s="423">
        <f>CD352*0.06</f>
        <v>29119.535094339601</v>
      </c>
      <c r="CG352" s="420">
        <f>CF352/0.06</f>
        <v>485325.58490566001</v>
      </c>
      <c r="CH352" s="423">
        <f>CG352-CD352</f>
        <v>0</v>
      </c>
      <c r="CI352" s="419">
        <v>611308.27</v>
      </c>
      <c r="CJ352" s="419">
        <v>485325.58</v>
      </c>
      <c r="CK352" s="419">
        <v>36678.5</v>
      </c>
      <c r="CL352" s="420">
        <f>CK352/F352</f>
        <v>611308.33333333302</v>
      </c>
      <c r="CM352" s="423">
        <f>CL352-CI352</f>
        <v>6.3333333353512003E-2</v>
      </c>
      <c r="CN352" s="474">
        <v>599974.40000000002</v>
      </c>
      <c r="CO352" s="432"/>
      <c r="CP352" s="475">
        <v>35998.46</v>
      </c>
      <c r="CQ352" s="432">
        <v>599974.40000000002</v>
      </c>
      <c r="CR352" s="432">
        <v>0</v>
      </c>
      <c r="CS352" s="420">
        <v>744956.07</v>
      </c>
      <c r="CT352" s="420"/>
      <c r="CU352" s="420">
        <v>44697.36</v>
      </c>
      <c r="CV352" s="420">
        <v>744956.07</v>
      </c>
      <c r="CW352" s="420">
        <f>CV352-CS352</f>
        <v>0</v>
      </c>
      <c r="CX352" s="419">
        <v>846647.35</v>
      </c>
      <c r="CY352" s="420">
        <v>1956238.75</v>
      </c>
      <c r="CZ352" s="419">
        <v>50798.84</v>
      </c>
      <c r="DA352" s="419">
        <f>ROUND(CZ352/F352,2)</f>
        <v>846647.33</v>
      </c>
      <c r="DB352" s="419">
        <f>DA352-CX352</f>
        <v>-2.00000000186265E-2</v>
      </c>
      <c r="DC352" s="420">
        <v>1450517.923</v>
      </c>
      <c r="DD352" s="420"/>
      <c r="DE352" s="420">
        <v>87031.07</v>
      </c>
      <c r="DF352" s="420">
        <f>DE352/F352</f>
        <v>1450517.83333333</v>
      </c>
      <c r="DG352" s="423">
        <f>DC352-DF352</f>
        <v>8.9666666463017505E-2</v>
      </c>
      <c r="DH352" s="420">
        <v>1450517.923</v>
      </c>
      <c r="DI352" s="419"/>
      <c r="DJ352" s="419">
        <v>87031.07</v>
      </c>
      <c r="DK352" s="420"/>
      <c r="DL352" s="422"/>
      <c r="DM352" s="420">
        <v>1435173.55</v>
      </c>
      <c r="DN352" s="420"/>
      <c r="DO352" s="420">
        <v>86110.41</v>
      </c>
      <c r="DP352" s="420">
        <v>1435173.55</v>
      </c>
      <c r="DQ352" s="420">
        <f>DP352-DM352</f>
        <v>0</v>
      </c>
      <c r="DR352" s="419"/>
      <c r="DS352" s="419"/>
      <c r="DT352" s="419"/>
      <c r="DU352" s="419"/>
      <c r="DV352" s="419"/>
      <c r="DW352" s="419"/>
      <c r="DX352" s="419"/>
      <c r="DY352" s="419"/>
      <c r="DZ352" s="420">
        <f>ROUND(DY352/F352,2)</f>
        <v>0</v>
      </c>
      <c r="EA352" s="419"/>
      <c r="EB352" s="419"/>
      <c r="EC352" s="419"/>
      <c r="ED352" s="419"/>
      <c r="EE352" s="419"/>
      <c r="EF352" s="419"/>
      <c r="EG352" s="419"/>
      <c r="EH352" s="419"/>
      <c r="EI352" s="419"/>
      <c r="EJ352" s="419"/>
      <c r="EK352" s="420"/>
      <c r="EL352" s="420"/>
      <c r="EM352" s="420"/>
      <c r="EN352" s="420"/>
      <c r="EO352" s="420"/>
      <c r="EP352" s="420"/>
      <c r="EQ352" s="419"/>
      <c r="ER352" s="419"/>
      <c r="ES352" s="419"/>
      <c r="ET352" s="419"/>
      <c r="EU352" s="419"/>
      <c r="EV352" s="419"/>
      <c r="EW352" s="419"/>
      <c r="EX352" s="419"/>
      <c r="EY352" s="419"/>
      <c r="EZ352" s="419"/>
      <c r="FA352" s="420"/>
      <c r="FB352" s="420"/>
      <c r="FC352" s="420"/>
      <c r="FD352" s="420">
        <f>ROUND(FC352/F352,2)</f>
        <v>0</v>
      </c>
      <c r="FE352" s="420">
        <f>ROUND(FD352-FA352,2)</f>
        <v>0</v>
      </c>
      <c r="FF352" s="419"/>
      <c r="FG352" s="419"/>
      <c r="FH352" s="419"/>
      <c r="FI352" s="419"/>
      <c r="FJ352" s="419"/>
      <c r="FK352" s="419"/>
      <c r="FL352" s="419"/>
      <c r="FM352" s="419"/>
      <c r="FN352" s="419"/>
      <c r="FO352" s="419"/>
      <c r="FP352" s="419"/>
      <c r="FQ352" s="419"/>
      <c r="FR352" s="419"/>
      <c r="FS352" s="419"/>
      <c r="FT352" s="419"/>
      <c r="FU352" s="419"/>
      <c r="FV352" s="419"/>
      <c r="FW352" s="419"/>
      <c r="FX352" s="419"/>
      <c r="FY352" s="419"/>
      <c r="FZ352" s="419"/>
      <c r="GA352" s="419"/>
      <c r="GB352" s="419"/>
      <c r="GC352" s="420"/>
      <c r="GD352" s="420"/>
      <c r="GE352" s="420"/>
      <c r="GF352" s="420"/>
      <c r="GG352" s="420"/>
      <c r="GH352" s="420"/>
      <c r="GI352" s="420"/>
      <c r="GJ352" s="420"/>
      <c r="GK352" s="420"/>
      <c r="GL352" s="420"/>
      <c r="GM352" s="420"/>
      <c r="GN352" s="420"/>
      <c r="GO352" s="420"/>
      <c r="GP352" s="420"/>
      <c r="GQ352" s="420"/>
      <c r="GR352" s="420"/>
      <c r="GS352" s="420"/>
      <c r="GT352" s="420"/>
      <c r="GU352" s="420"/>
      <c r="GV352" s="420"/>
      <c r="GW352" s="420"/>
      <c r="GX352" s="420"/>
    </row>
    <row r="353" spans="1:206" ht="15">
      <c r="A353" s="414"/>
      <c r="B353" s="415"/>
      <c r="C353" s="703"/>
      <c r="D353" s="467" t="s">
        <v>706</v>
      </c>
      <c r="E353" s="434" t="s">
        <v>703</v>
      </c>
      <c r="F353" s="417">
        <v>0.06</v>
      </c>
      <c r="G353" s="418">
        <f>SUM(M353,P353:Q353,V353,AA353,AF353,AK353,AP353,AU353,AZ353,BE353,BJ353,BO353,BT353,CX353,DC353,DH353,DM353,DR353,DW353)</f>
        <v>4811320.75</v>
      </c>
      <c r="H353" s="418">
        <f t="shared" si="329"/>
        <v>4811320.75</v>
      </c>
      <c r="I353" s="418">
        <f t="shared" si="329"/>
        <v>288679.245</v>
      </c>
      <c r="J353" s="418">
        <f>I353/F353</f>
        <v>4811320.75</v>
      </c>
      <c r="K353" s="418">
        <f>I353/F353-H353</f>
        <v>0</v>
      </c>
      <c r="L353" s="418">
        <f>IF(H353&gt;G353,H353-G353,0)</f>
        <v>0</v>
      </c>
      <c r="M353" s="424">
        <v>4811320.75</v>
      </c>
      <c r="N353" s="424">
        <v>4811320.75</v>
      </c>
      <c r="O353" s="424">
        <v>288679.245</v>
      </c>
      <c r="P353" s="424"/>
      <c r="Q353" s="419"/>
      <c r="R353" s="419"/>
      <c r="S353" s="419"/>
      <c r="T353" s="420"/>
      <c r="U353" s="423">
        <f>T353-Q353</f>
        <v>0</v>
      </c>
      <c r="V353" s="420"/>
      <c r="W353" s="420"/>
      <c r="X353" s="419"/>
      <c r="Y353" s="419"/>
      <c r="Z353" s="419"/>
      <c r="AA353" s="419"/>
      <c r="AB353" s="419"/>
      <c r="AC353" s="419"/>
      <c r="AD353" s="419"/>
      <c r="AE353" s="423">
        <f>AD353-AA353</f>
        <v>0</v>
      </c>
      <c r="AF353" s="419"/>
      <c r="AG353" s="419"/>
      <c r="AH353" s="419"/>
      <c r="AI353" s="419"/>
      <c r="AJ353" s="419"/>
      <c r="AK353" s="419"/>
      <c r="AL353" s="420"/>
      <c r="AM353" s="419"/>
      <c r="AN353" s="419"/>
      <c r="AO353" s="419"/>
      <c r="AP353" s="419"/>
      <c r="AQ353" s="419"/>
      <c r="AR353" s="420"/>
      <c r="AS353" s="420"/>
      <c r="AT353" s="420"/>
      <c r="AU353" s="420"/>
      <c r="AV353" s="420"/>
      <c r="AW353" s="420"/>
      <c r="AX353" s="420"/>
      <c r="AY353" s="420"/>
      <c r="AZ353" s="420"/>
      <c r="BA353" s="420"/>
      <c r="BB353" s="419"/>
      <c r="BC353" s="419"/>
      <c r="BD353" s="427"/>
      <c r="BE353" s="420"/>
      <c r="BF353" s="420"/>
      <c r="BG353" s="420"/>
      <c r="BH353" s="419"/>
      <c r="BI353" s="420"/>
      <c r="BJ353" s="420"/>
      <c r="BK353" s="420"/>
      <c r="BL353" s="420"/>
      <c r="BM353" s="420"/>
      <c r="BN353" s="420"/>
      <c r="BO353" s="419"/>
      <c r="BP353" s="419"/>
      <c r="BQ353" s="420">
        <f>BO353*F353</f>
        <v>0</v>
      </c>
      <c r="BR353" s="419"/>
      <c r="BS353" s="419"/>
      <c r="BT353" s="420"/>
      <c r="BU353" s="420"/>
      <c r="BV353" s="420"/>
      <c r="BW353" s="420"/>
      <c r="BX353" s="429"/>
      <c r="BY353" s="419"/>
      <c r="BZ353" s="419"/>
      <c r="CA353" s="419"/>
      <c r="CB353" s="419"/>
      <c r="CC353" s="427"/>
      <c r="CD353" s="419"/>
      <c r="CE353" s="419"/>
      <c r="CF353" s="419"/>
      <c r="CG353" s="419"/>
      <c r="CH353" s="419"/>
      <c r="CI353" s="419"/>
      <c r="CJ353" s="419"/>
      <c r="CK353" s="419"/>
      <c r="CL353" s="419"/>
      <c r="CM353" s="419"/>
      <c r="CN353" s="432"/>
      <c r="CO353" s="432"/>
      <c r="CP353" s="432"/>
      <c r="CQ353" s="432">
        <v>0</v>
      </c>
      <c r="CR353" s="432">
        <v>0</v>
      </c>
      <c r="CS353" s="420"/>
      <c r="CT353" s="420"/>
      <c r="CU353" s="420"/>
      <c r="CV353" s="420"/>
      <c r="CW353" s="420">
        <v>0</v>
      </c>
      <c r="CX353" s="419"/>
      <c r="CY353" s="419"/>
      <c r="CZ353" s="419"/>
      <c r="DA353" s="419"/>
      <c r="DB353" s="419"/>
      <c r="DC353" s="419"/>
      <c r="DD353" s="419"/>
      <c r="DE353" s="419"/>
      <c r="DF353" s="420">
        <f>DE353/F353</f>
        <v>0</v>
      </c>
      <c r="DG353" s="419"/>
      <c r="DH353" s="419"/>
      <c r="DI353" s="419"/>
      <c r="DJ353" s="419"/>
      <c r="DK353" s="420"/>
      <c r="DL353" s="422"/>
      <c r="DM353" s="420"/>
      <c r="DN353" s="420"/>
      <c r="DO353" s="420"/>
      <c r="DP353" s="420">
        <f>DO353/F353</f>
        <v>0</v>
      </c>
      <c r="DQ353" s="420"/>
      <c r="DR353" s="419"/>
      <c r="DS353" s="419"/>
      <c r="DT353" s="419"/>
      <c r="DU353" s="419"/>
      <c r="DV353" s="419"/>
      <c r="DW353" s="419"/>
      <c r="DX353" s="419"/>
      <c r="DY353" s="419"/>
      <c r="DZ353" s="420">
        <f>ROUND(DY353/F353,2)</f>
        <v>0</v>
      </c>
      <c r="EA353" s="419"/>
      <c r="EB353" s="419"/>
      <c r="EC353" s="419"/>
      <c r="ED353" s="419"/>
      <c r="EE353" s="419"/>
      <c r="EF353" s="419"/>
      <c r="EG353" s="419"/>
      <c r="EH353" s="419"/>
      <c r="EI353" s="419"/>
      <c r="EJ353" s="419"/>
      <c r="EK353" s="420"/>
      <c r="EL353" s="420"/>
      <c r="EM353" s="420"/>
      <c r="EN353" s="420"/>
      <c r="EO353" s="420"/>
      <c r="EP353" s="420"/>
      <c r="EQ353" s="419"/>
      <c r="ER353" s="419"/>
      <c r="ES353" s="419"/>
      <c r="ET353" s="419"/>
      <c r="EU353" s="419"/>
      <c r="EV353" s="419"/>
      <c r="EW353" s="419"/>
      <c r="EX353" s="419"/>
      <c r="EY353" s="419"/>
      <c r="EZ353" s="419"/>
      <c r="FA353" s="420"/>
      <c r="FB353" s="420"/>
      <c r="FC353" s="420"/>
      <c r="FD353" s="420">
        <f>ROUND(FC353/F353,2)</f>
        <v>0</v>
      </c>
      <c r="FE353" s="420">
        <f>ROUND(FD353-FA353,2)</f>
        <v>0</v>
      </c>
      <c r="FF353" s="419"/>
      <c r="FG353" s="419"/>
      <c r="FH353" s="419"/>
      <c r="FI353" s="419"/>
      <c r="FJ353" s="419"/>
      <c r="FK353" s="419"/>
      <c r="FL353" s="419"/>
      <c r="FM353" s="419"/>
      <c r="FN353" s="419"/>
      <c r="FO353" s="419"/>
      <c r="FP353" s="419"/>
      <c r="FQ353" s="419"/>
      <c r="FR353" s="419"/>
      <c r="FS353" s="419"/>
      <c r="FT353" s="419"/>
      <c r="FU353" s="419"/>
      <c r="FV353" s="419"/>
      <c r="FW353" s="419"/>
      <c r="FX353" s="419"/>
      <c r="FY353" s="419"/>
      <c r="FZ353" s="419"/>
      <c r="GA353" s="419"/>
      <c r="GB353" s="419"/>
      <c r="GC353" s="420"/>
      <c r="GD353" s="420"/>
      <c r="GE353" s="420"/>
      <c r="GF353" s="420"/>
      <c r="GG353" s="420"/>
      <c r="GH353" s="420"/>
      <c r="GI353" s="420"/>
      <c r="GJ353" s="420"/>
      <c r="GK353" s="420"/>
      <c r="GL353" s="420"/>
      <c r="GM353" s="420"/>
      <c r="GN353" s="420"/>
      <c r="GO353" s="420"/>
      <c r="GP353" s="420"/>
      <c r="GQ353" s="420"/>
      <c r="GR353" s="420"/>
      <c r="GS353" s="420"/>
      <c r="GT353" s="420"/>
      <c r="GU353" s="420"/>
      <c r="GV353" s="420"/>
      <c r="GW353" s="420"/>
      <c r="GX353" s="420"/>
    </row>
    <row r="354" spans="1:206" ht="15">
      <c r="A354" s="414"/>
      <c r="B354" s="415"/>
      <c r="C354" s="476" t="s">
        <v>707</v>
      </c>
      <c r="D354" s="477"/>
      <c r="E354" s="477"/>
      <c r="F354" s="417">
        <v>0.06</v>
      </c>
      <c r="G354" s="418">
        <f>CN354</f>
        <v>11772.5</v>
      </c>
      <c r="H354" s="418"/>
      <c r="I354" s="418">
        <f>CP354</f>
        <v>706.35</v>
      </c>
      <c r="J354" s="418">
        <f>CQ354</f>
        <v>11772.5</v>
      </c>
      <c r="K354" s="418">
        <f>J354-H354</f>
        <v>11772.5</v>
      </c>
      <c r="L354" s="418"/>
      <c r="M354" s="424"/>
      <c r="N354" s="424"/>
      <c r="O354" s="424"/>
      <c r="P354" s="424"/>
      <c r="Q354" s="419"/>
      <c r="R354" s="419"/>
      <c r="S354" s="419"/>
      <c r="T354" s="420"/>
      <c r="U354" s="423"/>
      <c r="V354" s="420"/>
      <c r="W354" s="420"/>
      <c r="X354" s="419"/>
      <c r="Y354" s="419"/>
      <c r="Z354" s="419"/>
      <c r="AA354" s="419"/>
      <c r="AB354" s="419"/>
      <c r="AC354" s="419"/>
      <c r="AD354" s="419"/>
      <c r="AE354" s="423"/>
      <c r="AF354" s="419"/>
      <c r="AG354" s="419"/>
      <c r="AH354" s="419"/>
      <c r="AI354" s="419"/>
      <c r="AJ354" s="419"/>
      <c r="AK354" s="419"/>
      <c r="AL354" s="420"/>
      <c r="AM354" s="419"/>
      <c r="AN354" s="419"/>
      <c r="AO354" s="419"/>
      <c r="AP354" s="419"/>
      <c r="AQ354" s="419"/>
      <c r="AR354" s="420"/>
      <c r="AS354" s="420"/>
      <c r="AT354" s="420"/>
      <c r="AU354" s="420"/>
      <c r="AV354" s="420"/>
      <c r="AW354" s="420"/>
      <c r="AX354" s="420"/>
      <c r="AY354" s="420"/>
      <c r="AZ354" s="420"/>
      <c r="BA354" s="420"/>
      <c r="BB354" s="419"/>
      <c r="BC354" s="419"/>
      <c r="BD354" s="427"/>
      <c r="BE354" s="420"/>
      <c r="BF354" s="420"/>
      <c r="BG354" s="420"/>
      <c r="BH354" s="419"/>
      <c r="BI354" s="420"/>
      <c r="BJ354" s="420"/>
      <c r="BK354" s="420"/>
      <c r="BL354" s="420"/>
      <c r="BM354" s="420"/>
      <c r="BN354" s="420"/>
      <c r="BO354" s="419"/>
      <c r="BP354" s="419"/>
      <c r="BQ354" s="420"/>
      <c r="BR354" s="419"/>
      <c r="BS354" s="419"/>
      <c r="BT354" s="420"/>
      <c r="BU354" s="420"/>
      <c r="BV354" s="420"/>
      <c r="BW354" s="420"/>
      <c r="BX354" s="429"/>
      <c r="BY354" s="419"/>
      <c r="BZ354" s="419"/>
      <c r="CA354" s="419"/>
      <c r="CB354" s="419"/>
      <c r="CC354" s="427"/>
      <c r="CD354" s="419"/>
      <c r="CE354" s="419"/>
      <c r="CF354" s="419"/>
      <c r="CG354" s="419"/>
      <c r="CH354" s="419"/>
      <c r="CI354" s="419"/>
      <c r="CJ354" s="419"/>
      <c r="CK354" s="419"/>
      <c r="CL354" s="419"/>
      <c r="CM354" s="419"/>
      <c r="CN354" s="474">
        <v>11772.5</v>
      </c>
      <c r="CO354" s="397"/>
      <c r="CP354" s="478">
        <v>706.35</v>
      </c>
      <c r="CQ354" s="432">
        <v>11772.5</v>
      </c>
      <c r="CR354" s="432">
        <v>0</v>
      </c>
      <c r="CS354" s="420"/>
      <c r="CT354" s="420"/>
      <c r="CU354" s="420"/>
      <c r="CV354" s="420"/>
      <c r="CW354" s="420">
        <v>0</v>
      </c>
      <c r="CX354" s="419"/>
      <c r="CY354" s="419"/>
      <c r="CZ354" s="419"/>
      <c r="DA354" s="419"/>
      <c r="DB354" s="419"/>
      <c r="DC354" s="419"/>
      <c r="DD354" s="419"/>
      <c r="DE354" s="419"/>
      <c r="DF354" s="420"/>
      <c r="DG354" s="419"/>
      <c r="DH354" s="419"/>
      <c r="DI354" s="419"/>
      <c r="DJ354" s="419"/>
      <c r="DK354" s="420"/>
      <c r="DL354" s="422"/>
      <c r="DM354" s="420"/>
      <c r="DN354" s="420"/>
      <c r="DO354" s="420"/>
      <c r="DP354" s="420"/>
      <c r="DQ354" s="420"/>
      <c r="DR354" s="419"/>
      <c r="DS354" s="419"/>
      <c r="DT354" s="419"/>
      <c r="DU354" s="419"/>
      <c r="DV354" s="419"/>
      <c r="DW354" s="419"/>
      <c r="DX354" s="419"/>
      <c r="DY354" s="419"/>
      <c r="DZ354" s="420">
        <v>0</v>
      </c>
      <c r="EA354" s="419"/>
      <c r="EB354" s="419"/>
      <c r="EC354" s="419"/>
      <c r="ED354" s="419"/>
      <c r="EE354" s="419"/>
      <c r="EF354" s="419"/>
      <c r="EG354" s="419"/>
      <c r="EH354" s="419"/>
      <c r="EI354" s="419"/>
      <c r="EJ354" s="419"/>
      <c r="EK354" s="420"/>
      <c r="EL354" s="420"/>
      <c r="EM354" s="420"/>
      <c r="EN354" s="420"/>
      <c r="EO354" s="420"/>
      <c r="EP354" s="420"/>
      <c r="EQ354" s="419"/>
      <c r="ER354" s="419"/>
      <c r="ES354" s="419"/>
      <c r="ET354" s="419"/>
      <c r="EU354" s="419"/>
      <c r="EV354" s="419">
        <v>39176.93</v>
      </c>
      <c r="EW354" s="419"/>
      <c r="EX354" s="419">
        <v>2350.62</v>
      </c>
      <c r="EY354" s="420">
        <f>ROUND(EX354/F354,2)</f>
        <v>39177</v>
      </c>
      <c r="EZ354" s="423">
        <f>ROUND(EY354-EV354,2)</f>
        <v>7.0000000000000007E-2</v>
      </c>
      <c r="FA354" s="420"/>
      <c r="FB354" s="420"/>
      <c r="FC354" s="420"/>
      <c r="FD354" s="420">
        <f>ROUND(FC354/F354,2)</f>
        <v>0</v>
      </c>
      <c r="FE354" s="420">
        <f>ROUND(FD354-FA354,2)</f>
        <v>0</v>
      </c>
      <c r="FF354" s="419"/>
      <c r="FG354" s="419"/>
      <c r="FH354" s="419"/>
      <c r="FI354" s="419"/>
      <c r="FJ354" s="419"/>
      <c r="FK354" s="419"/>
      <c r="FL354" s="419"/>
      <c r="FM354" s="419"/>
      <c r="FN354" s="419"/>
      <c r="FO354" s="419"/>
      <c r="FP354" s="419"/>
      <c r="FQ354" s="419"/>
      <c r="FR354" s="419"/>
      <c r="FS354" s="419"/>
      <c r="FT354" s="419"/>
      <c r="FU354" s="419"/>
      <c r="FV354" s="419"/>
      <c r="FW354" s="419"/>
      <c r="FX354" s="419"/>
      <c r="FY354" s="419"/>
      <c r="FZ354" s="419"/>
      <c r="GA354" s="419"/>
      <c r="GB354" s="419"/>
      <c r="GC354" s="420"/>
      <c r="GD354" s="420"/>
      <c r="GE354" s="420"/>
      <c r="GF354" s="420"/>
      <c r="GG354" s="420"/>
      <c r="GH354" s="420"/>
      <c r="GI354" s="420"/>
      <c r="GJ354" s="420"/>
      <c r="GK354" s="420"/>
      <c r="GL354" s="420"/>
      <c r="GM354" s="420"/>
      <c r="GN354" s="420"/>
      <c r="GO354" s="420"/>
      <c r="GP354" s="420"/>
      <c r="GQ354" s="420"/>
      <c r="GR354" s="420"/>
      <c r="GS354" s="420"/>
      <c r="GT354" s="420"/>
      <c r="GU354" s="420"/>
      <c r="GV354" s="420"/>
      <c r="GW354" s="420"/>
      <c r="GX354" s="420"/>
    </row>
    <row r="355" spans="1:206">
      <c r="A355" s="414"/>
      <c r="C355" s="691" t="s">
        <v>33</v>
      </c>
      <c r="D355" s="692"/>
      <c r="E355" s="692"/>
      <c r="F355" s="693"/>
      <c r="G355" s="472">
        <f>SUM(G350:G354)</f>
        <v>11960885335.572201</v>
      </c>
      <c r="H355" s="472">
        <f t="shared" ref="H355:BS355" si="330">SUM(H350:H354)</f>
        <v>11569548939.0158</v>
      </c>
      <c r="I355" s="472">
        <f t="shared" si="330"/>
        <v>1323860419.7494199</v>
      </c>
      <c r="J355" s="472">
        <f t="shared" si="330"/>
        <v>11960343559.105499</v>
      </c>
      <c r="K355" s="472">
        <f t="shared" si="330"/>
        <v>382763114.11893898</v>
      </c>
      <c r="L355" s="472">
        <f t="shared" si="330"/>
        <v>-23479404.565033399</v>
      </c>
      <c r="M355" s="472">
        <f t="shared" si="330"/>
        <v>1624364227.27966</v>
      </c>
      <c r="N355" s="472">
        <f t="shared" si="330"/>
        <v>914730986.38</v>
      </c>
      <c r="O355" s="472">
        <f t="shared" si="330"/>
        <v>182241704.996575</v>
      </c>
      <c r="P355" s="472">
        <f t="shared" si="330"/>
        <v>-4460605.5528992098</v>
      </c>
      <c r="Q355" s="472">
        <f t="shared" si="330"/>
        <v>17372274.909853101</v>
      </c>
      <c r="R355" s="472">
        <f t="shared" si="330"/>
        <v>68126545.719999999</v>
      </c>
      <c r="S355" s="472">
        <f t="shared" si="330"/>
        <v>403473.16609999997</v>
      </c>
      <c r="T355" s="472">
        <f t="shared" si="330"/>
        <v>3326969.3066666699</v>
      </c>
      <c r="U355" s="472">
        <f t="shared" si="330"/>
        <v>-14045305.603186401</v>
      </c>
      <c r="V355" s="472">
        <f t="shared" si="330"/>
        <v>2416675.5499999998</v>
      </c>
      <c r="W355" s="472">
        <f t="shared" si="330"/>
        <v>0</v>
      </c>
      <c r="X355" s="472">
        <f t="shared" si="330"/>
        <v>454118.08279999997</v>
      </c>
      <c r="Y355" s="472">
        <f t="shared" si="330"/>
        <v>5160962.5599999996</v>
      </c>
      <c r="Z355" s="472">
        <f t="shared" si="330"/>
        <v>2744287.01</v>
      </c>
      <c r="AA355" s="472">
        <f t="shared" si="330"/>
        <v>24320351.359999999</v>
      </c>
      <c r="AB355" s="472">
        <f t="shared" si="330"/>
        <v>279689208.62577999</v>
      </c>
      <c r="AC355" s="472">
        <f t="shared" si="330"/>
        <v>1960880.77595229</v>
      </c>
      <c r="AD355" s="472">
        <f t="shared" si="330"/>
        <v>15930554.2694699</v>
      </c>
      <c r="AE355" s="472">
        <f t="shared" si="330"/>
        <v>-8389797.0905300695</v>
      </c>
      <c r="AF355" s="472">
        <f t="shared" si="330"/>
        <v>55810857.939999998</v>
      </c>
      <c r="AG355" s="472">
        <f t="shared" si="330"/>
        <v>153819557.33000001</v>
      </c>
      <c r="AH355" s="472">
        <f t="shared" si="330"/>
        <v>5904167.5365893003</v>
      </c>
      <c r="AI355" s="472">
        <f t="shared" si="330"/>
        <v>45628879.410736099</v>
      </c>
      <c r="AJ355" s="472">
        <f t="shared" si="330"/>
        <v>-10181978.529263901</v>
      </c>
      <c r="AK355" s="472">
        <f t="shared" si="330"/>
        <v>124627986.54000001</v>
      </c>
      <c r="AL355" s="472">
        <f t="shared" si="330"/>
        <v>203194665.06</v>
      </c>
      <c r="AM355" s="472">
        <f t="shared" si="330"/>
        <v>11045263.5160744</v>
      </c>
      <c r="AN355" s="472">
        <f t="shared" si="330"/>
        <v>85664994.655172706</v>
      </c>
      <c r="AO355" s="472">
        <f t="shared" si="330"/>
        <v>-38962991.884827301</v>
      </c>
      <c r="AP355" s="472">
        <f t="shared" si="330"/>
        <v>68383205.584700003</v>
      </c>
      <c r="AQ355" s="472">
        <f t="shared" si="330"/>
        <v>0</v>
      </c>
      <c r="AR355" s="472">
        <f t="shared" si="330"/>
        <v>6329455.0502429996</v>
      </c>
      <c r="AS355" s="472">
        <f t="shared" si="330"/>
        <v>56289802.1535111</v>
      </c>
      <c r="AT355" s="472">
        <f t="shared" si="330"/>
        <v>-12093403.4311889</v>
      </c>
      <c r="AU355" s="472">
        <f t="shared" si="330"/>
        <v>39840042.460000001</v>
      </c>
      <c r="AV355" s="472">
        <f t="shared" si="330"/>
        <v>86383896.469999999</v>
      </c>
      <c r="AW355" s="472">
        <f t="shared" si="330"/>
        <v>4336825.4501219997</v>
      </c>
      <c r="AX355" s="472">
        <f t="shared" si="330"/>
        <v>38836342.939542703</v>
      </c>
      <c r="AY355" s="472">
        <f t="shared" si="330"/>
        <v>-1003699.52045727</v>
      </c>
      <c r="AZ355" s="472">
        <f t="shared" si="330"/>
        <v>123951461.94</v>
      </c>
      <c r="BA355" s="472">
        <f t="shared" si="330"/>
        <v>74428412.239999995</v>
      </c>
      <c r="BB355" s="472">
        <f t="shared" si="330"/>
        <v>13326329.27949</v>
      </c>
      <c r="BC355" s="472">
        <f t="shared" si="330"/>
        <v>123951461.877533</v>
      </c>
      <c r="BD355" s="472">
        <f t="shared" si="330"/>
        <v>0.11753334074819601</v>
      </c>
      <c r="BE355" s="472">
        <f t="shared" si="330"/>
        <v>74823163.018999994</v>
      </c>
      <c r="BF355" s="472">
        <f t="shared" si="330"/>
        <v>30691359.920000002</v>
      </c>
      <c r="BG355" s="472">
        <f t="shared" si="330"/>
        <v>6725074.7177149998</v>
      </c>
      <c r="BH355" s="472">
        <f t="shared" si="330"/>
        <v>74895725.700411096</v>
      </c>
      <c r="BI355" s="472">
        <f t="shared" si="330"/>
        <v>72562.681411111407</v>
      </c>
      <c r="BJ355" s="472">
        <f t="shared" si="330"/>
        <v>45800887.979999997</v>
      </c>
      <c r="BK355" s="472">
        <f t="shared" si="330"/>
        <v>230971.83</v>
      </c>
      <c r="BL355" s="472">
        <f t="shared" si="330"/>
        <v>4452219.99</v>
      </c>
      <c r="BM355" s="472">
        <f t="shared" si="330"/>
        <v>45728325.277777798</v>
      </c>
      <c r="BN355" s="472">
        <f t="shared" si="330"/>
        <v>-72562.702222222506</v>
      </c>
      <c r="BO355" s="472">
        <f t="shared" si="330"/>
        <v>152787017.78</v>
      </c>
      <c r="BP355" s="472">
        <f t="shared" si="330"/>
        <v>135478949.80000001</v>
      </c>
      <c r="BQ355" s="472">
        <f t="shared" si="330"/>
        <v>16185715.4112</v>
      </c>
      <c r="BR355" s="472">
        <f t="shared" si="330"/>
        <v>152787017.95162401</v>
      </c>
      <c r="BS355" s="472">
        <f t="shared" si="330"/>
        <v>0.17162392486352501</v>
      </c>
      <c r="BT355" s="472">
        <f t="shared" ref="BT355:EE355" si="331">SUM(BT350:BT354)</f>
        <v>235339049.41999999</v>
      </c>
      <c r="BU355" s="472">
        <f t="shared" si="331"/>
        <v>234309649.31999999</v>
      </c>
      <c r="BV355" s="472">
        <f t="shared" si="331"/>
        <v>27391144.280000001</v>
      </c>
      <c r="BW355" s="472">
        <f t="shared" si="331"/>
        <v>235339049.41999999</v>
      </c>
      <c r="BX355" s="472">
        <f t="shared" si="331"/>
        <v>0</v>
      </c>
      <c r="BY355" s="472">
        <f t="shared" si="331"/>
        <v>163519678.75</v>
      </c>
      <c r="BZ355" s="472">
        <f t="shared" si="331"/>
        <v>143620482.97</v>
      </c>
      <c r="CA355" s="472">
        <f t="shared" si="331"/>
        <v>17657509.649999999</v>
      </c>
      <c r="CB355" s="472">
        <f t="shared" si="331"/>
        <v>163519678.350427</v>
      </c>
      <c r="CC355" s="472">
        <f t="shared" si="331"/>
        <v>-0.39957264792701602</v>
      </c>
      <c r="CD355" s="472">
        <f t="shared" si="331"/>
        <v>16538206.974905699</v>
      </c>
      <c r="CE355" s="472">
        <f t="shared" si="331"/>
        <v>-3520456.53</v>
      </c>
      <c r="CF355" s="472">
        <f t="shared" si="331"/>
        <v>1456049.0050943401</v>
      </c>
      <c r="CG355" s="472">
        <f t="shared" si="331"/>
        <v>16538207.0293501</v>
      </c>
      <c r="CH355" s="472">
        <f t="shared" si="331"/>
        <v>5.4444445532453797E-2</v>
      </c>
      <c r="CI355" s="472">
        <f t="shared" si="331"/>
        <v>39849508.450000003</v>
      </c>
      <c r="CJ355" s="472">
        <f t="shared" si="331"/>
        <v>792269.43</v>
      </c>
      <c r="CK355" s="472">
        <f t="shared" si="331"/>
        <v>3940988.84</v>
      </c>
      <c r="CL355" s="472">
        <f t="shared" si="331"/>
        <v>39849508.611111097</v>
      </c>
      <c r="CM355" s="472">
        <f t="shared" si="331"/>
        <v>0.27111111158114898</v>
      </c>
      <c r="CN355" s="472">
        <f t="shared" si="331"/>
        <v>122247012.06</v>
      </c>
      <c r="CO355" s="472">
        <f t="shared" si="331"/>
        <v>0</v>
      </c>
      <c r="CP355" s="472">
        <f t="shared" si="331"/>
        <v>14002127.029999999</v>
      </c>
      <c r="CQ355" s="472">
        <f t="shared" si="331"/>
        <v>122247012.06</v>
      </c>
      <c r="CR355" s="472">
        <f t="shared" si="331"/>
        <v>0</v>
      </c>
      <c r="CS355" s="472">
        <f t="shared" si="331"/>
        <v>138369464.63</v>
      </c>
      <c r="CT355" s="472">
        <f t="shared" si="331"/>
        <v>0</v>
      </c>
      <c r="CU355" s="472">
        <f t="shared" si="331"/>
        <v>15911976.02</v>
      </c>
      <c r="CV355" s="472">
        <f t="shared" si="331"/>
        <v>138369464.63</v>
      </c>
      <c r="CW355" s="472">
        <f t="shared" si="331"/>
        <v>0</v>
      </c>
      <c r="CX355" s="472">
        <f t="shared" si="331"/>
        <v>177020907.75999999</v>
      </c>
      <c r="CY355" s="472">
        <f t="shared" si="331"/>
        <v>264350534.81</v>
      </c>
      <c r="CZ355" s="472">
        <f t="shared" si="331"/>
        <v>18606347.050000001</v>
      </c>
      <c r="DA355" s="472">
        <f t="shared" si="331"/>
        <v>177020908.50999999</v>
      </c>
      <c r="DB355" s="472">
        <f t="shared" si="331"/>
        <v>0.74999999998137401</v>
      </c>
      <c r="DC355" s="472">
        <f t="shared" si="331"/>
        <v>262059008.493</v>
      </c>
      <c r="DD355" s="472">
        <f t="shared" si="331"/>
        <v>292280575.43000001</v>
      </c>
      <c r="DE355" s="472">
        <f t="shared" si="331"/>
        <v>28008326.5</v>
      </c>
      <c r="DF355" s="472">
        <f t="shared" si="331"/>
        <v>262059008.73931599</v>
      </c>
      <c r="DG355" s="472">
        <f t="shared" si="331"/>
        <v>-0.24631624167830099</v>
      </c>
      <c r="DH355" s="472">
        <f t="shared" si="331"/>
        <v>372353309.78299999</v>
      </c>
      <c r="DI355" s="472">
        <f t="shared" si="331"/>
        <v>498521925.56</v>
      </c>
      <c r="DJ355" s="472">
        <f t="shared" si="331"/>
        <v>43668261.670000002</v>
      </c>
      <c r="DK355" s="472">
        <f t="shared" si="331"/>
        <v>370902792.19230801</v>
      </c>
      <c r="DL355" s="472">
        <f t="shared" si="331"/>
        <v>0.33230768950795703</v>
      </c>
      <c r="DM355" s="472">
        <f t="shared" si="331"/>
        <v>357550435.62</v>
      </c>
      <c r="DN355" s="472">
        <f t="shared" si="331"/>
        <v>371070913.41000003</v>
      </c>
      <c r="DO355" s="472">
        <f t="shared" si="331"/>
        <v>39489070.280000001</v>
      </c>
      <c r="DP355" s="472">
        <f t="shared" si="331"/>
        <v>357550435.67820501</v>
      </c>
      <c r="DQ355" s="472">
        <f t="shared" si="331"/>
        <v>5.8205117678853599E-2</v>
      </c>
      <c r="DR355" s="472">
        <f t="shared" si="331"/>
        <v>332714467.18000001</v>
      </c>
      <c r="DS355" s="472">
        <f t="shared" si="331"/>
        <v>279737038.67000002</v>
      </c>
      <c r="DT355" s="472">
        <f t="shared" si="331"/>
        <v>35601004.034199998</v>
      </c>
      <c r="DU355" s="472">
        <f t="shared" si="331"/>
        <v>332714466.68188</v>
      </c>
      <c r="DV355" s="472">
        <f t="shared" si="331"/>
        <v>-0.498119651298225</v>
      </c>
      <c r="DW355" s="472">
        <f t="shared" si="331"/>
        <v>329993757.62054998</v>
      </c>
      <c r="DX355" s="472">
        <f t="shared" si="331"/>
        <v>330437839.64999998</v>
      </c>
      <c r="DY355" s="472">
        <f t="shared" si="331"/>
        <v>37680322.972833</v>
      </c>
      <c r="DZ355" s="472">
        <f t="shared" si="331"/>
        <v>329993757.38</v>
      </c>
      <c r="EA355" s="472">
        <f t="shared" si="331"/>
        <v>-0.25</v>
      </c>
      <c r="EB355" s="472">
        <f t="shared" si="331"/>
        <v>664875826.97000003</v>
      </c>
      <c r="EC355" s="472">
        <f t="shared" si="331"/>
        <v>158455056.97</v>
      </c>
      <c r="ED355" s="472">
        <f t="shared" si="331"/>
        <v>78719175.764599994</v>
      </c>
      <c r="EE355" s="472">
        <f t="shared" si="331"/>
        <v>664875826.97000003</v>
      </c>
      <c r="EF355" s="472">
        <f t="shared" ref="EF355:GQ355" si="332">SUM(EF350:EF354)</f>
        <v>0</v>
      </c>
      <c r="EG355" s="472">
        <f t="shared" si="332"/>
        <v>200566798.63075</v>
      </c>
      <c r="EH355" s="472">
        <f t="shared" si="332"/>
        <v>572220024.30999994</v>
      </c>
      <c r="EI355" s="472">
        <f t="shared" si="332"/>
        <v>20412162.633645002</v>
      </c>
      <c r="EJ355" s="472">
        <f t="shared" si="332"/>
        <v>200566799.97999999</v>
      </c>
      <c r="EK355" s="472">
        <f t="shared" si="332"/>
        <v>1.35</v>
      </c>
      <c r="EL355" s="472">
        <f t="shared" si="332"/>
        <v>556827130.05058801</v>
      </c>
      <c r="EM355" s="472">
        <f t="shared" si="332"/>
        <v>471615704.91000003</v>
      </c>
      <c r="EN355" s="472">
        <f t="shared" si="332"/>
        <v>65855068.8411768</v>
      </c>
      <c r="EO355" s="472">
        <f t="shared" si="332"/>
        <v>534714758.29000002</v>
      </c>
      <c r="EP355" s="472">
        <f t="shared" si="332"/>
        <v>-22112371.75</v>
      </c>
      <c r="EQ355" s="472">
        <f t="shared" si="332"/>
        <v>229194254.84</v>
      </c>
      <c r="ER355" s="472">
        <f t="shared" si="332"/>
        <v>728368312.58000004</v>
      </c>
      <c r="ES355" s="472">
        <f t="shared" si="332"/>
        <v>27122064.079999998</v>
      </c>
      <c r="ET355" s="472">
        <f t="shared" si="332"/>
        <v>251306625.34999999</v>
      </c>
      <c r="EU355" s="472">
        <f t="shared" si="332"/>
        <v>22112370.510000002</v>
      </c>
      <c r="EV355" s="472">
        <f t="shared" si="332"/>
        <v>840866338.89999902</v>
      </c>
      <c r="EW355" s="472">
        <f t="shared" si="332"/>
        <v>520849568.31999999</v>
      </c>
      <c r="EX355" s="472">
        <f t="shared" si="332"/>
        <v>90002074.620000005</v>
      </c>
      <c r="EY355" s="472">
        <f t="shared" si="332"/>
        <v>840866340.33000004</v>
      </c>
      <c r="EZ355" s="472">
        <f t="shared" si="332"/>
        <v>1.43</v>
      </c>
      <c r="FA355" s="472">
        <f t="shared" si="332"/>
        <v>599112482.32000005</v>
      </c>
      <c r="FB355" s="472">
        <f t="shared" si="332"/>
        <v>524998888.63999999</v>
      </c>
      <c r="FC355" s="472">
        <f t="shared" si="332"/>
        <v>72791644.669999897</v>
      </c>
      <c r="FD355" s="472">
        <f t="shared" si="332"/>
        <v>599112483.34000003</v>
      </c>
      <c r="FE355" s="472">
        <f t="shared" si="332"/>
        <v>1.02</v>
      </c>
      <c r="FF355" s="472">
        <f t="shared" si="332"/>
        <v>337077422.26999998</v>
      </c>
      <c r="FG355" s="472">
        <f t="shared" si="332"/>
        <v>294455656.89999998</v>
      </c>
      <c r="FH355" s="472">
        <f t="shared" si="332"/>
        <v>37819599.75</v>
      </c>
      <c r="FI355" s="472">
        <f t="shared" si="332"/>
        <v>337077423.01282001</v>
      </c>
      <c r="FJ355" s="472">
        <f t="shared" si="332"/>
        <v>0.74</v>
      </c>
      <c r="FK355" s="472">
        <f t="shared" si="332"/>
        <v>452355685.70499998</v>
      </c>
      <c r="FL355" s="472">
        <f t="shared" si="332"/>
        <v>474261417.79000002</v>
      </c>
      <c r="FM355" s="472">
        <f t="shared" si="332"/>
        <v>51898284.753250003</v>
      </c>
      <c r="FN355" s="472">
        <f t="shared" si="332"/>
        <v>452355684.44</v>
      </c>
      <c r="FO355" s="472">
        <f t="shared" si="332"/>
        <v>-1.27</v>
      </c>
      <c r="FP355" s="472">
        <f t="shared" si="332"/>
        <v>362930640.76972097</v>
      </c>
      <c r="FQ355" s="472">
        <f t="shared" si="332"/>
        <v>362768868.66000003</v>
      </c>
      <c r="FR355" s="472">
        <f t="shared" si="332"/>
        <v>42795874.017363802</v>
      </c>
      <c r="FS355" s="472">
        <f t="shared" si="332"/>
        <v>362930641.29000002</v>
      </c>
      <c r="FT355" s="472">
        <f t="shared" si="332"/>
        <v>0.520278775236657</v>
      </c>
      <c r="FU355" s="472">
        <f t="shared" si="332"/>
        <v>447951542.10467303</v>
      </c>
      <c r="FV355" s="472">
        <f t="shared" si="332"/>
        <v>521990403.70999998</v>
      </c>
      <c r="FW355" s="472">
        <f t="shared" si="332"/>
        <v>51913299.062407501</v>
      </c>
      <c r="FX355" s="472">
        <f t="shared" si="332"/>
        <v>447951532.99000001</v>
      </c>
      <c r="FY355" s="472">
        <f t="shared" si="332"/>
        <v>-9.1146725735888996</v>
      </c>
      <c r="FZ355" s="472">
        <f t="shared" si="332"/>
        <v>939804515.66203499</v>
      </c>
      <c r="GA355" s="472">
        <f t="shared" si="332"/>
        <v>658033326.85000002</v>
      </c>
      <c r="GB355" s="472">
        <f t="shared" si="332"/>
        <v>96354434.117964596</v>
      </c>
      <c r="GC355" s="472">
        <f t="shared" si="332"/>
        <v>939791112.59000003</v>
      </c>
      <c r="GD355" s="472">
        <f t="shared" si="332"/>
        <v>-0.77203541381997598</v>
      </c>
      <c r="GE355" s="472">
        <f t="shared" si="332"/>
        <v>364216983.41219097</v>
      </c>
      <c r="GF355" s="472">
        <f t="shared" si="332"/>
        <v>386469697.67000002</v>
      </c>
      <c r="GG355" s="472">
        <f t="shared" si="332"/>
        <v>39062971.928920299</v>
      </c>
      <c r="GH355" s="472">
        <f t="shared" si="332"/>
        <v>364216981.20278901</v>
      </c>
      <c r="GI355" s="472">
        <f t="shared" si="332"/>
        <v>-2.2094017128428498</v>
      </c>
      <c r="GJ355" s="472">
        <f t="shared" si="332"/>
        <v>428056365.69041401</v>
      </c>
      <c r="GK355" s="472">
        <f t="shared" si="332"/>
        <v>585660534.52999997</v>
      </c>
      <c r="GL355" s="472">
        <f t="shared" si="332"/>
        <v>49716016.460199997</v>
      </c>
      <c r="GM355" s="472">
        <f t="shared" si="332"/>
        <v>428056363.81341898</v>
      </c>
      <c r="GN355" s="472">
        <f t="shared" si="332"/>
        <v>-1.8769950803800399</v>
      </c>
      <c r="GO355" s="472">
        <f t="shared" si="332"/>
        <v>232836867.50999999</v>
      </c>
      <c r="GP355" s="472">
        <f t="shared" si="332"/>
        <v>509959890.49000001</v>
      </c>
      <c r="GQ355" s="472">
        <f t="shared" si="332"/>
        <v>25256859.649999999</v>
      </c>
      <c r="GR355" s="472">
        <f t="shared" ref="GR355:GX355" si="333">SUM(GR350:GR354)</f>
        <v>232836868.17948699</v>
      </c>
      <c r="GS355" s="472">
        <f t="shared" si="333"/>
        <v>0.66948717917352896</v>
      </c>
      <c r="GT355" s="472">
        <f t="shared" si="333"/>
        <v>409100868.45999998</v>
      </c>
      <c r="GU355" s="472">
        <f t="shared" si="333"/>
        <v>441551586.17000002</v>
      </c>
      <c r="GV355" s="472">
        <f t="shared" si="333"/>
        <v>37511378.57</v>
      </c>
      <c r="GW355" s="472">
        <f t="shared" si="333"/>
        <v>409100867.82999998</v>
      </c>
      <c r="GX355" s="472">
        <f t="shared" si="333"/>
        <v>-0.63000001268119399</v>
      </c>
    </row>
    <row r="356" spans="1:206" ht="242.25">
      <c r="A356" s="414"/>
      <c r="D356" s="479"/>
      <c r="H356" s="414"/>
      <c r="I356" s="414"/>
      <c r="J356" s="414"/>
      <c r="K356" s="480"/>
      <c r="L356" s="481" t="s">
        <v>708</v>
      </c>
      <c r="S356" s="393"/>
      <c r="U356" s="482" t="s">
        <v>709</v>
      </c>
      <c r="Z356" s="483" t="s">
        <v>710</v>
      </c>
      <c r="AA356" s="483"/>
      <c r="AE356" s="483" t="s">
        <v>711</v>
      </c>
      <c r="AJ356" s="483" t="s">
        <v>712</v>
      </c>
      <c r="AO356" s="483" t="s">
        <v>713</v>
      </c>
      <c r="AR356" s="393"/>
      <c r="AT356" s="484" t="s">
        <v>714</v>
      </c>
      <c r="AY356" s="392" t="s">
        <v>715</v>
      </c>
      <c r="AZ356" s="393"/>
      <c r="BB356" s="393"/>
      <c r="BI356" s="392" t="s">
        <v>716</v>
      </c>
      <c r="BN356" s="392" t="s">
        <v>717</v>
      </c>
      <c r="BQ356" s="393"/>
      <c r="BX356" s="485"/>
      <c r="CA356" s="393">
        <v>18733750.530000001</v>
      </c>
      <c r="EB356" s="393"/>
      <c r="ED356" s="393"/>
      <c r="EP356" s="414"/>
    </row>
    <row r="357" spans="1:206">
      <c r="D357" s="486"/>
      <c r="G357" s="414"/>
      <c r="H357" s="414"/>
      <c r="I357" s="414"/>
      <c r="J357" s="414">
        <f>SUM(J351:J353)-Q352</f>
        <v>63256209.1833333</v>
      </c>
      <c r="L357" s="487"/>
      <c r="M357" s="392">
        <f>G352-M352</f>
        <v>5545067.9759999998</v>
      </c>
      <c r="S357" s="393"/>
      <c r="U357" s="482"/>
      <c r="AR357" s="393"/>
      <c r="AZ357" s="393"/>
      <c r="BB357" s="393"/>
      <c r="BQ357" s="393"/>
      <c r="CA357" s="414">
        <f>CA350-CA356</f>
        <v>-1076240.8799999999</v>
      </c>
      <c r="CE357" s="488"/>
      <c r="CF357" s="392"/>
      <c r="CG357" s="414"/>
      <c r="CH357" s="414"/>
      <c r="DF357" s="392">
        <f>287394886.09+DF352</f>
        <v>288845403.92333299</v>
      </c>
      <c r="EB357" s="393"/>
      <c r="ED357" s="393"/>
    </row>
    <row r="358" spans="1:206" ht="51" customHeight="1">
      <c r="G358" s="414"/>
      <c r="H358" s="414"/>
      <c r="I358" s="414"/>
      <c r="J358" s="414"/>
      <c r="U358" s="414"/>
      <c r="X358" s="392"/>
      <c r="Y358" s="392"/>
      <c r="EV358" s="414">
        <v>376474070.31999898</v>
      </c>
    </row>
    <row r="359" spans="1:206">
      <c r="D359" s="404" t="s">
        <v>63</v>
      </c>
      <c r="E359" s="403" t="s">
        <v>64</v>
      </c>
      <c r="F359" s="405" t="s">
        <v>65</v>
      </c>
      <c r="G359" s="406" t="s">
        <v>66</v>
      </c>
      <c r="H359" s="406" t="s">
        <v>67</v>
      </c>
      <c r="I359" s="406" t="s">
        <v>291</v>
      </c>
      <c r="J359" s="406" t="s">
        <v>718</v>
      </c>
      <c r="K359" s="406" t="s">
        <v>68</v>
      </c>
      <c r="L359" s="392"/>
      <c r="N359" s="393"/>
      <c r="O359" s="393"/>
      <c r="P359" s="393"/>
      <c r="Q359" s="414"/>
      <c r="AC359" s="414"/>
      <c r="CQ359" s="393"/>
      <c r="CR359" s="393"/>
    </row>
    <row r="360" spans="1:206">
      <c r="D360" s="713" t="s">
        <v>719</v>
      </c>
      <c r="E360" s="716" t="s">
        <v>123</v>
      </c>
      <c r="F360" s="417">
        <v>0.16</v>
      </c>
      <c r="G360" s="423">
        <f>SUM(G17)</f>
        <v>0</v>
      </c>
      <c r="H360" s="423">
        <f>SUM(H17)</f>
        <v>47536174</v>
      </c>
      <c r="I360" s="423">
        <f>SUM(I17)</f>
        <v>7605787.9999999898</v>
      </c>
      <c r="J360" s="423">
        <f t="shared" ref="J360:J368" si="334">I360/F360</f>
        <v>47536174.999999903</v>
      </c>
      <c r="K360" s="712">
        <f>SUM(J360:J361)-SUM(H360:H361)</f>
        <v>0.121867418289185</v>
      </c>
      <c r="L360" s="392"/>
      <c r="M360" s="442"/>
      <c r="N360" s="393"/>
      <c r="O360" s="393"/>
      <c r="P360" s="393"/>
      <c r="CQ360" s="393"/>
      <c r="CR360" s="393"/>
      <c r="DC360" s="414">
        <f>DC1+DC352</f>
        <v>262059008.493</v>
      </c>
      <c r="DD360" s="414">
        <f>DD1+DD352</f>
        <v>292280575.43000001</v>
      </c>
      <c r="DE360" s="414">
        <f>DE1+DE352</f>
        <v>28008326.5</v>
      </c>
    </row>
    <row r="361" spans="1:206">
      <c r="A361" s="414"/>
      <c r="D361" s="713"/>
      <c r="E361" s="716"/>
      <c r="F361" s="417">
        <v>0.13</v>
      </c>
      <c r="G361" s="423">
        <f t="shared" ref="G361:I363" si="335">SUM(G18,G21)</f>
        <v>148038661.141868</v>
      </c>
      <c r="H361" s="423">
        <f t="shared" si="335"/>
        <v>100502487.02</v>
      </c>
      <c r="I361" s="423">
        <f t="shared" si="335"/>
        <v>13065323.1984428</v>
      </c>
      <c r="J361" s="423">
        <f t="shared" si="334"/>
        <v>100502486.141867</v>
      </c>
      <c r="K361" s="712"/>
      <c r="L361" s="392"/>
      <c r="N361" s="393"/>
      <c r="O361" s="393"/>
      <c r="P361" s="393"/>
      <c r="CQ361" s="393"/>
      <c r="CR361" s="393"/>
    </row>
    <row r="362" spans="1:206">
      <c r="D362" s="713"/>
      <c r="E362" s="434" t="s">
        <v>124</v>
      </c>
      <c r="F362" s="417">
        <v>0.09</v>
      </c>
      <c r="G362" s="423">
        <f t="shared" si="335"/>
        <v>255869150.94999999</v>
      </c>
      <c r="H362" s="423">
        <f t="shared" si="335"/>
        <v>255869150.91578001</v>
      </c>
      <c r="I362" s="423">
        <f t="shared" si="335"/>
        <v>23028223.585952599</v>
      </c>
      <c r="J362" s="423">
        <f t="shared" si="334"/>
        <v>255869150.95502901</v>
      </c>
      <c r="K362" s="423">
        <f>J362-H362</f>
        <v>3.9249151945114101E-2</v>
      </c>
      <c r="L362" s="392"/>
      <c r="N362" s="393"/>
      <c r="O362" s="393"/>
      <c r="P362" s="414"/>
      <c r="AM362" s="414"/>
      <c r="CQ362" s="393"/>
      <c r="CR362" s="393"/>
    </row>
    <row r="363" spans="1:206">
      <c r="D363" s="713"/>
      <c r="E363" s="434" t="s">
        <v>125</v>
      </c>
      <c r="F363" s="417">
        <v>0.06</v>
      </c>
      <c r="G363" s="423">
        <f t="shared" si="335"/>
        <v>22410412.559999999</v>
      </c>
      <c r="H363" s="423">
        <f t="shared" si="335"/>
        <v>22270539.620000001</v>
      </c>
      <c r="I363" s="423">
        <f t="shared" si="335"/>
        <v>1344624.75691415</v>
      </c>
      <c r="J363" s="423">
        <f t="shared" si="334"/>
        <v>22410412.615235802</v>
      </c>
      <c r="K363" s="423">
        <f>J363-H363</f>
        <v>139872.99523581599</v>
      </c>
      <c r="L363" s="392"/>
      <c r="N363" s="393"/>
      <c r="O363" s="393"/>
      <c r="P363" s="393"/>
      <c r="CQ363" s="393"/>
      <c r="CR363" s="393"/>
    </row>
    <row r="364" spans="1:206">
      <c r="D364" s="713" t="s">
        <v>720</v>
      </c>
      <c r="E364" s="716" t="s">
        <v>123</v>
      </c>
      <c r="F364" s="417">
        <v>0.16</v>
      </c>
      <c r="G364" s="420">
        <f t="shared" ref="G364:I368" si="336">SUM(G43,G48)</f>
        <v>467927.47985308501</v>
      </c>
      <c r="H364" s="420">
        <f t="shared" si="336"/>
        <v>13445725.07</v>
      </c>
      <c r="I364" s="420">
        <f t="shared" si="336"/>
        <v>2151316.0112000001</v>
      </c>
      <c r="J364" s="423">
        <f t="shared" si="334"/>
        <v>13445725.07</v>
      </c>
      <c r="K364" s="712">
        <f>SUM(J364:J365)-SUM(H364:H365)</f>
        <v>878720.91514066397</v>
      </c>
      <c r="M364" s="393"/>
      <c r="N364" s="393"/>
      <c r="O364" s="393"/>
      <c r="P364" s="393"/>
      <c r="CQ364" s="393"/>
      <c r="CR364" s="393"/>
    </row>
    <row r="365" spans="1:206">
      <c r="D365" s="713"/>
      <c r="E365" s="716"/>
      <c r="F365" s="417">
        <v>0.13</v>
      </c>
      <c r="G365" s="420">
        <f t="shared" si="336"/>
        <v>14038223.5298531</v>
      </c>
      <c r="H365" s="420">
        <f t="shared" si="336"/>
        <v>0</v>
      </c>
      <c r="I365" s="420">
        <f t="shared" si="336"/>
        <v>114233.718968286</v>
      </c>
      <c r="J365" s="423">
        <f t="shared" si="334"/>
        <v>878720.91514065803</v>
      </c>
      <c r="K365" s="712"/>
      <c r="M365" s="393"/>
      <c r="N365" s="393"/>
      <c r="O365" s="393"/>
      <c r="P365" s="393"/>
      <c r="BF365" s="489"/>
      <c r="CQ365" s="393"/>
      <c r="CR365" s="393"/>
    </row>
    <row r="366" spans="1:206">
      <c r="D366" s="713"/>
      <c r="E366" s="716" t="s">
        <v>124</v>
      </c>
      <c r="F366" s="417">
        <v>0.1</v>
      </c>
      <c r="G366" s="420">
        <f t="shared" si="336"/>
        <v>10136576.76</v>
      </c>
      <c r="H366" s="420">
        <f t="shared" si="336"/>
        <v>18409304.100000001</v>
      </c>
      <c r="I366" s="420">
        <f t="shared" si="336"/>
        <v>1840930.42</v>
      </c>
      <c r="J366" s="423">
        <f t="shared" si="334"/>
        <v>18409304.199999999</v>
      </c>
      <c r="K366" s="712">
        <f>SUM(J366:J367)-SUM(H366:H367)</f>
        <v>3103168.3876</v>
      </c>
      <c r="M366" s="393"/>
      <c r="N366" s="393"/>
      <c r="O366" s="393"/>
      <c r="P366" s="393"/>
    </row>
    <row r="367" spans="1:206">
      <c r="D367" s="713"/>
      <c r="E367" s="716"/>
      <c r="F367" s="417">
        <v>0.09</v>
      </c>
      <c r="G367" s="420">
        <f t="shared" si="336"/>
        <v>11375895.550000001</v>
      </c>
      <c r="H367" s="420">
        <f t="shared" si="336"/>
        <v>0</v>
      </c>
      <c r="I367" s="420">
        <f t="shared" si="336"/>
        <v>279285.145884</v>
      </c>
      <c r="J367" s="423">
        <f t="shared" si="334"/>
        <v>3103168.2875999999</v>
      </c>
      <c r="K367" s="712"/>
      <c r="L367" s="392"/>
      <c r="N367" s="393"/>
      <c r="O367" s="393"/>
      <c r="P367" s="393"/>
    </row>
    <row r="368" spans="1:206">
      <c r="D368" s="713"/>
      <c r="E368" s="434" t="s">
        <v>125</v>
      </c>
      <c r="F368" s="417">
        <v>0.06</v>
      </c>
      <c r="G368" s="420">
        <f t="shared" si="336"/>
        <v>3909743.82</v>
      </c>
      <c r="H368" s="420">
        <f t="shared" si="336"/>
        <v>0</v>
      </c>
      <c r="I368" s="420">
        <f t="shared" si="336"/>
        <v>234584.61069999999</v>
      </c>
      <c r="J368" s="423">
        <f t="shared" si="334"/>
        <v>3909743.51166667</v>
      </c>
      <c r="K368" s="423">
        <f>J368-H368</f>
        <v>3909743.51166667</v>
      </c>
      <c r="L368" s="392"/>
      <c r="N368" s="393"/>
      <c r="O368" s="393"/>
      <c r="P368" s="393"/>
    </row>
    <row r="369" spans="4:192" ht="15" customHeight="1">
      <c r="D369" s="694" t="s">
        <v>33</v>
      </c>
      <c r="E369" s="695"/>
      <c r="F369" s="696"/>
      <c r="G369" s="490">
        <f>SUM(G360:G368)</f>
        <v>466246591.791574</v>
      </c>
      <c r="H369" s="490">
        <f>SUM(H360:H368)</f>
        <v>458033380.72578001</v>
      </c>
      <c r="I369" s="490">
        <f>SUM(I360:I368)</f>
        <v>49664309.448061801</v>
      </c>
      <c r="J369" s="490">
        <f>SUM(J360:J368)</f>
        <v>466064886.69653898</v>
      </c>
      <c r="K369" s="490">
        <f>SUM(K360:K368)</f>
        <v>8031505.9707597196</v>
      </c>
      <c r="L369" s="392"/>
      <c r="P369" s="393"/>
    </row>
    <row r="370" spans="4:192">
      <c r="G370" s="414"/>
      <c r="H370" s="414"/>
    </row>
    <row r="371" spans="4:192">
      <c r="G371" s="414"/>
      <c r="H371" s="414"/>
    </row>
    <row r="373" spans="4:192">
      <c r="GJ373" s="486"/>
    </row>
    <row r="374" spans="4:192">
      <c r="F374" s="491"/>
      <c r="G374" s="414"/>
      <c r="H374" s="414"/>
      <c r="GJ374" s="486"/>
    </row>
    <row r="375" spans="4:192">
      <c r="F375" s="491"/>
      <c r="G375" s="414"/>
      <c r="H375" s="414"/>
      <c r="GJ375" s="486"/>
    </row>
    <row r="376" spans="4:192">
      <c r="F376" s="491"/>
      <c r="G376" s="414"/>
      <c r="H376" s="414"/>
      <c r="GJ376" s="486"/>
    </row>
    <row r="377" spans="4:192">
      <c r="F377" s="491"/>
      <c r="G377" s="414"/>
      <c r="H377" s="414"/>
      <c r="M377" s="393"/>
      <c r="N377" s="393"/>
      <c r="O377" s="393"/>
      <c r="GJ377" s="486"/>
    </row>
    <row r="378" spans="4:192">
      <c r="D378" s="492"/>
      <c r="E378" s="492"/>
      <c r="F378" s="493"/>
      <c r="G378" s="414"/>
      <c r="H378" s="414"/>
      <c r="M378" s="393"/>
      <c r="N378" s="393"/>
      <c r="O378" s="393"/>
      <c r="GJ378" s="486"/>
    </row>
    <row r="379" spans="4:192">
      <c r="M379" s="393"/>
      <c r="N379" s="393"/>
      <c r="O379" s="393"/>
      <c r="GJ379" s="486"/>
    </row>
    <row r="380" spans="4:192">
      <c r="M380" s="393"/>
      <c r="N380" s="393"/>
      <c r="O380" s="393"/>
      <c r="GJ380" s="486"/>
    </row>
    <row r="381" spans="4:192">
      <c r="F381" s="491"/>
      <c r="G381" s="297"/>
      <c r="H381" s="297"/>
      <c r="M381" s="393"/>
      <c r="N381" s="393"/>
      <c r="O381" s="393"/>
      <c r="GJ381" s="486"/>
    </row>
    <row r="382" spans="4:192">
      <c r="F382" s="491"/>
      <c r="G382" s="297"/>
      <c r="H382" s="297"/>
      <c r="M382" s="393"/>
      <c r="N382" s="393"/>
      <c r="O382" s="393"/>
      <c r="GJ382" s="486"/>
    </row>
    <row r="383" spans="4:192">
      <c r="F383" s="493"/>
      <c r="G383" s="297"/>
      <c r="H383" s="297"/>
      <c r="M383" s="393"/>
      <c r="N383" s="393"/>
      <c r="O383" s="393"/>
      <c r="GJ383" s="486"/>
    </row>
    <row r="384" spans="4:192">
      <c r="F384" s="491"/>
      <c r="G384" s="297"/>
      <c r="H384" s="297"/>
      <c r="M384" s="393"/>
      <c r="N384" s="393"/>
      <c r="O384" s="393"/>
      <c r="GJ384" s="486"/>
    </row>
    <row r="385" spans="6:192">
      <c r="F385" s="491"/>
      <c r="G385" s="297"/>
      <c r="H385" s="297"/>
      <c r="M385" s="393"/>
      <c r="N385" s="393"/>
      <c r="O385" s="393"/>
      <c r="GJ385" s="486"/>
    </row>
    <row r="386" spans="6:192">
      <c r="M386" s="393"/>
      <c r="N386" s="393"/>
      <c r="O386" s="393"/>
      <c r="GJ386" s="486"/>
    </row>
    <row r="387" spans="6:192">
      <c r="M387" s="393"/>
      <c r="N387" s="393"/>
      <c r="O387" s="393"/>
      <c r="GJ387" s="486"/>
    </row>
    <row r="388" spans="6:192">
      <c r="M388" s="393"/>
      <c r="N388" s="393"/>
      <c r="O388" s="393"/>
      <c r="GJ388" s="486"/>
    </row>
    <row r="389" spans="6:192">
      <c r="M389" s="393"/>
      <c r="N389" s="393"/>
      <c r="O389" s="393"/>
      <c r="GJ389" s="486"/>
    </row>
    <row r="390" spans="6:192">
      <c r="GJ390" s="486"/>
    </row>
    <row r="391" spans="6:192">
      <c r="GJ391" s="486"/>
    </row>
    <row r="392" spans="6:192">
      <c r="GJ392" s="486"/>
    </row>
    <row r="393" spans="6:192">
      <c r="GJ393" s="486"/>
    </row>
    <row r="394" spans="6:192">
      <c r="GJ394" s="486"/>
    </row>
    <row r="395" spans="6:192">
      <c r="GJ395" s="486"/>
    </row>
    <row r="396" spans="6:192">
      <c r="GJ396" s="486"/>
    </row>
    <row r="397" spans="6:192">
      <c r="GJ397" s="486"/>
    </row>
    <row r="398" spans="6:192">
      <c r="GJ398" s="486"/>
    </row>
  </sheetData>
  <autoFilter ref="A2:GX369" xr:uid="{00000000-0009-0000-0000-000002000000}"/>
  <mergeCells count="111">
    <mergeCell ref="K360:K361"/>
    <mergeCell ref="K364:K365"/>
    <mergeCell ref="K366:K367"/>
    <mergeCell ref="D364:D368"/>
    <mergeCell ref="E3:E4"/>
    <mergeCell ref="E5:E6"/>
    <mergeCell ref="E17:E18"/>
    <mergeCell ref="E36:E37"/>
    <mergeCell ref="E43:E44"/>
    <mergeCell ref="E45:E46"/>
    <mergeCell ref="E48:E49"/>
    <mergeCell ref="E50:E51"/>
    <mergeCell ref="E360:E361"/>
    <mergeCell ref="E364:E365"/>
    <mergeCell ref="E366:E367"/>
    <mergeCell ref="D245:D247"/>
    <mergeCell ref="D248:D250"/>
    <mergeCell ref="D251:D253"/>
    <mergeCell ref="D254:D256"/>
    <mergeCell ref="D257:D259"/>
    <mergeCell ref="D260:D262"/>
    <mergeCell ref="D333:D334"/>
    <mergeCell ref="D341:D342"/>
    <mergeCell ref="D360:D363"/>
    <mergeCell ref="D218:D220"/>
    <mergeCell ref="D221:D223"/>
    <mergeCell ref="D224:D226"/>
    <mergeCell ref="D227:D229"/>
    <mergeCell ref="D230:D232"/>
    <mergeCell ref="D233:D235"/>
    <mergeCell ref="D236:D238"/>
    <mergeCell ref="D239:D241"/>
    <mergeCell ref="D242:D244"/>
    <mergeCell ref="D191:D193"/>
    <mergeCell ref="D194:D196"/>
    <mergeCell ref="D197:D199"/>
    <mergeCell ref="D200:D202"/>
    <mergeCell ref="D203:D205"/>
    <mergeCell ref="D206:D208"/>
    <mergeCell ref="D209:D211"/>
    <mergeCell ref="D212:D214"/>
    <mergeCell ref="D215:D217"/>
    <mergeCell ref="D164:D166"/>
    <mergeCell ref="D167:D169"/>
    <mergeCell ref="D170:D172"/>
    <mergeCell ref="D173:D175"/>
    <mergeCell ref="D176:D178"/>
    <mergeCell ref="D179:D181"/>
    <mergeCell ref="D182:D184"/>
    <mergeCell ref="D185:D187"/>
    <mergeCell ref="D188:D190"/>
    <mergeCell ref="D137:D139"/>
    <mergeCell ref="D140:D142"/>
    <mergeCell ref="D143:D145"/>
    <mergeCell ref="D146:D148"/>
    <mergeCell ref="D149:D151"/>
    <mergeCell ref="D152:D154"/>
    <mergeCell ref="D155:D157"/>
    <mergeCell ref="D158:D160"/>
    <mergeCell ref="D161:D163"/>
    <mergeCell ref="D110:D112"/>
    <mergeCell ref="D113:D115"/>
    <mergeCell ref="D116:D118"/>
    <mergeCell ref="D119:D121"/>
    <mergeCell ref="D122:D124"/>
    <mergeCell ref="D125:D127"/>
    <mergeCell ref="D128:D130"/>
    <mergeCell ref="D131:D133"/>
    <mergeCell ref="D134:D136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C350:F350"/>
    <mergeCell ref="C355:F355"/>
    <mergeCell ref="D369:F369"/>
    <mergeCell ref="C3:C259"/>
    <mergeCell ref="C260:C262"/>
    <mergeCell ref="C263:C331"/>
    <mergeCell ref="C333:C343"/>
    <mergeCell ref="C346:C349"/>
    <mergeCell ref="C351:C353"/>
    <mergeCell ref="D3:D7"/>
    <mergeCell ref="D8:D10"/>
    <mergeCell ref="D11:D13"/>
    <mergeCell ref="D14:D16"/>
    <mergeCell ref="D17:D20"/>
    <mergeCell ref="D21:D23"/>
    <mergeCell ref="D24:D26"/>
    <mergeCell ref="D27:D29"/>
    <mergeCell ref="D30:D32"/>
    <mergeCell ref="D33:D35"/>
    <mergeCell ref="D36:D39"/>
    <mergeCell ref="D40:D42"/>
    <mergeCell ref="D43:D47"/>
    <mergeCell ref="D48:D52"/>
    <mergeCell ref="D53:D55"/>
  </mergeCells>
  <phoneticPr fontId="8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2:J45"/>
  <sheetViews>
    <sheetView zoomScale="86" zoomScaleNormal="86" workbookViewId="0">
      <selection activeCell="B4" sqref="B4:C6"/>
    </sheetView>
  </sheetViews>
  <sheetFormatPr defaultColWidth="9" defaultRowHeight="14.25"/>
  <cols>
    <col min="2" max="2" width="14.25" customWidth="1"/>
    <col min="3" max="3" width="16.125" customWidth="1"/>
    <col min="4" max="4" width="15.625" customWidth="1"/>
    <col min="5" max="5" width="11.625" customWidth="1"/>
    <col min="6" max="6" width="17.25" customWidth="1"/>
    <col min="7" max="7" width="15.125" customWidth="1"/>
    <col min="8" max="8" width="12.25" customWidth="1"/>
    <col min="9" max="9" width="18" customWidth="1"/>
    <col min="10" max="10" width="14.5" customWidth="1"/>
  </cols>
  <sheetData>
    <row r="2" spans="1:10">
      <c r="A2" s="666" t="s">
        <v>721</v>
      </c>
      <c r="B2" s="666" t="s">
        <v>722</v>
      </c>
      <c r="C2" s="717" t="s">
        <v>723</v>
      </c>
      <c r="D2" s="717"/>
      <c r="E2" s="717"/>
      <c r="F2" s="717" t="s">
        <v>724</v>
      </c>
      <c r="G2" s="717"/>
      <c r="H2" s="717"/>
      <c r="I2" s="718" t="s">
        <v>33</v>
      </c>
      <c r="J2" s="718"/>
    </row>
    <row r="3" spans="1:10">
      <c r="A3" s="660"/>
      <c r="B3" s="660"/>
      <c r="C3" s="379" t="s">
        <v>725</v>
      </c>
      <c r="D3" s="379" t="s">
        <v>726</v>
      </c>
      <c r="E3" s="36" t="s">
        <v>65</v>
      </c>
      <c r="F3" s="379" t="s">
        <v>725</v>
      </c>
      <c r="G3" s="379" t="s">
        <v>726</v>
      </c>
      <c r="H3" s="36" t="s">
        <v>65</v>
      </c>
      <c r="I3" s="379" t="s">
        <v>725</v>
      </c>
      <c r="J3" s="379" t="s">
        <v>726</v>
      </c>
    </row>
    <row r="4" spans="1:10">
      <c r="A4" s="719">
        <v>202501</v>
      </c>
      <c r="B4" s="380" t="s">
        <v>123</v>
      </c>
      <c r="C4" s="381">
        <v>477778946.55000001</v>
      </c>
      <c r="D4" s="381">
        <f>C4*E4</f>
        <v>62111263.0515</v>
      </c>
      <c r="E4" s="36">
        <v>0.13</v>
      </c>
      <c r="F4" s="378">
        <v>-73175569.739999995</v>
      </c>
      <c r="G4" s="381">
        <f>F4*H4</f>
        <v>-9512824.0661999993</v>
      </c>
      <c r="H4" s="36">
        <v>0.13</v>
      </c>
      <c r="I4" s="381">
        <f t="shared" ref="I4:I39" si="0">C4+F4</f>
        <v>404603376.81</v>
      </c>
      <c r="J4" s="375">
        <f t="shared" ref="J4:J39" si="1">D4+G4</f>
        <v>52598438.985299997</v>
      </c>
    </row>
    <row r="5" spans="1:10">
      <c r="A5" s="719"/>
      <c r="B5" s="298" t="s">
        <v>727</v>
      </c>
      <c r="C5" s="81">
        <v>282430242.26999998</v>
      </c>
      <c r="D5" s="381">
        <f>C5*E5</f>
        <v>25418721.804299999</v>
      </c>
      <c r="E5" s="36">
        <v>0.09</v>
      </c>
      <c r="F5" s="382">
        <v>-259673679.25</v>
      </c>
      <c r="G5" s="381">
        <f>F5*H5</f>
        <v>-23370631.1325</v>
      </c>
      <c r="H5" s="36">
        <v>0.09</v>
      </c>
      <c r="I5" s="381">
        <f t="shared" si="0"/>
        <v>22756563.02</v>
      </c>
      <c r="J5" s="375">
        <f t="shared" si="1"/>
        <v>2048090.6717999999</v>
      </c>
    </row>
    <row r="6" spans="1:10">
      <c r="A6" s="719"/>
      <c r="B6" s="298" t="s">
        <v>728</v>
      </c>
      <c r="C6" s="81">
        <v>20327407.879999999</v>
      </c>
      <c r="D6" s="381">
        <f>C6*E6</f>
        <v>1219644.4728000001</v>
      </c>
      <c r="E6" s="36">
        <v>0.06</v>
      </c>
      <c r="F6" s="378">
        <v>-16521509.74</v>
      </c>
      <c r="G6" s="381">
        <f>F6*H6</f>
        <v>-991290.58440000005</v>
      </c>
      <c r="H6" s="36">
        <v>0.06</v>
      </c>
      <c r="I6" s="381">
        <f t="shared" si="0"/>
        <v>3805898.14</v>
      </c>
      <c r="J6" s="375">
        <f t="shared" si="1"/>
        <v>228353.8884</v>
      </c>
    </row>
    <row r="7" spans="1:10">
      <c r="A7" s="720">
        <v>202502</v>
      </c>
      <c r="B7" s="383" t="s">
        <v>123</v>
      </c>
      <c r="C7" s="384">
        <v>441484567.69999999</v>
      </c>
      <c r="D7" s="385">
        <f>C7*E7-0.04</f>
        <v>57392993.761</v>
      </c>
      <c r="E7" s="386">
        <v>0.13</v>
      </c>
      <c r="F7" s="387">
        <v>-99152455.980000004</v>
      </c>
      <c r="G7" s="385">
        <f>F7*H7+0.04</f>
        <v>-12889819.237400001</v>
      </c>
      <c r="H7" s="386">
        <v>0.13</v>
      </c>
      <c r="I7" s="385">
        <f t="shared" si="0"/>
        <v>342332111.72000003</v>
      </c>
      <c r="J7" s="388">
        <f t="shared" si="1"/>
        <v>44503174.523599997</v>
      </c>
    </row>
    <row r="8" spans="1:10">
      <c r="A8" s="720"/>
      <c r="B8" s="389" t="s">
        <v>727</v>
      </c>
      <c r="C8" s="384">
        <v>65474783.409999996</v>
      </c>
      <c r="D8" s="385">
        <f>C8*E8+0.02</f>
        <v>5892730.5268999999</v>
      </c>
      <c r="E8" s="386">
        <v>0.09</v>
      </c>
      <c r="F8" s="390">
        <v>-60940236.82</v>
      </c>
      <c r="G8" s="385">
        <f>F8*H8-0.03</f>
        <v>-5484621.3437999999</v>
      </c>
      <c r="H8" s="386">
        <v>0.09</v>
      </c>
      <c r="I8" s="385">
        <f t="shared" si="0"/>
        <v>4534546.59</v>
      </c>
      <c r="J8" s="388">
        <f t="shared" si="1"/>
        <v>408109.18310000002</v>
      </c>
    </row>
    <row r="9" spans="1:10">
      <c r="A9" s="720"/>
      <c r="B9" s="389" t="s">
        <v>728</v>
      </c>
      <c r="C9" s="384">
        <v>19242330.690000001</v>
      </c>
      <c r="D9" s="385">
        <f>C9*E9+0.05</f>
        <v>1154539.8914000001</v>
      </c>
      <c r="E9" s="386">
        <v>0.06</v>
      </c>
      <c r="F9" s="387">
        <v>-10524908.6</v>
      </c>
      <c r="G9" s="385">
        <f>F9*H9-0.03</f>
        <v>-631494.54599999997</v>
      </c>
      <c r="H9" s="386">
        <v>0.06</v>
      </c>
      <c r="I9" s="385">
        <f t="shared" si="0"/>
        <v>8717422.0899999999</v>
      </c>
      <c r="J9" s="388">
        <f t="shared" si="1"/>
        <v>523045.34539999999</v>
      </c>
    </row>
    <row r="10" spans="1:10">
      <c r="A10" s="719">
        <v>202503</v>
      </c>
      <c r="B10" s="380" t="s">
        <v>123</v>
      </c>
      <c r="C10" s="381">
        <v>359477262.75</v>
      </c>
      <c r="D10" s="381">
        <v>46732044.137500003</v>
      </c>
      <c r="E10" s="36">
        <v>0.13</v>
      </c>
      <c r="F10" s="381">
        <v>-350213433.60000002</v>
      </c>
      <c r="G10" s="381">
        <v>-45527746.357500002</v>
      </c>
      <c r="H10" s="36">
        <v>0.13</v>
      </c>
      <c r="I10" s="379">
        <f t="shared" si="0"/>
        <v>9263829.1499999799</v>
      </c>
      <c r="J10" s="111">
        <f t="shared" si="1"/>
        <v>1204297.78</v>
      </c>
    </row>
    <row r="11" spans="1:10">
      <c r="A11" s="719"/>
      <c r="B11" s="298" t="s">
        <v>727</v>
      </c>
      <c r="C11" s="381">
        <v>65827967.630000003</v>
      </c>
      <c r="D11" s="381">
        <v>5924517.1167000001</v>
      </c>
      <c r="E11" s="36">
        <v>0.09</v>
      </c>
      <c r="F11" s="381">
        <v>-30035426.899999999</v>
      </c>
      <c r="G11" s="381">
        <v>-2703188.4599000001</v>
      </c>
      <c r="H11" s="36">
        <v>0.09</v>
      </c>
      <c r="I11" s="379">
        <f t="shared" si="0"/>
        <v>35792540.729999997</v>
      </c>
      <c r="J11" s="111">
        <f t="shared" si="1"/>
        <v>3221328.6568</v>
      </c>
    </row>
    <row r="12" spans="1:10">
      <c r="A12" s="719"/>
      <c r="B12" s="298" t="s">
        <v>728</v>
      </c>
      <c r="C12" s="381">
        <v>50781713.520000003</v>
      </c>
      <c r="D12" s="381">
        <v>3046902.8212000001</v>
      </c>
      <c r="E12" s="36">
        <v>0.06</v>
      </c>
      <c r="F12" s="381">
        <v>-47021945.539999999</v>
      </c>
      <c r="G12" s="381">
        <v>-2821316.7311999998</v>
      </c>
      <c r="H12" s="36">
        <v>0.06</v>
      </c>
      <c r="I12" s="379">
        <f t="shared" si="0"/>
        <v>3759767.98</v>
      </c>
      <c r="J12" s="111">
        <f t="shared" si="1"/>
        <v>225586.09</v>
      </c>
    </row>
    <row r="13" spans="1:10">
      <c r="A13" s="719">
        <v>202504</v>
      </c>
      <c r="B13" s="380" t="s">
        <v>123</v>
      </c>
      <c r="C13" s="381">
        <v>17534647.48</v>
      </c>
      <c r="D13" s="381">
        <f>C13*E13+0.02</f>
        <v>2279504.1924000001</v>
      </c>
      <c r="E13" s="36">
        <v>0.13</v>
      </c>
      <c r="F13" s="381">
        <v>3789194.835</v>
      </c>
      <c r="G13" s="381">
        <f>F13*H13-0.01</f>
        <v>492595.31855000003</v>
      </c>
      <c r="H13" s="36">
        <v>0.13</v>
      </c>
      <c r="I13" s="379">
        <f t="shared" si="0"/>
        <v>21323842.315000001</v>
      </c>
      <c r="J13" s="375">
        <f t="shared" si="1"/>
        <v>2772099.51095</v>
      </c>
    </row>
    <row r="14" spans="1:10">
      <c r="A14" s="719"/>
      <c r="B14" s="298" t="s">
        <v>727</v>
      </c>
      <c r="C14" s="381">
        <v>60452778.880000003</v>
      </c>
      <c r="D14" s="381">
        <f>C14*E14-0.01</f>
        <v>5440750.0892000003</v>
      </c>
      <c r="E14" s="36">
        <v>0.09</v>
      </c>
      <c r="F14" s="381">
        <v>7446929.9800000004</v>
      </c>
      <c r="G14" s="381">
        <f>F14*H14</f>
        <v>670223.69819999998</v>
      </c>
      <c r="H14" s="36">
        <v>0.09</v>
      </c>
      <c r="I14" s="379">
        <f t="shared" si="0"/>
        <v>67899708.859999999</v>
      </c>
      <c r="J14" s="375">
        <f t="shared" si="1"/>
        <v>6110973.7873999998</v>
      </c>
    </row>
    <row r="15" spans="1:10">
      <c r="A15" s="719"/>
      <c r="B15" s="298" t="s">
        <v>728</v>
      </c>
      <c r="C15" s="381">
        <v>617092.61</v>
      </c>
      <c r="D15" s="381">
        <f>C15*E15</f>
        <v>37025.556600000004</v>
      </c>
      <c r="E15" s="36">
        <v>0.06</v>
      </c>
      <c r="F15" s="381">
        <v>7541539.4000000004</v>
      </c>
      <c r="G15" s="381">
        <f>F15*H15</f>
        <v>452492.364</v>
      </c>
      <c r="H15" s="36">
        <v>0.06</v>
      </c>
      <c r="I15" s="379">
        <f t="shared" si="0"/>
        <v>8158632.0099999998</v>
      </c>
      <c r="J15" s="375">
        <f t="shared" si="1"/>
        <v>489517.92060000001</v>
      </c>
    </row>
    <row r="16" spans="1:10">
      <c r="A16" s="719">
        <v>202505</v>
      </c>
      <c r="B16" s="380" t="s">
        <v>123</v>
      </c>
      <c r="C16" s="381">
        <v>33522208.960000001</v>
      </c>
      <c r="D16" s="381">
        <f>C16*E16-0.01</f>
        <v>4357887.1547999997</v>
      </c>
      <c r="E16" s="36">
        <v>0.13</v>
      </c>
      <c r="F16" s="381">
        <v>-4890202.6399999997</v>
      </c>
      <c r="G16" s="381">
        <f>F16*H16+0.01</f>
        <v>-635726.33319999999</v>
      </c>
      <c r="H16" s="36">
        <v>0.13</v>
      </c>
      <c r="I16" s="379">
        <f t="shared" si="0"/>
        <v>28632006.32</v>
      </c>
      <c r="J16" s="375">
        <f t="shared" si="1"/>
        <v>3722160.8215999999</v>
      </c>
    </row>
    <row r="17" spans="1:10">
      <c r="A17" s="719"/>
      <c r="B17" s="298" t="s">
        <v>727</v>
      </c>
      <c r="C17" s="381">
        <v>2703064.96</v>
      </c>
      <c r="D17" s="381">
        <f>C17*E17-0.01</f>
        <v>243275.8364</v>
      </c>
      <c r="E17" s="36">
        <v>0.09</v>
      </c>
      <c r="F17" s="381">
        <v>-17724968.07</v>
      </c>
      <c r="G17" s="381">
        <f>F17*H17-0.01</f>
        <v>-1595247.1362999999</v>
      </c>
      <c r="H17" s="36">
        <v>0.09</v>
      </c>
      <c r="I17" s="379">
        <f t="shared" si="0"/>
        <v>-15021903.109999999</v>
      </c>
      <c r="J17" s="375">
        <f t="shared" si="1"/>
        <v>-1351971.2999</v>
      </c>
    </row>
    <row r="18" spans="1:10">
      <c r="A18" s="719"/>
      <c r="B18" s="298" t="s">
        <v>728</v>
      </c>
      <c r="C18" s="381">
        <v>1749486.75</v>
      </c>
      <c r="D18" s="381">
        <f>C18*E18-0.03</f>
        <v>104969.175</v>
      </c>
      <c r="E18" s="36">
        <v>0.06</v>
      </c>
      <c r="F18" s="381">
        <v>35524679.939999998</v>
      </c>
      <c r="G18" s="381">
        <f>F18*H18-0.01</f>
        <v>2131480.7864000001</v>
      </c>
      <c r="H18" s="36">
        <v>0.06</v>
      </c>
      <c r="I18" s="379">
        <f t="shared" si="0"/>
        <v>37274166.689999998</v>
      </c>
      <c r="J18" s="375">
        <f>D18+G18+0.01</f>
        <v>2236449.9714000002</v>
      </c>
    </row>
    <row r="19" spans="1:10">
      <c r="A19" s="719">
        <v>202506</v>
      </c>
      <c r="B19" s="380" t="s">
        <v>123</v>
      </c>
      <c r="C19" s="381">
        <v>110922362.87</v>
      </c>
      <c r="D19" s="381">
        <f>C19*E19+0.08</f>
        <v>14419907.2531</v>
      </c>
      <c r="E19" s="36">
        <v>0.13</v>
      </c>
      <c r="F19" s="381">
        <v>-105705112.16</v>
      </c>
      <c r="G19" s="381">
        <f>F19*H19-0.08</f>
        <v>-13741664.660800001</v>
      </c>
      <c r="H19" s="36">
        <v>0.13</v>
      </c>
      <c r="I19" s="379">
        <f t="shared" si="0"/>
        <v>5217250.7100000102</v>
      </c>
      <c r="J19" s="375">
        <f t="shared" si="1"/>
        <v>678242.59230000002</v>
      </c>
    </row>
    <row r="20" spans="1:10">
      <c r="A20" s="719"/>
      <c r="B20" s="298" t="s">
        <v>727</v>
      </c>
      <c r="C20" s="381">
        <v>79949925.75</v>
      </c>
      <c r="D20" s="381">
        <f>C20*E20-0.03</f>
        <v>7195493.2874999996</v>
      </c>
      <c r="E20" s="36">
        <v>0.09</v>
      </c>
      <c r="F20" s="381">
        <v>27709537.539999999</v>
      </c>
      <c r="G20" s="381">
        <f>F20*H20+0.05</f>
        <v>2493858.4286000002</v>
      </c>
      <c r="H20" s="36">
        <v>0.09</v>
      </c>
      <c r="I20" s="379">
        <f t="shared" si="0"/>
        <v>107659463.29000001</v>
      </c>
      <c r="J20" s="375">
        <f t="shared" si="1"/>
        <v>9689351.7160999998</v>
      </c>
    </row>
    <row r="21" spans="1:10">
      <c r="A21" s="719"/>
      <c r="B21" s="298" t="s">
        <v>728</v>
      </c>
      <c r="C21" s="381">
        <v>45968194.049999997</v>
      </c>
      <c r="D21" s="381">
        <f>C21*E21-0.02</f>
        <v>2758091.6230000001</v>
      </c>
      <c r="E21" s="36">
        <v>0.06</v>
      </c>
      <c r="F21" s="381">
        <v>-37128853.359999999</v>
      </c>
      <c r="G21" s="381">
        <f>F21*H21+0.02</f>
        <v>-2227731.1815999998</v>
      </c>
      <c r="H21" s="36">
        <v>0.06</v>
      </c>
      <c r="I21" s="379">
        <f t="shared" si="0"/>
        <v>8839340.6899999995</v>
      </c>
      <c r="J21" s="375">
        <f t="shared" si="1"/>
        <v>530360.44140000001</v>
      </c>
    </row>
    <row r="22" spans="1:10">
      <c r="A22" s="719">
        <v>202507</v>
      </c>
      <c r="B22" s="380" t="s">
        <v>123</v>
      </c>
      <c r="C22" s="381">
        <v>21068170.940000001</v>
      </c>
      <c r="D22" s="381">
        <f>C22*E22+0.07</f>
        <v>2738862.2922</v>
      </c>
      <c r="E22" s="36">
        <v>0.13</v>
      </c>
      <c r="F22" s="381">
        <v>-10541034.58</v>
      </c>
      <c r="G22" s="381">
        <f>F22*H22-0.08</f>
        <v>-1370334.5754</v>
      </c>
      <c r="H22" s="36">
        <v>0.13</v>
      </c>
      <c r="I22" s="379">
        <f t="shared" si="0"/>
        <v>10527136.359999999</v>
      </c>
      <c r="J22" s="375">
        <f>D22+G22-0.01</f>
        <v>1368527.7068</v>
      </c>
    </row>
    <row r="23" spans="1:10">
      <c r="A23" s="719"/>
      <c r="B23" s="298" t="s">
        <v>727</v>
      </c>
      <c r="C23" s="381">
        <v>74348075.319999993</v>
      </c>
      <c r="D23" s="381">
        <f>C23*E23-0.01</f>
        <v>6691326.7687999997</v>
      </c>
      <c r="E23" s="36">
        <v>0.09</v>
      </c>
      <c r="F23" s="381">
        <v>9511301.2900000103</v>
      </c>
      <c r="G23" s="381">
        <f>F23*H23-0.02</f>
        <v>856017.09610000101</v>
      </c>
      <c r="H23" s="36">
        <v>0.09</v>
      </c>
      <c r="I23" s="379">
        <f t="shared" si="0"/>
        <v>83859376.609999999</v>
      </c>
      <c r="J23" s="375">
        <f>D23+G23+0.01</f>
        <v>7547343.8749000002</v>
      </c>
    </row>
    <row r="24" spans="1:10">
      <c r="A24" s="719"/>
      <c r="B24" s="298" t="s">
        <v>728</v>
      </c>
      <c r="C24" s="381">
        <v>13731566.34</v>
      </c>
      <c r="D24" s="381">
        <f>C24*E24+0.05</f>
        <v>823894.03040000005</v>
      </c>
      <c r="E24" s="36">
        <v>0.06</v>
      </c>
      <c r="F24" s="381">
        <v>2701206.94</v>
      </c>
      <c r="G24" s="381">
        <f>F24*H24+0.02</f>
        <v>162072.43640000001</v>
      </c>
      <c r="H24" s="36">
        <v>0.06</v>
      </c>
      <c r="I24" s="379">
        <f t="shared" si="0"/>
        <v>16432773.279999999</v>
      </c>
      <c r="J24" s="375">
        <f t="shared" si="1"/>
        <v>985966.46680000005</v>
      </c>
    </row>
    <row r="25" spans="1:10">
      <c r="A25" s="719">
        <v>202508</v>
      </c>
      <c r="B25" s="380" t="s">
        <v>123</v>
      </c>
      <c r="C25" s="381">
        <v>136445343.16999999</v>
      </c>
      <c r="D25" s="381">
        <f>C25*E25</f>
        <v>17737894.612100001</v>
      </c>
      <c r="E25" s="36">
        <v>0.13</v>
      </c>
      <c r="F25" s="381">
        <v>34789569.909999996</v>
      </c>
      <c r="G25" s="381">
        <v>4522644.04</v>
      </c>
      <c r="H25" s="36">
        <v>0.13</v>
      </c>
      <c r="I25" s="379">
        <f t="shared" si="0"/>
        <v>171234913.08000001</v>
      </c>
      <c r="J25" s="375">
        <f t="shared" si="1"/>
        <v>22260538.652100001</v>
      </c>
    </row>
    <row r="26" spans="1:10">
      <c r="A26" s="719"/>
      <c r="B26" s="298" t="s">
        <v>727</v>
      </c>
      <c r="C26" s="381">
        <v>866835.23</v>
      </c>
      <c r="D26" s="381">
        <v>78015.149999999994</v>
      </c>
      <c r="E26" s="36">
        <v>0.09</v>
      </c>
      <c r="F26" s="381">
        <v>120141692.84</v>
      </c>
      <c r="G26" s="381">
        <v>10812752.369999999</v>
      </c>
      <c r="H26" s="36">
        <v>0.09</v>
      </c>
      <c r="I26" s="379">
        <f t="shared" si="0"/>
        <v>121008528.06999999</v>
      </c>
      <c r="J26" s="375">
        <f t="shared" si="1"/>
        <v>10890767.52</v>
      </c>
    </row>
    <row r="27" spans="1:10">
      <c r="A27" s="719"/>
      <c r="B27" s="298" t="s">
        <v>728</v>
      </c>
      <c r="C27" s="381">
        <v>2855156.33</v>
      </c>
      <c r="D27" s="381">
        <v>171309.36</v>
      </c>
      <c r="E27" s="36">
        <v>0.06</v>
      </c>
      <c r="F27" s="381">
        <v>19814633.420000002</v>
      </c>
      <c r="G27" s="381">
        <v>1188878.02</v>
      </c>
      <c r="H27" s="36">
        <v>0.06</v>
      </c>
      <c r="I27" s="379">
        <f t="shared" si="0"/>
        <v>22669789.75</v>
      </c>
      <c r="J27" s="375">
        <f t="shared" si="1"/>
        <v>1360187.38</v>
      </c>
    </row>
    <row r="28" spans="1:10">
      <c r="A28" s="719">
        <v>202509</v>
      </c>
      <c r="B28" s="380" t="s">
        <v>123</v>
      </c>
      <c r="C28" s="391">
        <v>7446608.4299999997</v>
      </c>
      <c r="D28" s="381">
        <f>C28*E28-0.01</f>
        <v>968059.08589999995</v>
      </c>
      <c r="E28" s="36">
        <v>0.13</v>
      </c>
      <c r="F28" s="381">
        <v>30613260.57</v>
      </c>
      <c r="G28" s="381">
        <f>F28*H28</f>
        <v>3979723.8741000001</v>
      </c>
      <c r="H28" s="36">
        <v>0.13</v>
      </c>
      <c r="I28" s="391">
        <f t="shared" si="0"/>
        <v>38059869</v>
      </c>
      <c r="J28" s="375">
        <f t="shared" si="1"/>
        <v>4947782.96</v>
      </c>
    </row>
    <row r="29" spans="1:10">
      <c r="A29" s="719"/>
      <c r="B29" s="298" t="s">
        <v>727</v>
      </c>
      <c r="C29" s="391">
        <v>222542088.90000001</v>
      </c>
      <c r="D29" s="381">
        <f>C29*E29+0.01</f>
        <v>20028788.011</v>
      </c>
      <c r="E29" s="36">
        <v>0.09</v>
      </c>
      <c r="F29" s="381">
        <v>-104828644.70999999</v>
      </c>
      <c r="G29" s="381">
        <f>F29*H29</f>
        <v>-9434578.0239000004</v>
      </c>
      <c r="H29" s="36">
        <v>0.09</v>
      </c>
      <c r="I29" s="391">
        <f t="shared" si="0"/>
        <v>117713444.19</v>
      </c>
      <c r="J29" s="375">
        <f t="shared" si="1"/>
        <v>10594209.9871</v>
      </c>
    </row>
    <row r="30" spans="1:10">
      <c r="A30" s="719"/>
      <c r="B30" s="298" t="s">
        <v>728</v>
      </c>
      <c r="C30" s="391">
        <v>9810630.4100000001</v>
      </c>
      <c r="D30" s="381">
        <f>C30*E30</f>
        <v>588637.82460000005</v>
      </c>
      <c r="E30" s="36">
        <v>0.06</v>
      </c>
      <c r="F30" s="381">
        <v>8842219.5399999991</v>
      </c>
      <c r="G30" s="381">
        <f>F30*H30+0.03</f>
        <v>530533.20239999995</v>
      </c>
      <c r="H30" s="36">
        <v>0.06</v>
      </c>
      <c r="I30" s="391">
        <f t="shared" si="0"/>
        <v>18652849.949999999</v>
      </c>
      <c r="J30" s="375">
        <f>D30+G30-0.01</f>
        <v>1119171.017</v>
      </c>
    </row>
    <row r="31" spans="1:10">
      <c r="A31" s="719">
        <v>202510</v>
      </c>
      <c r="B31" s="380" t="s">
        <v>123</v>
      </c>
      <c r="C31" s="379">
        <v>193206785.38999999</v>
      </c>
      <c r="D31" s="381">
        <v>25116882.09</v>
      </c>
      <c r="E31" s="36">
        <v>0.13</v>
      </c>
      <c r="F31" s="379">
        <v>5668542.2000000197</v>
      </c>
      <c r="G31" s="381">
        <v>736910.5</v>
      </c>
      <c r="H31" s="36">
        <v>0.13</v>
      </c>
      <c r="I31" s="379">
        <f t="shared" si="0"/>
        <v>198875327.59</v>
      </c>
      <c r="J31" s="375">
        <f t="shared" si="1"/>
        <v>25853792.59</v>
      </c>
    </row>
    <row r="32" spans="1:10">
      <c r="A32" s="719"/>
      <c r="B32" s="298" t="s">
        <v>727</v>
      </c>
      <c r="C32" s="379">
        <v>80723241.310000002</v>
      </c>
      <c r="D32" s="381">
        <v>7265091.7599999998</v>
      </c>
      <c r="E32" s="36">
        <v>0.09</v>
      </c>
      <c r="F32" s="379">
        <v>-27063651.940000001</v>
      </c>
      <c r="G32" s="381">
        <v>-2435728.73</v>
      </c>
      <c r="H32" s="36">
        <v>0.09</v>
      </c>
      <c r="I32" s="379">
        <f t="shared" si="0"/>
        <v>53659589.369999997</v>
      </c>
      <c r="J32" s="375">
        <f t="shared" si="1"/>
        <v>4829363.03</v>
      </c>
    </row>
    <row r="33" spans="1:10">
      <c r="A33" s="719"/>
      <c r="B33" s="298" t="s">
        <v>728</v>
      </c>
      <c r="C33" s="379">
        <v>39969021.810000002</v>
      </c>
      <c r="D33" s="381">
        <v>2398141.2799999998</v>
      </c>
      <c r="E33" s="36">
        <v>0.06</v>
      </c>
      <c r="F33" s="379">
        <v>-26693940.390000001</v>
      </c>
      <c r="G33" s="381">
        <v>-1601636.42</v>
      </c>
      <c r="H33" s="36">
        <v>0.06</v>
      </c>
      <c r="I33" s="379">
        <f t="shared" si="0"/>
        <v>13275081.42</v>
      </c>
      <c r="J33" s="375">
        <f t="shared" si="1"/>
        <v>796504.86</v>
      </c>
    </row>
    <row r="34" spans="1:10">
      <c r="A34" s="719">
        <v>202511</v>
      </c>
      <c r="B34" s="380" t="s">
        <v>123</v>
      </c>
      <c r="C34" s="379">
        <v>1035284160.03</v>
      </c>
      <c r="D34" s="381">
        <v>134586940.78999999</v>
      </c>
      <c r="E34" s="36">
        <v>0.13</v>
      </c>
      <c r="F34" s="379">
        <v>317656232.11000001</v>
      </c>
      <c r="G34" s="381">
        <v>41295310.170000002</v>
      </c>
      <c r="H34" s="36">
        <v>0.13</v>
      </c>
      <c r="I34" s="379">
        <f t="shared" si="0"/>
        <v>1352940392.1400001</v>
      </c>
      <c r="J34" s="375">
        <f t="shared" si="1"/>
        <v>175882250.96000001</v>
      </c>
    </row>
    <row r="35" spans="1:10">
      <c r="A35" s="719"/>
      <c r="B35" s="298" t="s">
        <v>727</v>
      </c>
      <c r="C35" s="379">
        <v>6040022.0799999898</v>
      </c>
      <c r="D35" s="381">
        <v>543602.02</v>
      </c>
      <c r="E35" s="36">
        <v>0.09</v>
      </c>
      <c r="F35" s="379">
        <v>119472540.89</v>
      </c>
      <c r="G35" s="381">
        <v>10752528.67</v>
      </c>
      <c r="H35" s="36">
        <v>0.09</v>
      </c>
      <c r="I35" s="379">
        <f t="shared" si="0"/>
        <v>125512562.97</v>
      </c>
      <c r="J35" s="375">
        <f t="shared" si="1"/>
        <v>11296130.689999999</v>
      </c>
    </row>
    <row r="36" spans="1:10">
      <c r="A36" s="719"/>
      <c r="B36" s="298" t="s">
        <v>728</v>
      </c>
      <c r="C36" s="379">
        <v>-28112069.149999999</v>
      </c>
      <c r="D36" s="381">
        <v>-1686724.11</v>
      </c>
      <c r="E36" s="36">
        <v>0.06</v>
      </c>
      <c r="F36" s="379">
        <v>5400425.71</v>
      </c>
      <c r="G36" s="381">
        <v>324025.52</v>
      </c>
      <c r="H36" s="36">
        <v>0.06</v>
      </c>
      <c r="I36" s="379">
        <f t="shared" si="0"/>
        <v>-22711643.440000001</v>
      </c>
      <c r="J36" s="375">
        <f t="shared" si="1"/>
        <v>-1362698.59</v>
      </c>
    </row>
    <row r="37" spans="1:10">
      <c r="A37" s="719">
        <v>202512</v>
      </c>
      <c r="B37" s="380" t="s">
        <v>123</v>
      </c>
      <c r="C37" s="379">
        <v>854194844.01999998</v>
      </c>
      <c r="D37" s="381">
        <v>111045329.72</v>
      </c>
      <c r="E37" s="36">
        <v>0.13</v>
      </c>
      <c r="F37" s="379">
        <v>2091759362.98437</v>
      </c>
      <c r="G37" s="381">
        <v>272305004.03725702</v>
      </c>
      <c r="H37" s="36">
        <v>0.13</v>
      </c>
      <c r="I37" s="379">
        <f t="shared" si="0"/>
        <v>2945954207.0043702</v>
      </c>
      <c r="J37" s="375">
        <f t="shared" si="1"/>
        <v>383350333.75725698</v>
      </c>
    </row>
    <row r="38" spans="1:10">
      <c r="A38" s="719"/>
      <c r="B38" s="298" t="s">
        <v>727</v>
      </c>
      <c r="C38" s="379">
        <v>220186683.55000001</v>
      </c>
      <c r="D38" s="381">
        <v>19816801.550000001</v>
      </c>
      <c r="E38" s="36">
        <v>0.09</v>
      </c>
      <c r="F38" s="379">
        <v>569791267.49000001</v>
      </c>
      <c r="G38" s="381">
        <v>51281214.060000002</v>
      </c>
      <c r="H38" s="36">
        <v>0.09</v>
      </c>
      <c r="I38" s="379">
        <f t="shared" si="0"/>
        <v>789977951.03999996</v>
      </c>
      <c r="J38" s="375">
        <f t="shared" si="1"/>
        <v>71098015.609999999</v>
      </c>
    </row>
    <row r="39" spans="1:10">
      <c r="A39" s="719"/>
      <c r="B39" s="298" t="s">
        <v>728</v>
      </c>
      <c r="C39" s="379">
        <v>20265501.629999999</v>
      </c>
      <c r="D39" s="381">
        <v>1215930.1200000001</v>
      </c>
      <c r="E39" s="36">
        <v>0.06</v>
      </c>
      <c r="F39" s="379">
        <v>158525189.66620299</v>
      </c>
      <c r="G39" s="381">
        <v>18944260.460000001</v>
      </c>
      <c r="H39" s="36">
        <v>0.06</v>
      </c>
      <c r="I39" s="379">
        <f t="shared" si="0"/>
        <v>178790691.29620299</v>
      </c>
      <c r="J39" s="375">
        <f t="shared" si="1"/>
        <v>20160190.579999998</v>
      </c>
    </row>
    <row r="40" spans="1:10">
      <c r="A40" s="719"/>
    </row>
    <row r="41" spans="1:10">
      <c r="A41" s="719"/>
    </row>
    <row r="42" spans="1:10">
      <c r="A42" s="719"/>
    </row>
    <row r="43" spans="1:10">
      <c r="A43" s="719"/>
    </row>
    <row r="44" spans="1:10">
      <c r="A44" s="719"/>
    </row>
    <row r="45" spans="1:10">
      <c r="A45" s="719"/>
    </row>
  </sheetData>
  <autoFilter ref="A3:J45" xr:uid="{00000000-0009-0000-0000-000003000000}"/>
  <mergeCells count="19">
    <mergeCell ref="A37:A39"/>
    <mergeCell ref="A40:A42"/>
    <mergeCell ref="A43:A45"/>
    <mergeCell ref="B2:B3"/>
    <mergeCell ref="A22:A24"/>
    <mergeCell ref="A25:A27"/>
    <mergeCell ref="A28:A30"/>
    <mergeCell ref="A31:A33"/>
    <mergeCell ref="A34:A36"/>
    <mergeCell ref="A7:A9"/>
    <mergeCell ref="A10:A12"/>
    <mergeCell ref="A13:A15"/>
    <mergeCell ref="A16:A18"/>
    <mergeCell ref="A19:A21"/>
    <mergeCell ref="C2:E2"/>
    <mergeCell ref="F2:H2"/>
    <mergeCell ref="I2:J2"/>
    <mergeCell ref="A2:A3"/>
    <mergeCell ref="A4:A6"/>
  </mergeCells>
  <phoneticPr fontId="8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B2:L15"/>
  <sheetViews>
    <sheetView zoomScale="106" zoomScaleNormal="106" workbookViewId="0">
      <selection activeCell="D7" sqref="D7"/>
    </sheetView>
  </sheetViews>
  <sheetFormatPr defaultColWidth="9" defaultRowHeight="14.25"/>
  <cols>
    <col min="1" max="1" width="2.125" customWidth="1"/>
    <col min="3" max="3" width="16.25" customWidth="1"/>
    <col min="4" max="4" width="18.375" customWidth="1"/>
    <col min="5" max="6" width="15.625" customWidth="1"/>
    <col min="7" max="7" width="16.625" customWidth="1"/>
    <col min="8" max="8" width="15.125" customWidth="1"/>
    <col min="9" max="9" width="16.875" customWidth="1"/>
    <col min="10" max="10" width="19.125" customWidth="1"/>
    <col min="11" max="11" width="15.25" customWidth="1"/>
    <col min="12" max="12" width="14.5" customWidth="1"/>
  </cols>
  <sheetData>
    <row r="2" spans="2:12">
      <c r="B2" s="721" t="s">
        <v>729</v>
      </c>
      <c r="C2" s="723" t="s">
        <v>730</v>
      </c>
      <c r="D2" s="723"/>
      <c r="E2" s="723" t="s">
        <v>731</v>
      </c>
      <c r="F2" s="723"/>
      <c r="G2" s="723" t="s">
        <v>732</v>
      </c>
      <c r="H2" s="723"/>
      <c r="I2" s="723" t="s">
        <v>733</v>
      </c>
      <c r="J2" s="723"/>
      <c r="K2" s="722" t="s">
        <v>734</v>
      </c>
      <c r="L2" s="722" t="s">
        <v>735</v>
      </c>
    </row>
    <row r="3" spans="2:12">
      <c r="B3" s="721"/>
      <c r="C3" s="373" t="s">
        <v>3</v>
      </c>
      <c r="D3" s="373" t="s">
        <v>718</v>
      </c>
      <c r="E3" s="373" t="s">
        <v>3</v>
      </c>
      <c r="F3" s="373" t="s">
        <v>718</v>
      </c>
      <c r="G3" s="373" t="s">
        <v>3</v>
      </c>
      <c r="H3" s="373" t="s">
        <v>718</v>
      </c>
      <c r="I3" s="373" t="s">
        <v>3</v>
      </c>
      <c r="J3" s="373" t="s">
        <v>736</v>
      </c>
      <c r="K3" s="722"/>
      <c r="L3" s="722"/>
    </row>
    <row r="4" spans="2:12">
      <c r="B4" s="374">
        <v>202501</v>
      </c>
      <c r="C4" s="375">
        <v>404603376.81</v>
      </c>
      <c r="D4" s="375">
        <v>404603376.81</v>
      </c>
      <c r="E4" s="375">
        <v>22756563.02</v>
      </c>
      <c r="F4" s="375">
        <v>22756563.02</v>
      </c>
      <c r="G4" s="375">
        <v>3805898.14</v>
      </c>
      <c r="H4" s="375">
        <v>3805898.14</v>
      </c>
      <c r="I4" s="375">
        <f t="shared" ref="I4:I15" si="0">C4+E4+G4</f>
        <v>431165837.97000003</v>
      </c>
      <c r="J4" s="375">
        <f t="shared" ref="J4:J15" si="1">D4+F4+H4</f>
        <v>431165837.97000003</v>
      </c>
      <c r="K4" s="375">
        <f t="shared" ref="K4:K15" si="2">I4-J4</f>
        <v>0</v>
      </c>
      <c r="L4" s="350"/>
    </row>
    <row r="5" spans="2:12">
      <c r="B5" s="374">
        <v>202502</v>
      </c>
      <c r="C5" s="375">
        <v>342332111.72000003</v>
      </c>
      <c r="D5" s="375">
        <v>342332111.72000003</v>
      </c>
      <c r="E5" s="375">
        <v>4534546.59</v>
      </c>
      <c r="F5" s="375">
        <v>4534546.59</v>
      </c>
      <c r="G5" s="375">
        <v>8717422.0899999999</v>
      </c>
      <c r="H5" s="375">
        <v>8717422.0899999999</v>
      </c>
      <c r="I5" s="375">
        <f t="shared" si="0"/>
        <v>355584080.39999998</v>
      </c>
      <c r="J5" s="375">
        <f t="shared" si="1"/>
        <v>355584080.39999998</v>
      </c>
      <c r="K5" s="375">
        <f t="shared" si="2"/>
        <v>0</v>
      </c>
      <c r="L5" s="350"/>
    </row>
    <row r="6" spans="2:12">
      <c r="B6" s="374">
        <v>202503</v>
      </c>
      <c r="C6" s="375">
        <v>9263829.1500000004</v>
      </c>
      <c r="D6" s="375">
        <v>9263829.1500000004</v>
      </c>
      <c r="E6" s="375">
        <v>35792540.729999997</v>
      </c>
      <c r="F6" s="375">
        <v>35792540.729999997</v>
      </c>
      <c r="G6" s="375">
        <v>3759767.98</v>
      </c>
      <c r="H6" s="375">
        <v>3759767.98</v>
      </c>
      <c r="I6" s="375">
        <f t="shared" si="0"/>
        <v>48816137.859999999</v>
      </c>
      <c r="J6" s="375">
        <f t="shared" si="1"/>
        <v>48816137.859999999</v>
      </c>
      <c r="K6" s="375">
        <f t="shared" si="2"/>
        <v>0</v>
      </c>
      <c r="L6" s="350"/>
    </row>
    <row r="7" spans="2:12">
      <c r="B7" s="374">
        <v>202504</v>
      </c>
      <c r="C7" s="81">
        <v>21323842.315000001</v>
      </c>
      <c r="D7" s="81">
        <v>21323842.315000001</v>
      </c>
      <c r="E7" s="81">
        <v>67899708.859999999</v>
      </c>
      <c r="F7" s="81">
        <v>67899708.859999999</v>
      </c>
      <c r="G7" s="81">
        <v>8158632.0099999998</v>
      </c>
      <c r="H7" s="81">
        <v>8158632.0099999998</v>
      </c>
      <c r="I7" s="375">
        <f t="shared" si="0"/>
        <v>97382183.185000002</v>
      </c>
      <c r="J7" s="375">
        <f t="shared" si="1"/>
        <v>97382183.185000002</v>
      </c>
      <c r="K7" s="375">
        <f t="shared" si="2"/>
        <v>0</v>
      </c>
      <c r="L7" s="350"/>
    </row>
    <row r="8" spans="2:12">
      <c r="B8" s="374">
        <v>202505</v>
      </c>
      <c r="C8" s="375">
        <v>28632006.32</v>
      </c>
      <c r="D8" s="375">
        <v>28632006.32</v>
      </c>
      <c r="E8" s="375">
        <v>-15021903.109999999</v>
      </c>
      <c r="F8" s="375">
        <v>-15021903.109999999</v>
      </c>
      <c r="G8" s="375">
        <v>37274166.689999998</v>
      </c>
      <c r="H8" s="375">
        <v>37274166.689999998</v>
      </c>
      <c r="I8" s="375">
        <f t="shared" si="0"/>
        <v>50884269.899999999</v>
      </c>
      <c r="J8" s="375">
        <f t="shared" si="1"/>
        <v>50884269.899999999</v>
      </c>
      <c r="K8" s="375">
        <f t="shared" si="2"/>
        <v>0</v>
      </c>
      <c r="L8" s="350"/>
    </row>
    <row r="9" spans="2:12">
      <c r="B9" s="374">
        <v>202506</v>
      </c>
      <c r="C9" s="376">
        <v>5217250.71</v>
      </c>
      <c r="D9" s="377">
        <v>5217250.71</v>
      </c>
      <c r="E9" s="375">
        <v>15916344.039999999</v>
      </c>
      <c r="F9" s="375">
        <v>107659463.29000001</v>
      </c>
      <c r="G9" s="375">
        <v>8839340.6899999995</v>
      </c>
      <c r="H9" s="375">
        <v>8839340.6899999995</v>
      </c>
      <c r="I9" s="375">
        <f t="shared" si="0"/>
        <v>29972935.440000001</v>
      </c>
      <c r="J9" s="375">
        <f t="shared" si="1"/>
        <v>121716054.69</v>
      </c>
      <c r="K9" s="375">
        <f t="shared" si="2"/>
        <v>-91743119.25</v>
      </c>
      <c r="L9" s="350" t="s">
        <v>737</v>
      </c>
    </row>
    <row r="10" spans="2:12">
      <c r="B10" s="374">
        <v>202507</v>
      </c>
      <c r="C10" s="376">
        <v>10527136.359999999</v>
      </c>
      <c r="D10" s="377">
        <v>10527136.359999999</v>
      </c>
      <c r="E10" s="375">
        <v>83859376.609999999</v>
      </c>
      <c r="F10" s="375">
        <v>83859376.609999999</v>
      </c>
      <c r="G10" s="375">
        <v>16432773.279999999</v>
      </c>
      <c r="H10" s="375">
        <v>16432773.279999999</v>
      </c>
      <c r="I10" s="375">
        <f t="shared" si="0"/>
        <v>110819286.25</v>
      </c>
      <c r="J10" s="375">
        <f t="shared" si="1"/>
        <v>110819286.25</v>
      </c>
      <c r="K10" s="375">
        <f t="shared" si="2"/>
        <v>0</v>
      </c>
      <c r="L10" s="350"/>
    </row>
    <row r="11" spans="2:12">
      <c r="B11" s="374">
        <v>202508</v>
      </c>
      <c r="C11" s="376">
        <v>36101207.07</v>
      </c>
      <c r="D11" s="377">
        <v>171234913.08000001</v>
      </c>
      <c r="E11" s="375">
        <v>120876318.43000001</v>
      </c>
      <c r="F11" s="375">
        <v>121008528.06999999</v>
      </c>
      <c r="G11" s="375">
        <v>22606165.02</v>
      </c>
      <c r="H11" s="375">
        <v>22669789.75</v>
      </c>
      <c r="I11" s="375">
        <f t="shared" si="0"/>
        <v>179583690.52000001</v>
      </c>
      <c r="J11" s="375">
        <f t="shared" si="1"/>
        <v>314913230.89999998</v>
      </c>
      <c r="K11" s="375">
        <f t="shared" si="2"/>
        <v>-135329540.38</v>
      </c>
      <c r="L11" s="350" t="s">
        <v>738</v>
      </c>
    </row>
    <row r="12" spans="2:12">
      <c r="B12" s="374">
        <v>202509</v>
      </c>
      <c r="C12" s="376">
        <v>38059869</v>
      </c>
      <c r="D12" s="377">
        <v>38059869</v>
      </c>
      <c r="E12" s="375">
        <v>117713444.19</v>
      </c>
      <c r="F12" s="375">
        <v>117713444.19</v>
      </c>
      <c r="G12" s="375">
        <v>18652849.949999999</v>
      </c>
      <c r="H12" s="375">
        <v>18652849.949999999</v>
      </c>
      <c r="I12" s="375">
        <f t="shared" si="0"/>
        <v>174426163.13999999</v>
      </c>
      <c r="J12" s="375">
        <f t="shared" si="1"/>
        <v>174426163.13999999</v>
      </c>
      <c r="K12" s="375">
        <f t="shared" si="2"/>
        <v>0</v>
      </c>
      <c r="L12" s="350"/>
    </row>
    <row r="13" spans="2:12">
      <c r="B13" s="374">
        <v>202510</v>
      </c>
      <c r="C13" s="378">
        <v>50555057.539999999</v>
      </c>
      <c r="D13" s="378">
        <v>198875327.59</v>
      </c>
      <c r="E13" s="378">
        <v>53264485.479999997</v>
      </c>
      <c r="F13" s="378">
        <v>53659589.369999997</v>
      </c>
      <c r="G13" s="378">
        <v>13275081.42</v>
      </c>
      <c r="H13" s="378">
        <v>13275081.42</v>
      </c>
      <c r="I13" s="375">
        <f t="shared" si="0"/>
        <v>117094624.44</v>
      </c>
      <c r="J13" s="375">
        <f t="shared" si="1"/>
        <v>265809998.38</v>
      </c>
      <c r="K13" s="375">
        <f t="shared" si="2"/>
        <v>-148715373.94</v>
      </c>
      <c r="L13" s="350" t="s">
        <v>739</v>
      </c>
    </row>
    <row r="14" spans="2:12">
      <c r="B14" s="374">
        <v>202511</v>
      </c>
      <c r="C14" s="378">
        <v>1636122166.6199999</v>
      </c>
      <c r="D14" s="378">
        <v>1352940392.1400001</v>
      </c>
      <c r="E14" s="378">
        <v>125907666.86</v>
      </c>
      <c r="F14" s="378">
        <v>125512562.97</v>
      </c>
      <c r="G14" s="378">
        <v>-22711643.440000001</v>
      </c>
      <c r="H14" s="378">
        <v>-22711643.440000001</v>
      </c>
      <c r="I14" s="375">
        <f t="shared" si="0"/>
        <v>1739318190.04</v>
      </c>
      <c r="J14" s="375">
        <f t="shared" si="1"/>
        <v>1455741311.6700001</v>
      </c>
      <c r="K14" s="375">
        <f t="shared" si="2"/>
        <v>283576878.37</v>
      </c>
      <c r="L14" s="350" t="s">
        <v>740</v>
      </c>
    </row>
    <row r="15" spans="2:12">
      <c r="B15" s="374">
        <v>202512</v>
      </c>
      <c r="C15" s="378">
        <v>2945954207.0043702</v>
      </c>
      <c r="D15" s="378">
        <v>2945954207.0043702</v>
      </c>
      <c r="E15" s="378">
        <v>789977951.03999996</v>
      </c>
      <c r="F15" s="378">
        <v>789977951.03999996</v>
      </c>
      <c r="G15" s="378">
        <v>178790691.29620299</v>
      </c>
      <c r="H15" s="378">
        <v>178790691.29620299</v>
      </c>
      <c r="I15" s="375">
        <f t="shared" si="0"/>
        <v>3914722849.34057</v>
      </c>
      <c r="J15" s="375">
        <f t="shared" si="1"/>
        <v>3914722849.34057</v>
      </c>
      <c r="K15" s="375">
        <f t="shared" si="2"/>
        <v>0</v>
      </c>
      <c r="L15" s="350"/>
    </row>
  </sheetData>
  <mergeCells count="7">
    <mergeCell ref="B2:B3"/>
    <mergeCell ref="K2:K3"/>
    <mergeCell ref="L2:L3"/>
    <mergeCell ref="C2:D2"/>
    <mergeCell ref="E2:F2"/>
    <mergeCell ref="G2:H2"/>
    <mergeCell ref="I2:J2"/>
  </mergeCells>
  <phoneticPr fontId="8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38"/>
  <sheetViews>
    <sheetView topLeftCell="B502" zoomScale="85" zoomScaleNormal="85" workbookViewId="0">
      <selection activeCell="T519" sqref="T519"/>
    </sheetView>
  </sheetViews>
  <sheetFormatPr defaultColWidth="9" defaultRowHeight="14.25"/>
  <cols>
    <col min="1" max="1" width="1.75" hidden="1" customWidth="1"/>
    <col min="2" max="2" width="20.5" customWidth="1"/>
    <col min="3" max="3" width="3.5" customWidth="1"/>
    <col min="4" max="5" width="20.75" customWidth="1"/>
    <col min="6" max="6" width="22.875" customWidth="1"/>
    <col min="7" max="7" width="3.625" customWidth="1"/>
    <col min="8" max="9" width="20.5" customWidth="1"/>
    <col min="11" max="11" width="11.875" customWidth="1"/>
    <col min="12" max="12" width="13.75" customWidth="1"/>
  </cols>
  <sheetData>
    <row r="1" spans="1:9" ht="14.25" customHeight="1">
      <c r="A1" s="332"/>
      <c r="B1" s="333" t="s">
        <v>741</v>
      </c>
    </row>
    <row r="2" spans="1:9" ht="14.25" customHeight="1">
      <c r="A2" s="332"/>
      <c r="B2" s="333" t="s">
        <v>742</v>
      </c>
      <c r="C2" s="362"/>
      <c r="F2" s="332"/>
      <c r="G2" s="362"/>
    </row>
    <row r="3" spans="1:9" ht="14.25" customHeight="1">
      <c r="A3" s="332"/>
      <c r="B3" s="333" t="s">
        <v>743</v>
      </c>
      <c r="C3" s="362"/>
      <c r="F3" s="332"/>
      <c r="G3" s="362"/>
    </row>
    <row r="4" spans="1:9" ht="15" customHeight="1">
      <c r="B4" s="336" t="s">
        <v>744</v>
      </c>
      <c r="C4" s="336" t="s">
        <v>745</v>
      </c>
      <c r="D4" s="336" t="s">
        <v>746</v>
      </c>
      <c r="E4" s="336" t="s">
        <v>747</v>
      </c>
      <c r="F4" s="336" t="s">
        <v>744</v>
      </c>
      <c r="G4" s="336" t="s">
        <v>745</v>
      </c>
      <c r="H4" s="336" t="s">
        <v>746</v>
      </c>
      <c r="I4" s="336" t="s">
        <v>747</v>
      </c>
    </row>
    <row r="5" spans="1:9" ht="15" customHeight="1">
      <c r="B5" s="363" t="s">
        <v>748</v>
      </c>
      <c r="C5" s="364">
        <v>1</v>
      </c>
      <c r="D5" s="365"/>
      <c r="E5" s="365"/>
      <c r="F5" s="363" t="s">
        <v>749</v>
      </c>
      <c r="G5" s="364"/>
      <c r="H5" s="366"/>
      <c r="I5" s="366"/>
    </row>
    <row r="6" spans="1:9" ht="15" customHeight="1">
      <c r="B6" s="363" t="s">
        <v>750</v>
      </c>
      <c r="C6" s="364">
        <v>2</v>
      </c>
      <c r="D6" s="351">
        <v>667764079.75</v>
      </c>
      <c r="E6" s="351">
        <v>638023360.38999999</v>
      </c>
      <c r="F6" s="363" t="s">
        <v>751</v>
      </c>
      <c r="G6" s="364">
        <v>50</v>
      </c>
      <c r="H6" s="351">
        <v>0</v>
      </c>
      <c r="I6" s="351">
        <v>0</v>
      </c>
    </row>
    <row r="7" spans="1:9" ht="15" customHeight="1">
      <c r="B7" s="363" t="s">
        <v>752</v>
      </c>
      <c r="C7" s="364">
        <v>3</v>
      </c>
      <c r="D7" s="351">
        <v>0</v>
      </c>
      <c r="E7" s="351">
        <v>0</v>
      </c>
      <c r="F7" s="363" t="s">
        <v>753</v>
      </c>
      <c r="G7" s="364">
        <v>51</v>
      </c>
      <c r="H7" s="351">
        <v>0</v>
      </c>
      <c r="I7" s="351">
        <v>0</v>
      </c>
    </row>
    <row r="8" spans="1:9" ht="15" customHeight="1">
      <c r="B8" s="363" t="s">
        <v>754</v>
      </c>
      <c r="C8" s="364">
        <v>4</v>
      </c>
      <c r="D8" s="351">
        <v>0</v>
      </c>
      <c r="E8" s="351">
        <v>0</v>
      </c>
      <c r="F8" s="363" t="s">
        <v>755</v>
      </c>
      <c r="G8" s="364">
        <v>52</v>
      </c>
      <c r="H8" s="351">
        <v>933401278.95000005</v>
      </c>
      <c r="I8" s="351">
        <v>804780291.46000004</v>
      </c>
    </row>
    <row r="9" spans="1:9" ht="15" customHeight="1">
      <c r="B9" s="363" t="s">
        <v>756</v>
      </c>
      <c r="C9" s="364">
        <v>5</v>
      </c>
      <c r="D9" s="351">
        <v>0</v>
      </c>
      <c r="E9" s="351">
        <v>0</v>
      </c>
      <c r="F9" s="363" t="s">
        <v>757</v>
      </c>
      <c r="G9" s="364">
        <v>53</v>
      </c>
      <c r="H9" s="351">
        <v>2916588612.5300002</v>
      </c>
      <c r="I9" s="351">
        <v>3071405940.5999999</v>
      </c>
    </row>
    <row r="10" spans="1:9" ht="15" customHeight="1">
      <c r="B10" s="363" t="s">
        <v>758</v>
      </c>
      <c r="C10" s="364">
        <v>6</v>
      </c>
      <c r="D10" s="351">
        <v>1548340442.6800001</v>
      </c>
      <c r="E10" s="351">
        <v>1722015325.01</v>
      </c>
      <c r="F10" s="363" t="s">
        <v>759</v>
      </c>
      <c r="G10" s="364">
        <v>54</v>
      </c>
      <c r="H10" s="351">
        <v>1313529238.95</v>
      </c>
      <c r="I10" s="351">
        <v>1095563783.8499999</v>
      </c>
    </row>
    <row r="11" spans="1:9" ht="15" customHeight="1">
      <c r="B11" s="363" t="s">
        <v>760</v>
      </c>
      <c r="C11" s="364">
        <v>7</v>
      </c>
      <c r="D11" s="351">
        <v>11879165.17</v>
      </c>
      <c r="E11" s="351">
        <v>4223346.45</v>
      </c>
      <c r="F11" s="363" t="s">
        <v>761</v>
      </c>
      <c r="G11" s="364">
        <v>55</v>
      </c>
      <c r="H11" s="351">
        <v>0</v>
      </c>
      <c r="I11" s="351">
        <v>0</v>
      </c>
    </row>
    <row r="12" spans="1:9" ht="15" customHeight="1">
      <c r="B12" s="363" t="s">
        <v>762</v>
      </c>
      <c r="C12" s="364">
        <v>8</v>
      </c>
      <c r="D12" s="351">
        <v>537236517.14999998</v>
      </c>
      <c r="E12" s="351">
        <v>582115508.10000002</v>
      </c>
      <c r="F12" s="363" t="s">
        <v>763</v>
      </c>
      <c r="G12" s="364">
        <v>56</v>
      </c>
      <c r="H12" s="351">
        <v>0</v>
      </c>
      <c r="I12" s="351">
        <v>746868.71</v>
      </c>
    </row>
    <row r="13" spans="1:9" ht="15" customHeight="1">
      <c r="B13" s="363" t="s">
        <v>764</v>
      </c>
      <c r="C13" s="364">
        <v>9</v>
      </c>
      <c r="D13" s="351">
        <v>0</v>
      </c>
      <c r="E13" s="351">
        <v>0</v>
      </c>
      <c r="F13" s="363" t="s">
        <v>765</v>
      </c>
      <c r="G13" s="364">
        <v>57</v>
      </c>
      <c r="H13" s="351">
        <v>457545690.73000002</v>
      </c>
      <c r="I13" s="351">
        <v>-17520477.199999999</v>
      </c>
    </row>
    <row r="14" spans="1:9" ht="15" customHeight="1">
      <c r="B14" s="363" t="s">
        <v>766</v>
      </c>
      <c r="C14" s="364">
        <v>10</v>
      </c>
      <c r="D14" s="351">
        <v>0</v>
      </c>
      <c r="E14" s="351">
        <v>0</v>
      </c>
      <c r="F14" s="363" t="s">
        <v>767</v>
      </c>
      <c r="G14" s="364">
        <v>58</v>
      </c>
      <c r="H14" s="351">
        <v>0</v>
      </c>
      <c r="I14" s="351">
        <v>0</v>
      </c>
    </row>
    <row r="15" spans="1:9" ht="15" customHeight="1">
      <c r="B15" s="363" t="s">
        <v>768</v>
      </c>
      <c r="C15" s="364">
        <v>11</v>
      </c>
      <c r="D15" s="351">
        <v>5199673847.3800001</v>
      </c>
      <c r="E15" s="351">
        <v>4425651051.04</v>
      </c>
      <c r="F15" s="363"/>
      <c r="G15" s="364">
        <v>59</v>
      </c>
      <c r="H15" s="351"/>
      <c r="I15" s="351"/>
    </row>
    <row r="16" spans="1:9" ht="15" customHeight="1">
      <c r="B16" s="363" t="s">
        <v>769</v>
      </c>
      <c r="C16" s="364">
        <v>12</v>
      </c>
      <c r="D16" s="351">
        <v>142855959.19</v>
      </c>
      <c r="E16" s="351">
        <v>152243295.47999999</v>
      </c>
      <c r="F16" s="363" t="s">
        <v>770</v>
      </c>
      <c r="G16" s="364">
        <v>60</v>
      </c>
      <c r="H16" s="351">
        <v>0</v>
      </c>
      <c r="I16" s="351">
        <v>0</v>
      </c>
    </row>
    <row r="17" spans="2:12" ht="15" customHeight="1">
      <c r="B17" s="363" t="s">
        <v>771</v>
      </c>
      <c r="C17" s="364">
        <v>13</v>
      </c>
      <c r="D17" s="351">
        <v>0</v>
      </c>
      <c r="E17" s="351">
        <v>0</v>
      </c>
      <c r="F17" s="363" t="s">
        <v>772</v>
      </c>
      <c r="G17" s="364">
        <v>61</v>
      </c>
      <c r="H17" s="351">
        <v>44765.2</v>
      </c>
      <c r="I17" s="351">
        <v>0</v>
      </c>
    </row>
    <row r="18" spans="2:12" ht="15" customHeight="1">
      <c r="B18" s="363" t="s">
        <v>773</v>
      </c>
      <c r="C18" s="364">
        <v>14</v>
      </c>
      <c r="D18" s="351">
        <v>0</v>
      </c>
      <c r="E18" s="351">
        <v>0</v>
      </c>
      <c r="F18" s="363" t="s">
        <v>774</v>
      </c>
      <c r="G18" s="364">
        <v>62</v>
      </c>
      <c r="H18" s="351">
        <v>0</v>
      </c>
      <c r="I18" s="351">
        <v>0</v>
      </c>
    </row>
    <row r="19" spans="2:12" ht="15" customHeight="1">
      <c r="B19" s="363" t="s">
        <v>775</v>
      </c>
      <c r="C19" s="364">
        <v>15</v>
      </c>
      <c r="D19" s="351">
        <v>1200068.58</v>
      </c>
      <c r="E19" s="351">
        <v>4533998.7699999996</v>
      </c>
      <c r="F19" s="363" t="s">
        <v>776</v>
      </c>
      <c r="G19" s="364">
        <v>63</v>
      </c>
      <c r="H19" s="351">
        <v>0</v>
      </c>
      <c r="I19" s="351">
        <v>0</v>
      </c>
    </row>
    <row r="20" spans="2:12" ht="15" customHeight="1">
      <c r="B20" s="363" t="s">
        <v>777</v>
      </c>
      <c r="C20" s="364">
        <v>16</v>
      </c>
      <c r="D20" s="351">
        <v>8108950079.8999996</v>
      </c>
      <c r="E20" s="351">
        <v>7528805885.2399998</v>
      </c>
      <c r="F20" s="363" t="s">
        <v>778</v>
      </c>
      <c r="G20" s="364">
        <v>64</v>
      </c>
      <c r="H20" s="351">
        <v>0</v>
      </c>
      <c r="I20" s="351">
        <v>0</v>
      </c>
    </row>
    <row r="21" spans="2:12" ht="15" customHeight="1">
      <c r="B21" s="363" t="s">
        <v>779</v>
      </c>
      <c r="C21" s="364">
        <v>17</v>
      </c>
      <c r="D21" s="351"/>
      <c r="E21" s="351"/>
      <c r="F21" s="363" t="s">
        <v>780</v>
      </c>
      <c r="G21" s="364">
        <v>65</v>
      </c>
      <c r="H21" s="351">
        <v>5621109586.3599997</v>
      </c>
      <c r="I21" s="351">
        <v>4954976407.4200001</v>
      </c>
      <c r="L21">
        <v>17132484.460000001</v>
      </c>
    </row>
    <row r="22" spans="2:12" ht="15" customHeight="1">
      <c r="B22" s="363" t="s">
        <v>781</v>
      </c>
      <c r="C22" s="364">
        <v>18</v>
      </c>
      <c r="D22" s="351">
        <v>0</v>
      </c>
      <c r="E22" s="351">
        <v>0</v>
      </c>
      <c r="F22" s="363" t="s">
        <v>782</v>
      </c>
      <c r="G22" s="364">
        <v>66</v>
      </c>
      <c r="H22" s="351"/>
      <c r="I22" s="351"/>
    </row>
    <row r="23" spans="2:12" ht="15" customHeight="1">
      <c r="B23" s="363" t="s">
        <v>783</v>
      </c>
      <c r="C23" s="364">
        <v>19</v>
      </c>
      <c r="D23" s="351">
        <v>0</v>
      </c>
      <c r="E23" s="351">
        <v>0</v>
      </c>
      <c r="F23" s="363" t="s">
        <v>784</v>
      </c>
      <c r="G23" s="364">
        <v>67</v>
      </c>
      <c r="H23" s="351">
        <v>0</v>
      </c>
      <c r="I23" s="351">
        <v>0</v>
      </c>
    </row>
    <row r="24" spans="2:12" ht="15" customHeight="1">
      <c r="B24" s="363" t="s">
        <v>785</v>
      </c>
      <c r="C24" s="364">
        <v>20</v>
      </c>
      <c r="D24" s="351">
        <v>0</v>
      </c>
      <c r="E24" s="351">
        <v>0</v>
      </c>
      <c r="F24" s="363" t="s">
        <v>786</v>
      </c>
      <c r="G24" s="364">
        <v>68</v>
      </c>
      <c r="H24" s="351">
        <v>0</v>
      </c>
      <c r="I24" s="351">
        <v>0</v>
      </c>
    </row>
    <row r="25" spans="2:12" ht="15" customHeight="1">
      <c r="B25" s="363" t="s">
        <v>787</v>
      </c>
      <c r="C25" s="364">
        <v>21</v>
      </c>
      <c r="D25" s="351">
        <v>23000</v>
      </c>
      <c r="E25" s="351">
        <v>23000</v>
      </c>
      <c r="F25" s="363" t="s">
        <v>788</v>
      </c>
      <c r="G25" s="364">
        <v>69</v>
      </c>
      <c r="H25" s="351">
        <v>0</v>
      </c>
      <c r="I25" s="351">
        <v>0</v>
      </c>
    </row>
    <row r="26" spans="2:12" ht="15" customHeight="1">
      <c r="B26" s="363" t="s">
        <v>789</v>
      </c>
      <c r="C26" s="364">
        <v>22</v>
      </c>
      <c r="D26" s="351">
        <v>0</v>
      </c>
      <c r="E26" s="351">
        <v>0</v>
      </c>
      <c r="F26" s="363" t="s">
        <v>790</v>
      </c>
      <c r="G26" s="364">
        <v>70</v>
      </c>
      <c r="H26" s="351">
        <v>0</v>
      </c>
      <c r="I26" s="351">
        <v>0</v>
      </c>
    </row>
    <row r="27" spans="2:12" ht="15" customHeight="1">
      <c r="B27" s="363" t="s">
        <v>791</v>
      </c>
      <c r="C27" s="364">
        <v>23</v>
      </c>
      <c r="D27" s="351">
        <v>0</v>
      </c>
      <c r="E27" s="351">
        <v>0</v>
      </c>
      <c r="F27" s="363" t="s">
        <v>792</v>
      </c>
      <c r="G27" s="364">
        <v>71</v>
      </c>
      <c r="H27" s="351">
        <v>0</v>
      </c>
      <c r="I27" s="351">
        <v>0</v>
      </c>
    </row>
    <row r="28" spans="2:12" ht="15" customHeight="1">
      <c r="B28" s="363" t="s">
        <v>793</v>
      </c>
      <c r="C28" s="364">
        <v>24</v>
      </c>
      <c r="D28" s="351">
        <v>0</v>
      </c>
      <c r="E28" s="351">
        <v>0</v>
      </c>
      <c r="F28" s="363" t="s">
        <v>794</v>
      </c>
      <c r="G28" s="364">
        <v>72</v>
      </c>
      <c r="H28" s="351">
        <v>0</v>
      </c>
      <c r="I28" s="351">
        <v>0</v>
      </c>
    </row>
    <row r="29" spans="2:12" ht="15" customHeight="1">
      <c r="B29" s="363" t="s">
        <v>795</v>
      </c>
      <c r="C29" s="364">
        <v>25</v>
      </c>
      <c r="D29" s="351">
        <v>0</v>
      </c>
      <c r="E29" s="351">
        <v>0</v>
      </c>
      <c r="F29" s="363" t="s">
        <v>796</v>
      </c>
      <c r="G29" s="364">
        <v>73</v>
      </c>
      <c r="H29" s="351">
        <v>0</v>
      </c>
      <c r="I29" s="351">
        <v>0</v>
      </c>
    </row>
    <row r="30" spans="2:12" ht="15" customHeight="1">
      <c r="B30" s="363" t="s">
        <v>797</v>
      </c>
      <c r="C30" s="364">
        <v>26</v>
      </c>
      <c r="D30" s="351">
        <v>0</v>
      </c>
      <c r="E30" s="351">
        <v>0</v>
      </c>
      <c r="F30" s="363" t="s">
        <v>798</v>
      </c>
      <c r="G30" s="364">
        <v>74</v>
      </c>
      <c r="H30" s="351">
        <v>0</v>
      </c>
      <c r="I30" s="351">
        <v>0</v>
      </c>
    </row>
    <row r="31" spans="2:12" ht="15" customHeight="1">
      <c r="B31" s="363" t="s">
        <v>799</v>
      </c>
      <c r="C31" s="364">
        <v>27</v>
      </c>
      <c r="D31" s="351">
        <v>0</v>
      </c>
      <c r="E31" s="351">
        <v>0</v>
      </c>
      <c r="F31" s="363" t="s">
        <v>800</v>
      </c>
      <c r="G31" s="364">
        <v>75</v>
      </c>
      <c r="H31" s="351">
        <v>0</v>
      </c>
      <c r="I31" s="351">
        <v>0</v>
      </c>
    </row>
    <row r="32" spans="2:12" ht="15" customHeight="1">
      <c r="B32" s="363" t="s">
        <v>801</v>
      </c>
      <c r="C32" s="364">
        <v>28</v>
      </c>
      <c r="D32" s="351">
        <v>0</v>
      </c>
      <c r="E32" s="351">
        <v>0</v>
      </c>
      <c r="F32" s="363"/>
      <c r="G32" s="364">
        <v>76</v>
      </c>
      <c r="H32" s="351"/>
      <c r="I32" s="351"/>
    </row>
    <row r="33" spans="2:9" ht="15" customHeight="1">
      <c r="B33" s="363" t="s">
        <v>802</v>
      </c>
      <c r="C33" s="364">
        <v>29</v>
      </c>
      <c r="D33" s="351">
        <v>0</v>
      </c>
      <c r="E33" s="351">
        <v>0</v>
      </c>
      <c r="F33" s="363"/>
      <c r="G33" s="364">
        <v>77</v>
      </c>
      <c r="H33" s="351"/>
      <c r="I33" s="351"/>
    </row>
    <row r="34" spans="2:9" ht="15" customHeight="1">
      <c r="B34" s="363" t="s">
        <v>803</v>
      </c>
      <c r="C34" s="364">
        <v>30</v>
      </c>
      <c r="D34" s="351">
        <v>0</v>
      </c>
      <c r="E34" s="351">
        <v>0</v>
      </c>
      <c r="F34" s="363" t="s">
        <v>804</v>
      </c>
      <c r="G34" s="364">
        <v>78</v>
      </c>
      <c r="H34" s="351">
        <v>5621109586.3599997</v>
      </c>
      <c r="I34" s="351">
        <v>4954976407.4200001</v>
      </c>
    </row>
    <row r="35" spans="2:9" ht="15" customHeight="1">
      <c r="B35" s="363" t="s">
        <v>805</v>
      </c>
      <c r="C35" s="364">
        <v>31</v>
      </c>
      <c r="D35" s="351">
        <v>0</v>
      </c>
      <c r="E35" s="351">
        <v>0</v>
      </c>
      <c r="F35" s="363"/>
      <c r="G35" s="364">
        <v>79</v>
      </c>
      <c r="H35" s="351"/>
      <c r="I35" s="351"/>
    </row>
    <row r="36" spans="2:9" ht="15" customHeight="1">
      <c r="B36" s="363" t="s">
        <v>806</v>
      </c>
      <c r="C36" s="364">
        <v>32</v>
      </c>
      <c r="D36" s="351">
        <v>0</v>
      </c>
      <c r="E36" s="351">
        <v>0</v>
      </c>
      <c r="F36" s="363" t="s">
        <v>807</v>
      </c>
      <c r="G36" s="364">
        <v>80</v>
      </c>
      <c r="H36" s="351"/>
      <c r="I36" s="351"/>
    </row>
    <row r="37" spans="2:9" ht="15" customHeight="1">
      <c r="B37" s="363" t="s">
        <v>808</v>
      </c>
      <c r="C37" s="364">
        <v>33</v>
      </c>
      <c r="D37" s="351">
        <v>0</v>
      </c>
      <c r="E37" s="351">
        <v>0</v>
      </c>
      <c r="F37" s="363" t="s">
        <v>809</v>
      </c>
      <c r="G37" s="364">
        <v>81</v>
      </c>
      <c r="H37" s="351">
        <v>445000000</v>
      </c>
      <c r="I37" s="351">
        <v>445000000</v>
      </c>
    </row>
    <row r="38" spans="2:9" ht="15" customHeight="1">
      <c r="B38" s="363" t="s">
        <v>810</v>
      </c>
      <c r="C38" s="364">
        <v>34</v>
      </c>
      <c r="D38" s="351">
        <v>0</v>
      </c>
      <c r="E38" s="351">
        <v>0</v>
      </c>
      <c r="F38" s="363" t="s">
        <v>811</v>
      </c>
      <c r="G38" s="364">
        <v>82</v>
      </c>
      <c r="H38" s="351">
        <v>0</v>
      </c>
      <c r="I38" s="351">
        <v>0</v>
      </c>
    </row>
    <row r="39" spans="2:9" ht="15" customHeight="1">
      <c r="B39" s="363" t="s">
        <v>812</v>
      </c>
      <c r="C39" s="364">
        <v>35</v>
      </c>
      <c r="D39" s="351">
        <v>0</v>
      </c>
      <c r="E39" s="351">
        <v>0</v>
      </c>
      <c r="F39" s="363" t="s">
        <v>813</v>
      </c>
      <c r="G39" s="364">
        <v>83</v>
      </c>
      <c r="H39" s="351">
        <v>232998503.56999999</v>
      </c>
      <c r="I39" s="351">
        <v>232998503.56999999</v>
      </c>
    </row>
    <row r="40" spans="2:9" ht="15" customHeight="1">
      <c r="B40" s="363" t="s">
        <v>814</v>
      </c>
      <c r="C40" s="364">
        <v>36</v>
      </c>
      <c r="D40" s="351">
        <v>129284136.05</v>
      </c>
      <c r="E40" s="351">
        <v>129284136.05</v>
      </c>
      <c r="F40" s="363" t="s">
        <v>815</v>
      </c>
      <c r="G40" s="364">
        <v>84</v>
      </c>
      <c r="H40" s="351">
        <v>0</v>
      </c>
      <c r="I40" s="351">
        <v>0</v>
      </c>
    </row>
    <row r="41" spans="2:9" ht="15" customHeight="1">
      <c r="B41" s="363" t="s">
        <v>816</v>
      </c>
      <c r="C41" s="364">
        <v>37</v>
      </c>
      <c r="D41" s="351">
        <v>1738000</v>
      </c>
      <c r="E41" s="351">
        <v>0</v>
      </c>
      <c r="F41" s="363" t="s">
        <v>817</v>
      </c>
      <c r="G41" s="364">
        <v>85</v>
      </c>
      <c r="H41" s="351">
        <v>1940887126.02</v>
      </c>
      <c r="I41" s="351">
        <v>2025138110.3</v>
      </c>
    </row>
    <row r="42" spans="2:9" ht="15" customHeight="1">
      <c r="B42" s="363" t="s">
        <v>818</v>
      </c>
      <c r="C42" s="364">
        <v>38</v>
      </c>
      <c r="D42" s="351">
        <v>131045136.05</v>
      </c>
      <c r="E42" s="351">
        <v>129307136.05</v>
      </c>
      <c r="F42" s="363" t="s">
        <v>819</v>
      </c>
      <c r="G42" s="364">
        <v>86</v>
      </c>
      <c r="H42" s="351">
        <v>2618885629.5900002</v>
      </c>
      <c r="I42" s="351">
        <v>2703136613.8699999</v>
      </c>
    </row>
    <row r="43" spans="2:9" ht="15" customHeight="1">
      <c r="B43" s="363" t="s">
        <v>820</v>
      </c>
      <c r="C43" s="364">
        <v>39</v>
      </c>
      <c r="D43" s="351">
        <v>8239995215.9499998</v>
      </c>
      <c r="E43" s="351">
        <v>7658113021.29</v>
      </c>
      <c r="F43" s="363" t="s">
        <v>821</v>
      </c>
      <c r="G43" s="364">
        <v>87</v>
      </c>
      <c r="H43" s="351">
        <v>8239995215.9499998</v>
      </c>
      <c r="I43" s="351">
        <v>7658113021.29</v>
      </c>
    </row>
    <row r="44" spans="2:9" ht="14.25" customHeight="1">
      <c r="H44" s="367"/>
      <c r="I44" s="367"/>
    </row>
    <row r="46" spans="2:9" ht="16.5">
      <c r="B46" s="333" t="s">
        <v>741</v>
      </c>
    </row>
    <row r="47" spans="2:9" ht="16.5">
      <c r="B47" s="333" t="s">
        <v>742</v>
      </c>
      <c r="C47" s="362"/>
      <c r="F47" s="332"/>
      <c r="G47" s="362"/>
    </row>
    <row r="48" spans="2:9" ht="16.5">
      <c r="B48" s="333" t="s">
        <v>822</v>
      </c>
      <c r="C48" s="362"/>
      <c r="F48" s="332"/>
      <c r="G48" s="362"/>
    </row>
    <row r="49" spans="2:9" ht="16.5">
      <c r="B49" s="336" t="s">
        <v>744</v>
      </c>
      <c r="C49" s="336" t="s">
        <v>745</v>
      </c>
      <c r="D49" s="336" t="s">
        <v>746</v>
      </c>
      <c r="E49" s="336" t="s">
        <v>747</v>
      </c>
      <c r="F49" s="336" t="s">
        <v>744</v>
      </c>
      <c r="G49" s="336" t="s">
        <v>745</v>
      </c>
      <c r="H49" s="336" t="s">
        <v>746</v>
      </c>
      <c r="I49" s="336" t="s">
        <v>747</v>
      </c>
    </row>
    <row r="50" spans="2:9" ht="16.5">
      <c r="B50" s="363" t="s">
        <v>748</v>
      </c>
      <c r="C50" s="364">
        <v>1</v>
      </c>
      <c r="D50" s="365"/>
      <c r="E50" s="365"/>
      <c r="F50" s="363" t="s">
        <v>749</v>
      </c>
      <c r="G50" s="364"/>
      <c r="H50" s="366"/>
      <c r="I50" s="366"/>
    </row>
    <row r="51" spans="2:9" ht="16.5">
      <c r="B51" s="363" t="s">
        <v>750</v>
      </c>
      <c r="C51" s="364">
        <v>2</v>
      </c>
      <c r="D51" s="351">
        <v>667764079.75</v>
      </c>
      <c r="E51" s="351">
        <v>498873492.69</v>
      </c>
      <c r="F51" s="363" t="s">
        <v>751</v>
      </c>
      <c r="G51" s="364">
        <v>50</v>
      </c>
      <c r="H51" s="351">
        <v>0</v>
      </c>
      <c r="I51" s="351">
        <v>0</v>
      </c>
    </row>
    <row r="52" spans="2:9" ht="16.5">
      <c r="B52" s="363" t="s">
        <v>752</v>
      </c>
      <c r="C52" s="364">
        <v>3</v>
      </c>
      <c r="D52" s="351">
        <v>0</v>
      </c>
      <c r="E52" s="351">
        <v>0</v>
      </c>
      <c r="F52" s="363" t="s">
        <v>753</v>
      </c>
      <c r="G52" s="364">
        <v>51</v>
      </c>
      <c r="H52" s="351">
        <v>0</v>
      </c>
      <c r="I52" s="351">
        <v>0</v>
      </c>
    </row>
    <row r="53" spans="2:9" ht="16.5">
      <c r="B53" s="363" t="s">
        <v>754</v>
      </c>
      <c r="C53" s="364">
        <v>4</v>
      </c>
      <c r="D53" s="351">
        <v>0</v>
      </c>
      <c r="E53" s="351">
        <v>0</v>
      </c>
      <c r="F53" s="363" t="s">
        <v>755</v>
      </c>
      <c r="G53" s="364">
        <v>52</v>
      </c>
      <c r="H53" s="351">
        <v>933401278.95000005</v>
      </c>
      <c r="I53" s="351">
        <v>730352861.74000001</v>
      </c>
    </row>
    <row r="54" spans="2:9" ht="16.5">
      <c r="B54" s="363" t="s">
        <v>756</v>
      </c>
      <c r="C54" s="364">
        <v>5</v>
      </c>
      <c r="D54" s="351">
        <v>0</v>
      </c>
      <c r="E54" s="351">
        <v>0</v>
      </c>
      <c r="F54" s="363" t="s">
        <v>757</v>
      </c>
      <c r="G54" s="364">
        <v>53</v>
      </c>
      <c r="H54" s="351">
        <v>2916588612.5300002</v>
      </c>
      <c r="I54" s="351">
        <v>3223000200.6700001</v>
      </c>
    </row>
    <row r="55" spans="2:9" ht="16.5">
      <c r="B55" s="363" t="s">
        <v>758</v>
      </c>
      <c r="C55" s="364">
        <v>6</v>
      </c>
      <c r="D55" s="351">
        <v>1548340442.6800001</v>
      </c>
      <c r="E55" s="351">
        <v>2113884689.96</v>
      </c>
      <c r="F55" s="363" t="s">
        <v>759</v>
      </c>
      <c r="G55" s="364">
        <v>54</v>
      </c>
      <c r="H55" s="351">
        <v>1313529238.95</v>
      </c>
      <c r="I55" s="351">
        <v>1078964340.6900001</v>
      </c>
    </row>
    <row r="56" spans="2:9" ht="16.5">
      <c r="B56" s="363" t="s">
        <v>760</v>
      </c>
      <c r="C56" s="364">
        <v>7</v>
      </c>
      <c r="D56" s="351">
        <v>11879165.17</v>
      </c>
      <c r="E56" s="351">
        <v>3785718.43</v>
      </c>
      <c r="F56" s="363" t="s">
        <v>761</v>
      </c>
      <c r="G56" s="364">
        <v>55</v>
      </c>
      <c r="H56" s="351">
        <v>0</v>
      </c>
      <c r="I56" s="351">
        <v>0</v>
      </c>
    </row>
    <row r="57" spans="2:9" ht="16.5">
      <c r="B57" s="363" t="s">
        <v>762</v>
      </c>
      <c r="C57" s="364">
        <v>8</v>
      </c>
      <c r="D57" s="351">
        <v>537236517.14999998</v>
      </c>
      <c r="E57" s="351">
        <v>430763087.56999999</v>
      </c>
      <c r="F57" s="363" t="s">
        <v>763</v>
      </c>
      <c r="G57" s="364">
        <v>56</v>
      </c>
      <c r="H57" s="351">
        <v>0</v>
      </c>
      <c r="I57" s="351">
        <v>775097.61</v>
      </c>
    </row>
    <row r="58" spans="2:9" ht="16.5">
      <c r="B58" s="363" t="s">
        <v>764</v>
      </c>
      <c r="C58" s="364">
        <v>9</v>
      </c>
      <c r="D58" s="351">
        <v>0</v>
      </c>
      <c r="E58" s="351">
        <v>0</v>
      </c>
      <c r="F58" s="363" t="s">
        <v>765</v>
      </c>
      <c r="G58" s="364">
        <v>57</v>
      </c>
      <c r="H58" s="351">
        <v>457545690.73000002</v>
      </c>
      <c r="I58" s="351">
        <v>-32961730.760000002</v>
      </c>
    </row>
    <row r="59" spans="2:9" ht="16.5">
      <c r="B59" s="363" t="s">
        <v>766</v>
      </c>
      <c r="C59" s="364">
        <v>10</v>
      </c>
      <c r="D59" s="351">
        <v>0</v>
      </c>
      <c r="E59" s="351">
        <v>0</v>
      </c>
      <c r="F59" s="363" t="s">
        <v>767</v>
      </c>
      <c r="G59" s="364">
        <v>58</v>
      </c>
      <c r="H59" s="351">
        <v>0</v>
      </c>
      <c r="I59" s="351">
        <v>0</v>
      </c>
    </row>
    <row r="60" spans="2:9" ht="16.5">
      <c r="B60" s="363" t="s">
        <v>768</v>
      </c>
      <c r="C60" s="364">
        <v>11</v>
      </c>
      <c r="D60" s="351">
        <v>5199673847.3800001</v>
      </c>
      <c r="E60" s="351">
        <v>4382697674.3999996</v>
      </c>
      <c r="F60" s="363"/>
      <c r="G60" s="364">
        <v>59</v>
      </c>
      <c r="H60" s="351"/>
      <c r="I60" s="351"/>
    </row>
    <row r="61" spans="2:9" ht="16.5">
      <c r="B61" s="363" t="s">
        <v>769</v>
      </c>
      <c r="C61" s="364">
        <v>12</v>
      </c>
      <c r="D61" s="351">
        <v>142855959.19</v>
      </c>
      <c r="E61" s="351">
        <v>151246001.78999999</v>
      </c>
      <c r="F61" s="363" t="s">
        <v>770</v>
      </c>
      <c r="G61" s="364">
        <v>60</v>
      </c>
      <c r="H61" s="351">
        <v>0</v>
      </c>
      <c r="I61" s="351">
        <v>0</v>
      </c>
    </row>
    <row r="62" spans="2:9" ht="16.5">
      <c r="B62" s="363" t="s">
        <v>771</v>
      </c>
      <c r="C62" s="364">
        <v>13</v>
      </c>
      <c r="D62" s="351">
        <v>0</v>
      </c>
      <c r="E62" s="351">
        <v>0</v>
      </c>
      <c r="F62" s="363" t="s">
        <v>772</v>
      </c>
      <c r="G62" s="364">
        <v>61</v>
      </c>
      <c r="H62" s="351">
        <v>44765.2</v>
      </c>
      <c r="I62" s="351">
        <v>0</v>
      </c>
    </row>
    <row r="63" spans="2:9" ht="16.5">
      <c r="B63" s="363" t="s">
        <v>773</v>
      </c>
      <c r="C63" s="364">
        <v>14</v>
      </c>
      <c r="D63" s="351">
        <v>0</v>
      </c>
      <c r="E63" s="351">
        <v>0</v>
      </c>
      <c r="F63" s="363" t="s">
        <v>774</v>
      </c>
      <c r="G63" s="364">
        <v>62</v>
      </c>
      <c r="H63" s="351">
        <v>0</v>
      </c>
      <c r="I63" s="351">
        <v>0</v>
      </c>
    </row>
    <row r="64" spans="2:9" ht="16.5">
      <c r="B64" s="363" t="s">
        <v>775</v>
      </c>
      <c r="C64" s="364">
        <v>15</v>
      </c>
      <c r="D64" s="351">
        <v>1200068.58</v>
      </c>
      <c r="E64" s="351">
        <v>1041800.53</v>
      </c>
      <c r="F64" s="363" t="s">
        <v>776</v>
      </c>
      <c r="G64" s="364">
        <v>63</v>
      </c>
      <c r="H64" s="351">
        <v>0</v>
      </c>
      <c r="I64" s="351">
        <v>0</v>
      </c>
    </row>
    <row r="65" spans="2:12" ht="16.5">
      <c r="B65" s="363" t="s">
        <v>777</v>
      </c>
      <c r="C65" s="364">
        <v>16</v>
      </c>
      <c r="D65" s="351">
        <v>8108950079.8999996</v>
      </c>
      <c r="E65" s="351">
        <v>7582292465.3699999</v>
      </c>
      <c r="F65" s="363" t="s">
        <v>778</v>
      </c>
      <c r="G65" s="364">
        <v>64</v>
      </c>
      <c r="H65" s="351">
        <v>0</v>
      </c>
      <c r="I65" s="351">
        <v>0</v>
      </c>
      <c r="L65" s="59">
        <v>32119668.0579</v>
      </c>
    </row>
    <row r="66" spans="2:12" ht="16.5">
      <c r="B66" s="363" t="s">
        <v>779</v>
      </c>
      <c r="C66" s="364">
        <v>17</v>
      </c>
      <c r="D66" s="351"/>
      <c r="E66" s="351"/>
      <c r="F66" s="363" t="s">
        <v>780</v>
      </c>
      <c r="G66" s="364">
        <v>65</v>
      </c>
      <c r="H66" s="351">
        <v>5621109586.3599997</v>
      </c>
      <c r="I66" s="351">
        <v>5000130769.9499998</v>
      </c>
    </row>
    <row r="67" spans="2:12" ht="16.5">
      <c r="B67" s="363" t="s">
        <v>781</v>
      </c>
      <c r="C67" s="364">
        <v>18</v>
      </c>
      <c r="D67" s="351">
        <v>0</v>
      </c>
      <c r="E67" s="351">
        <v>0</v>
      </c>
      <c r="F67" s="363" t="s">
        <v>782</v>
      </c>
      <c r="G67" s="364">
        <v>66</v>
      </c>
      <c r="H67" s="351"/>
      <c r="I67" s="351"/>
    </row>
    <row r="68" spans="2:12" ht="16.5">
      <c r="B68" s="363" t="s">
        <v>783</v>
      </c>
      <c r="C68" s="364">
        <v>19</v>
      </c>
      <c r="D68" s="351">
        <v>0</v>
      </c>
      <c r="E68" s="351">
        <v>0</v>
      </c>
      <c r="F68" s="363" t="s">
        <v>784</v>
      </c>
      <c r="G68" s="364">
        <v>67</v>
      </c>
      <c r="H68" s="351">
        <v>0</v>
      </c>
      <c r="I68" s="351">
        <v>0</v>
      </c>
    </row>
    <row r="69" spans="2:12" ht="16.5">
      <c r="B69" s="363" t="s">
        <v>785</v>
      </c>
      <c r="C69" s="364">
        <v>20</v>
      </c>
      <c r="D69" s="351">
        <v>0</v>
      </c>
      <c r="E69" s="351">
        <v>0</v>
      </c>
      <c r="F69" s="363" t="s">
        <v>786</v>
      </c>
      <c r="G69" s="364">
        <v>68</v>
      </c>
      <c r="H69" s="351">
        <v>0</v>
      </c>
      <c r="I69" s="351">
        <v>0</v>
      </c>
    </row>
    <row r="70" spans="2:12" ht="16.5">
      <c r="B70" s="363" t="s">
        <v>787</v>
      </c>
      <c r="C70" s="364">
        <v>21</v>
      </c>
      <c r="D70" s="351">
        <v>23000</v>
      </c>
      <c r="E70" s="351">
        <v>23000</v>
      </c>
      <c r="F70" s="363" t="s">
        <v>788</v>
      </c>
      <c r="G70" s="364">
        <v>69</v>
      </c>
      <c r="H70" s="351">
        <v>0</v>
      </c>
      <c r="I70" s="351">
        <v>0</v>
      </c>
    </row>
    <row r="71" spans="2:12" ht="16.5">
      <c r="B71" s="363" t="s">
        <v>789</v>
      </c>
      <c r="C71" s="364">
        <v>22</v>
      </c>
      <c r="D71" s="351">
        <v>0</v>
      </c>
      <c r="E71" s="351">
        <v>0</v>
      </c>
      <c r="F71" s="363" t="s">
        <v>790</v>
      </c>
      <c r="G71" s="364">
        <v>70</v>
      </c>
      <c r="H71" s="351">
        <v>0</v>
      </c>
      <c r="I71" s="351">
        <v>0</v>
      </c>
    </row>
    <row r="72" spans="2:12" ht="16.5">
      <c r="B72" s="363" t="s">
        <v>791</v>
      </c>
      <c r="C72" s="364">
        <v>23</v>
      </c>
      <c r="D72" s="351">
        <v>0</v>
      </c>
      <c r="E72" s="351">
        <v>0</v>
      </c>
      <c r="F72" s="363" t="s">
        <v>792</v>
      </c>
      <c r="G72" s="364">
        <v>71</v>
      </c>
      <c r="H72" s="351">
        <v>0</v>
      </c>
      <c r="I72" s="351">
        <v>0</v>
      </c>
    </row>
    <row r="73" spans="2:12" ht="16.5">
      <c r="B73" s="363" t="s">
        <v>793</v>
      </c>
      <c r="C73" s="364">
        <v>24</v>
      </c>
      <c r="D73" s="351">
        <v>0</v>
      </c>
      <c r="E73" s="351">
        <v>0</v>
      </c>
      <c r="F73" s="363" t="s">
        <v>794</v>
      </c>
      <c r="G73" s="364">
        <v>72</v>
      </c>
      <c r="H73" s="351">
        <v>0</v>
      </c>
      <c r="I73" s="351">
        <v>0</v>
      </c>
    </row>
    <row r="74" spans="2:12" ht="16.5">
      <c r="B74" s="363" t="s">
        <v>795</v>
      </c>
      <c r="C74" s="364">
        <v>25</v>
      </c>
      <c r="D74" s="351">
        <v>0</v>
      </c>
      <c r="E74" s="351">
        <v>0</v>
      </c>
      <c r="F74" s="363" t="s">
        <v>796</v>
      </c>
      <c r="G74" s="364">
        <v>73</v>
      </c>
      <c r="H74" s="351">
        <v>0</v>
      </c>
      <c r="I74" s="351">
        <v>0</v>
      </c>
    </row>
    <row r="75" spans="2:12" ht="16.5">
      <c r="B75" s="363" t="s">
        <v>797</v>
      </c>
      <c r="C75" s="364">
        <v>26</v>
      </c>
      <c r="D75" s="351">
        <v>0</v>
      </c>
      <c r="E75" s="351">
        <v>0</v>
      </c>
      <c r="F75" s="363" t="s">
        <v>798</v>
      </c>
      <c r="G75" s="364">
        <v>74</v>
      </c>
      <c r="H75" s="351">
        <v>0</v>
      </c>
      <c r="I75" s="351">
        <v>0</v>
      </c>
    </row>
    <row r="76" spans="2:12" ht="16.5">
      <c r="B76" s="363" t="s">
        <v>799</v>
      </c>
      <c r="C76" s="364">
        <v>27</v>
      </c>
      <c r="D76" s="351">
        <v>0</v>
      </c>
      <c r="E76" s="351">
        <v>0</v>
      </c>
      <c r="F76" s="363" t="s">
        <v>800</v>
      </c>
      <c r="G76" s="364">
        <v>75</v>
      </c>
      <c r="H76" s="351">
        <v>0</v>
      </c>
      <c r="I76" s="351">
        <v>0</v>
      </c>
    </row>
    <row r="77" spans="2:12" ht="16.5">
      <c r="B77" s="363" t="s">
        <v>801</v>
      </c>
      <c r="C77" s="364">
        <v>28</v>
      </c>
      <c r="D77" s="351">
        <v>0</v>
      </c>
      <c r="E77" s="351">
        <v>0</v>
      </c>
      <c r="F77" s="363"/>
      <c r="G77" s="364">
        <v>76</v>
      </c>
      <c r="H77" s="351"/>
      <c r="I77" s="351"/>
    </row>
    <row r="78" spans="2:12" ht="16.5">
      <c r="B78" s="363" t="s">
        <v>802</v>
      </c>
      <c r="C78" s="364">
        <v>29</v>
      </c>
      <c r="D78" s="351">
        <v>0</v>
      </c>
      <c r="E78" s="351">
        <v>0</v>
      </c>
      <c r="F78" s="363"/>
      <c r="G78" s="364">
        <v>77</v>
      </c>
      <c r="H78" s="351"/>
      <c r="I78" s="351"/>
    </row>
    <row r="79" spans="2:12" ht="16.5">
      <c r="B79" s="363" t="s">
        <v>803</v>
      </c>
      <c r="C79" s="364">
        <v>30</v>
      </c>
      <c r="D79" s="351">
        <v>0</v>
      </c>
      <c r="E79" s="351">
        <v>0</v>
      </c>
      <c r="F79" s="363" t="s">
        <v>804</v>
      </c>
      <c r="G79" s="364">
        <v>78</v>
      </c>
      <c r="H79" s="351">
        <v>5621109586.3599997</v>
      </c>
      <c r="I79" s="351">
        <v>5000130769.9499998</v>
      </c>
    </row>
    <row r="80" spans="2:12" ht="16.5">
      <c r="B80" s="363" t="s">
        <v>805</v>
      </c>
      <c r="C80" s="364">
        <v>31</v>
      </c>
      <c r="D80" s="351">
        <v>0</v>
      </c>
      <c r="E80" s="351">
        <v>0</v>
      </c>
      <c r="F80" s="363"/>
      <c r="G80" s="364">
        <v>79</v>
      </c>
      <c r="H80" s="351"/>
      <c r="I80" s="351"/>
    </row>
    <row r="81" spans="2:9" ht="16.5">
      <c r="B81" s="363" t="s">
        <v>806</v>
      </c>
      <c r="C81" s="364">
        <v>32</v>
      </c>
      <c r="D81" s="351">
        <v>0</v>
      </c>
      <c r="E81" s="351">
        <v>0</v>
      </c>
      <c r="F81" s="363" t="s">
        <v>807</v>
      </c>
      <c r="G81" s="364">
        <v>80</v>
      </c>
      <c r="H81" s="351"/>
      <c r="I81" s="351"/>
    </row>
    <row r="82" spans="2:9" ht="16.5">
      <c r="B82" s="363" t="s">
        <v>808</v>
      </c>
      <c r="C82" s="364">
        <v>33</v>
      </c>
      <c r="D82" s="351">
        <v>0</v>
      </c>
      <c r="E82" s="351">
        <v>0</v>
      </c>
      <c r="F82" s="363" t="s">
        <v>809</v>
      </c>
      <c r="G82" s="364">
        <v>81</v>
      </c>
      <c r="H82" s="351">
        <v>445000000</v>
      </c>
      <c r="I82" s="351">
        <v>445000000</v>
      </c>
    </row>
    <row r="83" spans="2:9" ht="16.5">
      <c r="B83" s="363" t="s">
        <v>810</v>
      </c>
      <c r="C83" s="364">
        <v>34</v>
      </c>
      <c r="D83" s="351">
        <v>0</v>
      </c>
      <c r="E83" s="351">
        <v>0</v>
      </c>
      <c r="F83" s="363" t="s">
        <v>811</v>
      </c>
      <c r="G83" s="364">
        <v>82</v>
      </c>
      <c r="H83" s="351">
        <v>0</v>
      </c>
      <c r="I83" s="351">
        <v>0</v>
      </c>
    </row>
    <row r="84" spans="2:9" ht="16.5">
      <c r="B84" s="363" t="s">
        <v>812</v>
      </c>
      <c r="C84" s="364">
        <v>35</v>
      </c>
      <c r="D84" s="351">
        <v>0</v>
      </c>
      <c r="E84" s="351">
        <v>0</v>
      </c>
      <c r="F84" s="363" t="s">
        <v>813</v>
      </c>
      <c r="G84" s="364">
        <v>83</v>
      </c>
      <c r="H84" s="351">
        <v>232998503.56999999</v>
      </c>
      <c r="I84" s="351">
        <v>232998503.56999999</v>
      </c>
    </row>
    <row r="85" spans="2:9" ht="16.5">
      <c r="B85" s="363" t="s">
        <v>814</v>
      </c>
      <c r="C85" s="364">
        <v>36</v>
      </c>
      <c r="D85" s="351">
        <v>129284136.05</v>
      </c>
      <c r="E85" s="351">
        <v>129284136.05</v>
      </c>
      <c r="F85" s="363" t="s">
        <v>815</v>
      </c>
      <c r="G85" s="364">
        <v>84</v>
      </c>
      <c r="H85" s="351">
        <v>0</v>
      </c>
      <c r="I85" s="351">
        <v>0</v>
      </c>
    </row>
    <row r="86" spans="2:9" ht="16.5">
      <c r="B86" s="363" t="s">
        <v>816</v>
      </c>
      <c r="C86" s="364">
        <v>37</v>
      </c>
      <c r="D86" s="351">
        <v>1738000</v>
      </c>
      <c r="E86" s="351">
        <v>0</v>
      </c>
      <c r="F86" s="363" t="s">
        <v>817</v>
      </c>
      <c r="G86" s="364">
        <v>85</v>
      </c>
      <c r="H86" s="351">
        <v>1940887126.02</v>
      </c>
      <c r="I86" s="351">
        <v>2033470327.9000001</v>
      </c>
    </row>
    <row r="87" spans="2:9" ht="16.5">
      <c r="B87" s="363" t="s">
        <v>818</v>
      </c>
      <c r="C87" s="364">
        <v>38</v>
      </c>
      <c r="D87" s="351">
        <v>131045136.05</v>
      </c>
      <c r="E87" s="351">
        <v>129307136.05</v>
      </c>
      <c r="F87" s="363" t="s">
        <v>819</v>
      </c>
      <c r="G87" s="364">
        <v>86</v>
      </c>
      <c r="H87" s="351">
        <v>2618885629.5900002</v>
      </c>
      <c r="I87" s="351">
        <v>2711468831.4699998</v>
      </c>
    </row>
    <row r="88" spans="2:9" ht="16.5">
      <c r="B88" s="363" t="s">
        <v>820</v>
      </c>
      <c r="C88" s="364">
        <v>39</v>
      </c>
      <c r="D88" s="351">
        <v>8239995215.9499998</v>
      </c>
      <c r="E88" s="351">
        <v>7711599601.4200001</v>
      </c>
      <c r="F88" s="363" t="s">
        <v>821</v>
      </c>
      <c r="G88" s="364">
        <v>87</v>
      </c>
      <c r="H88" s="351">
        <v>8239995215.9499998</v>
      </c>
      <c r="I88" s="351">
        <v>7711599601.4200001</v>
      </c>
    </row>
    <row r="91" spans="2:9" ht="16.5">
      <c r="B91" s="353" t="s">
        <v>741</v>
      </c>
    </row>
    <row r="92" spans="2:9" ht="16.5">
      <c r="B92" s="353" t="s">
        <v>742</v>
      </c>
      <c r="C92" s="362"/>
      <c r="F92" s="332"/>
      <c r="G92" s="362"/>
    </row>
    <row r="93" spans="2:9" ht="16.5">
      <c r="B93" s="353" t="s">
        <v>823</v>
      </c>
      <c r="C93" s="362"/>
      <c r="F93" s="332"/>
      <c r="G93" s="362"/>
    </row>
    <row r="94" spans="2:9" ht="16.5">
      <c r="B94" s="354" t="s">
        <v>744</v>
      </c>
      <c r="C94" s="354" t="s">
        <v>745</v>
      </c>
      <c r="D94" s="354" t="s">
        <v>746</v>
      </c>
      <c r="E94" s="354" t="s">
        <v>747</v>
      </c>
      <c r="F94" s="354" t="s">
        <v>744</v>
      </c>
      <c r="G94" s="354" t="s">
        <v>745</v>
      </c>
      <c r="H94" s="354" t="s">
        <v>746</v>
      </c>
      <c r="I94" s="354" t="s">
        <v>747</v>
      </c>
    </row>
    <row r="95" spans="2:9" ht="16.5">
      <c r="B95" s="368" t="s">
        <v>748</v>
      </c>
      <c r="C95" s="369">
        <v>1</v>
      </c>
      <c r="D95" s="370"/>
      <c r="E95" s="370"/>
      <c r="F95" s="368" t="s">
        <v>749</v>
      </c>
      <c r="G95" s="369"/>
      <c r="H95" s="371"/>
      <c r="I95" s="371"/>
    </row>
    <row r="96" spans="2:9" ht="16.5">
      <c r="B96" s="368" t="s">
        <v>750</v>
      </c>
      <c r="C96" s="369">
        <v>2</v>
      </c>
      <c r="D96" s="358">
        <v>667764079.75</v>
      </c>
      <c r="E96" s="358">
        <v>461392581.22000003</v>
      </c>
      <c r="F96" s="368" t="s">
        <v>751</v>
      </c>
      <c r="G96" s="369">
        <v>50</v>
      </c>
      <c r="H96" s="358">
        <v>0</v>
      </c>
      <c r="I96" s="358">
        <v>0</v>
      </c>
    </row>
    <row r="97" spans="2:9" ht="16.5">
      <c r="B97" s="368" t="s">
        <v>752</v>
      </c>
      <c r="C97" s="369">
        <v>3</v>
      </c>
      <c r="D97" s="358">
        <v>0</v>
      </c>
      <c r="E97" s="358">
        <v>0</v>
      </c>
      <c r="F97" s="368" t="s">
        <v>753</v>
      </c>
      <c r="G97" s="369">
        <v>51</v>
      </c>
      <c r="H97" s="358">
        <v>0</v>
      </c>
      <c r="I97" s="358">
        <v>0</v>
      </c>
    </row>
    <row r="98" spans="2:9" ht="16.5">
      <c r="B98" s="368" t="s">
        <v>754</v>
      </c>
      <c r="C98" s="369">
        <v>4</v>
      </c>
      <c r="D98" s="358">
        <v>0</v>
      </c>
      <c r="E98" s="358">
        <v>0</v>
      </c>
      <c r="F98" s="368" t="s">
        <v>755</v>
      </c>
      <c r="G98" s="369">
        <v>52</v>
      </c>
      <c r="H98" s="358">
        <v>933401278.95000005</v>
      </c>
      <c r="I98" s="358">
        <v>650423561.90999997</v>
      </c>
    </row>
    <row r="99" spans="2:9" ht="16.5">
      <c r="B99" s="368" t="s">
        <v>756</v>
      </c>
      <c r="C99" s="369">
        <v>5</v>
      </c>
      <c r="D99" s="358">
        <v>0</v>
      </c>
      <c r="E99" s="358">
        <v>0</v>
      </c>
      <c r="F99" s="368" t="s">
        <v>757</v>
      </c>
      <c r="G99" s="369">
        <v>53</v>
      </c>
      <c r="H99" s="358">
        <v>2903228817.8499999</v>
      </c>
      <c r="I99" s="358">
        <v>3104374245.98</v>
      </c>
    </row>
    <row r="100" spans="2:9" ht="16.5">
      <c r="B100" s="368" t="s">
        <v>758</v>
      </c>
      <c r="C100" s="369">
        <v>6</v>
      </c>
      <c r="D100" s="358">
        <v>1282765918.5999999</v>
      </c>
      <c r="E100" s="358">
        <v>2128309427.9200001</v>
      </c>
      <c r="F100" s="368" t="s">
        <v>759</v>
      </c>
      <c r="G100" s="369">
        <v>54</v>
      </c>
      <c r="H100" s="358">
        <v>947954714.87</v>
      </c>
      <c r="I100" s="358">
        <v>1166704017.55</v>
      </c>
    </row>
    <row r="101" spans="2:9" ht="16.5">
      <c r="B101" s="368" t="s">
        <v>760</v>
      </c>
      <c r="C101" s="369">
        <v>7</v>
      </c>
      <c r="D101" s="358">
        <v>11879165.17</v>
      </c>
      <c r="E101" s="358">
        <v>3785718.43</v>
      </c>
      <c r="F101" s="368" t="s">
        <v>761</v>
      </c>
      <c r="G101" s="369">
        <v>55</v>
      </c>
      <c r="H101" s="358">
        <v>0</v>
      </c>
      <c r="I101" s="358">
        <v>0</v>
      </c>
    </row>
    <row r="102" spans="2:9" ht="16.5">
      <c r="B102" s="368" t="s">
        <v>762</v>
      </c>
      <c r="C102" s="369">
        <v>8</v>
      </c>
      <c r="D102" s="358">
        <v>523876722.47000003</v>
      </c>
      <c r="E102" s="358">
        <v>405665248.54000002</v>
      </c>
      <c r="F102" s="368" t="s">
        <v>763</v>
      </c>
      <c r="G102" s="369">
        <v>56</v>
      </c>
      <c r="H102" s="358">
        <v>0</v>
      </c>
      <c r="I102" s="358">
        <v>740313.01</v>
      </c>
    </row>
    <row r="103" spans="2:9" ht="16.5">
      <c r="B103" s="368" t="s">
        <v>764</v>
      </c>
      <c r="C103" s="369">
        <v>9</v>
      </c>
      <c r="D103" s="358">
        <v>0</v>
      </c>
      <c r="E103" s="358">
        <v>0</v>
      </c>
      <c r="F103" s="368" t="s">
        <v>765</v>
      </c>
      <c r="G103" s="369">
        <v>57</v>
      </c>
      <c r="H103" s="358">
        <v>465802571.48000002</v>
      </c>
      <c r="I103" s="358">
        <v>-35488391.609999999</v>
      </c>
    </row>
    <row r="104" spans="2:9" ht="16.5">
      <c r="B104" s="368" t="s">
        <v>766</v>
      </c>
      <c r="C104" s="369">
        <v>10</v>
      </c>
      <c r="D104" s="358">
        <v>0</v>
      </c>
      <c r="E104" s="358">
        <v>0</v>
      </c>
      <c r="F104" s="368" t="s">
        <v>767</v>
      </c>
      <c r="G104" s="369">
        <v>58</v>
      </c>
      <c r="H104" s="358">
        <v>0</v>
      </c>
      <c r="I104" s="358">
        <v>0</v>
      </c>
    </row>
    <row r="105" spans="2:9" ht="16.5">
      <c r="B105" s="368" t="s">
        <v>768</v>
      </c>
      <c r="C105" s="369">
        <v>11</v>
      </c>
      <c r="D105" s="358">
        <v>5199673847.3800001</v>
      </c>
      <c r="E105" s="358">
        <v>4311516615.3999996</v>
      </c>
      <c r="F105" s="368"/>
      <c r="G105" s="369">
        <v>59</v>
      </c>
      <c r="H105" s="358"/>
      <c r="I105" s="358"/>
    </row>
    <row r="106" spans="2:9" ht="16.5">
      <c r="B106" s="368" t="s">
        <v>769</v>
      </c>
      <c r="C106" s="369">
        <v>12</v>
      </c>
      <c r="D106" s="358">
        <v>142855959.19</v>
      </c>
      <c r="E106" s="358">
        <v>156299829.08000001</v>
      </c>
      <c r="F106" s="368" t="s">
        <v>770</v>
      </c>
      <c r="G106" s="369">
        <v>60</v>
      </c>
      <c r="H106" s="358">
        <v>0</v>
      </c>
      <c r="I106" s="358">
        <v>0</v>
      </c>
    </row>
    <row r="107" spans="2:9" ht="16.5">
      <c r="B107" s="368" t="s">
        <v>771</v>
      </c>
      <c r="C107" s="369">
        <v>13</v>
      </c>
      <c r="D107" s="358">
        <v>0</v>
      </c>
      <c r="E107" s="358">
        <v>0</v>
      </c>
      <c r="F107" s="368" t="s">
        <v>772</v>
      </c>
      <c r="G107" s="369">
        <v>61</v>
      </c>
      <c r="H107" s="358">
        <v>44765.2</v>
      </c>
      <c r="I107" s="358">
        <v>84551.360000000001</v>
      </c>
    </row>
    <row r="108" spans="2:9" ht="16.5">
      <c r="B108" s="368" t="s">
        <v>773</v>
      </c>
      <c r="C108" s="369">
        <v>14</v>
      </c>
      <c r="D108" s="358">
        <v>0</v>
      </c>
      <c r="E108" s="358">
        <v>0</v>
      </c>
      <c r="F108" s="368" t="s">
        <v>774</v>
      </c>
      <c r="G108" s="369">
        <v>62</v>
      </c>
      <c r="H108" s="358">
        <v>0</v>
      </c>
      <c r="I108" s="358">
        <v>0</v>
      </c>
    </row>
    <row r="109" spans="2:9" ht="16.5">
      <c r="B109" s="368" t="s">
        <v>775</v>
      </c>
      <c r="C109" s="369">
        <v>15</v>
      </c>
      <c r="D109" s="358">
        <v>1200068.58</v>
      </c>
      <c r="E109" s="358">
        <v>1225290.1000000001</v>
      </c>
      <c r="F109" s="368" t="s">
        <v>776</v>
      </c>
      <c r="G109" s="369">
        <v>63</v>
      </c>
      <c r="H109" s="358">
        <v>0</v>
      </c>
      <c r="I109" s="358">
        <v>0</v>
      </c>
    </row>
    <row r="110" spans="2:9" ht="16.5">
      <c r="B110" s="368" t="s">
        <v>777</v>
      </c>
      <c r="C110" s="369">
        <v>16</v>
      </c>
      <c r="D110" s="358">
        <v>7830015761.1400003</v>
      </c>
      <c r="E110" s="358">
        <v>7468194710.6899996</v>
      </c>
      <c r="F110" s="368" t="s">
        <v>778</v>
      </c>
      <c r="G110" s="369">
        <v>64</v>
      </c>
      <c r="H110" s="358">
        <v>0</v>
      </c>
      <c r="I110" s="358">
        <v>0</v>
      </c>
    </row>
    <row r="111" spans="2:9" ht="16.5">
      <c r="B111" s="368" t="s">
        <v>779</v>
      </c>
      <c r="C111" s="369">
        <v>17</v>
      </c>
      <c r="D111" s="358"/>
      <c r="E111" s="358"/>
      <c r="F111" s="368" t="s">
        <v>780</v>
      </c>
      <c r="G111" s="369">
        <v>65</v>
      </c>
      <c r="H111" s="358">
        <v>5250432148.3500004</v>
      </c>
      <c r="I111" s="358">
        <v>4886838298.1999998</v>
      </c>
    </row>
    <row r="112" spans="2:9" ht="16.5">
      <c r="B112" s="368" t="s">
        <v>781</v>
      </c>
      <c r="C112" s="369">
        <v>18</v>
      </c>
      <c r="D112" s="358">
        <v>0</v>
      </c>
      <c r="E112" s="358">
        <v>0</v>
      </c>
      <c r="F112" s="368" t="s">
        <v>782</v>
      </c>
      <c r="G112" s="369">
        <v>66</v>
      </c>
      <c r="H112" s="358"/>
      <c r="I112" s="358"/>
    </row>
    <row r="113" spans="2:12" ht="16.5">
      <c r="B113" s="368" t="s">
        <v>783</v>
      </c>
      <c r="C113" s="369">
        <v>19</v>
      </c>
      <c r="D113" s="358">
        <v>0</v>
      </c>
      <c r="E113" s="358">
        <v>0</v>
      </c>
      <c r="F113" s="368" t="s">
        <v>784</v>
      </c>
      <c r="G113" s="369">
        <v>67</v>
      </c>
      <c r="H113" s="358">
        <v>0</v>
      </c>
      <c r="I113" s="358">
        <v>0</v>
      </c>
    </row>
    <row r="114" spans="2:12" ht="16.5">
      <c r="B114" s="368" t="s">
        <v>785</v>
      </c>
      <c r="C114" s="369">
        <v>20</v>
      </c>
      <c r="D114" s="358">
        <v>0</v>
      </c>
      <c r="E114" s="358">
        <v>0</v>
      </c>
      <c r="F114" s="368" t="s">
        <v>786</v>
      </c>
      <c r="G114" s="369">
        <v>68</v>
      </c>
      <c r="H114" s="358">
        <v>0</v>
      </c>
      <c r="I114" s="358">
        <v>0</v>
      </c>
      <c r="L114">
        <v>34890686.019999802</v>
      </c>
    </row>
    <row r="115" spans="2:12" ht="16.5">
      <c r="B115" s="368" t="s">
        <v>787</v>
      </c>
      <c r="C115" s="369">
        <v>21</v>
      </c>
      <c r="D115" s="358">
        <v>23000</v>
      </c>
      <c r="E115" s="358">
        <v>23000</v>
      </c>
      <c r="F115" s="368" t="s">
        <v>788</v>
      </c>
      <c r="G115" s="369">
        <v>69</v>
      </c>
      <c r="H115" s="358">
        <v>0</v>
      </c>
      <c r="I115" s="358">
        <v>0</v>
      </c>
    </row>
    <row r="116" spans="2:12" ht="16.5">
      <c r="B116" s="368" t="s">
        <v>789</v>
      </c>
      <c r="C116" s="369">
        <v>22</v>
      </c>
      <c r="D116" s="358">
        <v>0</v>
      </c>
      <c r="E116" s="358">
        <v>0</v>
      </c>
      <c r="F116" s="368" t="s">
        <v>790</v>
      </c>
      <c r="G116" s="369">
        <v>70</v>
      </c>
      <c r="H116" s="358">
        <v>0</v>
      </c>
      <c r="I116" s="358">
        <v>0</v>
      </c>
    </row>
    <row r="117" spans="2:12" ht="16.5">
      <c r="B117" s="368" t="s">
        <v>791</v>
      </c>
      <c r="C117" s="369">
        <v>23</v>
      </c>
      <c r="D117" s="358">
        <v>0</v>
      </c>
      <c r="E117" s="358">
        <v>0</v>
      </c>
      <c r="F117" s="368" t="s">
        <v>792</v>
      </c>
      <c r="G117" s="369">
        <v>71</v>
      </c>
      <c r="H117" s="358">
        <v>0</v>
      </c>
      <c r="I117" s="358">
        <v>0</v>
      </c>
    </row>
    <row r="118" spans="2:12" ht="16.5">
      <c r="B118" s="368" t="s">
        <v>793</v>
      </c>
      <c r="C118" s="369">
        <v>24</v>
      </c>
      <c r="D118" s="358">
        <v>0</v>
      </c>
      <c r="E118" s="358">
        <v>0</v>
      </c>
      <c r="F118" s="368" t="s">
        <v>794</v>
      </c>
      <c r="G118" s="369">
        <v>72</v>
      </c>
      <c r="H118" s="358">
        <v>0</v>
      </c>
      <c r="I118" s="358">
        <v>0</v>
      </c>
    </row>
    <row r="119" spans="2:12" ht="16.5">
      <c r="B119" s="368" t="s">
        <v>795</v>
      </c>
      <c r="C119" s="369">
        <v>25</v>
      </c>
      <c r="D119" s="358">
        <v>0</v>
      </c>
      <c r="E119" s="358">
        <v>0</v>
      </c>
      <c r="F119" s="368" t="s">
        <v>796</v>
      </c>
      <c r="G119" s="369">
        <v>73</v>
      </c>
      <c r="H119" s="358">
        <v>0</v>
      </c>
      <c r="I119" s="358">
        <v>0</v>
      </c>
    </row>
    <row r="120" spans="2:12" ht="16.5">
      <c r="B120" s="368" t="s">
        <v>797</v>
      </c>
      <c r="C120" s="369">
        <v>26</v>
      </c>
      <c r="D120" s="358">
        <v>0</v>
      </c>
      <c r="E120" s="358">
        <v>0</v>
      </c>
      <c r="F120" s="368" t="s">
        <v>798</v>
      </c>
      <c r="G120" s="369">
        <v>74</v>
      </c>
      <c r="H120" s="358">
        <v>0</v>
      </c>
      <c r="I120" s="358">
        <v>0</v>
      </c>
    </row>
    <row r="121" spans="2:12" ht="16.5">
      <c r="B121" s="368" t="s">
        <v>799</v>
      </c>
      <c r="C121" s="369">
        <v>27</v>
      </c>
      <c r="D121" s="358">
        <v>0</v>
      </c>
      <c r="E121" s="358">
        <v>0</v>
      </c>
      <c r="F121" s="368" t="s">
        <v>800</v>
      </c>
      <c r="G121" s="369">
        <v>75</v>
      </c>
      <c r="H121" s="358">
        <v>0</v>
      </c>
      <c r="I121" s="358">
        <v>0</v>
      </c>
    </row>
    <row r="122" spans="2:12" ht="16.5">
      <c r="B122" s="368" t="s">
        <v>801</v>
      </c>
      <c r="C122" s="369">
        <v>28</v>
      </c>
      <c r="D122" s="358">
        <v>0</v>
      </c>
      <c r="E122" s="358">
        <v>0</v>
      </c>
      <c r="F122" s="368"/>
      <c r="G122" s="369">
        <v>76</v>
      </c>
      <c r="H122" s="358"/>
      <c r="I122" s="358"/>
    </row>
    <row r="123" spans="2:12" ht="16.5">
      <c r="B123" s="368" t="s">
        <v>802</v>
      </c>
      <c r="C123" s="369">
        <v>29</v>
      </c>
      <c r="D123" s="358">
        <v>0</v>
      </c>
      <c r="E123" s="358">
        <v>0</v>
      </c>
      <c r="F123" s="368"/>
      <c r="G123" s="369">
        <v>77</v>
      </c>
      <c r="H123" s="358"/>
      <c r="I123" s="358"/>
    </row>
    <row r="124" spans="2:12" ht="16.5">
      <c r="B124" s="368" t="s">
        <v>803</v>
      </c>
      <c r="C124" s="369">
        <v>30</v>
      </c>
      <c r="D124" s="358">
        <v>0</v>
      </c>
      <c r="E124" s="358">
        <v>0</v>
      </c>
      <c r="F124" s="368" t="s">
        <v>804</v>
      </c>
      <c r="G124" s="369">
        <v>78</v>
      </c>
      <c r="H124" s="358">
        <v>5250432148.3500004</v>
      </c>
      <c r="I124" s="358">
        <v>4886838298.1999998</v>
      </c>
    </row>
    <row r="125" spans="2:12" ht="16.5">
      <c r="B125" s="368" t="s">
        <v>805</v>
      </c>
      <c r="C125" s="369">
        <v>31</v>
      </c>
      <c r="D125" s="358">
        <v>0</v>
      </c>
      <c r="E125" s="358">
        <v>0</v>
      </c>
      <c r="F125" s="368"/>
      <c r="G125" s="369">
        <v>79</v>
      </c>
      <c r="H125" s="358"/>
      <c r="I125" s="358"/>
    </row>
    <row r="126" spans="2:12" ht="16.5">
      <c r="B126" s="368" t="s">
        <v>806</v>
      </c>
      <c r="C126" s="369">
        <v>32</v>
      </c>
      <c r="D126" s="358">
        <v>0</v>
      </c>
      <c r="E126" s="358">
        <v>0</v>
      </c>
      <c r="F126" s="368" t="s">
        <v>807</v>
      </c>
      <c r="G126" s="369">
        <v>80</v>
      </c>
      <c r="H126" s="358"/>
      <c r="I126" s="358"/>
    </row>
    <row r="127" spans="2:12" ht="16.5">
      <c r="B127" s="368" t="s">
        <v>808</v>
      </c>
      <c r="C127" s="369">
        <v>33</v>
      </c>
      <c r="D127" s="358">
        <v>0</v>
      </c>
      <c r="E127" s="358">
        <v>0</v>
      </c>
      <c r="F127" s="368" t="s">
        <v>809</v>
      </c>
      <c r="G127" s="369">
        <v>81</v>
      </c>
      <c r="H127" s="358">
        <v>445000000</v>
      </c>
      <c r="I127" s="358">
        <v>445000000</v>
      </c>
    </row>
    <row r="128" spans="2:12" ht="16.5">
      <c r="B128" s="368" t="s">
        <v>810</v>
      </c>
      <c r="C128" s="369">
        <v>34</v>
      </c>
      <c r="D128" s="358">
        <v>0</v>
      </c>
      <c r="E128" s="358">
        <v>0</v>
      </c>
      <c r="F128" s="368" t="s">
        <v>811</v>
      </c>
      <c r="G128" s="369">
        <v>82</v>
      </c>
      <c r="H128" s="358">
        <v>0</v>
      </c>
      <c r="I128" s="358">
        <v>0</v>
      </c>
    </row>
    <row r="129" spans="2:9" ht="16.5">
      <c r="B129" s="368" t="s">
        <v>812</v>
      </c>
      <c r="C129" s="369">
        <v>35</v>
      </c>
      <c r="D129" s="358">
        <v>0</v>
      </c>
      <c r="E129" s="358">
        <v>0</v>
      </c>
      <c r="F129" s="368" t="s">
        <v>813</v>
      </c>
      <c r="G129" s="369">
        <v>83</v>
      </c>
      <c r="H129" s="358">
        <v>232998503.56999999</v>
      </c>
      <c r="I129" s="358">
        <v>232998503.56999999</v>
      </c>
    </row>
    <row r="130" spans="2:9" ht="16.5">
      <c r="B130" s="368" t="s">
        <v>814</v>
      </c>
      <c r="C130" s="369">
        <v>36</v>
      </c>
      <c r="D130" s="358">
        <v>129284136.05</v>
      </c>
      <c r="E130" s="358">
        <v>129284136.05</v>
      </c>
      <c r="F130" s="368" t="s">
        <v>815</v>
      </c>
      <c r="G130" s="369">
        <v>84</v>
      </c>
      <c r="H130" s="358">
        <v>0</v>
      </c>
      <c r="I130" s="358">
        <v>0</v>
      </c>
    </row>
    <row r="131" spans="2:9" ht="16.5">
      <c r="B131" s="368" t="s">
        <v>816</v>
      </c>
      <c r="C131" s="369">
        <v>37</v>
      </c>
      <c r="D131" s="358">
        <v>1738000</v>
      </c>
      <c r="E131" s="358">
        <v>1738000</v>
      </c>
      <c r="F131" s="368" t="s">
        <v>817</v>
      </c>
      <c r="G131" s="369">
        <v>85</v>
      </c>
      <c r="H131" s="358">
        <v>2032630245.27</v>
      </c>
      <c r="I131" s="358">
        <v>2034403044.97</v>
      </c>
    </row>
    <row r="132" spans="2:9" ht="16.5">
      <c r="B132" s="368" t="s">
        <v>818</v>
      </c>
      <c r="C132" s="369">
        <v>38</v>
      </c>
      <c r="D132" s="358">
        <v>131045136.05</v>
      </c>
      <c r="E132" s="358">
        <v>131045136.05</v>
      </c>
      <c r="F132" s="368" t="s">
        <v>819</v>
      </c>
      <c r="G132" s="369">
        <v>86</v>
      </c>
      <c r="H132" s="358">
        <v>2710628748.8400002</v>
      </c>
      <c r="I132" s="358">
        <v>2712401548.54</v>
      </c>
    </row>
    <row r="133" spans="2:9" ht="16.5">
      <c r="B133" s="368" t="s">
        <v>820</v>
      </c>
      <c r="C133" s="369">
        <v>39</v>
      </c>
      <c r="D133" s="358">
        <v>7961060897.1899996</v>
      </c>
      <c r="E133" s="358">
        <v>7599239846.7399998</v>
      </c>
      <c r="F133" s="368" t="s">
        <v>821</v>
      </c>
      <c r="G133" s="369">
        <v>87</v>
      </c>
      <c r="H133" s="358">
        <v>7961060897.1899996</v>
      </c>
      <c r="I133" s="358">
        <v>7599239846.7399998</v>
      </c>
    </row>
    <row r="136" spans="2:9" ht="16.5">
      <c r="B136" s="333" t="s">
        <v>741</v>
      </c>
    </row>
    <row r="137" spans="2:9" ht="16.5">
      <c r="B137" s="333" t="s">
        <v>742</v>
      </c>
      <c r="C137" s="362"/>
      <c r="F137" s="332"/>
      <c r="G137" s="362"/>
    </row>
    <row r="138" spans="2:9" ht="16.5">
      <c r="B138" s="333" t="s">
        <v>824</v>
      </c>
      <c r="C138" s="362"/>
      <c r="F138" s="332"/>
      <c r="G138" s="362"/>
    </row>
    <row r="139" spans="2:9" ht="16.5">
      <c r="B139" s="336" t="s">
        <v>744</v>
      </c>
      <c r="C139" s="336" t="s">
        <v>745</v>
      </c>
      <c r="D139" s="336" t="s">
        <v>746</v>
      </c>
      <c r="E139" s="336" t="s">
        <v>747</v>
      </c>
      <c r="F139" s="336" t="s">
        <v>744</v>
      </c>
      <c r="G139" s="336" t="s">
        <v>745</v>
      </c>
      <c r="H139" s="336" t="s">
        <v>746</v>
      </c>
      <c r="I139" s="336" t="s">
        <v>747</v>
      </c>
    </row>
    <row r="140" spans="2:9" ht="16.5">
      <c r="B140" s="363" t="s">
        <v>748</v>
      </c>
      <c r="C140" s="364">
        <v>1</v>
      </c>
      <c r="D140" s="365"/>
      <c r="E140" s="365"/>
      <c r="F140" s="363" t="s">
        <v>749</v>
      </c>
      <c r="G140" s="364"/>
      <c r="H140" s="366"/>
      <c r="I140" s="366"/>
    </row>
    <row r="141" spans="2:9" ht="16.5">
      <c r="B141" s="363" t="s">
        <v>750</v>
      </c>
      <c r="C141" s="364">
        <v>2</v>
      </c>
      <c r="D141" s="351">
        <v>667764079.75</v>
      </c>
      <c r="E141" s="351">
        <v>367710409.76999998</v>
      </c>
      <c r="F141" s="363" t="s">
        <v>751</v>
      </c>
      <c r="G141" s="364">
        <v>50</v>
      </c>
      <c r="H141" s="351">
        <v>0</v>
      </c>
      <c r="I141" s="351">
        <v>0</v>
      </c>
    </row>
    <row r="142" spans="2:9" ht="16.5">
      <c r="B142" s="363" t="s">
        <v>752</v>
      </c>
      <c r="C142" s="364">
        <v>3</v>
      </c>
      <c r="D142" s="351">
        <v>0</v>
      </c>
      <c r="E142" s="351">
        <v>0</v>
      </c>
      <c r="F142" s="363" t="s">
        <v>753</v>
      </c>
      <c r="G142" s="364">
        <v>51</v>
      </c>
      <c r="H142" s="351">
        <v>0</v>
      </c>
      <c r="I142" s="351">
        <v>0</v>
      </c>
    </row>
    <row r="143" spans="2:9" ht="16.5">
      <c r="B143" s="363" t="s">
        <v>754</v>
      </c>
      <c r="C143" s="364">
        <v>4</v>
      </c>
      <c r="D143" s="351">
        <v>0</v>
      </c>
      <c r="E143" s="351">
        <v>0</v>
      </c>
      <c r="F143" s="363" t="s">
        <v>755</v>
      </c>
      <c r="G143" s="364">
        <v>52</v>
      </c>
      <c r="H143" s="351">
        <v>933401278.95000005</v>
      </c>
      <c r="I143" s="351">
        <v>517764304.48000002</v>
      </c>
    </row>
    <row r="144" spans="2:9" ht="16.5">
      <c r="B144" s="363" t="s">
        <v>756</v>
      </c>
      <c r="C144" s="364">
        <v>5</v>
      </c>
      <c r="D144" s="351">
        <v>0</v>
      </c>
      <c r="E144" s="351">
        <v>0</v>
      </c>
      <c r="F144" s="363" t="s">
        <v>757</v>
      </c>
      <c r="G144" s="364">
        <v>53</v>
      </c>
      <c r="H144" s="351">
        <v>2903228817.8499999</v>
      </c>
      <c r="I144" s="351">
        <v>3003818784.1500001</v>
      </c>
    </row>
    <row r="145" spans="2:11" ht="16.5">
      <c r="B145" s="363" t="s">
        <v>758</v>
      </c>
      <c r="C145" s="364">
        <v>6</v>
      </c>
      <c r="D145" s="351">
        <v>1282765918.5999999</v>
      </c>
      <c r="E145" s="351">
        <v>1362621463.6500001</v>
      </c>
      <c r="F145" s="363" t="s">
        <v>759</v>
      </c>
      <c r="G145" s="364">
        <v>54</v>
      </c>
      <c r="H145" s="351">
        <v>947954714.87</v>
      </c>
      <c r="I145" s="351">
        <v>1093151006.1900001</v>
      </c>
    </row>
    <row r="146" spans="2:11" ht="16.5">
      <c r="B146" s="363" t="s">
        <v>760</v>
      </c>
      <c r="C146" s="364">
        <v>7</v>
      </c>
      <c r="D146" s="351">
        <v>11879165.17</v>
      </c>
      <c r="E146" s="351">
        <v>3785718.43</v>
      </c>
      <c r="F146" s="363" t="s">
        <v>761</v>
      </c>
      <c r="G146" s="364">
        <v>55</v>
      </c>
      <c r="H146" s="351">
        <v>0</v>
      </c>
      <c r="I146" s="351">
        <v>0</v>
      </c>
    </row>
    <row r="147" spans="2:11" ht="16.5">
      <c r="B147" s="363" t="s">
        <v>762</v>
      </c>
      <c r="C147" s="364">
        <v>8</v>
      </c>
      <c r="D147" s="351">
        <v>523876722.47000003</v>
      </c>
      <c r="E147" s="351">
        <v>439408315.75</v>
      </c>
      <c r="F147" s="363" t="s">
        <v>763</v>
      </c>
      <c r="G147" s="364">
        <v>56</v>
      </c>
      <c r="H147" s="351">
        <v>0</v>
      </c>
      <c r="I147" s="351">
        <v>819251.65</v>
      </c>
    </row>
    <row r="148" spans="2:11" ht="16.5">
      <c r="B148" s="363" t="s">
        <v>764</v>
      </c>
      <c r="C148" s="364">
        <v>9</v>
      </c>
      <c r="D148" s="351">
        <v>0</v>
      </c>
      <c r="E148" s="351">
        <v>0</v>
      </c>
      <c r="F148" s="363" t="s">
        <v>765</v>
      </c>
      <c r="G148" s="364">
        <v>57</v>
      </c>
      <c r="H148" s="351">
        <v>465802571.48000002</v>
      </c>
      <c r="I148" s="351">
        <v>-4436692.2</v>
      </c>
    </row>
    <row r="149" spans="2:11" ht="16.5">
      <c r="B149" s="363" t="s">
        <v>766</v>
      </c>
      <c r="C149" s="364">
        <v>10</v>
      </c>
      <c r="D149" s="351">
        <v>0</v>
      </c>
      <c r="E149" s="351">
        <v>0</v>
      </c>
      <c r="F149" s="363" t="s">
        <v>767</v>
      </c>
      <c r="G149" s="364">
        <v>58</v>
      </c>
      <c r="H149" s="351">
        <v>0</v>
      </c>
      <c r="I149" s="351">
        <v>0</v>
      </c>
    </row>
    <row r="150" spans="2:11" ht="16.5">
      <c r="B150" s="363" t="s">
        <v>768</v>
      </c>
      <c r="C150" s="364">
        <v>11</v>
      </c>
      <c r="D150" s="351">
        <v>5199673847.3800001</v>
      </c>
      <c r="E150" s="351">
        <v>4951743405.2200003</v>
      </c>
      <c r="F150" s="363"/>
      <c r="G150" s="364">
        <v>59</v>
      </c>
      <c r="H150" s="351"/>
      <c r="I150" s="351"/>
    </row>
    <row r="151" spans="2:11" ht="16.5">
      <c r="B151" s="363" t="s">
        <v>769</v>
      </c>
      <c r="C151" s="364">
        <v>12</v>
      </c>
      <c r="D151" s="351">
        <v>142855959.19</v>
      </c>
      <c r="E151" s="351">
        <v>162410447.38999999</v>
      </c>
      <c r="F151" s="363" t="s">
        <v>770</v>
      </c>
      <c r="G151" s="364">
        <v>60</v>
      </c>
      <c r="H151" s="351">
        <v>0</v>
      </c>
      <c r="I151" s="351">
        <v>0</v>
      </c>
    </row>
    <row r="152" spans="2:11" ht="16.5">
      <c r="B152" s="363" t="s">
        <v>771</v>
      </c>
      <c r="C152" s="364">
        <v>13</v>
      </c>
      <c r="D152" s="351">
        <v>0</v>
      </c>
      <c r="E152" s="351">
        <v>0</v>
      </c>
      <c r="F152" s="363" t="s">
        <v>772</v>
      </c>
      <c r="G152" s="364">
        <v>61</v>
      </c>
      <c r="H152" s="351">
        <v>44765.2</v>
      </c>
      <c r="I152" s="351">
        <v>69897.039999999994</v>
      </c>
    </row>
    <row r="153" spans="2:11" ht="16.5">
      <c r="B153" s="363" t="s">
        <v>773</v>
      </c>
      <c r="C153" s="364">
        <v>14</v>
      </c>
      <c r="D153" s="351">
        <v>0</v>
      </c>
      <c r="E153" s="351">
        <v>0</v>
      </c>
      <c r="F153" s="363" t="s">
        <v>774</v>
      </c>
      <c r="G153" s="364">
        <v>62</v>
      </c>
      <c r="H153" s="351">
        <v>0</v>
      </c>
      <c r="I153" s="351">
        <v>0</v>
      </c>
    </row>
    <row r="154" spans="2:11" ht="16.5">
      <c r="B154" s="363" t="s">
        <v>775</v>
      </c>
      <c r="C154" s="364">
        <v>15</v>
      </c>
      <c r="D154" s="351">
        <v>1200068.58</v>
      </c>
      <c r="E154" s="351">
        <v>1419988.73</v>
      </c>
      <c r="F154" s="363" t="s">
        <v>776</v>
      </c>
      <c r="G154" s="364">
        <v>63</v>
      </c>
      <c r="H154" s="351">
        <v>0</v>
      </c>
      <c r="I154" s="351">
        <v>0</v>
      </c>
    </row>
    <row r="155" spans="2:11" ht="16.5">
      <c r="B155" s="363" t="s">
        <v>777</v>
      </c>
      <c r="C155" s="364">
        <v>16</v>
      </c>
      <c r="D155" s="351">
        <v>7830015761.1400003</v>
      </c>
      <c r="E155" s="351">
        <v>7289099748.9399996</v>
      </c>
      <c r="F155" s="363" t="s">
        <v>778</v>
      </c>
      <c r="G155" s="364">
        <v>64</v>
      </c>
      <c r="H155" s="351">
        <v>0</v>
      </c>
      <c r="I155" s="351">
        <v>0</v>
      </c>
      <c r="K155">
        <v>35060964.100000001</v>
      </c>
    </row>
    <row r="156" spans="2:11" ht="16.5">
      <c r="B156" s="363" t="s">
        <v>779</v>
      </c>
      <c r="C156" s="364">
        <v>17</v>
      </c>
      <c r="D156" s="351"/>
      <c r="E156" s="351"/>
      <c r="F156" s="363" t="s">
        <v>780</v>
      </c>
      <c r="G156" s="364">
        <v>65</v>
      </c>
      <c r="H156" s="351">
        <v>5250432148.3500004</v>
      </c>
      <c r="I156" s="351">
        <v>4611186551.3100004</v>
      </c>
    </row>
    <row r="157" spans="2:11" ht="16.5">
      <c r="B157" s="363" t="s">
        <v>781</v>
      </c>
      <c r="C157" s="364">
        <v>18</v>
      </c>
      <c r="D157" s="351">
        <v>0</v>
      </c>
      <c r="E157" s="351">
        <v>0</v>
      </c>
      <c r="F157" s="363" t="s">
        <v>782</v>
      </c>
      <c r="G157" s="364">
        <v>66</v>
      </c>
      <c r="H157" s="351"/>
      <c r="I157" s="351"/>
    </row>
    <row r="158" spans="2:11" ht="16.5">
      <c r="B158" s="363" t="s">
        <v>783</v>
      </c>
      <c r="C158" s="364">
        <v>19</v>
      </c>
      <c r="D158" s="351">
        <v>0</v>
      </c>
      <c r="E158" s="351">
        <v>0</v>
      </c>
      <c r="F158" s="363" t="s">
        <v>784</v>
      </c>
      <c r="G158" s="364">
        <v>67</v>
      </c>
      <c r="H158" s="351">
        <v>0</v>
      </c>
      <c r="I158" s="351">
        <v>0</v>
      </c>
    </row>
    <row r="159" spans="2:11" ht="16.5">
      <c r="B159" s="363" t="s">
        <v>785</v>
      </c>
      <c r="C159" s="364">
        <v>20</v>
      </c>
      <c r="D159" s="351">
        <v>0</v>
      </c>
      <c r="E159" s="351">
        <v>0</v>
      </c>
      <c r="F159" s="363" t="s">
        <v>786</v>
      </c>
      <c r="G159" s="364">
        <v>68</v>
      </c>
      <c r="H159" s="351">
        <v>0</v>
      </c>
      <c r="I159" s="351">
        <v>0</v>
      </c>
    </row>
    <row r="160" spans="2:11" ht="16.5">
      <c r="B160" s="363" t="s">
        <v>787</v>
      </c>
      <c r="C160" s="364">
        <v>21</v>
      </c>
      <c r="D160" s="351">
        <v>23000</v>
      </c>
      <c r="E160" s="351">
        <v>23000</v>
      </c>
      <c r="F160" s="363" t="s">
        <v>788</v>
      </c>
      <c r="G160" s="364">
        <v>69</v>
      </c>
      <c r="H160" s="351">
        <v>0</v>
      </c>
      <c r="I160" s="351">
        <v>0</v>
      </c>
    </row>
    <row r="161" spans="2:9" ht="16.5">
      <c r="B161" s="363" t="s">
        <v>789</v>
      </c>
      <c r="C161" s="364">
        <v>22</v>
      </c>
      <c r="D161" s="351">
        <v>0</v>
      </c>
      <c r="E161" s="351">
        <v>0</v>
      </c>
      <c r="F161" s="363" t="s">
        <v>790</v>
      </c>
      <c r="G161" s="364">
        <v>70</v>
      </c>
      <c r="H161" s="351">
        <v>0</v>
      </c>
      <c r="I161" s="351">
        <v>0</v>
      </c>
    </row>
    <row r="162" spans="2:9" ht="16.5">
      <c r="B162" s="363" t="s">
        <v>791</v>
      </c>
      <c r="C162" s="364">
        <v>23</v>
      </c>
      <c r="D162" s="351">
        <v>0</v>
      </c>
      <c r="E162" s="351">
        <v>0</v>
      </c>
      <c r="F162" s="363" t="s">
        <v>792</v>
      </c>
      <c r="G162" s="364">
        <v>71</v>
      </c>
      <c r="H162" s="351">
        <v>0</v>
      </c>
      <c r="I162" s="351">
        <v>0</v>
      </c>
    </row>
    <row r="163" spans="2:9" ht="16.5">
      <c r="B163" s="363" t="s">
        <v>793</v>
      </c>
      <c r="C163" s="364">
        <v>24</v>
      </c>
      <c r="D163" s="351">
        <v>0</v>
      </c>
      <c r="E163" s="351">
        <v>0</v>
      </c>
      <c r="F163" s="363" t="s">
        <v>794</v>
      </c>
      <c r="G163" s="364">
        <v>72</v>
      </c>
      <c r="H163" s="351">
        <v>0</v>
      </c>
      <c r="I163" s="351">
        <v>0</v>
      </c>
    </row>
    <row r="164" spans="2:9" ht="16.5">
      <c r="B164" s="363" t="s">
        <v>795</v>
      </c>
      <c r="C164" s="364">
        <v>25</v>
      </c>
      <c r="D164" s="351">
        <v>0</v>
      </c>
      <c r="E164" s="351">
        <v>0</v>
      </c>
      <c r="F164" s="363" t="s">
        <v>796</v>
      </c>
      <c r="G164" s="364">
        <v>73</v>
      </c>
      <c r="H164" s="351">
        <v>0</v>
      </c>
      <c r="I164" s="351">
        <v>0</v>
      </c>
    </row>
    <row r="165" spans="2:9" ht="16.5">
      <c r="B165" s="363" t="s">
        <v>797</v>
      </c>
      <c r="C165" s="364">
        <v>26</v>
      </c>
      <c r="D165" s="351">
        <v>0</v>
      </c>
      <c r="E165" s="351">
        <v>0</v>
      </c>
      <c r="F165" s="363" t="s">
        <v>798</v>
      </c>
      <c r="G165" s="364">
        <v>74</v>
      </c>
      <c r="H165" s="351">
        <v>0</v>
      </c>
      <c r="I165" s="351">
        <v>0</v>
      </c>
    </row>
    <row r="166" spans="2:9" ht="16.5">
      <c r="B166" s="363" t="s">
        <v>799</v>
      </c>
      <c r="C166" s="364">
        <v>27</v>
      </c>
      <c r="D166" s="351">
        <v>0</v>
      </c>
      <c r="E166" s="351">
        <v>0</v>
      </c>
      <c r="F166" s="363" t="s">
        <v>800</v>
      </c>
      <c r="G166" s="364">
        <v>75</v>
      </c>
      <c r="H166" s="351">
        <v>0</v>
      </c>
      <c r="I166" s="351">
        <v>0</v>
      </c>
    </row>
    <row r="167" spans="2:9" ht="16.5">
      <c r="B167" s="363" t="s">
        <v>801</v>
      </c>
      <c r="C167" s="364">
        <v>28</v>
      </c>
      <c r="D167" s="351">
        <v>0</v>
      </c>
      <c r="E167" s="351">
        <v>0</v>
      </c>
      <c r="F167" s="363"/>
      <c r="G167" s="364">
        <v>76</v>
      </c>
      <c r="H167" s="351"/>
      <c r="I167" s="351"/>
    </row>
    <row r="168" spans="2:9" ht="16.5">
      <c r="B168" s="363" t="s">
        <v>802</v>
      </c>
      <c r="C168" s="364">
        <v>29</v>
      </c>
      <c r="D168" s="351">
        <v>0</v>
      </c>
      <c r="E168" s="351">
        <v>0</v>
      </c>
      <c r="F168" s="363"/>
      <c r="G168" s="364">
        <v>77</v>
      </c>
      <c r="H168" s="351"/>
      <c r="I168" s="351"/>
    </row>
    <row r="169" spans="2:9" ht="16.5">
      <c r="B169" s="363" t="s">
        <v>803</v>
      </c>
      <c r="C169" s="364">
        <v>30</v>
      </c>
      <c r="D169" s="351">
        <v>0</v>
      </c>
      <c r="E169" s="351">
        <v>0</v>
      </c>
      <c r="F169" s="363" t="s">
        <v>804</v>
      </c>
      <c r="G169" s="364">
        <v>78</v>
      </c>
      <c r="H169" s="351">
        <v>5250432148.3500004</v>
      </c>
      <c r="I169" s="351">
        <v>4611186551.3100004</v>
      </c>
    </row>
    <row r="170" spans="2:9" ht="16.5">
      <c r="B170" s="363" t="s">
        <v>805</v>
      </c>
      <c r="C170" s="364">
        <v>31</v>
      </c>
      <c r="D170" s="351">
        <v>0</v>
      </c>
      <c r="E170" s="351">
        <v>0</v>
      </c>
      <c r="F170" s="363"/>
      <c r="G170" s="364">
        <v>79</v>
      </c>
      <c r="H170" s="351"/>
      <c r="I170" s="351"/>
    </row>
    <row r="171" spans="2:9" ht="16.5">
      <c r="B171" s="363" t="s">
        <v>806</v>
      </c>
      <c r="C171" s="364">
        <v>32</v>
      </c>
      <c r="D171" s="351">
        <v>0</v>
      </c>
      <c r="E171" s="351">
        <v>0</v>
      </c>
      <c r="F171" s="363" t="s">
        <v>807</v>
      </c>
      <c r="G171" s="364">
        <v>80</v>
      </c>
      <c r="H171" s="351"/>
      <c r="I171" s="351"/>
    </row>
    <row r="172" spans="2:9" ht="16.5">
      <c r="B172" s="363" t="s">
        <v>808</v>
      </c>
      <c r="C172" s="364">
        <v>33</v>
      </c>
      <c r="D172" s="351">
        <v>0</v>
      </c>
      <c r="E172" s="351">
        <v>0</v>
      </c>
      <c r="F172" s="363" t="s">
        <v>809</v>
      </c>
      <c r="G172" s="364">
        <v>81</v>
      </c>
      <c r="H172" s="351">
        <v>445000000</v>
      </c>
      <c r="I172" s="351">
        <v>445000000</v>
      </c>
    </row>
    <row r="173" spans="2:9" ht="16.5">
      <c r="B173" s="363" t="s">
        <v>810</v>
      </c>
      <c r="C173" s="364">
        <v>34</v>
      </c>
      <c r="D173" s="351">
        <v>0</v>
      </c>
      <c r="E173" s="351">
        <v>0</v>
      </c>
      <c r="F173" s="363" t="s">
        <v>811</v>
      </c>
      <c r="G173" s="364">
        <v>82</v>
      </c>
      <c r="H173" s="351">
        <v>0</v>
      </c>
      <c r="I173" s="351">
        <v>0</v>
      </c>
    </row>
    <row r="174" spans="2:9" ht="16.5">
      <c r="B174" s="363" t="s">
        <v>812</v>
      </c>
      <c r="C174" s="364">
        <v>35</v>
      </c>
      <c r="D174" s="351">
        <v>0</v>
      </c>
      <c r="E174" s="351">
        <v>0</v>
      </c>
      <c r="F174" s="363" t="s">
        <v>813</v>
      </c>
      <c r="G174" s="364">
        <v>83</v>
      </c>
      <c r="H174" s="351">
        <v>232998503.56999999</v>
      </c>
      <c r="I174" s="351">
        <v>232998503.56999999</v>
      </c>
    </row>
    <row r="175" spans="2:9" ht="16.5">
      <c r="B175" s="363" t="s">
        <v>814</v>
      </c>
      <c r="C175" s="364">
        <v>36</v>
      </c>
      <c r="D175" s="351">
        <v>129284136.05</v>
      </c>
      <c r="E175" s="351">
        <v>129284136.05</v>
      </c>
      <c r="F175" s="363" t="s">
        <v>815</v>
      </c>
      <c r="G175" s="364">
        <v>84</v>
      </c>
      <c r="H175" s="351">
        <v>0</v>
      </c>
      <c r="I175" s="351">
        <v>0</v>
      </c>
    </row>
    <row r="176" spans="2:9" ht="16.5">
      <c r="B176" s="363" t="s">
        <v>816</v>
      </c>
      <c r="C176" s="364">
        <v>37</v>
      </c>
      <c r="D176" s="351">
        <v>1738000</v>
      </c>
      <c r="E176" s="351">
        <v>0</v>
      </c>
      <c r="F176" s="363" t="s">
        <v>817</v>
      </c>
      <c r="G176" s="364">
        <v>85</v>
      </c>
      <c r="H176" s="351">
        <v>2032630245.27</v>
      </c>
      <c r="I176" s="351">
        <v>2129221830.1099999</v>
      </c>
    </row>
    <row r="177" spans="2:9" ht="16.5">
      <c r="B177" s="363" t="s">
        <v>818</v>
      </c>
      <c r="C177" s="364">
        <v>38</v>
      </c>
      <c r="D177" s="351">
        <v>131045136.05</v>
      </c>
      <c r="E177" s="351">
        <v>129307136.05</v>
      </c>
      <c r="F177" s="363" t="s">
        <v>819</v>
      </c>
      <c r="G177" s="364">
        <v>86</v>
      </c>
      <c r="H177" s="351">
        <v>2710628748.8400002</v>
      </c>
      <c r="I177" s="351">
        <v>2807220333.6799998</v>
      </c>
    </row>
    <row r="178" spans="2:9" ht="16.5">
      <c r="B178" s="363" t="s">
        <v>820</v>
      </c>
      <c r="C178" s="364">
        <v>39</v>
      </c>
      <c r="D178" s="351">
        <v>7961060897.1899996</v>
      </c>
      <c r="E178" s="351">
        <v>7418406884.9899998</v>
      </c>
      <c r="F178" s="363" t="s">
        <v>821</v>
      </c>
      <c r="G178" s="364">
        <v>87</v>
      </c>
      <c r="H178" s="351">
        <v>7961060897.1899996</v>
      </c>
      <c r="I178" s="351">
        <v>7418406884.9899998</v>
      </c>
    </row>
    <row r="181" spans="2:9" ht="16.5">
      <c r="B181" s="333" t="s">
        <v>741</v>
      </c>
    </row>
    <row r="182" spans="2:9" ht="16.5">
      <c r="B182" s="333" t="s">
        <v>742</v>
      </c>
      <c r="C182" s="362"/>
      <c r="F182" s="332"/>
      <c r="G182" s="362"/>
    </row>
    <row r="183" spans="2:9" ht="16.5">
      <c r="B183" s="333" t="s">
        <v>825</v>
      </c>
      <c r="C183" s="362"/>
      <c r="F183" s="332"/>
      <c r="G183" s="362"/>
    </row>
    <row r="184" spans="2:9" ht="16.5">
      <c r="B184" s="336" t="s">
        <v>744</v>
      </c>
      <c r="C184" s="336" t="s">
        <v>745</v>
      </c>
      <c r="D184" s="336" t="s">
        <v>746</v>
      </c>
      <c r="E184" s="336" t="s">
        <v>747</v>
      </c>
      <c r="F184" s="336" t="s">
        <v>744</v>
      </c>
      <c r="G184" s="336" t="s">
        <v>745</v>
      </c>
      <c r="H184" s="336" t="s">
        <v>746</v>
      </c>
      <c r="I184" s="336" t="s">
        <v>747</v>
      </c>
    </row>
    <row r="185" spans="2:9" ht="16.5">
      <c r="B185" s="363" t="s">
        <v>748</v>
      </c>
      <c r="C185" s="364">
        <v>1</v>
      </c>
      <c r="D185" s="365"/>
      <c r="E185" s="365"/>
      <c r="F185" s="363" t="s">
        <v>749</v>
      </c>
      <c r="G185" s="364"/>
      <c r="H185" s="366"/>
      <c r="I185" s="366"/>
    </row>
    <row r="186" spans="2:9" ht="16.5">
      <c r="B186" s="363" t="s">
        <v>750</v>
      </c>
      <c r="C186" s="364">
        <v>2</v>
      </c>
      <c r="D186" s="351">
        <v>667764079.75</v>
      </c>
      <c r="E186" s="351">
        <v>223389647.50999999</v>
      </c>
      <c r="F186" s="363" t="s">
        <v>751</v>
      </c>
      <c r="G186" s="364">
        <v>50</v>
      </c>
      <c r="H186" s="351">
        <v>0</v>
      </c>
      <c r="I186" s="351">
        <v>0</v>
      </c>
    </row>
    <row r="187" spans="2:9" ht="16.5">
      <c r="B187" s="363" t="s">
        <v>752</v>
      </c>
      <c r="C187" s="364">
        <v>3</v>
      </c>
      <c r="D187" s="351">
        <v>0</v>
      </c>
      <c r="E187" s="351">
        <v>0</v>
      </c>
      <c r="F187" s="363" t="s">
        <v>753</v>
      </c>
      <c r="G187" s="364">
        <v>51</v>
      </c>
      <c r="H187" s="351">
        <v>0</v>
      </c>
      <c r="I187" s="351">
        <v>0</v>
      </c>
    </row>
    <row r="188" spans="2:9" ht="16.5">
      <c r="B188" s="363" t="s">
        <v>754</v>
      </c>
      <c r="C188" s="364">
        <v>4</v>
      </c>
      <c r="D188" s="351">
        <v>0</v>
      </c>
      <c r="E188" s="351">
        <v>0</v>
      </c>
      <c r="F188" s="363" t="s">
        <v>755</v>
      </c>
      <c r="G188" s="364">
        <v>52</v>
      </c>
      <c r="H188" s="351">
        <v>933401278.95000005</v>
      </c>
      <c r="I188" s="351">
        <v>400538773.44</v>
      </c>
    </row>
    <row r="189" spans="2:9" ht="16.5">
      <c r="B189" s="363" t="s">
        <v>756</v>
      </c>
      <c r="C189" s="364">
        <v>5</v>
      </c>
      <c r="D189" s="351">
        <v>0</v>
      </c>
      <c r="E189" s="351">
        <v>0</v>
      </c>
      <c r="F189" s="363" t="s">
        <v>757</v>
      </c>
      <c r="G189" s="364">
        <v>53</v>
      </c>
      <c r="H189" s="351">
        <v>2903224448.9200001</v>
      </c>
      <c r="I189" s="351">
        <v>2941724100.8400002</v>
      </c>
    </row>
    <row r="190" spans="2:9" ht="16.5">
      <c r="B190" s="363" t="s">
        <v>758</v>
      </c>
      <c r="C190" s="364">
        <v>6</v>
      </c>
      <c r="D190" s="351">
        <v>1182765918.5999999</v>
      </c>
      <c r="E190" s="351">
        <v>1267277491.8900001</v>
      </c>
      <c r="F190" s="363" t="s">
        <v>759</v>
      </c>
      <c r="G190" s="364">
        <v>54</v>
      </c>
      <c r="H190" s="351">
        <v>947954714.87</v>
      </c>
      <c r="I190" s="351">
        <v>972429017.25999999</v>
      </c>
    </row>
    <row r="191" spans="2:9" ht="16.5">
      <c r="B191" s="363" t="s">
        <v>760</v>
      </c>
      <c r="C191" s="364">
        <v>7</v>
      </c>
      <c r="D191" s="351">
        <v>11879165.17</v>
      </c>
      <c r="E191" s="351">
        <v>3961900.2</v>
      </c>
      <c r="F191" s="363" t="s">
        <v>761</v>
      </c>
      <c r="G191" s="364">
        <v>55</v>
      </c>
      <c r="H191" s="351">
        <v>0</v>
      </c>
      <c r="I191" s="351">
        <v>0</v>
      </c>
    </row>
    <row r="192" spans="2:9" ht="16.5">
      <c r="B192" s="363" t="s">
        <v>762</v>
      </c>
      <c r="C192" s="364">
        <v>8</v>
      </c>
      <c r="D192" s="351">
        <v>523876722.47000003</v>
      </c>
      <c r="E192" s="351">
        <v>429388381.47000003</v>
      </c>
      <c r="F192" s="363" t="s">
        <v>763</v>
      </c>
      <c r="G192" s="364">
        <v>56</v>
      </c>
      <c r="H192" s="351">
        <v>0</v>
      </c>
      <c r="I192" s="351">
        <v>819105.85</v>
      </c>
    </row>
    <row r="193" spans="2:11" ht="16.5">
      <c r="B193" s="363" t="s">
        <v>764</v>
      </c>
      <c r="C193" s="364">
        <v>9</v>
      </c>
      <c r="D193" s="351">
        <v>0</v>
      </c>
      <c r="E193" s="351">
        <v>0</v>
      </c>
      <c r="F193" s="363" t="s">
        <v>765</v>
      </c>
      <c r="G193" s="364">
        <v>57</v>
      </c>
      <c r="H193" s="351">
        <v>508357944.75</v>
      </c>
      <c r="I193" s="351">
        <v>-7755737.79</v>
      </c>
    </row>
    <row r="194" spans="2:11" ht="16.5">
      <c r="B194" s="363" t="s">
        <v>766</v>
      </c>
      <c r="C194" s="364">
        <v>10</v>
      </c>
      <c r="D194" s="351">
        <v>0</v>
      </c>
      <c r="E194" s="351">
        <v>0</v>
      </c>
      <c r="F194" s="363" t="s">
        <v>767</v>
      </c>
      <c r="G194" s="364">
        <v>58</v>
      </c>
      <c r="H194" s="351">
        <v>0</v>
      </c>
      <c r="I194" s="351">
        <v>0</v>
      </c>
    </row>
    <row r="195" spans="2:11" ht="16.5">
      <c r="B195" s="363" t="s">
        <v>768</v>
      </c>
      <c r="C195" s="364">
        <v>11</v>
      </c>
      <c r="D195" s="351">
        <v>5199673847.3800001</v>
      </c>
      <c r="E195" s="351">
        <v>4856284606.8900003</v>
      </c>
      <c r="F195" s="363"/>
      <c r="G195" s="364">
        <v>59</v>
      </c>
      <c r="H195" s="351"/>
      <c r="I195" s="351"/>
    </row>
    <row r="196" spans="2:11" ht="16.5">
      <c r="B196" s="363" t="s">
        <v>769</v>
      </c>
      <c r="C196" s="364">
        <v>12</v>
      </c>
      <c r="D196" s="351">
        <v>142855959.19</v>
      </c>
      <c r="E196" s="351">
        <v>62037281.950000003</v>
      </c>
      <c r="F196" s="363" t="s">
        <v>770</v>
      </c>
      <c r="G196" s="364">
        <v>60</v>
      </c>
      <c r="H196" s="351">
        <v>0</v>
      </c>
      <c r="I196" s="351">
        <v>0</v>
      </c>
    </row>
    <row r="197" spans="2:11" ht="16.5">
      <c r="B197" s="363" t="s">
        <v>771</v>
      </c>
      <c r="C197" s="364">
        <v>13</v>
      </c>
      <c r="D197" s="351">
        <v>0</v>
      </c>
      <c r="E197" s="351">
        <v>0</v>
      </c>
      <c r="F197" s="363" t="s">
        <v>772</v>
      </c>
      <c r="G197" s="364">
        <v>61</v>
      </c>
      <c r="H197" s="351">
        <v>44765.2</v>
      </c>
      <c r="I197" s="351">
        <v>406472</v>
      </c>
    </row>
    <row r="198" spans="2:11" ht="16.5">
      <c r="B198" s="363" t="s">
        <v>773</v>
      </c>
      <c r="C198" s="364">
        <v>14</v>
      </c>
      <c r="D198" s="351">
        <v>0</v>
      </c>
      <c r="E198" s="351">
        <v>0</v>
      </c>
      <c r="F198" s="363" t="s">
        <v>774</v>
      </c>
      <c r="G198" s="364">
        <v>62</v>
      </c>
      <c r="H198" s="351">
        <v>0</v>
      </c>
      <c r="I198" s="351">
        <v>0</v>
      </c>
    </row>
    <row r="199" spans="2:11" ht="16.5">
      <c r="B199" s="363" t="s">
        <v>775</v>
      </c>
      <c r="C199" s="364">
        <v>15</v>
      </c>
      <c r="D199" s="351">
        <v>1200068.58</v>
      </c>
      <c r="E199" s="351">
        <v>1326460.07</v>
      </c>
      <c r="F199" s="363" t="s">
        <v>776</v>
      </c>
      <c r="G199" s="364">
        <v>63</v>
      </c>
      <c r="H199" s="351">
        <v>0</v>
      </c>
      <c r="I199" s="351">
        <v>0</v>
      </c>
    </row>
    <row r="200" spans="2:11" ht="16.5">
      <c r="B200" s="363" t="s">
        <v>777</v>
      </c>
      <c r="C200" s="364">
        <v>16</v>
      </c>
      <c r="D200" s="351">
        <v>7730015761.1400003</v>
      </c>
      <c r="E200" s="351">
        <v>6843665769.9799995</v>
      </c>
      <c r="F200" s="363" t="s">
        <v>778</v>
      </c>
      <c r="G200" s="364">
        <v>64</v>
      </c>
      <c r="H200" s="351">
        <v>0</v>
      </c>
      <c r="I200" s="351">
        <v>0</v>
      </c>
      <c r="K200">
        <v>38123054.049999997</v>
      </c>
    </row>
    <row r="201" spans="2:11" ht="16.5">
      <c r="B201" s="363" t="s">
        <v>779</v>
      </c>
      <c r="C201" s="364">
        <v>17</v>
      </c>
      <c r="D201" s="351"/>
      <c r="E201" s="351"/>
      <c r="F201" s="363" t="s">
        <v>780</v>
      </c>
      <c r="G201" s="364">
        <v>65</v>
      </c>
      <c r="H201" s="351">
        <v>5292983152.6899996</v>
      </c>
      <c r="I201" s="351">
        <v>4308161731.6000004</v>
      </c>
    </row>
    <row r="202" spans="2:11" ht="16.5">
      <c r="B202" s="363" t="s">
        <v>781</v>
      </c>
      <c r="C202" s="364">
        <v>18</v>
      </c>
      <c r="D202" s="351">
        <v>0</v>
      </c>
      <c r="E202" s="351">
        <v>0</v>
      </c>
      <c r="F202" s="363" t="s">
        <v>782</v>
      </c>
      <c r="G202" s="364">
        <v>66</v>
      </c>
      <c r="H202" s="351"/>
      <c r="I202" s="351"/>
    </row>
    <row r="203" spans="2:11" ht="16.5">
      <c r="B203" s="363" t="s">
        <v>783</v>
      </c>
      <c r="C203" s="364">
        <v>19</v>
      </c>
      <c r="D203" s="351">
        <v>0</v>
      </c>
      <c r="E203" s="351">
        <v>0</v>
      </c>
      <c r="F203" s="363" t="s">
        <v>784</v>
      </c>
      <c r="G203" s="364">
        <v>67</v>
      </c>
      <c r="H203" s="351">
        <v>0</v>
      </c>
      <c r="I203" s="351">
        <v>0</v>
      </c>
    </row>
    <row r="204" spans="2:11" ht="16.5">
      <c r="B204" s="363" t="s">
        <v>785</v>
      </c>
      <c r="C204" s="364">
        <v>20</v>
      </c>
      <c r="D204" s="351">
        <v>0</v>
      </c>
      <c r="E204" s="351">
        <v>0</v>
      </c>
      <c r="F204" s="363" t="s">
        <v>786</v>
      </c>
      <c r="G204" s="364">
        <v>68</v>
      </c>
      <c r="H204" s="351">
        <v>0</v>
      </c>
      <c r="I204" s="351">
        <v>0</v>
      </c>
    </row>
    <row r="205" spans="2:11" ht="16.5">
      <c r="B205" s="363" t="s">
        <v>787</v>
      </c>
      <c r="C205" s="364">
        <v>21</v>
      </c>
      <c r="D205" s="351">
        <v>23000</v>
      </c>
      <c r="E205" s="351">
        <v>23000</v>
      </c>
      <c r="F205" s="363" t="s">
        <v>788</v>
      </c>
      <c r="G205" s="364">
        <v>69</v>
      </c>
      <c r="H205" s="351">
        <v>0</v>
      </c>
      <c r="I205" s="351">
        <v>0</v>
      </c>
    </row>
    <row r="206" spans="2:11" ht="16.5">
      <c r="B206" s="363" t="s">
        <v>789</v>
      </c>
      <c r="C206" s="364">
        <v>22</v>
      </c>
      <c r="D206" s="351">
        <v>0</v>
      </c>
      <c r="E206" s="351">
        <v>0</v>
      </c>
      <c r="F206" s="363" t="s">
        <v>790</v>
      </c>
      <c r="G206" s="364">
        <v>70</v>
      </c>
      <c r="H206" s="351">
        <v>0</v>
      </c>
      <c r="I206" s="351">
        <v>0</v>
      </c>
    </row>
    <row r="207" spans="2:11" ht="16.5">
      <c r="B207" s="363" t="s">
        <v>791</v>
      </c>
      <c r="C207" s="364">
        <v>23</v>
      </c>
      <c r="D207" s="351">
        <v>0</v>
      </c>
      <c r="E207" s="351">
        <v>0</v>
      </c>
      <c r="F207" s="363" t="s">
        <v>792</v>
      </c>
      <c r="G207" s="364">
        <v>71</v>
      </c>
      <c r="H207" s="351">
        <v>0</v>
      </c>
      <c r="I207" s="351">
        <v>0</v>
      </c>
    </row>
    <row r="208" spans="2:11" ht="16.5">
      <c r="B208" s="363" t="s">
        <v>793</v>
      </c>
      <c r="C208" s="364">
        <v>24</v>
      </c>
      <c r="D208" s="351">
        <v>0</v>
      </c>
      <c r="E208" s="351">
        <v>0</v>
      </c>
      <c r="F208" s="363" t="s">
        <v>794</v>
      </c>
      <c r="G208" s="364">
        <v>72</v>
      </c>
      <c r="H208" s="351">
        <v>0</v>
      </c>
      <c r="I208" s="351">
        <v>0</v>
      </c>
    </row>
    <row r="209" spans="2:9" ht="16.5">
      <c r="B209" s="363" t="s">
        <v>795</v>
      </c>
      <c r="C209" s="364">
        <v>25</v>
      </c>
      <c r="D209" s="351">
        <v>0</v>
      </c>
      <c r="E209" s="351">
        <v>0</v>
      </c>
      <c r="F209" s="363" t="s">
        <v>796</v>
      </c>
      <c r="G209" s="364">
        <v>73</v>
      </c>
      <c r="H209" s="351">
        <v>0</v>
      </c>
      <c r="I209" s="351">
        <v>0</v>
      </c>
    </row>
    <row r="210" spans="2:9" ht="16.5">
      <c r="B210" s="363" t="s">
        <v>797</v>
      </c>
      <c r="C210" s="364">
        <v>26</v>
      </c>
      <c r="D210" s="351">
        <v>0</v>
      </c>
      <c r="E210" s="351">
        <v>0</v>
      </c>
      <c r="F210" s="363" t="s">
        <v>798</v>
      </c>
      <c r="G210" s="364">
        <v>74</v>
      </c>
      <c r="H210" s="351">
        <v>0</v>
      </c>
      <c r="I210" s="351">
        <v>0</v>
      </c>
    </row>
    <row r="211" spans="2:9" ht="16.5">
      <c r="B211" s="363" t="s">
        <v>799</v>
      </c>
      <c r="C211" s="364">
        <v>27</v>
      </c>
      <c r="D211" s="351">
        <v>0</v>
      </c>
      <c r="E211" s="351">
        <v>0</v>
      </c>
      <c r="F211" s="363" t="s">
        <v>800</v>
      </c>
      <c r="G211" s="364">
        <v>75</v>
      </c>
      <c r="H211" s="351">
        <v>0</v>
      </c>
      <c r="I211" s="351">
        <v>0</v>
      </c>
    </row>
    <row r="212" spans="2:9" ht="16.5">
      <c r="B212" s="363" t="s">
        <v>801</v>
      </c>
      <c r="C212" s="364">
        <v>28</v>
      </c>
      <c r="D212" s="351">
        <v>0</v>
      </c>
      <c r="E212" s="351">
        <v>0</v>
      </c>
      <c r="F212" s="363"/>
      <c r="G212" s="364">
        <v>76</v>
      </c>
      <c r="H212" s="351"/>
      <c r="I212" s="351"/>
    </row>
    <row r="213" spans="2:9" ht="16.5">
      <c r="B213" s="363" t="s">
        <v>802</v>
      </c>
      <c r="C213" s="364">
        <v>29</v>
      </c>
      <c r="D213" s="351">
        <v>0</v>
      </c>
      <c r="E213" s="351">
        <v>0</v>
      </c>
      <c r="F213" s="363"/>
      <c r="G213" s="364">
        <v>77</v>
      </c>
      <c r="H213" s="351"/>
      <c r="I213" s="351"/>
    </row>
    <row r="214" spans="2:9" ht="16.5">
      <c r="B214" s="363" t="s">
        <v>803</v>
      </c>
      <c r="C214" s="364">
        <v>30</v>
      </c>
      <c r="D214" s="351">
        <v>0</v>
      </c>
      <c r="E214" s="351">
        <v>0</v>
      </c>
      <c r="F214" s="363" t="s">
        <v>804</v>
      </c>
      <c r="G214" s="364">
        <v>78</v>
      </c>
      <c r="H214" s="351">
        <v>5292983152.6899996</v>
      </c>
      <c r="I214" s="351">
        <v>4308161731.6000004</v>
      </c>
    </row>
    <row r="215" spans="2:9" ht="16.5">
      <c r="B215" s="363" t="s">
        <v>805</v>
      </c>
      <c r="C215" s="364">
        <v>31</v>
      </c>
      <c r="D215" s="351">
        <v>0</v>
      </c>
      <c r="E215" s="351">
        <v>0</v>
      </c>
      <c r="F215" s="363"/>
      <c r="G215" s="364">
        <v>79</v>
      </c>
      <c r="H215" s="351"/>
      <c r="I215" s="351"/>
    </row>
    <row r="216" spans="2:9" ht="16.5">
      <c r="B216" s="363" t="s">
        <v>806</v>
      </c>
      <c r="C216" s="364">
        <v>32</v>
      </c>
      <c r="D216" s="351">
        <v>0</v>
      </c>
      <c r="E216" s="351">
        <v>0</v>
      </c>
      <c r="F216" s="363" t="s">
        <v>807</v>
      </c>
      <c r="G216" s="364">
        <v>80</v>
      </c>
      <c r="H216" s="351"/>
      <c r="I216" s="351"/>
    </row>
    <row r="217" spans="2:9" ht="16.5">
      <c r="B217" s="363" t="s">
        <v>808</v>
      </c>
      <c r="C217" s="364">
        <v>33</v>
      </c>
      <c r="D217" s="351">
        <v>0</v>
      </c>
      <c r="E217" s="351">
        <v>0</v>
      </c>
      <c r="F217" s="363" t="s">
        <v>809</v>
      </c>
      <c r="G217" s="364">
        <v>81</v>
      </c>
      <c r="H217" s="351">
        <v>445000000</v>
      </c>
      <c r="I217" s="351">
        <v>445000000</v>
      </c>
    </row>
    <row r="218" spans="2:9" ht="16.5">
      <c r="B218" s="363" t="s">
        <v>810</v>
      </c>
      <c r="C218" s="364">
        <v>34</v>
      </c>
      <c r="D218" s="351">
        <v>0</v>
      </c>
      <c r="E218" s="351">
        <v>0</v>
      </c>
      <c r="F218" s="363" t="s">
        <v>811</v>
      </c>
      <c r="G218" s="364">
        <v>82</v>
      </c>
      <c r="H218" s="351">
        <v>0</v>
      </c>
      <c r="I218" s="351">
        <v>0</v>
      </c>
    </row>
    <row r="219" spans="2:9" ht="16.5">
      <c r="B219" s="363" t="s">
        <v>812</v>
      </c>
      <c r="C219" s="364">
        <v>35</v>
      </c>
      <c r="D219" s="351">
        <v>0</v>
      </c>
      <c r="E219" s="351">
        <v>0</v>
      </c>
      <c r="F219" s="363" t="s">
        <v>813</v>
      </c>
      <c r="G219" s="364">
        <v>83</v>
      </c>
      <c r="H219" s="351">
        <v>222500000</v>
      </c>
      <c r="I219" s="351">
        <v>222500000</v>
      </c>
    </row>
    <row r="220" spans="2:9" ht="16.5">
      <c r="B220" s="363" t="s">
        <v>814</v>
      </c>
      <c r="C220" s="364">
        <v>36</v>
      </c>
      <c r="D220" s="351">
        <v>202652895.02000001</v>
      </c>
      <c r="E220" s="351">
        <v>202652895.02000001</v>
      </c>
      <c r="F220" s="363" t="s">
        <v>815</v>
      </c>
      <c r="G220" s="364">
        <v>84</v>
      </c>
      <c r="H220" s="351">
        <v>0</v>
      </c>
      <c r="I220" s="351">
        <v>0</v>
      </c>
    </row>
    <row r="221" spans="2:9" ht="16.5">
      <c r="B221" s="363" t="s">
        <v>816</v>
      </c>
      <c r="C221" s="364">
        <v>37</v>
      </c>
      <c r="D221" s="351">
        <v>1738000</v>
      </c>
      <c r="E221" s="351">
        <v>0</v>
      </c>
      <c r="F221" s="363" t="s">
        <v>817</v>
      </c>
      <c r="G221" s="364">
        <v>85</v>
      </c>
      <c r="H221" s="351">
        <v>1973946503.47</v>
      </c>
      <c r="I221" s="351">
        <v>2070679933.4000001</v>
      </c>
    </row>
    <row r="222" spans="2:9" ht="16.5">
      <c r="B222" s="363" t="s">
        <v>818</v>
      </c>
      <c r="C222" s="364">
        <v>38</v>
      </c>
      <c r="D222" s="351">
        <v>204413895.02000001</v>
      </c>
      <c r="E222" s="351">
        <v>202675895.02000001</v>
      </c>
      <c r="F222" s="363" t="s">
        <v>819</v>
      </c>
      <c r="G222" s="364">
        <v>86</v>
      </c>
      <c r="H222" s="351">
        <v>2641446503.4699998</v>
      </c>
      <c r="I222" s="351">
        <v>2738179933.4000001</v>
      </c>
    </row>
    <row r="223" spans="2:9" ht="16.5">
      <c r="B223" s="363" t="s">
        <v>820</v>
      </c>
      <c r="C223" s="364">
        <v>39</v>
      </c>
      <c r="D223" s="351">
        <v>7934429656.1599998</v>
      </c>
      <c r="E223" s="351">
        <v>7046341665</v>
      </c>
      <c r="F223" s="363" t="s">
        <v>821</v>
      </c>
      <c r="G223" s="364">
        <v>87</v>
      </c>
      <c r="H223" s="351">
        <v>7934429656.1599998</v>
      </c>
      <c r="I223" s="351">
        <v>7046341665</v>
      </c>
    </row>
    <row r="226" spans="2:9" ht="16.5">
      <c r="B226" s="333" t="s">
        <v>741</v>
      </c>
    </row>
    <row r="227" spans="2:9" ht="16.5">
      <c r="B227" s="333" t="s">
        <v>742</v>
      </c>
      <c r="C227" s="362"/>
      <c r="F227" s="332"/>
      <c r="G227" s="362"/>
    </row>
    <row r="228" spans="2:9" ht="16.5">
      <c r="B228" s="333" t="s">
        <v>826</v>
      </c>
      <c r="C228" s="362"/>
      <c r="F228" s="332"/>
      <c r="G228" s="362"/>
    </row>
    <row r="229" spans="2:9" ht="16.5">
      <c r="B229" s="336" t="s">
        <v>744</v>
      </c>
      <c r="C229" s="336" t="s">
        <v>745</v>
      </c>
      <c r="D229" s="336" t="s">
        <v>746</v>
      </c>
      <c r="E229" s="336" t="s">
        <v>747</v>
      </c>
      <c r="F229" s="336" t="s">
        <v>744</v>
      </c>
      <c r="G229" s="336" t="s">
        <v>745</v>
      </c>
      <c r="H229" s="336" t="s">
        <v>746</v>
      </c>
      <c r="I229" s="336" t="s">
        <v>747</v>
      </c>
    </row>
    <row r="230" spans="2:9" ht="16.5">
      <c r="B230" s="363" t="s">
        <v>748</v>
      </c>
      <c r="C230" s="364">
        <v>1</v>
      </c>
      <c r="D230" s="365"/>
      <c r="E230" s="365"/>
      <c r="F230" s="363" t="s">
        <v>749</v>
      </c>
      <c r="G230" s="364"/>
      <c r="H230" s="366"/>
      <c r="I230" s="366"/>
    </row>
    <row r="231" spans="2:9" ht="16.5">
      <c r="B231" s="363" t="s">
        <v>750</v>
      </c>
      <c r="C231" s="364">
        <v>2</v>
      </c>
      <c r="D231" s="351">
        <v>667764079.75</v>
      </c>
      <c r="E231" s="351">
        <v>175458552.31999999</v>
      </c>
      <c r="F231" s="363" t="s">
        <v>751</v>
      </c>
      <c r="G231" s="364">
        <v>50</v>
      </c>
      <c r="H231" s="351">
        <v>0</v>
      </c>
      <c r="I231" s="351">
        <v>0</v>
      </c>
    </row>
    <row r="232" spans="2:9" ht="16.5">
      <c r="B232" s="363" t="s">
        <v>752</v>
      </c>
      <c r="C232" s="364">
        <v>3</v>
      </c>
      <c r="D232" s="351">
        <v>0</v>
      </c>
      <c r="E232" s="351">
        <v>0</v>
      </c>
      <c r="F232" s="363" t="s">
        <v>753</v>
      </c>
      <c r="G232" s="364">
        <v>51</v>
      </c>
      <c r="H232" s="351">
        <v>0</v>
      </c>
      <c r="I232" s="351">
        <v>0</v>
      </c>
    </row>
    <row r="233" spans="2:9" ht="16.5">
      <c r="B233" s="363" t="s">
        <v>754</v>
      </c>
      <c r="C233" s="364">
        <v>4</v>
      </c>
      <c r="D233" s="351">
        <v>0</v>
      </c>
      <c r="E233" s="351">
        <v>0</v>
      </c>
      <c r="F233" s="363" t="s">
        <v>755</v>
      </c>
      <c r="G233" s="364">
        <v>52</v>
      </c>
      <c r="H233" s="351">
        <v>933401278.95000005</v>
      </c>
      <c r="I233" s="351">
        <v>258367501.88999999</v>
      </c>
    </row>
    <row r="234" spans="2:9" ht="16.5">
      <c r="B234" s="363" t="s">
        <v>756</v>
      </c>
      <c r="C234" s="364">
        <v>5</v>
      </c>
      <c r="D234" s="351">
        <v>0</v>
      </c>
      <c r="E234" s="351">
        <v>0</v>
      </c>
      <c r="F234" s="363" t="s">
        <v>757</v>
      </c>
      <c r="G234" s="364">
        <v>53</v>
      </c>
      <c r="H234" s="351">
        <v>2903224448.9200001</v>
      </c>
      <c r="I234" s="372">
        <v>2813118366.4200001</v>
      </c>
    </row>
    <row r="235" spans="2:9" ht="16.5">
      <c r="B235" s="363" t="s">
        <v>758</v>
      </c>
      <c r="C235" s="364">
        <v>6</v>
      </c>
      <c r="D235" s="351">
        <v>1182765918.5999999</v>
      </c>
      <c r="E235" s="351">
        <v>1017568672.84</v>
      </c>
      <c r="F235" s="363" t="s">
        <v>759</v>
      </c>
      <c r="G235" s="364">
        <v>54</v>
      </c>
      <c r="H235" s="351">
        <v>947954714.87</v>
      </c>
      <c r="I235" s="351">
        <v>1071637972.77</v>
      </c>
    </row>
    <row r="236" spans="2:9" ht="16.5">
      <c r="B236" s="363" t="s">
        <v>760</v>
      </c>
      <c r="C236" s="364">
        <v>7</v>
      </c>
      <c r="D236" s="351">
        <v>11879165.17</v>
      </c>
      <c r="E236" s="351">
        <v>229914.99</v>
      </c>
      <c r="F236" s="363" t="s">
        <v>761</v>
      </c>
      <c r="G236" s="364">
        <v>55</v>
      </c>
      <c r="H236" s="351">
        <v>0</v>
      </c>
      <c r="I236" s="351">
        <v>0</v>
      </c>
    </row>
    <row r="237" spans="2:9" ht="16.5">
      <c r="B237" s="363" t="s">
        <v>762</v>
      </c>
      <c r="C237" s="364">
        <v>8</v>
      </c>
      <c r="D237" s="351">
        <v>523876722.47000003</v>
      </c>
      <c r="E237" s="372">
        <v>586079508.73000002</v>
      </c>
      <c r="F237" s="363" t="s">
        <v>763</v>
      </c>
      <c r="G237" s="364">
        <v>56</v>
      </c>
      <c r="H237" s="351">
        <v>0</v>
      </c>
      <c r="I237" s="351">
        <v>1667413.74</v>
      </c>
    </row>
    <row r="238" spans="2:9" ht="16.5">
      <c r="B238" s="363" t="s">
        <v>764</v>
      </c>
      <c r="C238" s="364">
        <v>9</v>
      </c>
      <c r="D238" s="351">
        <v>0</v>
      </c>
      <c r="E238" s="351">
        <v>0</v>
      </c>
      <c r="F238" s="363" t="s">
        <v>765</v>
      </c>
      <c r="G238" s="364">
        <v>57</v>
      </c>
      <c r="H238" s="351">
        <v>508357944.75</v>
      </c>
      <c r="I238" s="351">
        <v>-2555941.44</v>
      </c>
    </row>
    <row r="239" spans="2:9" ht="16.5">
      <c r="B239" s="363" t="s">
        <v>766</v>
      </c>
      <c r="C239" s="364">
        <v>10</v>
      </c>
      <c r="D239" s="351">
        <v>0</v>
      </c>
      <c r="E239" s="351">
        <v>0</v>
      </c>
      <c r="F239" s="363" t="s">
        <v>767</v>
      </c>
      <c r="G239" s="364">
        <v>58</v>
      </c>
      <c r="H239" s="351">
        <v>0</v>
      </c>
      <c r="I239" s="351">
        <v>0</v>
      </c>
    </row>
    <row r="240" spans="2:9" ht="16.5">
      <c r="B240" s="363" t="s">
        <v>768</v>
      </c>
      <c r="C240" s="364">
        <v>11</v>
      </c>
      <c r="D240" s="351">
        <v>5199673847.3800001</v>
      </c>
      <c r="E240" s="351">
        <v>4833391823.3299999</v>
      </c>
      <c r="F240" s="363"/>
      <c r="G240" s="364">
        <v>59</v>
      </c>
      <c r="H240" s="351"/>
      <c r="I240" s="351"/>
    </row>
    <row r="241" spans="2:11" ht="16.5">
      <c r="B241" s="363" t="s">
        <v>769</v>
      </c>
      <c r="C241" s="364">
        <v>12</v>
      </c>
      <c r="D241" s="351">
        <v>142855959.19</v>
      </c>
      <c r="E241" s="351">
        <v>59740492.229999997</v>
      </c>
      <c r="F241" s="363" t="s">
        <v>770</v>
      </c>
      <c r="G241" s="364">
        <v>60</v>
      </c>
      <c r="H241" s="351">
        <v>0</v>
      </c>
      <c r="I241" s="351">
        <v>1973946503.47</v>
      </c>
    </row>
    <row r="242" spans="2:11" ht="16.5">
      <c r="B242" s="363" t="s">
        <v>771</v>
      </c>
      <c r="C242" s="364">
        <v>13</v>
      </c>
      <c r="D242" s="351">
        <v>0</v>
      </c>
      <c r="E242" s="351">
        <v>0</v>
      </c>
      <c r="F242" s="363" t="s">
        <v>772</v>
      </c>
      <c r="G242" s="364">
        <v>61</v>
      </c>
      <c r="H242" s="351">
        <v>44765.2</v>
      </c>
      <c r="I242" s="351">
        <v>449434.3</v>
      </c>
    </row>
    <row r="243" spans="2:11" ht="16.5">
      <c r="B243" s="363" t="s">
        <v>773</v>
      </c>
      <c r="C243" s="364">
        <v>14</v>
      </c>
      <c r="D243" s="351">
        <v>0</v>
      </c>
      <c r="E243" s="351">
        <v>0</v>
      </c>
      <c r="F243" s="363" t="s">
        <v>774</v>
      </c>
      <c r="G243" s="364">
        <v>62</v>
      </c>
      <c r="H243" s="351">
        <v>0</v>
      </c>
      <c r="I243" s="351">
        <v>0</v>
      </c>
    </row>
    <row r="244" spans="2:11" ht="16.5">
      <c r="B244" s="363" t="s">
        <v>775</v>
      </c>
      <c r="C244" s="364">
        <v>15</v>
      </c>
      <c r="D244" s="351">
        <v>1200068.58</v>
      </c>
      <c r="E244" s="351">
        <v>1490158.18</v>
      </c>
      <c r="F244" s="363" t="s">
        <v>776</v>
      </c>
      <c r="G244" s="364">
        <v>63</v>
      </c>
      <c r="H244" s="351">
        <v>0</v>
      </c>
      <c r="I244" s="351">
        <v>0</v>
      </c>
    </row>
    <row r="245" spans="2:11" ht="16.5">
      <c r="B245" s="363" t="s">
        <v>777</v>
      </c>
      <c r="C245" s="364">
        <v>16</v>
      </c>
      <c r="D245" s="351">
        <v>7730015761.1400003</v>
      </c>
      <c r="E245" s="351">
        <v>6673959122.6199999</v>
      </c>
      <c r="F245" s="363" t="s">
        <v>778</v>
      </c>
      <c r="G245" s="364">
        <v>64</v>
      </c>
      <c r="H245" s="351">
        <v>0</v>
      </c>
      <c r="I245" s="351">
        <v>0</v>
      </c>
    </row>
    <row r="246" spans="2:11" ht="16.5">
      <c r="B246" s="363" t="s">
        <v>779</v>
      </c>
      <c r="C246" s="364">
        <v>17</v>
      </c>
      <c r="D246" s="351"/>
      <c r="E246" s="351"/>
      <c r="F246" s="363" t="s">
        <v>780</v>
      </c>
      <c r="G246" s="364">
        <v>65</v>
      </c>
      <c r="H246" s="351">
        <v>5292983152.6899996</v>
      </c>
      <c r="I246" s="351">
        <v>6116631251.1499996</v>
      </c>
      <c r="K246">
        <v>31978262.370000001</v>
      </c>
    </row>
    <row r="247" spans="2:11" ht="16.5">
      <c r="B247" s="363" t="s">
        <v>781</v>
      </c>
      <c r="C247" s="364">
        <v>18</v>
      </c>
      <c r="D247" s="351">
        <v>0</v>
      </c>
      <c r="E247" s="351">
        <v>0</v>
      </c>
      <c r="F247" s="363" t="s">
        <v>782</v>
      </c>
      <c r="G247" s="364">
        <v>66</v>
      </c>
      <c r="H247" s="351"/>
      <c r="I247" s="351"/>
    </row>
    <row r="248" spans="2:11" ht="16.5">
      <c r="B248" s="363" t="s">
        <v>783</v>
      </c>
      <c r="C248" s="364">
        <v>19</v>
      </c>
      <c r="D248" s="351">
        <v>0</v>
      </c>
      <c r="E248" s="351">
        <v>0</v>
      </c>
      <c r="F248" s="363" t="s">
        <v>784</v>
      </c>
      <c r="G248" s="364">
        <v>67</v>
      </c>
      <c r="H248" s="351">
        <v>0</v>
      </c>
      <c r="I248" s="351">
        <v>0</v>
      </c>
    </row>
    <row r="249" spans="2:11" ht="16.5">
      <c r="B249" s="363" t="s">
        <v>785</v>
      </c>
      <c r="C249" s="364">
        <v>20</v>
      </c>
      <c r="D249" s="351">
        <v>0</v>
      </c>
      <c r="E249" s="351">
        <v>0</v>
      </c>
      <c r="F249" s="363" t="s">
        <v>786</v>
      </c>
      <c r="G249" s="364">
        <v>68</v>
      </c>
      <c r="H249" s="351">
        <v>0</v>
      </c>
      <c r="I249" s="351">
        <v>0</v>
      </c>
    </row>
    <row r="250" spans="2:11" ht="16.5">
      <c r="B250" s="363" t="s">
        <v>787</v>
      </c>
      <c r="C250" s="364">
        <v>21</v>
      </c>
      <c r="D250" s="351">
        <v>23000</v>
      </c>
      <c r="E250" s="351">
        <v>23000</v>
      </c>
      <c r="F250" s="363" t="s">
        <v>788</v>
      </c>
      <c r="G250" s="364">
        <v>69</v>
      </c>
      <c r="H250" s="351">
        <v>0</v>
      </c>
      <c r="I250" s="351">
        <v>0</v>
      </c>
    </row>
    <row r="251" spans="2:11" ht="16.5">
      <c r="B251" s="363" t="s">
        <v>789</v>
      </c>
      <c r="C251" s="364">
        <v>22</v>
      </c>
      <c r="D251" s="351">
        <v>0</v>
      </c>
      <c r="E251" s="351">
        <v>0</v>
      </c>
      <c r="F251" s="363" t="s">
        <v>790</v>
      </c>
      <c r="G251" s="364">
        <v>70</v>
      </c>
      <c r="H251" s="351">
        <v>0</v>
      </c>
      <c r="I251" s="351">
        <v>0</v>
      </c>
    </row>
    <row r="252" spans="2:11" ht="16.5">
      <c r="B252" s="363" t="s">
        <v>791</v>
      </c>
      <c r="C252" s="364">
        <v>23</v>
      </c>
      <c r="D252" s="351">
        <v>0</v>
      </c>
      <c r="E252" s="351">
        <v>0</v>
      </c>
      <c r="F252" s="363" t="s">
        <v>792</v>
      </c>
      <c r="G252" s="364">
        <v>71</v>
      </c>
      <c r="H252" s="351">
        <v>0</v>
      </c>
      <c r="I252" s="351">
        <v>0</v>
      </c>
    </row>
    <row r="253" spans="2:11" ht="16.5">
      <c r="B253" s="363" t="s">
        <v>793</v>
      </c>
      <c r="C253" s="364">
        <v>24</v>
      </c>
      <c r="D253" s="351">
        <v>0</v>
      </c>
      <c r="E253" s="351">
        <v>0</v>
      </c>
      <c r="F253" s="363" t="s">
        <v>794</v>
      </c>
      <c r="G253" s="364">
        <v>72</v>
      </c>
      <c r="H253" s="351">
        <v>0</v>
      </c>
      <c r="I253" s="351">
        <v>0</v>
      </c>
    </row>
    <row r="254" spans="2:11" ht="16.5">
      <c r="B254" s="363" t="s">
        <v>795</v>
      </c>
      <c r="C254" s="364">
        <v>25</v>
      </c>
      <c r="D254" s="351">
        <v>0</v>
      </c>
      <c r="E254" s="351">
        <v>0</v>
      </c>
      <c r="F254" s="363" t="s">
        <v>796</v>
      </c>
      <c r="G254" s="364">
        <v>73</v>
      </c>
      <c r="H254" s="351">
        <v>0</v>
      </c>
      <c r="I254" s="351">
        <v>0</v>
      </c>
    </row>
    <row r="255" spans="2:11" ht="16.5">
      <c r="B255" s="363" t="s">
        <v>797</v>
      </c>
      <c r="C255" s="364">
        <v>26</v>
      </c>
      <c r="D255" s="351">
        <v>0</v>
      </c>
      <c r="E255" s="351">
        <v>0</v>
      </c>
      <c r="F255" s="363" t="s">
        <v>798</v>
      </c>
      <c r="G255" s="364">
        <v>74</v>
      </c>
      <c r="H255" s="351">
        <v>0</v>
      </c>
      <c r="I255" s="351">
        <v>0</v>
      </c>
    </row>
    <row r="256" spans="2:11" ht="16.5">
      <c r="B256" s="363" t="s">
        <v>799</v>
      </c>
      <c r="C256" s="364">
        <v>27</v>
      </c>
      <c r="D256" s="351">
        <v>0</v>
      </c>
      <c r="E256" s="351">
        <v>0</v>
      </c>
      <c r="F256" s="363" t="s">
        <v>800</v>
      </c>
      <c r="G256" s="364">
        <v>75</v>
      </c>
      <c r="H256" s="351">
        <v>0</v>
      </c>
      <c r="I256" s="351">
        <v>0</v>
      </c>
    </row>
    <row r="257" spans="2:9" ht="16.5">
      <c r="B257" s="363" t="s">
        <v>801</v>
      </c>
      <c r="C257" s="364">
        <v>28</v>
      </c>
      <c r="D257" s="351">
        <v>0</v>
      </c>
      <c r="E257" s="351">
        <v>0</v>
      </c>
      <c r="F257" s="363"/>
      <c r="G257" s="364">
        <v>76</v>
      </c>
      <c r="H257" s="351"/>
      <c r="I257" s="351"/>
    </row>
    <row r="258" spans="2:9" ht="16.5">
      <c r="B258" s="363" t="s">
        <v>802</v>
      </c>
      <c r="C258" s="364">
        <v>29</v>
      </c>
      <c r="D258" s="351">
        <v>0</v>
      </c>
      <c r="E258" s="351">
        <v>0</v>
      </c>
      <c r="F258" s="363"/>
      <c r="G258" s="364">
        <v>77</v>
      </c>
      <c r="H258" s="351"/>
      <c r="I258" s="351"/>
    </row>
    <row r="259" spans="2:9" ht="16.5">
      <c r="B259" s="363" t="s">
        <v>803</v>
      </c>
      <c r="C259" s="364">
        <v>30</v>
      </c>
      <c r="D259" s="351">
        <v>0</v>
      </c>
      <c r="E259" s="351">
        <v>0</v>
      </c>
      <c r="F259" s="363" t="s">
        <v>804</v>
      </c>
      <c r="G259" s="364">
        <v>78</v>
      </c>
      <c r="H259" s="351">
        <v>5292983152.6899996</v>
      </c>
      <c r="I259" s="351">
        <v>6116631251.1499996</v>
      </c>
    </row>
    <row r="260" spans="2:9" ht="16.5">
      <c r="B260" s="363" t="s">
        <v>805</v>
      </c>
      <c r="C260" s="364">
        <v>31</v>
      </c>
      <c r="D260" s="351">
        <v>0</v>
      </c>
      <c r="E260" s="351">
        <v>0</v>
      </c>
      <c r="F260" s="363"/>
      <c r="G260" s="364">
        <v>79</v>
      </c>
      <c r="H260" s="351"/>
      <c r="I260" s="351"/>
    </row>
    <row r="261" spans="2:9" ht="16.5">
      <c r="B261" s="363" t="s">
        <v>806</v>
      </c>
      <c r="C261" s="364">
        <v>32</v>
      </c>
      <c r="D261" s="351">
        <v>0</v>
      </c>
      <c r="E261" s="351">
        <v>0</v>
      </c>
      <c r="F261" s="363" t="s">
        <v>807</v>
      </c>
      <c r="G261" s="364">
        <v>80</v>
      </c>
      <c r="H261" s="351"/>
      <c r="I261" s="351"/>
    </row>
    <row r="262" spans="2:9" ht="16.5">
      <c r="B262" s="363" t="s">
        <v>808</v>
      </c>
      <c r="C262" s="364">
        <v>33</v>
      </c>
      <c r="D262" s="351">
        <v>0</v>
      </c>
      <c r="E262" s="351">
        <v>0</v>
      </c>
      <c r="F262" s="363" t="s">
        <v>809</v>
      </c>
      <c r="G262" s="364">
        <v>81</v>
      </c>
      <c r="H262" s="351">
        <v>445000000</v>
      </c>
      <c r="I262" s="351">
        <v>445000000</v>
      </c>
    </row>
    <row r="263" spans="2:9" ht="16.5">
      <c r="B263" s="363" t="s">
        <v>810</v>
      </c>
      <c r="C263" s="364">
        <v>34</v>
      </c>
      <c r="D263" s="351">
        <v>0</v>
      </c>
      <c r="E263" s="351">
        <v>0</v>
      </c>
      <c r="F263" s="363" t="s">
        <v>811</v>
      </c>
      <c r="G263" s="364">
        <v>82</v>
      </c>
      <c r="H263" s="351">
        <v>0</v>
      </c>
      <c r="I263" s="351">
        <v>0</v>
      </c>
    </row>
    <row r="264" spans="2:9" ht="16.5">
      <c r="B264" s="363" t="s">
        <v>812</v>
      </c>
      <c r="C264" s="364">
        <v>35</v>
      </c>
      <c r="D264" s="351">
        <v>0</v>
      </c>
      <c r="E264" s="351">
        <v>0</v>
      </c>
      <c r="F264" s="363" t="s">
        <v>813</v>
      </c>
      <c r="G264" s="364">
        <v>83</v>
      </c>
      <c r="H264" s="351">
        <v>222500000</v>
      </c>
      <c r="I264" s="351">
        <v>222500000</v>
      </c>
    </row>
    <row r="265" spans="2:9" ht="16.5">
      <c r="B265" s="363" t="s">
        <v>814</v>
      </c>
      <c r="C265" s="364">
        <v>36</v>
      </c>
      <c r="D265" s="351">
        <v>202652895.02000001</v>
      </c>
      <c r="E265" s="351">
        <v>202652895.02000001</v>
      </c>
      <c r="F265" s="363" t="s">
        <v>815</v>
      </c>
      <c r="G265" s="364">
        <v>84</v>
      </c>
      <c r="H265" s="351">
        <v>0</v>
      </c>
      <c r="I265" s="351">
        <v>0</v>
      </c>
    </row>
    <row r="266" spans="2:9" ht="16.5">
      <c r="B266" s="363" t="s">
        <v>816</v>
      </c>
      <c r="C266" s="364">
        <v>37</v>
      </c>
      <c r="D266" s="351">
        <v>1738000</v>
      </c>
      <c r="E266" s="351">
        <v>1738000</v>
      </c>
      <c r="F266" s="363" t="s">
        <v>817</v>
      </c>
      <c r="G266" s="364">
        <v>85</v>
      </c>
      <c r="H266" s="351">
        <v>1973946503.47</v>
      </c>
      <c r="I266" s="351">
        <v>94241766.489999995</v>
      </c>
    </row>
    <row r="267" spans="2:9" ht="16.5">
      <c r="B267" s="363" t="s">
        <v>818</v>
      </c>
      <c r="C267" s="364">
        <v>38</v>
      </c>
      <c r="D267" s="351">
        <v>204413895.02000001</v>
      </c>
      <c r="E267" s="351">
        <v>204413895.02000001</v>
      </c>
      <c r="F267" s="363" t="s">
        <v>819</v>
      </c>
      <c r="G267" s="364">
        <v>86</v>
      </c>
      <c r="H267" s="351">
        <v>2641446503.4699998</v>
      </c>
      <c r="I267" s="351">
        <v>761741766.49000001</v>
      </c>
    </row>
    <row r="268" spans="2:9" ht="16.5">
      <c r="B268" s="363" t="s">
        <v>820</v>
      </c>
      <c r="C268" s="364">
        <v>39</v>
      </c>
      <c r="D268" s="351">
        <v>7934429656.1599998</v>
      </c>
      <c r="E268" s="351">
        <v>6878373017.6400003</v>
      </c>
      <c r="F268" s="363" t="s">
        <v>821</v>
      </c>
      <c r="G268" s="364">
        <v>87</v>
      </c>
      <c r="H268" s="351">
        <v>7934429656.1599998</v>
      </c>
      <c r="I268" s="351">
        <v>6878373017.6400003</v>
      </c>
    </row>
    <row r="271" spans="2:9" ht="16.5">
      <c r="B271" s="353" t="s">
        <v>741</v>
      </c>
    </row>
    <row r="272" spans="2:9" ht="16.5">
      <c r="B272" s="353" t="s">
        <v>742</v>
      </c>
      <c r="C272" s="362"/>
      <c r="F272" s="332"/>
      <c r="G272" s="362"/>
    </row>
    <row r="273" spans="2:9" ht="16.5">
      <c r="B273" s="353" t="s">
        <v>827</v>
      </c>
      <c r="C273" s="362"/>
      <c r="F273" s="332"/>
      <c r="G273" s="362"/>
    </row>
    <row r="274" spans="2:9" ht="16.5">
      <c r="B274" s="354" t="s">
        <v>744</v>
      </c>
      <c r="C274" s="354" t="s">
        <v>745</v>
      </c>
      <c r="D274" s="354" t="s">
        <v>746</v>
      </c>
      <c r="E274" s="354" t="s">
        <v>747</v>
      </c>
      <c r="F274" s="354" t="s">
        <v>744</v>
      </c>
      <c r="G274" s="354" t="s">
        <v>745</v>
      </c>
      <c r="H274" s="354" t="s">
        <v>746</v>
      </c>
      <c r="I274" s="354" t="s">
        <v>747</v>
      </c>
    </row>
    <row r="275" spans="2:9" ht="16.5">
      <c r="B275" s="368" t="s">
        <v>748</v>
      </c>
      <c r="C275" s="369">
        <v>1</v>
      </c>
      <c r="D275" s="370"/>
      <c r="E275" s="370"/>
      <c r="F275" s="368" t="s">
        <v>749</v>
      </c>
      <c r="G275" s="369"/>
      <c r="H275" s="371"/>
      <c r="I275" s="371"/>
    </row>
    <row r="276" spans="2:9" ht="16.5">
      <c r="B276" s="368" t="s">
        <v>750</v>
      </c>
      <c r="C276" s="369">
        <v>2</v>
      </c>
      <c r="D276" s="358">
        <v>667764079.75</v>
      </c>
      <c r="E276" s="358">
        <v>149931403.34</v>
      </c>
      <c r="F276" s="368" t="s">
        <v>751</v>
      </c>
      <c r="G276" s="369">
        <v>50</v>
      </c>
      <c r="H276" s="358">
        <v>0</v>
      </c>
      <c r="I276" s="358">
        <v>0</v>
      </c>
    </row>
    <row r="277" spans="2:9" ht="16.5">
      <c r="B277" s="368" t="s">
        <v>752</v>
      </c>
      <c r="C277" s="369">
        <v>3</v>
      </c>
      <c r="D277" s="358">
        <v>0</v>
      </c>
      <c r="E277" s="358">
        <v>0</v>
      </c>
      <c r="F277" s="368" t="s">
        <v>753</v>
      </c>
      <c r="G277" s="369">
        <v>51</v>
      </c>
      <c r="H277" s="358">
        <v>0</v>
      </c>
      <c r="I277" s="358">
        <v>0</v>
      </c>
    </row>
    <row r="278" spans="2:9" ht="16.5">
      <c r="B278" s="368" t="s">
        <v>754</v>
      </c>
      <c r="C278" s="369">
        <v>4</v>
      </c>
      <c r="D278" s="358">
        <v>0</v>
      </c>
      <c r="E278" s="358">
        <v>0</v>
      </c>
      <c r="F278" s="368" t="s">
        <v>755</v>
      </c>
      <c r="G278" s="369">
        <v>52</v>
      </c>
      <c r="H278" s="358">
        <v>933401278.95000005</v>
      </c>
      <c r="I278" s="358">
        <v>289218808.45999998</v>
      </c>
    </row>
    <row r="279" spans="2:9" ht="16.5">
      <c r="B279" s="368" t="s">
        <v>756</v>
      </c>
      <c r="C279" s="369">
        <v>5</v>
      </c>
      <c r="D279" s="358">
        <v>0</v>
      </c>
      <c r="E279" s="358">
        <v>0</v>
      </c>
      <c r="F279" s="368" t="s">
        <v>757</v>
      </c>
      <c r="G279" s="369">
        <v>53</v>
      </c>
      <c r="H279" s="358">
        <v>2903224448.9200001</v>
      </c>
      <c r="I279" s="358">
        <v>2788621330.0799999</v>
      </c>
    </row>
    <row r="280" spans="2:9" ht="16.5">
      <c r="B280" s="368" t="s">
        <v>758</v>
      </c>
      <c r="C280" s="369">
        <v>6</v>
      </c>
      <c r="D280" s="358">
        <v>1182765918.5999999</v>
      </c>
      <c r="E280" s="358">
        <v>1025808996.6</v>
      </c>
      <c r="F280" s="368" t="s">
        <v>759</v>
      </c>
      <c r="G280" s="369">
        <v>54</v>
      </c>
      <c r="H280" s="358">
        <v>947954714.87</v>
      </c>
      <c r="I280" s="358">
        <v>1013107143.97</v>
      </c>
    </row>
    <row r="281" spans="2:9" ht="16.5">
      <c r="B281" s="368" t="s">
        <v>760</v>
      </c>
      <c r="C281" s="369">
        <v>7</v>
      </c>
      <c r="D281" s="358">
        <v>11879165.17</v>
      </c>
      <c r="E281" s="358">
        <v>19169432.68</v>
      </c>
      <c r="F281" s="368" t="s">
        <v>761</v>
      </c>
      <c r="G281" s="369">
        <v>55</v>
      </c>
      <c r="H281" s="358">
        <v>0</v>
      </c>
      <c r="I281" s="358">
        <v>0</v>
      </c>
    </row>
    <row r="282" spans="2:9" ht="16.5">
      <c r="B282" s="368" t="s">
        <v>762</v>
      </c>
      <c r="C282" s="369">
        <v>8</v>
      </c>
      <c r="D282" s="358">
        <v>523876722.47000003</v>
      </c>
      <c r="E282" s="358">
        <v>621048623.25</v>
      </c>
      <c r="F282" s="368" t="s">
        <v>763</v>
      </c>
      <c r="G282" s="369">
        <v>56</v>
      </c>
      <c r="H282" s="358">
        <v>0</v>
      </c>
      <c r="I282" s="358">
        <v>871375.66</v>
      </c>
    </row>
    <row r="283" spans="2:9" ht="16.5">
      <c r="B283" s="368" t="s">
        <v>764</v>
      </c>
      <c r="C283" s="369">
        <v>9</v>
      </c>
      <c r="D283" s="358">
        <v>0</v>
      </c>
      <c r="E283" s="358">
        <v>0</v>
      </c>
      <c r="F283" s="368" t="s">
        <v>765</v>
      </c>
      <c r="G283" s="369">
        <v>57</v>
      </c>
      <c r="H283" s="358">
        <v>508357944.75</v>
      </c>
      <c r="I283" s="358">
        <v>-15378172.32</v>
      </c>
    </row>
    <row r="284" spans="2:9" ht="16.5">
      <c r="B284" s="368" t="s">
        <v>766</v>
      </c>
      <c r="C284" s="369">
        <v>10</v>
      </c>
      <c r="D284" s="358">
        <v>0</v>
      </c>
      <c r="E284" s="358">
        <v>0</v>
      </c>
      <c r="F284" s="368" t="s">
        <v>767</v>
      </c>
      <c r="G284" s="369">
        <v>58</v>
      </c>
      <c r="H284" s="358">
        <v>0</v>
      </c>
      <c r="I284" s="358">
        <v>0</v>
      </c>
    </row>
    <row r="285" spans="2:9" ht="16.5">
      <c r="B285" s="368" t="s">
        <v>768</v>
      </c>
      <c r="C285" s="369">
        <v>11</v>
      </c>
      <c r="D285" s="358">
        <v>5199673847.3800001</v>
      </c>
      <c r="E285" s="358">
        <v>4773336339.21</v>
      </c>
      <c r="F285" s="368"/>
      <c r="G285" s="369">
        <v>59</v>
      </c>
      <c r="H285" s="358"/>
      <c r="I285" s="358"/>
    </row>
    <row r="286" spans="2:9" ht="16.5">
      <c r="B286" s="368" t="s">
        <v>769</v>
      </c>
      <c r="C286" s="369">
        <v>12</v>
      </c>
      <c r="D286" s="358">
        <v>142855959.19</v>
      </c>
      <c r="E286" s="358">
        <v>57794286.170000002</v>
      </c>
      <c r="F286" s="368" t="s">
        <v>770</v>
      </c>
      <c r="G286" s="369">
        <v>60</v>
      </c>
      <c r="H286" s="358">
        <v>0</v>
      </c>
      <c r="I286" s="358">
        <v>1973946503.47</v>
      </c>
    </row>
    <row r="287" spans="2:9" ht="16.5">
      <c r="B287" s="368" t="s">
        <v>771</v>
      </c>
      <c r="C287" s="369">
        <v>13</v>
      </c>
      <c r="D287" s="358">
        <v>0</v>
      </c>
      <c r="E287" s="358">
        <v>0</v>
      </c>
      <c r="F287" s="368" t="s">
        <v>772</v>
      </c>
      <c r="G287" s="369">
        <v>61</v>
      </c>
      <c r="H287" s="358">
        <v>44765.2</v>
      </c>
      <c r="I287" s="358">
        <v>0</v>
      </c>
    </row>
    <row r="288" spans="2:9" ht="16.5">
      <c r="B288" s="368" t="s">
        <v>773</v>
      </c>
      <c r="C288" s="369">
        <v>14</v>
      </c>
      <c r="D288" s="358">
        <v>0</v>
      </c>
      <c r="E288" s="358">
        <v>0</v>
      </c>
      <c r="F288" s="368" t="s">
        <v>774</v>
      </c>
      <c r="G288" s="369">
        <v>62</v>
      </c>
      <c r="H288" s="358">
        <v>0</v>
      </c>
      <c r="I288" s="358">
        <v>0</v>
      </c>
    </row>
    <row r="289" spans="2:11" ht="16.5">
      <c r="B289" s="368" t="s">
        <v>775</v>
      </c>
      <c r="C289" s="369">
        <v>15</v>
      </c>
      <c r="D289" s="358">
        <v>1200068.58</v>
      </c>
      <c r="E289" s="358">
        <v>1105533.42</v>
      </c>
      <c r="F289" s="368" t="s">
        <v>776</v>
      </c>
      <c r="G289" s="369">
        <v>63</v>
      </c>
      <c r="H289" s="358">
        <v>0</v>
      </c>
      <c r="I289" s="358">
        <v>0</v>
      </c>
    </row>
    <row r="290" spans="2:11" ht="16.5">
      <c r="B290" s="368" t="s">
        <v>777</v>
      </c>
      <c r="C290" s="369">
        <v>16</v>
      </c>
      <c r="D290" s="358">
        <v>7730015761.1400003</v>
      </c>
      <c r="E290" s="358">
        <v>6648194614.6700001</v>
      </c>
      <c r="F290" s="368" t="s">
        <v>778</v>
      </c>
      <c r="G290" s="369">
        <v>64</v>
      </c>
      <c r="H290" s="358">
        <v>0</v>
      </c>
      <c r="I290" s="358">
        <v>0</v>
      </c>
    </row>
    <row r="291" spans="2:11" ht="16.5">
      <c r="B291" s="368" t="s">
        <v>779</v>
      </c>
      <c r="C291" s="369">
        <v>17</v>
      </c>
      <c r="D291" s="358"/>
      <c r="E291" s="358"/>
      <c r="F291" s="368" t="s">
        <v>780</v>
      </c>
      <c r="G291" s="369">
        <v>65</v>
      </c>
      <c r="H291" s="358">
        <v>5292983152.6899996</v>
      </c>
      <c r="I291" s="358">
        <v>6050386989.3199997</v>
      </c>
    </row>
    <row r="292" spans="2:11" ht="16.5">
      <c r="B292" s="368" t="s">
        <v>781</v>
      </c>
      <c r="C292" s="369">
        <v>18</v>
      </c>
      <c r="D292" s="358">
        <v>0</v>
      </c>
      <c r="E292" s="358">
        <v>0</v>
      </c>
      <c r="F292" s="368" t="s">
        <v>782</v>
      </c>
      <c r="G292" s="369">
        <v>66</v>
      </c>
      <c r="H292" s="358"/>
      <c r="I292" s="358"/>
      <c r="K292">
        <f>I283-193750.11-12815268.82</f>
        <v>-28387191.25</v>
      </c>
    </row>
    <row r="293" spans="2:11" ht="16.5">
      <c r="B293" s="368" t="s">
        <v>783</v>
      </c>
      <c r="C293" s="369">
        <v>19</v>
      </c>
      <c r="D293" s="358">
        <v>0</v>
      </c>
      <c r="E293" s="358">
        <v>0</v>
      </c>
      <c r="F293" s="368" t="s">
        <v>784</v>
      </c>
      <c r="G293" s="369">
        <v>67</v>
      </c>
      <c r="H293" s="358">
        <v>0</v>
      </c>
      <c r="I293" s="358">
        <v>0</v>
      </c>
    </row>
    <row r="294" spans="2:11" ht="16.5">
      <c r="B294" s="368" t="s">
        <v>785</v>
      </c>
      <c r="C294" s="369">
        <v>20</v>
      </c>
      <c r="D294" s="358">
        <v>0</v>
      </c>
      <c r="E294" s="358">
        <v>0</v>
      </c>
      <c r="F294" s="368" t="s">
        <v>786</v>
      </c>
      <c r="G294" s="369">
        <v>68</v>
      </c>
      <c r="H294" s="358">
        <v>0</v>
      </c>
      <c r="I294" s="358">
        <v>0</v>
      </c>
    </row>
    <row r="295" spans="2:11" ht="16.5">
      <c r="B295" s="368" t="s">
        <v>787</v>
      </c>
      <c r="C295" s="369">
        <v>21</v>
      </c>
      <c r="D295" s="358">
        <v>23000</v>
      </c>
      <c r="E295" s="358">
        <v>23000</v>
      </c>
      <c r="F295" s="368" t="s">
        <v>788</v>
      </c>
      <c r="G295" s="369">
        <v>69</v>
      </c>
      <c r="H295" s="358">
        <v>0</v>
      </c>
      <c r="I295" s="358">
        <v>0</v>
      </c>
    </row>
    <row r="296" spans="2:11" ht="16.5">
      <c r="B296" s="368" t="s">
        <v>789</v>
      </c>
      <c r="C296" s="369">
        <v>22</v>
      </c>
      <c r="D296" s="358">
        <v>0</v>
      </c>
      <c r="E296" s="358">
        <v>0</v>
      </c>
      <c r="F296" s="368" t="s">
        <v>790</v>
      </c>
      <c r="G296" s="369">
        <v>70</v>
      </c>
      <c r="H296" s="358">
        <v>0</v>
      </c>
      <c r="I296" s="358">
        <v>0</v>
      </c>
    </row>
    <row r="297" spans="2:11" ht="16.5">
      <c r="B297" s="368" t="s">
        <v>791</v>
      </c>
      <c r="C297" s="369">
        <v>23</v>
      </c>
      <c r="D297" s="358">
        <v>0</v>
      </c>
      <c r="E297" s="358">
        <v>0</v>
      </c>
      <c r="F297" s="368" t="s">
        <v>792</v>
      </c>
      <c r="G297" s="369">
        <v>71</v>
      </c>
      <c r="H297" s="358">
        <v>0</v>
      </c>
      <c r="I297" s="358">
        <v>0</v>
      </c>
    </row>
    <row r="298" spans="2:11" ht="16.5">
      <c r="B298" s="368" t="s">
        <v>793</v>
      </c>
      <c r="C298" s="369">
        <v>24</v>
      </c>
      <c r="D298" s="358">
        <v>0</v>
      </c>
      <c r="E298" s="358">
        <v>0</v>
      </c>
      <c r="F298" s="368" t="s">
        <v>794</v>
      </c>
      <c r="G298" s="369">
        <v>72</v>
      </c>
      <c r="H298" s="358">
        <v>0</v>
      </c>
      <c r="I298" s="358">
        <v>0</v>
      </c>
    </row>
    <row r="299" spans="2:11" ht="16.5">
      <c r="B299" s="368" t="s">
        <v>795</v>
      </c>
      <c r="C299" s="369">
        <v>25</v>
      </c>
      <c r="D299" s="358">
        <v>0</v>
      </c>
      <c r="E299" s="358">
        <v>0</v>
      </c>
      <c r="F299" s="368" t="s">
        <v>796</v>
      </c>
      <c r="G299" s="369">
        <v>73</v>
      </c>
      <c r="H299" s="358">
        <v>0</v>
      </c>
      <c r="I299" s="358">
        <v>0</v>
      </c>
    </row>
    <row r="300" spans="2:11" ht="16.5">
      <c r="B300" s="368" t="s">
        <v>797</v>
      </c>
      <c r="C300" s="369">
        <v>26</v>
      </c>
      <c r="D300" s="358">
        <v>0</v>
      </c>
      <c r="E300" s="358">
        <v>0</v>
      </c>
      <c r="F300" s="368" t="s">
        <v>798</v>
      </c>
      <c r="G300" s="369">
        <v>74</v>
      </c>
      <c r="H300" s="358">
        <v>0</v>
      </c>
      <c r="I300" s="358">
        <v>0</v>
      </c>
    </row>
    <row r="301" spans="2:11" ht="16.5">
      <c r="B301" s="368" t="s">
        <v>799</v>
      </c>
      <c r="C301" s="369">
        <v>27</v>
      </c>
      <c r="D301" s="358">
        <v>0</v>
      </c>
      <c r="E301" s="358">
        <v>0</v>
      </c>
      <c r="F301" s="368" t="s">
        <v>800</v>
      </c>
      <c r="G301" s="369">
        <v>75</v>
      </c>
      <c r="H301" s="358">
        <v>0</v>
      </c>
      <c r="I301" s="358">
        <v>0</v>
      </c>
    </row>
    <row r="302" spans="2:11" ht="16.5">
      <c r="B302" s="368" t="s">
        <v>801</v>
      </c>
      <c r="C302" s="369">
        <v>28</v>
      </c>
      <c r="D302" s="358">
        <v>0</v>
      </c>
      <c r="E302" s="358">
        <v>0</v>
      </c>
      <c r="F302" s="368"/>
      <c r="G302" s="369">
        <v>76</v>
      </c>
      <c r="H302" s="358"/>
      <c r="I302" s="358"/>
    </row>
    <row r="303" spans="2:11" ht="16.5">
      <c r="B303" s="368" t="s">
        <v>802</v>
      </c>
      <c r="C303" s="369">
        <v>29</v>
      </c>
      <c r="D303" s="358">
        <v>0</v>
      </c>
      <c r="E303" s="358">
        <v>0</v>
      </c>
      <c r="F303" s="368"/>
      <c r="G303" s="369">
        <v>77</v>
      </c>
      <c r="H303" s="358"/>
      <c r="I303" s="358"/>
    </row>
    <row r="304" spans="2:11" ht="16.5">
      <c r="B304" s="368" t="s">
        <v>803</v>
      </c>
      <c r="C304" s="369">
        <v>30</v>
      </c>
      <c r="D304" s="358">
        <v>0</v>
      </c>
      <c r="E304" s="358">
        <v>0</v>
      </c>
      <c r="F304" s="368" t="s">
        <v>804</v>
      </c>
      <c r="G304" s="369">
        <v>78</v>
      </c>
      <c r="H304" s="358">
        <v>5292983152.6899996</v>
      </c>
      <c r="I304" s="358">
        <v>6050386989.3199997</v>
      </c>
    </row>
    <row r="305" spans="2:9" ht="16.5">
      <c r="B305" s="368" t="s">
        <v>805</v>
      </c>
      <c r="C305" s="369">
        <v>31</v>
      </c>
      <c r="D305" s="358">
        <v>0</v>
      </c>
      <c r="E305" s="358">
        <v>0</v>
      </c>
      <c r="F305" s="368"/>
      <c r="G305" s="369">
        <v>79</v>
      </c>
      <c r="H305" s="358"/>
      <c r="I305" s="358"/>
    </row>
    <row r="306" spans="2:9" ht="16.5">
      <c r="B306" s="368" t="s">
        <v>806</v>
      </c>
      <c r="C306" s="369">
        <v>32</v>
      </c>
      <c r="D306" s="358">
        <v>0</v>
      </c>
      <c r="E306" s="358">
        <v>0</v>
      </c>
      <c r="F306" s="368" t="s">
        <v>807</v>
      </c>
      <c r="G306" s="369">
        <v>80</v>
      </c>
      <c r="H306" s="358"/>
      <c r="I306" s="358"/>
    </row>
    <row r="307" spans="2:9" ht="16.5">
      <c r="B307" s="368" t="s">
        <v>808</v>
      </c>
      <c r="C307" s="369">
        <v>33</v>
      </c>
      <c r="D307" s="358">
        <v>0</v>
      </c>
      <c r="E307" s="358">
        <v>0</v>
      </c>
      <c r="F307" s="368" t="s">
        <v>809</v>
      </c>
      <c r="G307" s="369">
        <v>81</v>
      </c>
      <c r="H307" s="358">
        <v>445000000</v>
      </c>
      <c r="I307" s="358">
        <v>445000000</v>
      </c>
    </row>
    <row r="308" spans="2:9" ht="16.5">
      <c r="B308" s="368" t="s">
        <v>810</v>
      </c>
      <c r="C308" s="369">
        <v>34</v>
      </c>
      <c r="D308" s="358">
        <v>0</v>
      </c>
      <c r="E308" s="358">
        <v>0</v>
      </c>
      <c r="F308" s="368" t="s">
        <v>811</v>
      </c>
      <c r="G308" s="369">
        <v>82</v>
      </c>
      <c r="H308" s="358">
        <v>0</v>
      </c>
      <c r="I308" s="358">
        <v>0</v>
      </c>
    </row>
    <row r="309" spans="2:9" ht="16.5">
      <c r="B309" s="368" t="s">
        <v>812</v>
      </c>
      <c r="C309" s="369">
        <v>35</v>
      </c>
      <c r="D309" s="358">
        <v>0</v>
      </c>
      <c r="E309" s="358">
        <v>0</v>
      </c>
      <c r="F309" s="368" t="s">
        <v>813</v>
      </c>
      <c r="G309" s="369">
        <v>83</v>
      </c>
      <c r="H309" s="358">
        <v>222500000</v>
      </c>
      <c r="I309" s="358">
        <v>222500000</v>
      </c>
    </row>
    <row r="310" spans="2:9" ht="16.5">
      <c r="B310" s="368" t="s">
        <v>814</v>
      </c>
      <c r="C310" s="369">
        <v>36</v>
      </c>
      <c r="D310" s="358">
        <v>202652895.02000001</v>
      </c>
      <c r="E310" s="358">
        <v>202652895.02000001</v>
      </c>
      <c r="F310" s="368" t="s">
        <v>815</v>
      </c>
      <c r="G310" s="369">
        <v>84</v>
      </c>
      <c r="H310" s="358">
        <v>0</v>
      </c>
      <c r="I310" s="358">
        <v>0</v>
      </c>
    </row>
    <row r="311" spans="2:9" ht="16.5">
      <c r="B311" s="368" t="s">
        <v>816</v>
      </c>
      <c r="C311" s="369">
        <v>37</v>
      </c>
      <c r="D311" s="358">
        <v>1738000</v>
      </c>
      <c r="E311" s="358">
        <v>0</v>
      </c>
      <c r="F311" s="368" t="s">
        <v>817</v>
      </c>
      <c r="G311" s="369">
        <v>85</v>
      </c>
      <c r="H311" s="358">
        <v>1973946503.47</v>
      </c>
      <c r="I311" s="358">
        <v>132983520.37</v>
      </c>
    </row>
    <row r="312" spans="2:9" ht="16.5">
      <c r="B312" s="368" t="s">
        <v>818</v>
      </c>
      <c r="C312" s="369">
        <v>38</v>
      </c>
      <c r="D312" s="358">
        <v>204413895.02000001</v>
      </c>
      <c r="E312" s="358">
        <v>202675895.02000001</v>
      </c>
      <c r="F312" s="368" t="s">
        <v>819</v>
      </c>
      <c r="G312" s="369">
        <v>86</v>
      </c>
      <c r="H312" s="358">
        <v>2641446503.4699998</v>
      </c>
      <c r="I312" s="358">
        <v>800483520.37</v>
      </c>
    </row>
    <row r="313" spans="2:9" ht="16.5">
      <c r="B313" s="368" t="s">
        <v>820</v>
      </c>
      <c r="C313" s="369">
        <v>39</v>
      </c>
      <c r="D313" s="358">
        <v>7934429656.1599998</v>
      </c>
      <c r="E313" s="358">
        <v>6850870509.6899996</v>
      </c>
      <c r="F313" s="368" t="s">
        <v>821</v>
      </c>
      <c r="G313" s="369">
        <v>87</v>
      </c>
      <c r="H313" s="358">
        <v>7934429656.1599998</v>
      </c>
      <c r="I313" s="358">
        <v>6850870509.6899996</v>
      </c>
    </row>
    <row r="316" spans="2:9" ht="16.5">
      <c r="B316" s="353" t="s">
        <v>741</v>
      </c>
    </row>
    <row r="317" spans="2:9" ht="16.5">
      <c r="B317" s="353" t="s">
        <v>742</v>
      </c>
      <c r="C317" s="362"/>
      <c r="F317" s="332"/>
      <c r="G317" s="362"/>
    </row>
    <row r="318" spans="2:9" ht="16.5">
      <c r="B318" s="353" t="s">
        <v>828</v>
      </c>
      <c r="C318" s="362"/>
      <c r="F318" s="332"/>
      <c r="G318" s="362"/>
    </row>
    <row r="319" spans="2:9" ht="16.5">
      <c r="B319" s="354" t="s">
        <v>744</v>
      </c>
      <c r="C319" s="354" t="s">
        <v>745</v>
      </c>
      <c r="D319" s="354" t="s">
        <v>746</v>
      </c>
      <c r="E319" s="354" t="s">
        <v>747</v>
      </c>
      <c r="F319" s="354" t="s">
        <v>744</v>
      </c>
      <c r="G319" s="354" t="s">
        <v>745</v>
      </c>
      <c r="H319" s="354" t="s">
        <v>746</v>
      </c>
      <c r="I319" s="354" t="s">
        <v>747</v>
      </c>
    </row>
    <row r="320" spans="2:9" ht="16.5">
      <c r="B320" s="368" t="s">
        <v>748</v>
      </c>
      <c r="C320" s="369">
        <v>1</v>
      </c>
      <c r="D320" s="370"/>
      <c r="E320" s="370"/>
      <c r="F320" s="368" t="s">
        <v>749</v>
      </c>
      <c r="G320" s="369"/>
      <c r="H320" s="371"/>
      <c r="I320" s="371"/>
    </row>
    <row r="321" spans="2:9" ht="16.5">
      <c r="B321" s="368" t="s">
        <v>750</v>
      </c>
      <c r="C321" s="369">
        <v>2</v>
      </c>
      <c r="D321" s="358">
        <v>667764079.75</v>
      </c>
      <c r="E321" s="358">
        <v>158799877.03999999</v>
      </c>
      <c r="F321" s="368" t="s">
        <v>751</v>
      </c>
      <c r="G321" s="369">
        <v>50</v>
      </c>
      <c r="H321" s="358">
        <v>0</v>
      </c>
      <c r="I321" s="358">
        <v>0</v>
      </c>
    </row>
    <row r="322" spans="2:9" ht="16.5">
      <c r="B322" s="368" t="s">
        <v>752</v>
      </c>
      <c r="C322" s="369">
        <v>3</v>
      </c>
      <c r="D322" s="358">
        <v>0</v>
      </c>
      <c r="E322" s="358">
        <v>0</v>
      </c>
      <c r="F322" s="368" t="s">
        <v>753</v>
      </c>
      <c r="G322" s="369">
        <v>51</v>
      </c>
      <c r="H322" s="358">
        <v>0</v>
      </c>
      <c r="I322" s="358">
        <v>0</v>
      </c>
    </row>
    <row r="323" spans="2:9" ht="16.5">
      <c r="B323" s="368" t="s">
        <v>754</v>
      </c>
      <c r="C323" s="369">
        <v>4</v>
      </c>
      <c r="D323" s="358">
        <v>0</v>
      </c>
      <c r="E323" s="358">
        <v>0</v>
      </c>
      <c r="F323" s="368" t="s">
        <v>755</v>
      </c>
      <c r="G323" s="369">
        <v>52</v>
      </c>
      <c r="H323" s="358">
        <v>933401278.95000005</v>
      </c>
      <c r="I323" s="358">
        <v>268705227.98000002</v>
      </c>
    </row>
    <row r="324" spans="2:9" ht="16.5">
      <c r="B324" s="368" t="s">
        <v>756</v>
      </c>
      <c r="C324" s="369">
        <v>5</v>
      </c>
      <c r="D324" s="358">
        <v>0</v>
      </c>
      <c r="E324" s="358">
        <v>0</v>
      </c>
      <c r="F324" s="368" t="s">
        <v>757</v>
      </c>
      <c r="G324" s="369">
        <v>53</v>
      </c>
      <c r="H324" s="358">
        <v>2903224448.9200001</v>
      </c>
      <c r="I324" s="358">
        <v>2811823543.1900001</v>
      </c>
    </row>
    <row r="325" spans="2:9" ht="16.5">
      <c r="B325" s="368" t="s">
        <v>758</v>
      </c>
      <c r="C325" s="369">
        <v>6</v>
      </c>
      <c r="D325" s="358">
        <v>1182765918.5999999</v>
      </c>
      <c r="E325" s="358">
        <v>1164422446.6800001</v>
      </c>
      <c r="F325" s="368" t="s">
        <v>759</v>
      </c>
      <c r="G325" s="369">
        <v>54</v>
      </c>
      <c r="H325" s="358">
        <v>947954714.87</v>
      </c>
      <c r="I325" s="358">
        <v>972754242.50999999</v>
      </c>
    </row>
    <row r="326" spans="2:9" ht="16.5">
      <c r="B326" s="368" t="s">
        <v>760</v>
      </c>
      <c r="C326" s="369">
        <v>7</v>
      </c>
      <c r="D326" s="358">
        <v>11879165.17</v>
      </c>
      <c r="E326" s="358">
        <v>1660572.65</v>
      </c>
      <c r="F326" s="368" t="s">
        <v>761</v>
      </c>
      <c r="G326" s="369">
        <v>55</v>
      </c>
      <c r="H326" s="358">
        <v>0</v>
      </c>
      <c r="I326" s="358">
        <v>0</v>
      </c>
    </row>
    <row r="327" spans="2:9" ht="16.5">
      <c r="B327" s="368" t="s">
        <v>762</v>
      </c>
      <c r="C327" s="369">
        <v>8</v>
      </c>
      <c r="D327" s="358">
        <v>523876722.47000003</v>
      </c>
      <c r="E327" s="358">
        <v>603338629.53999996</v>
      </c>
      <c r="F327" s="368" t="s">
        <v>763</v>
      </c>
      <c r="G327" s="369">
        <v>56</v>
      </c>
      <c r="H327" s="358">
        <v>0</v>
      </c>
      <c r="I327" s="358">
        <v>901691.91</v>
      </c>
    </row>
    <row r="328" spans="2:9" ht="16.5">
      <c r="B328" s="368" t="s">
        <v>764</v>
      </c>
      <c r="C328" s="369">
        <v>9</v>
      </c>
      <c r="D328" s="358">
        <v>0</v>
      </c>
      <c r="E328" s="358">
        <v>0</v>
      </c>
      <c r="F328" s="368" t="s">
        <v>765</v>
      </c>
      <c r="G328" s="369">
        <v>57</v>
      </c>
      <c r="H328" s="358">
        <v>508357944.75</v>
      </c>
      <c r="I328" s="358">
        <v>-11303902.35</v>
      </c>
    </row>
    <row r="329" spans="2:9" ht="16.5">
      <c r="B329" s="368" t="s">
        <v>766</v>
      </c>
      <c r="C329" s="369">
        <v>10</v>
      </c>
      <c r="D329" s="358">
        <v>0</v>
      </c>
      <c r="E329" s="358">
        <v>0</v>
      </c>
      <c r="F329" s="368" t="s">
        <v>767</v>
      </c>
      <c r="G329" s="369">
        <v>58</v>
      </c>
      <c r="H329" s="358">
        <v>0</v>
      </c>
      <c r="I329" s="358">
        <v>0</v>
      </c>
    </row>
    <row r="330" spans="2:9" ht="16.5">
      <c r="B330" s="368" t="s">
        <v>768</v>
      </c>
      <c r="C330" s="369">
        <v>11</v>
      </c>
      <c r="D330" s="358">
        <v>5199673847.3800001</v>
      </c>
      <c r="E330" s="358">
        <v>2696259432.75</v>
      </c>
      <c r="F330" s="368"/>
      <c r="G330" s="369">
        <v>59</v>
      </c>
      <c r="H330" s="358"/>
      <c r="I330" s="358"/>
    </row>
    <row r="331" spans="2:9" ht="16.5">
      <c r="B331" s="368" t="s">
        <v>769</v>
      </c>
      <c r="C331" s="369">
        <v>12</v>
      </c>
      <c r="D331" s="358">
        <v>142855959.19</v>
      </c>
      <c r="E331" s="358">
        <v>58716386.219999999</v>
      </c>
      <c r="F331" s="368" t="s">
        <v>770</v>
      </c>
      <c r="G331" s="369">
        <v>60</v>
      </c>
      <c r="H331" s="358">
        <v>0</v>
      </c>
      <c r="I331" s="358">
        <v>0</v>
      </c>
    </row>
    <row r="332" spans="2:9" ht="16.5">
      <c r="B332" s="368" t="s">
        <v>771</v>
      </c>
      <c r="C332" s="369">
        <v>13</v>
      </c>
      <c r="D332" s="358">
        <v>0</v>
      </c>
      <c r="E332" s="358">
        <v>0</v>
      </c>
      <c r="F332" s="368" t="s">
        <v>772</v>
      </c>
      <c r="G332" s="369">
        <v>61</v>
      </c>
      <c r="H332" s="358">
        <v>44765.2</v>
      </c>
      <c r="I332" s="358">
        <v>455.32</v>
      </c>
    </row>
    <row r="333" spans="2:9" ht="16.5">
      <c r="B333" s="368" t="s">
        <v>773</v>
      </c>
      <c r="C333" s="369">
        <v>14</v>
      </c>
      <c r="D333" s="358">
        <v>0</v>
      </c>
      <c r="E333" s="358">
        <v>0</v>
      </c>
      <c r="F333" s="368" t="s">
        <v>774</v>
      </c>
      <c r="G333" s="369">
        <v>62</v>
      </c>
      <c r="H333" s="358">
        <v>0</v>
      </c>
      <c r="I333" s="358">
        <v>0</v>
      </c>
    </row>
    <row r="334" spans="2:9" ht="16.5">
      <c r="B334" s="368" t="s">
        <v>775</v>
      </c>
      <c r="C334" s="369">
        <v>15</v>
      </c>
      <c r="D334" s="358">
        <v>1200068.58</v>
      </c>
      <c r="E334" s="358">
        <v>1181035.53</v>
      </c>
      <c r="F334" s="368" t="s">
        <v>776</v>
      </c>
      <c r="G334" s="369">
        <v>63</v>
      </c>
      <c r="H334" s="358">
        <v>0</v>
      </c>
      <c r="I334" s="358">
        <v>0</v>
      </c>
    </row>
    <row r="335" spans="2:9" ht="16.5">
      <c r="B335" s="368" t="s">
        <v>777</v>
      </c>
      <c r="C335" s="369">
        <v>16</v>
      </c>
      <c r="D335" s="358">
        <v>7730015761.1400003</v>
      </c>
      <c r="E335" s="358">
        <v>4684378380.4099998</v>
      </c>
      <c r="F335" s="368" t="s">
        <v>778</v>
      </c>
      <c r="G335" s="369">
        <v>64</v>
      </c>
      <c r="H335" s="358">
        <v>0</v>
      </c>
      <c r="I335" s="358">
        <v>0</v>
      </c>
    </row>
    <row r="336" spans="2:9" ht="16.5">
      <c r="B336" s="368" t="s">
        <v>779</v>
      </c>
      <c r="C336" s="369">
        <v>17</v>
      </c>
      <c r="D336" s="358"/>
      <c r="E336" s="358"/>
      <c r="F336" s="368" t="s">
        <v>780</v>
      </c>
      <c r="G336" s="369">
        <v>65</v>
      </c>
      <c r="H336" s="358">
        <v>5292983152.6899996</v>
      </c>
      <c r="I336" s="358">
        <v>4042881258.5599999</v>
      </c>
    </row>
    <row r="337" spans="2:11" ht="16.5">
      <c r="B337" s="368" t="s">
        <v>781</v>
      </c>
      <c r="C337" s="369">
        <v>18</v>
      </c>
      <c r="D337" s="358">
        <v>0</v>
      </c>
      <c r="E337" s="358">
        <v>0</v>
      </c>
      <c r="F337" s="368" t="s">
        <v>782</v>
      </c>
      <c r="G337" s="369">
        <v>66</v>
      </c>
      <c r="H337" s="358"/>
      <c r="I337" s="358"/>
    </row>
    <row r="338" spans="2:11" ht="16.5">
      <c r="B338" s="368" t="s">
        <v>783</v>
      </c>
      <c r="C338" s="369">
        <v>19</v>
      </c>
      <c r="D338" s="358">
        <v>0</v>
      </c>
      <c r="E338" s="358">
        <v>0</v>
      </c>
      <c r="F338" s="368" t="s">
        <v>784</v>
      </c>
      <c r="G338" s="369">
        <v>67</v>
      </c>
      <c r="H338" s="358">
        <v>0</v>
      </c>
      <c r="I338" s="358">
        <v>0</v>
      </c>
    </row>
    <row r="339" spans="2:11" ht="16.5">
      <c r="B339" s="368" t="s">
        <v>785</v>
      </c>
      <c r="C339" s="369">
        <v>20</v>
      </c>
      <c r="D339" s="358">
        <v>0</v>
      </c>
      <c r="E339" s="358">
        <v>0</v>
      </c>
      <c r="F339" s="368" t="s">
        <v>786</v>
      </c>
      <c r="G339" s="369">
        <v>68</v>
      </c>
      <c r="H339" s="358">
        <v>0</v>
      </c>
      <c r="I339" s="358">
        <v>0</v>
      </c>
      <c r="K339">
        <v>-38545496.140000001</v>
      </c>
    </row>
    <row r="340" spans="2:11" ht="16.5">
      <c r="B340" s="368" t="s">
        <v>787</v>
      </c>
      <c r="C340" s="369">
        <v>21</v>
      </c>
      <c r="D340" s="358">
        <v>23000</v>
      </c>
      <c r="E340" s="358">
        <v>23000</v>
      </c>
      <c r="F340" s="368" t="s">
        <v>788</v>
      </c>
      <c r="G340" s="369">
        <v>69</v>
      </c>
      <c r="H340" s="358">
        <v>0</v>
      </c>
      <c r="I340" s="358">
        <v>0</v>
      </c>
    </row>
    <row r="341" spans="2:11" ht="16.5">
      <c r="B341" s="368" t="s">
        <v>789</v>
      </c>
      <c r="C341" s="369">
        <v>22</v>
      </c>
      <c r="D341" s="358">
        <v>0</v>
      </c>
      <c r="E341" s="358">
        <v>0</v>
      </c>
      <c r="F341" s="368" t="s">
        <v>790</v>
      </c>
      <c r="G341" s="369">
        <v>70</v>
      </c>
      <c r="H341" s="358">
        <v>0</v>
      </c>
      <c r="I341" s="358">
        <v>0</v>
      </c>
    </row>
    <row r="342" spans="2:11" ht="16.5">
      <c r="B342" s="368" t="s">
        <v>791</v>
      </c>
      <c r="C342" s="369">
        <v>23</v>
      </c>
      <c r="D342" s="358">
        <v>0</v>
      </c>
      <c r="E342" s="358">
        <v>0</v>
      </c>
      <c r="F342" s="368" t="s">
        <v>792</v>
      </c>
      <c r="G342" s="369">
        <v>71</v>
      </c>
      <c r="H342" s="358">
        <v>0</v>
      </c>
      <c r="I342" s="358">
        <v>0</v>
      </c>
    </row>
    <row r="343" spans="2:11" ht="16.5">
      <c r="B343" s="368" t="s">
        <v>793</v>
      </c>
      <c r="C343" s="369">
        <v>24</v>
      </c>
      <c r="D343" s="358">
        <v>0</v>
      </c>
      <c r="E343" s="358">
        <v>0</v>
      </c>
      <c r="F343" s="368" t="s">
        <v>794</v>
      </c>
      <c r="G343" s="369">
        <v>72</v>
      </c>
      <c r="H343" s="358">
        <v>0</v>
      </c>
      <c r="I343" s="358">
        <v>0</v>
      </c>
    </row>
    <row r="344" spans="2:11" ht="16.5">
      <c r="B344" s="368" t="s">
        <v>795</v>
      </c>
      <c r="C344" s="369">
        <v>25</v>
      </c>
      <c r="D344" s="358">
        <v>0</v>
      </c>
      <c r="E344" s="358">
        <v>0</v>
      </c>
      <c r="F344" s="368" t="s">
        <v>796</v>
      </c>
      <c r="G344" s="369">
        <v>73</v>
      </c>
      <c r="H344" s="358">
        <v>0</v>
      </c>
      <c r="I344" s="358">
        <v>0</v>
      </c>
    </row>
    <row r="345" spans="2:11" ht="16.5">
      <c r="B345" s="368" t="s">
        <v>797</v>
      </c>
      <c r="C345" s="369">
        <v>26</v>
      </c>
      <c r="D345" s="358">
        <v>0</v>
      </c>
      <c r="E345" s="358">
        <v>0</v>
      </c>
      <c r="F345" s="368" t="s">
        <v>798</v>
      </c>
      <c r="G345" s="369">
        <v>74</v>
      </c>
      <c r="H345" s="358">
        <v>0</v>
      </c>
      <c r="I345" s="358">
        <v>0</v>
      </c>
    </row>
    <row r="346" spans="2:11" ht="16.5">
      <c r="B346" s="368" t="s">
        <v>799</v>
      </c>
      <c r="C346" s="369">
        <v>27</v>
      </c>
      <c r="D346" s="358">
        <v>0</v>
      </c>
      <c r="E346" s="358">
        <v>0</v>
      </c>
      <c r="F346" s="368" t="s">
        <v>800</v>
      </c>
      <c r="G346" s="369">
        <v>75</v>
      </c>
      <c r="H346" s="358">
        <v>0</v>
      </c>
      <c r="I346" s="358">
        <v>0</v>
      </c>
    </row>
    <row r="347" spans="2:11" ht="16.5">
      <c r="B347" s="368" t="s">
        <v>801</v>
      </c>
      <c r="C347" s="369">
        <v>28</v>
      </c>
      <c r="D347" s="358">
        <v>0</v>
      </c>
      <c r="E347" s="358">
        <v>0</v>
      </c>
      <c r="F347" s="368"/>
      <c r="G347" s="369">
        <v>76</v>
      </c>
      <c r="H347" s="358"/>
      <c r="I347" s="358"/>
    </row>
    <row r="348" spans="2:11" ht="16.5">
      <c r="B348" s="368" t="s">
        <v>802</v>
      </c>
      <c r="C348" s="369">
        <v>29</v>
      </c>
      <c r="D348" s="358">
        <v>0</v>
      </c>
      <c r="E348" s="358">
        <v>0</v>
      </c>
      <c r="F348" s="368"/>
      <c r="G348" s="369">
        <v>77</v>
      </c>
      <c r="H348" s="358"/>
      <c r="I348" s="358"/>
    </row>
    <row r="349" spans="2:11" ht="16.5">
      <c r="B349" s="368" t="s">
        <v>803</v>
      </c>
      <c r="C349" s="369">
        <v>30</v>
      </c>
      <c r="D349" s="358">
        <v>0</v>
      </c>
      <c r="E349" s="358">
        <v>0</v>
      </c>
      <c r="F349" s="368" t="s">
        <v>804</v>
      </c>
      <c r="G349" s="369">
        <v>78</v>
      </c>
      <c r="H349" s="358">
        <v>5292983152.6899996</v>
      </c>
      <c r="I349" s="358">
        <v>4042881258.5599999</v>
      </c>
    </row>
    <row r="350" spans="2:11" ht="16.5">
      <c r="B350" s="368" t="s">
        <v>805</v>
      </c>
      <c r="C350" s="369">
        <v>31</v>
      </c>
      <c r="D350" s="358">
        <v>0</v>
      </c>
      <c r="E350" s="358">
        <v>0</v>
      </c>
      <c r="F350" s="368"/>
      <c r="G350" s="369">
        <v>79</v>
      </c>
      <c r="H350" s="358"/>
      <c r="I350" s="358"/>
    </row>
    <row r="351" spans="2:11" ht="16.5">
      <c r="B351" s="368" t="s">
        <v>806</v>
      </c>
      <c r="C351" s="369">
        <v>32</v>
      </c>
      <c r="D351" s="358">
        <v>0</v>
      </c>
      <c r="E351" s="358">
        <v>0</v>
      </c>
      <c r="F351" s="368" t="s">
        <v>807</v>
      </c>
      <c r="G351" s="369">
        <v>80</v>
      </c>
      <c r="H351" s="358"/>
      <c r="I351" s="358"/>
    </row>
    <row r="352" spans="2:11" ht="16.5">
      <c r="B352" s="368" t="s">
        <v>808</v>
      </c>
      <c r="C352" s="369">
        <v>33</v>
      </c>
      <c r="D352" s="358">
        <v>0</v>
      </c>
      <c r="E352" s="358">
        <v>0</v>
      </c>
      <c r="F352" s="368" t="s">
        <v>809</v>
      </c>
      <c r="G352" s="369">
        <v>81</v>
      </c>
      <c r="H352" s="358">
        <v>445000000</v>
      </c>
      <c r="I352" s="358">
        <v>445000000</v>
      </c>
    </row>
    <row r="353" spans="2:9" ht="16.5">
      <c r="B353" s="368" t="s">
        <v>810</v>
      </c>
      <c r="C353" s="369">
        <v>34</v>
      </c>
      <c r="D353" s="358">
        <v>0</v>
      </c>
      <c r="E353" s="358">
        <v>0</v>
      </c>
      <c r="F353" s="368" t="s">
        <v>811</v>
      </c>
      <c r="G353" s="369">
        <v>82</v>
      </c>
      <c r="H353" s="358">
        <v>0</v>
      </c>
      <c r="I353" s="358">
        <v>0</v>
      </c>
    </row>
    <row r="354" spans="2:9" ht="16.5">
      <c r="B354" s="368" t="s">
        <v>812</v>
      </c>
      <c r="C354" s="369">
        <v>35</v>
      </c>
      <c r="D354" s="358">
        <v>0</v>
      </c>
      <c r="E354" s="358">
        <v>0</v>
      </c>
      <c r="F354" s="368" t="s">
        <v>813</v>
      </c>
      <c r="G354" s="369">
        <v>83</v>
      </c>
      <c r="H354" s="358">
        <v>222500000</v>
      </c>
      <c r="I354" s="358">
        <v>222500000</v>
      </c>
    </row>
    <row r="355" spans="2:9" ht="16.5">
      <c r="B355" s="368" t="s">
        <v>814</v>
      </c>
      <c r="C355" s="369">
        <v>36</v>
      </c>
      <c r="D355" s="358">
        <v>202652895.02000001</v>
      </c>
      <c r="E355" s="358">
        <v>202652895.02000001</v>
      </c>
      <c r="F355" s="368" t="s">
        <v>815</v>
      </c>
      <c r="G355" s="369">
        <v>84</v>
      </c>
      <c r="H355" s="358">
        <v>0</v>
      </c>
      <c r="I355" s="358">
        <v>0</v>
      </c>
    </row>
    <row r="356" spans="2:9" ht="16.5">
      <c r="B356" s="368" t="s">
        <v>816</v>
      </c>
      <c r="C356" s="369">
        <v>37</v>
      </c>
      <c r="D356" s="358">
        <v>1738000</v>
      </c>
      <c r="E356" s="358">
        <v>0</v>
      </c>
      <c r="F356" s="368" t="s">
        <v>817</v>
      </c>
      <c r="G356" s="369">
        <v>85</v>
      </c>
      <c r="H356" s="358">
        <v>1973946503.47</v>
      </c>
      <c r="I356" s="358">
        <v>176673016.87</v>
      </c>
    </row>
    <row r="357" spans="2:9" ht="16.5">
      <c r="B357" s="368" t="s">
        <v>818</v>
      </c>
      <c r="C357" s="369">
        <v>38</v>
      </c>
      <c r="D357" s="358">
        <v>204413895.02000001</v>
      </c>
      <c r="E357" s="358">
        <v>202675895.02000001</v>
      </c>
      <c r="F357" s="368" t="s">
        <v>819</v>
      </c>
      <c r="G357" s="369">
        <v>86</v>
      </c>
      <c r="H357" s="358">
        <v>2641446503.4699998</v>
      </c>
      <c r="I357" s="358">
        <v>844173016.87</v>
      </c>
    </row>
    <row r="358" spans="2:9" ht="16.5">
      <c r="B358" s="368" t="s">
        <v>820</v>
      </c>
      <c r="C358" s="369">
        <v>39</v>
      </c>
      <c r="D358" s="358">
        <v>7934429656.1599998</v>
      </c>
      <c r="E358" s="358">
        <v>4887054275.4300003</v>
      </c>
      <c r="F358" s="368" t="s">
        <v>821</v>
      </c>
      <c r="G358" s="369">
        <v>87</v>
      </c>
      <c r="H358" s="358">
        <v>7934429656.1599998</v>
      </c>
      <c r="I358" s="358">
        <v>4887054275.4300003</v>
      </c>
    </row>
    <row r="361" spans="2:9" ht="16.5">
      <c r="B361" s="353" t="s">
        <v>741</v>
      </c>
    </row>
    <row r="362" spans="2:9" ht="16.5">
      <c r="B362" s="353" t="s">
        <v>742</v>
      </c>
      <c r="C362" s="362"/>
      <c r="F362" s="332"/>
      <c r="G362" s="362"/>
    </row>
    <row r="363" spans="2:9" ht="16.5">
      <c r="B363" s="353" t="s">
        <v>829</v>
      </c>
      <c r="C363" s="362"/>
      <c r="F363" s="332"/>
      <c r="G363" s="362"/>
    </row>
    <row r="364" spans="2:9" ht="16.5">
      <c r="B364" s="354" t="s">
        <v>744</v>
      </c>
      <c r="C364" s="354" t="s">
        <v>745</v>
      </c>
      <c r="D364" s="354" t="s">
        <v>746</v>
      </c>
      <c r="E364" s="354" t="s">
        <v>747</v>
      </c>
      <c r="F364" s="354" t="s">
        <v>744</v>
      </c>
      <c r="G364" s="354" t="s">
        <v>745</v>
      </c>
      <c r="H364" s="354" t="s">
        <v>746</v>
      </c>
      <c r="I364" s="354" t="s">
        <v>747</v>
      </c>
    </row>
    <row r="365" spans="2:9" ht="16.5">
      <c r="B365" s="368" t="s">
        <v>748</v>
      </c>
      <c r="C365" s="369">
        <v>1</v>
      </c>
      <c r="D365" s="370"/>
      <c r="E365" s="370"/>
      <c r="F365" s="368" t="s">
        <v>749</v>
      </c>
      <c r="G365" s="369"/>
      <c r="H365" s="371"/>
      <c r="I365" s="371"/>
    </row>
    <row r="366" spans="2:9" ht="16.5">
      <c r="B366" s="368" t="s">
        <v>750</v>
      </c>
      <c r="C366" s="369">
        <v>2</v>
      </c>
      <c r="D366" s="358">
        <v>667764079.75</v>
      </c>
      <c r="E366" s="358">
        <v>178406472.80000001</v>
      </c>
      <c r="F366" s="368" t="s">
        <v>751</v>
      </c>
      <c r="G366" s="369">
        <v>50</v>
      </c>
      <c r="H366" s="358">
        <v>0</v>
      </c>
      <c r="I366" s="358">
        <v>0</v>
      </c>
    </row>
    <row r="367" spans="2:9" ht="16.5">
      <c r="B367" s="368" t="s">
        <v>752</v>
      </c>
      <c r="C367" s="369">
        <v>3</v>
      </c>
      <c r="D367" s="358">
        <v>0</v>
      </c>
      <c r="E367" s="358">
        <v>0</v>
      </c>
      <c r="F367" s="368" t="s">
        <v>753</v>
      </c>
      <c r="G367" s="369">
        <v>51</v>
      </c>
      <c r="H367" s="358">
        <v>0</v>
      </c>
      <c r="I367" s="358">
        <v>0</v>
      </c>
    </row>
    <row r="368" spans="2:9" ht="16.5">
      <c r="B368" s="368" t="s">
        <v>754</v>
      </c>
      <c r="C368" s="369">
        <v>4</v>
      </c>
      <c r="D368" s="358">
        <v>0</v>
      </c>
      <c r="E368" s="358">
        <v>0</v>
      </c>
      <c r="F368" s="368" t="s">
        <v>755</v>
      </c>
      <c r="G368" s="369">
        <v>52</v>
      </c>
      <c r="H368" s="358">
        <v>933401278.95000005</v>
      </c>
      <c r="I368" s="358">
        <v>296349495.33999997</v>
      </c>
    </row>
    <row r="369" spans="2:11" ht="16.5">
      <c r="B369" s="368" t="s">
        <v>756</v>
      </c>
      <c r="C369" s="369">
        <v>5</v>
      </c>
      <c r="D369" s="358">
        <v>0</v>
      </c>
      <c r="E369" s="358">
        <v>0</v>
      </c>
      <c r="F369" s="368" t="s">
        <v>757</v>
      </c>
      <c r="G369" s="369">
        <v>53</v>
      </c>
      <c r="H369" s="358">
        <v>2903224448.9200001</v>
      </c>
      <c r="I369" s="358">
        <v>2818779127.7600002</v>
      </c>
    </row>
    <row r="370" spans="2:11" ht="16.5">
      <c r="B370" s="368" t="s">
        <v>758</v>
      </c>
      <c r="C370" s="369">
        <v>6</v>
      </c>
      <c r="D370" s="358">
        <v>998242693.07000005</v>
      </c>
      <c r="E370" s="358">
        <v>1279955871.1600001</v>
      </c>
      <c r="F370" s="368" t="s">
        <v>759</v>
      </c>
      <c r="G370" s="369">
        <v>54</v>
      </c>
      <c r="H370" s="358">
        <v>947954714.87</v>
      </c>
      <c r="I370" s="358">
        <v>1141673074.03</v>
      </c>
    </row>
    <row r="371" spans="2:11" ht="16.5">
      <c r="B371" s="368" t="s">
        <v>760</v>
      </c>
      <c r="C371" s="369">
        <v>7</v>
      </c>
      <c r="D371" s="358">
        <v>11879165.17</v>
      </c>
      <c r="E371" s="358">
        <v>0</v>
      </c>
      <c r="F371" s="368" t="s">
        <v>761</v>
      </c>
      <c r="G371" s="369">
        <v>55</v>
      </c>
      <c r="H371" s="358">
        <v>0</v>
      </c>
      <c r="I371" s="358">
        <v>0</v>
      </c>
    </row>
    <row r="372" spans="2:11" ht="16.5">
      <c r="B372" s="368" t="s">
        <v>762</v>
      </c>
      <c r="C372" s="369">
        <v>8</v>
      </c>
      <c r="D372" s="358">
        <v>523876722.47000003</v>
      </c>
      <c r="E372" s="358">
        <v>569436907.75</v>
      </c>
      <c r="F372" s="368" t="s">
        <v>763</v>
      </c>
      <c r="G372" s="369">
        <v>56</v>
      </c>
      <c r="H372" s="358">
        <v>0</v>
      </c>
      <c r="I372" s="358">
        <v>944194.3</v>
      </c>
    </row>
    <row r="373" spans="2:11" ht="16.5">
      <c r="B373" s="368" t="s">
        <v>764</v>
      </c>
      <c r="C373" s="369">
        <v>9</v>
      </c>
      <c r="D373" s="358">
        <v>0</v>
      </c>
      <c r="E373" s="358">
        <v>0</v>
      </c>
      <c r="F373" s="368" t="s">
        <v>765</v>
      </c>
      <c r="G373" s="369">
        <v>57</v>
      </c>
      <c r="H373" s="358">
        <v>508357944.75</v>
      </c>
      <c r="I373" s="358">
        <v>-31448866.25</v>
      </c>
    </row>
    <row r="374" spans="2:11" ht="16.5">
      <c r="B374" s="368" t="s">
        <v>766</v>
      </c>
      <c r="C374" s="369">
        <v>10</v>
      </c>
      <c r="D374" s="358">
        <v>0</v>
      </c>
      <c r="E374" s="358">
        <v>0</v>
      </c>
      <c r="F374" s="368" t="s">
        <v>767</v>
      </c>
      <c r="G374" s="369">
        <v>58</v>
      </c>
      <c r="H374" s="358">
        <v>0</v>
      </c>
      <c r="I374" s="358">
        <v>0</v>
      </c>
    </row>
    <row r="375" spans="2:11" ht="16.5">
      <c r="B375" s="368" t="s">
        <v>768</v>
      </c>
      <c r="C375" s="369">
        <v>11</v>
      </c>
      <c r="D375" s="358">
        <v>5199673847.3800001</v>
      </c>
      <c r="E375" s="358">
        <v>2769341069.75</v>
      </c>
      <c r="F375" s="368"/>
      <c r="G375" s="369">
        <v>59</v>
      </c>
      <c r="H375" s="358"/>
      <c r="I375" s="358"/>
    </row>
    <row r="376" spans="2:11" ht="16.5">
      <c r="B376" s="368" t="s">
        <v>769</v>
      </c>
      <c r="C376" s="369">
        <v>12</v>
      </c>
      <c r="D376" s="358">
        <v>142855959.19</v>
      </c>
      <c r="E376" s="358">
        <v>61883272.670000002</v>
      </c>
      <c r="F376" s="368" t="s">
        <v>770</v>
      </c>
      <c r="G376" s="369">
        <v>60</v>
      </c>
      <c r="H376" s="358">
        <v>0</v>
      </c>
      <c r="I376" s="358">
        <v>0</v>
      </c>
    </row>
    <row r="377" spans="2:11" ht="16.5">
      <c r="B377" s="368" t="s">
        <v>771</v>
      </c>
      <c r="C377" s="369">
        <v>13</v>
      </c>
      <c r="D377" s="358">
        <v>184523225.53</v>
      </c>
      <c r="E377" s="358">
        <v>1738000</v>
      </c>
      <c r="F377" s="368" t="s">
        <v>772</v>
      </c>
      <c r="G377" s="369">
        <v>61</v>
      </c>
      <c r="H377" s="358">
        <v>44765.2</v>
      </c>
      <c r="I377" s="358">
        <v>716056.45</v>
      </c>
    </row>
    <row r="378" spans="2:11" ht="16.5">
      <c r="B378" s="368" t="s">
        <v>773</v>
      </c>
      <c r="C378" s="369">
        <v>14</v>
      </c>
      <c r="D378" s="358">
        <v>0</v>
      </c>
      <c r="E378" s="358">
        <v>0</v>
      </c>
      <c r="F378" s="368" t="s">
        <v>774</v>
      </c>
      <c r="G378" s="369">
        <v>62</v>
      </c>
      <c r="H378" s="358">
        <v>0</v>
      </c>
      <c r="I378" s="358">
        <v>0</v>
      </c>
    </row>
    <row r="379" spans="2:11" ht="16.5">
      <c r="B379" s="368" t="s">
        <v>775</v>
      </c>
      <c r="C379" s="369">
        <v>15</v>
      </c>
      <c r="D379" s="358">
        <v>1200068.58</v>
      </c>
      <c r="E379" s="358">
        <v>4312724.4400000004</v>
      </c>
      <c r="F379" s="368" t="s">
        <v>776</v>
      </c>
      <c r="G379" s="369">
        <v>63</v>
      </c>
      <c r="H379" s="358">
        <v>0</v>
      </c>
      <c r="I379" s="358">
        <v>0</v>
      </c>
      <c r="K379">
        <v>-57271604.079999998</v>
      </c>
    </row>
    <row r="380" spans="2:11" ht="16.5">
      <c r="B380" s="368" t="s">
        <v>777</v>
      </c>
      <c r="C380" s="369">
        <v>16</v>
      </c>
      <c r="D380" s="358">
        <v>7730015761.1400003</v>
      </c>
      <c r="E380" s="358">
        <v>4865074318.5699997</v>
      </c>
      <c r="F380" s="368" t="s">
        <v>778</v>
      </c>
      <c r="G380" s="369">
        <v>64</v>
      </c>
      <c r="H380" s="358">
        <v>0</v>
      </c>
      <c r="I380" s="358">
        <v>0</v>
      </c>
    </row>
    <row r="381" spans="2:11" ht="16.5">
      <c r="B381" s="368" t="s">
        <v>779</v>
      </c>
      <c r="C381" s="369">
        <v>17</v>
      </c>
      <c r="D381" s="358"/>
      <c r="E381" s="358"/>
      <c r="F381" s="368" t="s">
        <v>780</v>
      </c>
      <c r="G381" s="369">
        <v>65</v>
      </c>
      <c r="H381" s="358">
        <v>5292983152.6899996</v>
      </c>
      <c r="I381" s="358">
        <v>4227013081.6300001</v>
      </c>
    </row>
    <row r="382" spans="2:11" ht="16.5">
      <c r="B382" s="368" t="s">
        <v>781</v>
      </c>
      <c r="C382" s="369">
        <v>18</v>
      </c>
      <c r="D382" s="358">
        <v>0</v>
      </c>
      <c r="E382" s="358">
        <v>0</v>
      </c>
      <c r="F382" s="368" t="s">
        <v>782</v>
      </c>
      <c r="G382" s="369">
        <v>66</v>
      </c>
      <c r="H382" s="358"/>
      <c r="I382" s="358"/>
    </row>
    <row r="383" spans="2:11" ht="16.5">
      <c r="B383" s="368" t="s">
        <v>783</v>
      </c>
      <c r="C383" s="369">
        <v>19</v>
      </c>
      <c r="D383" s="358">
        <v>0</v>
      </c>
      <c r="E383" s="358">
        <v>0</v>
      </c>
      <c r="F383" s="368" t="s">
        <v>784</v>
      </c>
      <c r="G383" s="369">
        <v>67</v>
      </c>
      <c r="H383" s="358">
        <v>0</v>
      </c>
      <c r="I383" s="358">
        <v>0</v>
      </c>
    </row>
    <row r="384" spans="2:11" ht="16.5">
      <c r="B384" s="368" t="s">
        <v>785</v>
      </c>
      <c r="C384" s="369">
        <v>20</v>
      </c>
      <c r="D384" s="358">
        <v>0</v>
      </c>
      <c r="E384" s="358">
        <v>0</v>
      </c>
      <c r="F384" s="368" t="s">
        <v>786</v>
      </c>
      <c r="G384" s="369">
        <v>68</v>
      </c>
      <c r="H384" s="358">
        <v>0</v>
      </c>
      <c r="I384" s="358">
        <v>0</v>
      </c>
    </row>
    <row r="385" spans="2:9" ht="16.5">
      <c r="B385" s="368" t="s">
        <v>787</v>
      </c>
      <c r="C385" s="369">
        <v>21</v>
      </c>
      <c r="D385" s="358">
        <v>23000</v>
      </c>
      <c r="E385" s="358">
        <v>23000</v>
      </c>
      <c r="F385" s="368" t="s">
        <v>788</v>
      </c>
      <c r="G385" s="369">
        <v>69</v>
      </c>
      <c r="H385" s="358">
        <v>0</v>
      </c>
      <c r="I385" s="358">
        <v>0</v>
      </c>
    </row>
    <row r="386" spans="2:9" ht="16.5">
      <c r="B386" s="368" t="s">
        <v>789</v>
      </c>
      <c r="C386" s="369">
        <v>22</v>
      </c>
      <c r="D386" s="358">
        <v>0</v>
      </c>
      <c r="E386" s="358">
        <v>0</v>
      </c>
      <c r="F386" s="368" t="s">
        <v>790</v>
      </c>
      <c r="G386" s="369">
        <v>70</v>
      </c>
      <c r="H386" s="358">
        <v>0</v>
      </c>
      <c r="I386" s="358">
        <v>0</v>
      </c>
    </row>
    <row r="387" spans="2:9" ht="16.5">
      <c r="B387" s="368" t="s">
        <v>791</v>
      </c>
      <c r="C387" s="369">
        <v>23</v>
      </c>
      <c r="D387" s="358">
        <v>0</v>
      </c>
      <c r="E387" s="358">
        <v>0</v>
      </c>
      <c r="F387" s="368" t="s">
        <v>792</v>
      </c>
      <c r="G387" s="369">
        <v>71</v>
      </c>
      <c r="H387" s="358">
        <v>0</v>
      </c>
      <c r="I387" s="358">
        <v>0</v>
      </c>
    </row>
    <row r="388" spans="2:9" ht="16.5">
      <c r="B388" s="368" t="s">
        <v>793</v>
      </c>
      <c r="C388" s="369">
        <v>24</v>
      </c>
      <c r="D388" s="358">
        <v>0</v>
      </c>
      <c r="E388" s="358">
        <v>0</v>
      </c>
      <c r="F388" s="368" t="s">
        <v>794</v>
      </c>
      <c r="G388" s="369">
        <v>72</v>
      </c>
      <c r="H388" s="358">
        <v>0</v>
      </c>
      <c r="I388" s="358">
        <v>0</v>
      </c>
    </row>
    <row r="389" spans="2:9" ht="16.5">
      <c r="B389" s="368" t="s">
        <v>795</v>
      </c>
      <c r="C389" s="369">
        <v>25</v>
      </c>
      <c r="D389" s="358">
        <v>0</v>
      </c>
      <c r="E389" s="358">
        <v>0</v>
      </c>
      <c r="F389" s="368" t="s">
        <v>796</v>
      </c>
      <c r="G389" s="369">
        <v>73</v>
      </c>
      <c r="H389" s="358">
        <v>0</v>
      </c>
      <c r="I389" s="358">
        <v>0</v>
      </c>
    </row>
    <row r="390" spans="2:9" ht="16.5">
      <c r="B390" s="368" t="s">
        <v>797</v>
      </c>
      <c r="C390" s="369">
        <v>26</v>
      </c>
      <c r="D390" s="358">
        <v>0</v>
      </c>
      <c r="E390" s="358">
        <v>0</v>
      </c>
      <c r="F390" s="368" t="s">
        <v>798</v>
      </c>
      <c r="G390" s="369">
        <v>74</v>
      </c>
      <c r="H390" s="358">
        <v>0</v>
      </c>
      <c r="I390" s="358">
        <v>0</v>
      </c>
    </row>
    <row r="391" spans="2:9" ht="16.5">
      <c r="B391" s="368" t="s">
        <v>799</v>
      </c>
      <c r="C391" s="369">
        <v>27</v>
      </c>
      <c r="D391" s="358">
        <v>0</v>
      </c>
      <c r="E391" s="358">
        <v>0</v>
      </c>
      <c r="F391" s="368" t="s">
        <v>800</v>
      </c>
      <c r="G391" s="369">
        <v>75</v>
      </c>
      <c r="H391" s="358">
        <v>0</v>
      </c>
      <c r="I391" s="358">
        <v>0</v>
      </c>
    </row>
    <row r="392" spans="2:9" ht="16.5">
      <c r="B392" s="368" t="s">
        <v>801</v>
      </c>
      <c r="C392" s="369">
        <v>28</v>
      </c>
      <c r="D392" s="358">
        <v>0</v>
      </c>
      <c r="E392" s="358">
        <v>0</v>
      </c>
      <c r="F392" s="368"/>
      <c r="G392" s="369">
        <v>76</v>
      </c>
      <c r="H392" s="358"/>
      <c r="I392" s="358"/>
    </row>
    <row r="393" spans="2:9" ht="16.5">
      <c r="B393" s="368" t="s">
        <v>802</v>
      </c>
      <c r="C393" s="369">
        <v>29</v>
      </c>
      <c r="D393" s="358">
        <v>0</v>
      </c>
      <c r="E393" s="358">
        <v>0</v>
      </c>
      <c r="F393" s="368"/>
      <c r="G393" s="369">
        <v>77</v>
      </c>
      <c r="H393" s="358"/>
      <c r="I393" s="358"/>
    </row>
    <row r="394" spans="2:9" ht="16.5">
      <c r="B394" s="368" t="s">
        <v>803</v>
      </c>
      <c r="C394" s="369">
        <v>30</v>
      </c>
      <c r="D394" s="358">
        <v>0</v>
      </c>
      <c r="E394" s="358">
        <v>0</v>
      </c>
      <c r="F394" s="368" t="s">
        <v>804</v>
      </c>
      <c r="G394" s="369">
        <v>78</v>
      </c>
      <c r="H394" s="358">
        <v>5292983152.6899996</v>
      </c>
      <c r="I394" s="358">
        <v>4227013081.6300001</v>
      </c>
    </row>
    <row r="395" spans="2:9" ht="16.5">
      <c r="B395" s="368" t="s">
        <v>805</v>
      </c>
      <c r="C395" s="369">
        <v>31</v>
      </c>
      <c r="D395" s="358">
        <v>0</v>
      </c>
      <c r="E395" s="358">
        <v>0</v>
      </c>
      <c r="F395" s="368"/>
      <c r="G395" s="369">
        <v>79</v>
      </c>
      <c r="H395" s="358"/>
      <c r="I395" s="358"/>
    </row>
    <row r="396" spans="2:9" ht="16.5">
      <c r="B396" s="368" t="s">
        <v>806</v>
      </c>
      <c r="C396" s="369">
        <v>32</v>
      </c>
      <c r="D396" s="358">
        <v>0</v>
      </c>
      <c r="E396" s="358">
        <v>0</v>
      </c>
      <c r="F396" s="368" t="s">
        <v>807</v>
      </c>
      <c r="G396" s="369">
        <v>80</v>
      </c>
      <c r="H396" s="358"/>
      <c r="I396" s="358"/>
    </row>
    <row r="397" spans="2:9" ht="16.5">
      <c r="B397" s="368" t="s">
        <v>808</v>
      </c>
      <c r="C397" s="369">
        <v>33</v>
      </c>
      <c r="D397" s="358">
        <v>0</v>
      </c>
      <c r="E397" s="358">
        <v>0</v>
      </c>
      <c r="F397" s="368" t="s">
        <v>809</v>
      </c>
      <c r="G397" s="369">
        <v>81</v>
      </c>
      <c r="H397" s="358">
        <v>445000000</v>
      </c>
      <c r="I397" s="358">
        <v>445000000</v>
      </c>
    </row>
    <row r="398" spans="2:9" ht="16.5">
      <c r="B398" s="368" t="s">
        <v>810</v>
      </c>
      <c r="C398" s="369">
        <v>34</v>
      </c>
      <c r="D398" s="358">
        <v>0</v>
      </c>
      <c r="E398" s="358">
        <v>0</v>
      </c>
      <c r="F398" s="368" t="s">
        <v>811</v>
      </c>
      <c r="G398" s="369">
        <v>82</v>
      </c>
      <c r="H398" s="358">
        <v>0</v>
      </c>
      <c r="I398" s="358">
        <v>0</v>
      </c>
    </row>
    <row r="399" spans="2:9" ht="16.5">
      <c r="B399" s="368" t="s">
        <v>812</v>
      </c>
      <c r="C399" s="369">
        <v>35</v>
      </c>
      <c r="D399" s="358">
        <v>0</v>
      </c>
      <c r="E399" s="358">
        <v>0</v>
      </c>
      <c r="F399" s="368" t="s">
        <v>813</v>
      </c>
      <c r="G399" s="369">
        <v>83</v>
      </c>
      <c r="H399" s="358">
        <v>222500000</v>
      </c>
      <c r="I399" s="358">
        <v>222500000</v>
      </c>
    </row>
    <row r="400" spans="2:9" ht="16.5">
      <c r="B400" s="368" t="s">
        <v>814</v>
      </c>
      <c r="C400" s="369">
        <v>36</v>
      </c>
      <c r="D400" s="358">
        <v>202652895.02000001</v>
      </c>
      <c r="E400" s="358">
        <v>202652895.02000001</v>
      </c>
      <c r="F400" s="368" t="s">
        <v>815</v>
      </c>
      <c r="G400" s="369">
        <v>84</v>
      </c>
      <c r="H400" s="358">
        <v>0</v>
      </c>
      <c r="I400" s="358">
        <v>0</v>
      </c>
    </row>
    <row r="401" spans="2:9" ht="16.5">
      <c r="B401" s="368" t="s">
        <v>816</v>
      </c>
      <c r="C401" s="369">
        <v>37</v>
      </c>
      <c r="D401" s="358">
        <v>1738000</v>
      </c>
      <c r="E401" s="358">
        <v>0</v>
      </c>
      <c r="F401" s="368" t="s">
        <v>817</v>
      </c>
      <c r="G401" s="369">
        <v>85</v>
      </c>
      <c r="H401" s="358">
        <v>1973946503.47</v>
      </c>
      <c r="I401" s="358">
        <v>173237131.96000001</v>
      </c>
    </row>
    <row r="402" spans="2:9" ht="16.5">
      <c r="B402" s="368" t="s">
        <v>818</v>
      </c>
      <c r="C402" s="369">
        <v>38</v>
      </c>
      <c r="D402" s="358">
        <v>204413895.02000001</v>
      </c>
      <c r="E402" s="358">
        <v>202675895.02000001</v>
      </c>
      <c r="F402" s="368" t="s">
        <v>819</v>
      </c>
      <c r="G402" s="369">
        <v>86</v>
      </c>
      <c r="H402" s="358">
        <v>2641446503.4699998</v>
      </c>
      <c r="I402" s="358">
        <v>840737131.96000004</v>
      </c>
    </row>
    <row r="403" spans="2:9" ht="16.5">
      <c r="B403" s="368" t="s">
        <v>820</v>
      </c>
      <c r="C403" s="369">
        <v>39</v>
      </c>
      <c r="D403" s="358">
        <v>7934429656.1599998</v>
      </c>
      <c r="E403" s="358">
        <v>5067750213.5900002</v>
      </c>
      <c r="F403" s="368" t="s">
        <v>821</v>
      </c>
      <c r="G403" s="369">
        <v>87</v>
      </c>
      <c r="H403" s="358">
        <v>7934429656.1599998</v>
      </c>
      <c r="I403" s="358">
        <v>5067750213.5900002</v>
      </c>
    </row>
    <row r="404" spans="2:9" ht="15">
      <c r="H404" s="367"/>
      <c r="I404" s="367"/>
    </row>
    <row r="406" spans="2:9" ht="16.5">
      <c r="B406" s="353" t="s">
        <v>741</v>
      </c>
    </row>
    <row r="407" spans="2:9" ht="16.5">
      <c r="B407" s="353" t="s">
        <v>742</v>
      </c>
      <c r="C407" s="362"/>
      <c r="F407" s="332"/>
      <c r="G407" s="362"/>
    </row>
    <row r="408" spans="2:9" ht="16.5">
      <c r="B408" s="353" t="s">
        <v>830</v>
      </c>
      <c r="C408" s="362"/>
      <c r="F408" s="332"/>
      <c r="G408" s="362"/>
    </row>
    <row r="409" spans="2:9" ht="16.5">
      <c r="B409" s="354" t="s">
        <v>744</v>
      </c>
      <c r="C409" s="354" t="s">
        <v>745</v>
      </c>
      <c r="D409" s="354" t="s">
        <v>746</v>
      </c>
      <c r="E409" s="354" t="s">
        <v>747</v>
      </c>
      <c r="F409" s="354" t="s">
        <v>744</v>
      </c>
      <c r="G409" s="354" t="s">
        <v>745</v>
      </c>
      <c r="H409" s="354" t="s">
        <v>746</v>
      </c>
      <c r="I409" s="354" t="s">
        <v>747</v>
      </c>
    </row>
    <row r="410" spans="2:9" ht="16.5">
      <c r="B410" s="368" t="s">
        <v>748</v>
      </c>
      <c r="C410" s="369">
        <v>1</v>
      </c>
      <c r="D410" s="370"/>
      <c r="E410" s="370"/>
      <c r="F410" s="368" t="s">
        <v>749</v>
      </c>
      <c r="G410" s="369"/>
      <c r="H410" s="371"/>
      <c r="I410" s="371"/>
    </row>
    <row r="411" spans="2:9" ht="16.5">
      <c r="B411" s="368" t="s">
        <v>750</v>
      </c>
      <c r="C411" s="369">
        <v>2</v>
      </c>
      <c r="D411" s="358">
        <v>667764079.75</v>
      </c>
      <c r="E411" s="358">
        <v>208200880.30000001</v>
      </c>
      <c r="F411" s="368" t="s">
        <v>751</v>
      </c>
      <c r="G411" s="369">
        <v>50</v>
      </c>
      <c r="H411" s="358">
        <v>0</v>
      </c>
      <c r="I411" s="358">
        <v>0</v>
      </c>
    </row>
    <row r="412" spans="2:9" ht="16.5">
      <c r="B412" s="368" t="s">
        <v>752</v>
      </c>
      <c r="C412" s="369">
        <v>3</v>
      </c>
      <c r="D412" s="358">
        <v>0</v>
      </c>
      <c r="E412" s="358">
        <v>0</v>
      </c>
      <c r="F412" s="368" t="s">
        <v>753</v>
      </c>
      <c r="G412" s="369">
        <v>51</v>
      </c>
      <c r="H412" s="358">
        <v>0</v>
      </c>
      <c r="I412" s="358">
        <v>0</v>
      </c>
    </row>
    <row r="413" spans="2:9" ht="16.5">
      <c r="B413" s="368" t="s">
        <v>754</v>
      </c>
      <c r="C413" s="369">
        <v>4</v>
      </c>
      <c r="D413" s="358">
        <v>0</v>
      </c>
      <c r="E413" s="358">
        <v>0</v>
      </c>
      <c r="F413" s="368" t="s">
        <v>755</v>
      </c>
      <c r="G413" s="369">
        <v>52</v>
      </c>
      <c r="H413" s="358">
        <v>933401278.95000005</v>
      </c>
      <c r="I413" s="358">
        <v>317368261.62</v>
      </c>
    </row>
    <row r="414" spans="2:9" ht="16.5">
      <c r="B414" s="368" t="s">
        <v>756</v>
      </c>
      <c r="C414" s="369">
        <v>5</v>
      </c>
      <c r="D414" s="358">
        <v>0</v>
      </c>
      <c r="E414" s="358">
        <v>0</v>
      </c>
      <c r="F414" s="368" t="s">
        <v>757</v>
      </c>
      <c r="G414" s="369">
        <v>53</v>
      </c>
      <c r="H414" s="358">
        <v>2903224448.9200001</v>
      </c>
      <c r="I414" s="358">
        <v>2469063467.4200001</v>
      </c>
    </row>
    <row r="415" spans="2:9" ht="16.5">
      <c r="B415" s="368" t="s">
        <v>758</v>
      </c>
      <c r="C415" s="369">
        <v>6</v>
      </c>
      <c r="D415" s="358">
        <v>998242693.07000005</v>
      </c>
      <c r="E415" s="358">
        <v>1385037807.9100001</v>
      </c>
      <c r="F415" s="368" t="s">
        <v>759</v>
      </c>
      <c r="G415" s="369">
        <v>54</v>
      </c>
      <c r="H415" s="358">
        <v>947954714.87</v>
      </c>
      <c r="I415" s="358">
        <v>2739639429.8099999</v>
      </c>
    </row>
    <row r="416" spans="2:9" ht="16.5">
      <c r="B416" s="368" t="s">
        <v>760</v>
      </c>
      <c r="C416" s="369">
        <v>7</v>
      </c>
      <c r="D416" s="358">
        <v>11879165.17</v>
      </c>
      <c r="E416" s="358">
        <v>0</v>
      </c>
      <c r="F416" s="368" t="s">
        <v>761</v>
      </c>
      <c r="G416" s="369">
        <v>55</v>
      </c>
      <c r="H416" s="358">
        <v>0</v>
      </c>
      <c r="I416" s="358">
        <v>0</v>
      </c>
    </row>
    <row r="417" spans="2:11" ht="16.5">
      <c r="B417" s="368" t="s">
        <v>762</v>
      </c>
      <c r="C417" s="369">
        <v>8</v>
      </c>
      <c r="D417" s="358">
        <v>523876722.47000003</v>
      </c>
      <c r="E417" s="358">
        <v>1833367899.71</v>
      </c>
      <c r="F417" s="368" t="s">
        <v>763</v>
      </c>
      <c r="G417" s="369">
        <v>56</v>
      </c>
      <c r="H417" s="358">
        <v>0</v>
      </c>
      <c r="I417" s="358">
        <v>938143.41</v>
      </c>
    </row>
    <row r="418" spans="2:11" ht="16.5">
      <c r="B418" s="368" t="s">
        <v>764</v>
      </c>
      <c r="C418" s="369">
        <v>9</v>
      </c>
      <c r="D418" s="358">
        <v>0</v>
      </c>
      <c r="E418" s="358">
        <v>0</v>
      </c>
      <c r="F418" s="368" t="s">
        <v>765</v>
      </c>
      <c r="G418" s="369">
        <v>57</v>
      </c>
      <c r="H418" s="358">
        <v>508357944.75</v>
      </c>
      <c r="I418" s="358">
        <v>-44932298.659999996</v>
      </c>
    </row>
    <row r="419" spans="2:11" ht="16.5">
      <c r="B419" s="368" t="s">
        <v>766</v>
      </c>
      <c r="C419" s="369">
        <v>10</v>
      </c>
      <c r="D419" s="358">
        <v>0</v>
      </c>
      <c r="E419" s="358">
        <v>0</v>
      </c>
      <c r="F419" s="368" t="s">
        <v>767</v>
      </c>
      <c r="G419" s="369">
        <v>58</v>
      </c>
      <c r="H419" s="358">
        <v>0</v>
      </c>
      <c r="I419" s="358">
        <v>0</v>
      </c>
    </row>
    <row r="420" spans="2:11" ht="16.5">
      <c r="B420" s="368" t="s">
        <v>768</v>
      </c>
      <c r="C420" s="369">
        <v>11</v>
      </c>
      <c r="D420" s="358">
        <v>5199673847.3800001</v>
      </c>
      <c r="E420" s="358">
        <v>2656754640.5</v>
      </c>
      <c r="F420" s="368"/>
      <c r="G420" s="369">
        <v>59</v>
      </c>
      <c r="H420" s="358"/>
      <c r="I420" s="358"/>
    </row>
    <row r="421" spans="2:11" ht="16.5">
      <c r="B421" s="368" t="s">
        <v>769</v>
      </c>
      <c r="C421" s="369">
        <v>12</v>
      </c>
      <c r="D421" s="358">
        <v>142855959.19</v>
      </c>
      <c r="E421" s="358">
        <v>57559304.399999999</v>
      </c>
      <c r="F421" s="368" t="s">
        <v>770</v>
      </c>
      <c r="G421" s="369">
        <v>60</v>
      </c>
      <c r="H421" s="358">
        <v>0</v>
      </c>
      <c r="I421" s="358">
        <v>0</v>
      </c>
    </row>
    <row r="422" spans="2:11" ht="16.5">
      <c r="B422" s="368" t="s">
        <v>771</v>
      </c>
      <c r="C422" s="369">
        <v>13</v>
      </c>
      <c r="D422" s="358">
        <v>184523225.53</v>
      </c>
      <c r="E422" s="358">
        <v>0</v>
      </c>
      <c r="F422" s="368" t="s">
        <v>772</v>
      </c>
      <c r="G422" s="369">
        <v>61</v>
      </c>
      <c r="H422" s="358">
        <v>44765.2</v>
      </c>
      <c r="I422" s="358">
        <v>35744214.520000003</v>
      </c>
    </row>
    <row r="423" spans="2:11" ht="16.5">
      <c r="B423" s="368" t="s">
        <v>773</v>
      </c>
      <c r="C423" s="369">
        <v>14</v>
      </c>
      <c r="D423" s="358">
        <v>0</v>
      </c>
      <c r="E423" s="358">
        <v>0</v>
      </c>
      <c r="F423" s="368" t="s">
        <v>774</v>
      </c>
      <c r="G423" s="369">
        <v>62</v>
      </c>
      <c r="H423" s="358">
        <v>0</v>
      </c>
      <c r="I423" s="358">
        <v>0</v>
      </c>
    </row>
    <row r="424" spans="2:11" ht="16.5">
      <c r="B424" s="368" t="s">
        <v>775</v>
      </c>
      <c r="C424" s="369">
        <v>15</v>
      </c>
      <c r="D424" s="358">
        <v>1200068.58</v>
      </c>
      <c r="E424" s="358">
        <v>5953622.2999999998</v>
      </c>
      <c r="F424" s="368" t="s">
        <v>776</v>
      </c>
      <c r="G424" s="369">
        <v>63</v>
      </c>
      <c r="H424" s="358">
        <v>0</v>
      </c>
      <c r="I424" s="358">
        <v>0</v>
      </c>
    </row>
    <row r="425" spans="2:11" ht="16.5">
      <c r="B425" s="368" t="s">
        <v>777</v>
      </c>
      <c r="C425" s="369">
        <v>16</v>
      </c>
      <c r="D425" s="358">
        <v>7730015761.1400003</v>
      </c>
      <c r="E425" s="358">
        <v>6146874155.1199999</v>
      </c>
      <c r="F425" s="368" t="s">
        <v>778</v>
      </c>
      <c r="G425" s="369">
        <v>64</v>
      </c>
      <c r="H425" s="358">
        <v>0</v>
      </c>
      <c r="I425" s="358">
        <v>0</v>
      </c>
    </row>
    <row r="426" spans="2:11" ht="16.5">
      <c r="B426" s="368" t="s">
        <v>779</v>
      </c>
      <c r="C426" s="369">
        <v>17</v>
      </c>
      <c r="D426" s="358"/>
      <c r="E426" s="358"/>
      <c r="F426" s="368" t="s">
        <v>780</v>
      </c>
      <c r="G426" s="369">
        <v>65</v>
      </c>
      <c r="H426" s="358">
        <v>5292983152.6899996</v>
      </c>
      <c r="I426" s="358">
        <v>5517821218.1199999</v>
      </c>
    </row>
    <row r="427" spans="2:11" ht="16.5">
      <c r="B427" s="368" t="s">
        <v>781</v>
      </c>
      <c r="C427" s="369">
        <v>18</v>
      </c>
      <c r="D427" s="358">
        <v>0</v>
      </c>
      <c r="E427" s="358">
        <v>0</v>
      </c>
      <c r="F427" s="368" t="s">
        <v>782</v>
      </c>
      <c r="G427" s="369">
        <v>66</v>
      </c>
      <c r="H427" s="358"/>
      <c r="I427" s="358"/>
    </row>
    <row r="428" spans="2:11" ht="16.5">
      <c r="B428" s="368" t="s">
        <v>783</v>
      </c>
      <c r="C428" s="369">
        <v>19</v>
      </c>
      <c r="D428" s="358">
        <v>0</v>
      </c>
      <c r="E428" s="358">
        <v>0</v>
      </c>
      <c r="F428" s="368" t="s">
        <v>784</v>
      </c>
      <c r="G428" s="369">
        <v>67</v>
      </c>
      <c r="H428" s="358">
        <v>0</v>
      </c>
      <c r="I428" s="358">
        <v>0</v>
      </c>
    </row>
    <row r="429" spans="2:11" ht="16.5">
      <c r="B429" s="368" t="s">
        <v>785</v>
      </c>
      <c r="C429" s="369">
        <v>20</v>
      </c>
      <c r="D429" s="358">
        <v>0</v>
      </c>
      <c r="E429" s="358">
        <v>0</v>
      </c>
      <c r="F429" s="368" t="s">
        <v>786</v>
      </c>
      <c r="G429" s="369">
        <v>68</v>
      </c>
      <c r="H429" s="358">
        <v>0</v>
      </c>
      <c r="I429" s="358">
        <v>0</v>
      </c>
      <c r="K429">
        <v>45207172.189999998</v>
      </c>
    </row>
    <row r="430" spans="2:11" ht="16.5">
      <c r="B430" s="368" t="s">
        <v>787</v>
      </c>
      <c r="C430" s="369">
        <v>21</v>
      </c>
      <c r="D430" s="358">
        <v>23000</v>
      </c>
      <c r="E430" s="358">
        <v>23000</v>
      </c>
      <c r="F430" s="368" t="s">
        <v>788</v>
      </c>
      <c r="G430" s="369">
        <v>69</v>
      </c>
      <c r="H430" s="358">
        <v>0</v>
      </c>
      <c r="I430" s="358">
        <v>0</v>
      </c>
    </row>
    <row r="431" spans="2:11" ht="16.5">
      <c r="B431" s="368" t="s">
        <v>789</v>
      </c>
      <c r="C431" s="369">
        <v>22</v>
      </c>
      <c r="D431" s="358">
        <v>0</v>
      </c>
      <c r="E431" s="358">
        <v>0</v>
      </c>
      <c r="F431" s="368" t="s">
        <v>790</v>
      </c>
      <c r="G431" s="369">
        <v>70</v>
      </c>
      <c r="H431" s="358">
        <v>0</v>
      </c>
      <c r="I431" s="358">
        <v>0</v>
      </c>
    </row>
    <row r="432" spans="2:11" ht="16.5">
      <c r="B432" s="368" t="s">
        <v>791</v>
      </c>
      <c r="C432" s="369">
        <v>23</v>
      </c>
      <c r="D432" s="358">
        <v>0</v>
      </c>
      <c r="E432" s="358">
        <v>0</v>
      </c>
      <c r="F432" s="368" t="s">
        <v>792</v>
      </c>
      <c r="G432" s="369">
        <v>71</v>
      </c>
      <c r="H432" s="358">
        <v>0</v>
      </c>
      <c r="I432" s="358">
        <v>0</v>
      </c>
    </row>
    <row r="433" spans="2:9" ht="16.5">
      <c r="B433" s="368" t="s">
        <v>793</v>
      </c>
      <c r="C433" s="369">
        <v>24</v>
      </c>
      <c r="D433" s="358">
        <v>0</v>
      </c>
      <c r="E433" s="358">
        <v>0</v>
      </c>
      <c r="F433" s="368" t="s">
        <v>794</v>
      </c>
      <c r="G433" s="369">
        <v>72</v>
      </c>
      <c r="H433" s="358">
        <v>0</v>
      </c>
      <c r="I433" s="358">
        <v>0</v>
      </c>
    </row>
    <row r="434" spans="2:9" ht="16.5">
      <c r="B434" s="368" t="s">
        <v>795</v>
      </c>
      <c r="C434" s="369">
        <v>25</v>
      </c>
      <c r="D434" s="358">
        <v>0</v>
      </c>
      <c r="E434" s="358">
        <v>0</v>
      </c>
      <c r="F434" s="368" t="s">
        <v>796</v>
      </c>
      <c r="G434" s="369">
        <v>73</v>
      </c>
      <c r="H434" s="358">
        <v>0</v>
      </c>
      <c r="I434" s="358">
        <v>0</v>
      </c>
    </row>
    <row r="435" spans="2:9" ht="16.5">
      <c r="B435" s="368" t="s">
        <v>797</v>
      </c>
      <c r="C435" s="369">
        <v>26</v>
      </c>
      <c r="D435" s="358">
        <v>0</v>
      </c>
      <c r="E435" s="358">
        <v>0</v>
      </c>
      <c r="F435" s="368" t="s">
        <v>798</v>
      </c>
      <c r="G435" s="369">
        <v>74</v>
      </c>
      <c r="H435" s="358">
        <v>0</v>
      </c>
      <c r="I435" s="358">
        <v>0</v>
      </c>
    </row>
    <row r="436" spans="2:9" ht="16.5">
      <c r="B436" s="368" t="s">
        <v>799</v>
      </c>
      <c r="C436" s="369">
        <v>27</v>
      </c>
      <c r="D436" s="358">
        <v>0</v>
      </c>
      <c r="E436" s="358">
        <v>0</v>
      </c>
      <c r="F436" s="368" t="s">
        <v>800</v>
      </c>
      <c r="G436" s="369">
        <v>75</v>
      </c>
      <c r="H436" s="358">
        <v>0</v>
      </c>
      <c r="I436" s="358">
        <v>0</v>
      </c>
    </row>
    <row r="437" spans="2:9" ht="16.5">
      <c r="B437" s="368" t="s">
        <v>801</v>
      </c>
      <c r="C437" s="369">
        <v>28</v>
      </c>
      <c r="D437" s="358">
        <v>0</v>
      </c>
      <c r="E437" s="358">
        <v>0</v>
      </c>
      <c r="F437" s="368"/>
      <c r="G437" s="369">
        <v>76</v>
      </c>
      <c r="H437" s="358"/>
      <c r="I437" s="358"/>
    </row>
    <row r="438" spans="2:9" ht="16.5">
      <c r="B438" s="368" t="s">
        <v>802</v>
      </c>
      <c r="C438" s="369">
        <v>29</v>
      </c>
      <c r="D438" s="358">
        <v>0</v>
      </c>
      <c r="E438" s="358">
        <v>0</v>
      </c>
      <c r="F438" s="368"/>
      <c r="G438" s="369">
        <v>77</v>
      </c>
      <c r="H438" s="358"/>
      <c r="I438" s="358"/>
    </row>
    <row r="439" spans="2:9" ht="16.5">
      <c r="B439" s="368" t="s">
        <v>803</v>
      </c>
      <c r="C439" s="369">
        <v>30</v>
      </c>
      <c r="D439" s="358">
        <v>0</v>
      </c>
      <c r="E439" s="358">
        <v>0</v>
      </c>
      <c r="F439" s="368" t="s">
        <v>804</v>
      </c>
      <c r="G439" s="369">
        <v>78</v>
      </c>
      <c r="H439" s="358">
        <v>5292983152.6899996</v>
      </c>
      <c r="I439" s="358">
        <v>5517821218.1199999</v>
      </c>
    </row>
    <row r="440" spans="2:9" ht="16.5">
      <c r="B440" s="368" t="s">
        <v>805</v>
      </c>
      <c r="C440" s="369">
        <v>31</v>
      </c>
      <c r="D440" s="358">
        <v>0</v>
      </c>
      <c r="E440" s="358">
        <v>0</v>
      </c>
      <c r="F440" s="368"/>
      <c r="G440" s="369">
        <v>79</v>
      </c>
      <c r="H440" s="358"/>
      <c r="I440" s="358"/>
    </row>
    <row r="441" spans="2:9" ht="16.5">
      <c r="B441" s="368" t="s">
        <v>806</v>
      </c>
      <c r="C441" s="369">
        <v>32</v>
      </c>
      <c r="D441" s="358">
        <v>0</v>
      </c>
      <c r="E441" s="358">
        <v>0</v>
      </c>
      <c r="F441" s="368" t="s">
        <v>807</v>
      </c>
      <c r="G441" s="369">
        <v>80</v>
      </c>
      <c r="H441" s="358"/>
      <c r="I441" s="358"/>
    </row>
    <row r="442" spans="2:9" ht="16.5">
      <c r="B442" s="368" t="s">
        <v>808</v>
      </c>
      <c r="C442" s="369">
        <v>33</v>
      </c>
      <c r="D442" s="358">
        <v>0</v>
      </c>
      <c r="E442" s="358">
        <v>0</v>
      </c>
      <c r="F442" s="368" t="s">
        <v>809</v>
      </c>
      <c r="G442" s="369">
        <v>81</v>
      </c>
      <c r="H442" s="358">
        <v>445000000</v>
      </c>
      <c r="I442" s="358">
        <v>445000000</v>
      </c>
    </row>
    <row r="443" spans="2:9" ht="16.5">
      <c r="B443" s="368" t="s">
        <v>810</v>
      </c>
      <c r="C443" s="369">
        <v>34</v>
      </c>
      <c r="D443" s="358">
        <v>0</v>
      </c>
      <c r="E443" s="358">
        <v>0</v>
      </c>
      <c r="F443" s="368" t="s">
        <v>811</v>
      </c>
      <c r="G443" s="369">
        <v>82</v>
      </c>
      <c r="H443" s="358">
        <v>0</v>
      </c>
      <c r="I443" s="358">
        <v>0</v>
      </c>
    </row>
    <row r="444" spans="2:9" ht="16.5">
      <c r="B444" s="368" t="s">
        <v>812</v>
      </c>
      <c r="C444" s="369">
        <v>35</v>
      </c>
      <c r="D444" s="358">
        <v>0</v>
      </c>
      <c r="E444" s="358">
        <v>0</v>
      </c>
      <c r="F444" s="368" t="s">
        <v>813</v>
      </c>
      <c r="G444" s="369">
        <v>83</v>
      </c>
      <c r="H444" s="358">
        <v>222500000</v>
      </c>
      <c r="I444" s="358">
        <v>222500000</v>
      </c>
    </row>
    <row r="445" spans="2:9" ht="16.5">
      <c r="B445" s="368" t="s">
        <v>814</v>
      </c>
      <c r="C445" s="369">
        <v>36</v>
      </c>
      <c r="D445" s="358">
        <v>202652895.02000001</v>
      </c>
      <c r="E445" s="358">
        <v>202652895.02000001</v>
      </c>
      <c r="F445" s="368" t="s">
        <v>815</v>
      </c>
      <c r="G445" s="369">
        <v>84</v>
      </c>
      <c r="H445" s="358">
        <v>0</v>
      </c>
      <c r="I445" s="358">
        <v>0</v>
      </c>
    </row>
    <row r="446" spans="2:9" ht="16.5">
      <c r="B446" s="368" t="s">
        <v>816</v>
      </c>
      <c r="C446" s="369">
        <v>37</v>
      </c>
      <c r="D446" s="358">
        <v>1738000</v>
      </c>
      <c r="E446" s="358">
        <v>0</v>
      </c>
      <c r="F446" s="368" t="s">
        <v>817</v>
      </c>
      <c r="G446" s="369">
        <v>85</v>
      </c>
      <c r="H446" s="358">
        <v>1973946503.47</v>
      </c>
      <c r="I446" s="358">
        <v>164228832.02000001</v>
      </c>
    </row>
    <row r="447" spans="2:9" ht="16.5">
      <c r="B447" s="368" t="s">
        <v>818</v>
      </c>
      <c r="C447" s="369">
        <v>38</v>
      </c>
      <c r="D447" s="358">
        <v>204413895.02000001</v>
      </c>
      <c r="E447" s="358">
        <v>202675895.02000001</v>
      </c>
      <c r="F447" s="368" t="s">
        <v>819</v>
      </c>
      <c r="G447" s="369">
        <v>86</v>
      </c>
      <c r="H447" s="358">
        <v>2641446503.4699998</v>
      </c>
      <c r="I447" s="358">
        <v>831728832.01999998</v>
      </c>
    </row>
    <row r="448" spans="2:9" ht="16.5">
      <c r="B448" s="368" t="s">
        <v>820</v>
      </c>
      <c r="C448" s="369">
        <v>39</v>
      </c>
      <c r="D448" s="358">
        <v>7934429656.1599998</v>
      </c>
      <c r="E448" s="358">
        <v>6349550050.1400003</v>
      </c>
      <c r="F448" s="368" t="s">
        <v>821</v>
      </c>
      <c r="G448" s="369">
        <v>87</v>
      </c>
      <c r="H448" s="358">
        <v>7934429656.1599998</v>
      </c>
      <c r="I448" s="358">
        <v>6349550050.1400003</v>
      </c>
    </row>
    <row r="451" spans="2:9" ht="16.5">
      <c r="B451" s="333" t="s">
        <v>741</v>
      </c>
    </row>
    <row r="452" spans="2:9" ht="16.5">
      <c r="B452" s="333" t="s">
        <v>742</v>
      </c>
      <c r="C452" s="362"/>
      <c r="F452" s="332"/>
      <c r="G452" s="362"/>
    </row>
    <row r="453" spans="2:9" ht="16.5">
      <c r="B453" s="333" t="s">
        <v>831</v>
      </c>
      <c r="C453" s="362"/>
      <c r="F453" s="332"/>
      <c r="G453" s="362"/>
    </row>
    <row r="454" spans="2:9" ht="16.5">
      <c r="B454" s="336" t="s">
        <v>744</v>
      </c>
      <c r="C454" s="336" t="s">
        <v>745</v>
      </c>
      <c r="D454" s="336" t="s">
        <v>746</v>
      </c>
      <c r="E454" s="336" t="s">
        <v>747</v>
      </c>
      <c r="F454" s="336" t="s">
        <v>744</v>
      </c>
      <c r="G454" s="336" t="s">
        <v>745</v>
      </c>
      <c r="H454" s="336" t="s">
        <v>746</v>
      </c>
      <c r="I454" s="336" t="s">
        <v>747</v>
      </c>
    </row>
    <row r="455" spans="2:9" ht="16.5">
      <c r="B455" s="363" t="s">
        <v>748</v>
      </c>
      <c r="C455" s="364">
        <v>1</v>
      </c>
      <c r="D455" s="365"/>
      <c r="E455" s="365"/>
      <c r="F455" s="363" t="s">
        <v>749</v>
      </c>
      <c r="G455" s="364"/>
      <c r="H455" s="366"/>
      <c r="I455" s="366"/>
    </row>
    <row r="456" spans="2:9" ht="16.5">
      <c r="B456" s="363" t="s">
        <v>750</v>
      </c>
      <c r="C456" s="364">
        <v>2</v>
      </c>
      <c r="D456" s="351">
        <v>667764079.75</v>
      </c>
      <c r="E456" s="351">
        <v>214036970.83000001</v>
      </c>
      <c r="F456" s="363" t="s">
        <v>751</v>
      </c>
      <c r="G456" s="364">
        <v>50</v>
      </c>
      <c r="H456" s="351">
        <v>0</v>
      </c>
      <c r="I456" s="351">
        <v>0</v>
      </c>
    </row>
    <row r="457" spans="2:9" ht="16.5">
      <c r="B457" s="363" t="s">
        <v>752</v>
      </c>
      <c r="C457" s="364">
        <v>3</v>
      </c>
      <c r="D457" s="351">
        <v>0</v>
      </c>
      <c r="E457" s="351">
        <v>0</v>
      </c>
      <c r="F457" s="363" t="s">
        <v>753</v>
      </c>
      <c r="G457" s="364">
        <v>51</v>
      </c>
      <c r="H457" s="351">
        <v>0</v>
      </c>
      <c r="I457" s="351">
        <v>0</v>
      </c>
    </row>
    <row r="458" spans="2:9" ht="16.5">
      <c r="B458" s="363" t="s">
        <v>754</v>
      </c>
      <c r="C458" s="364">
        <v>4</v>
      </c>
      <c r="D458" s="351">
        <v>0</v>
      </c>
      <c r="E458" s="351">
        <v>0</v>
      </c>
      <c r="F458" s="363" t="s">
        <v>755</v>
      </c>
      <c r="G458" s="364">
        <v>52</v>
      </c>
      <c r="H458" s="351">
        <v>933401278.95000005</v>
      </c>
      <c r="I458" s="351">
        <v>300095628.61000001</v>
      </c>
    </row>
    <row r="459" spans="2:9" ht="16.5">
      <c r="B459" s="363" t="s">
        <v>756</v>
      </c>
      <c r="C459" s="364">
        <v>5</v>
      </c>
      <c r="D459" s="351">
        <v>0</v>
      </c>
      <c r="E459" s="351">
        <v>0</v>
      </c>
      <c r="F459" s="363" t="s">
        <v>757</v>
      </c>
      <c r="G459" s="364">
        <v>53</v>
      </c>
      <c r="H459" s="351">
        <v>2903224448.9200001</v>
      </c>
      <c r="I459" s="351">
        <v>2398776594.8200002</v>
      </c>
    </row>
    <row r="460" spans="2:9" ht="16.5">
      <c r="B460" s="363" t="s">
        <v>758</v>
      </c>
      <c r="C460" s="364">
        <v>6</v>
      </c>
      <c r="D460" s="351">
        <v>998242693.07000005</v>
      </c>
      <c r="E460" s="351">
        <v>3045772567.3800001</v>
      </c>
      <c r="F460" s="363" t="s">
        <v>759</v>
      </c>
      <c r="G460" s="364">
        <v>54</v>
      </c>
      <c r="H460" s="351">
        <v>947954714.87</v>
      </c>
      <c r="I460" s="351">
        <v>3292635776.4200001</v>
      </c>
    </row>
    <row r="461" spans="2:9" ht="16.5">
      <c r="B461" s="363" t="s">
        <v>760</v>
      </c>
      <c r="C461" s="364">
        <v>7</v>
      </c>
      <c r="D461" s="351">
        <v>11879165.17</v>
      </c>
      <c r="E461" s="351">
        <v>0</v>
      </c>
      <c r="F461" s="363" t="s">
        <v>761</v>
      </c>
      <c r="G461" s="364">
        <v>55</v>
      </c>
      <c r="H461" s="351">
        <v>0</v>
      </c>
      <c r="I461" s="351">
        <v>0</v>
      </c>
    </row>
    <row r="462" spans="2:9" ht="16.5">
      <c r="B462" s="363" t="s">
        <v>762</v>
      </c>
      <c r="C462" s="364">
        <v>8</v>
      </c>
      <c r="D462" s="351">
        <v>523876722.47000003</v>
      </c>
      <c r="E462" s="351">
        <v>523797190.75999999</v>
      </c>
      <c r="F462" s="363" t="s">
        <v>763</v>
      </c>
      <c r="G462" s="364">
        <v>56</v>
      </c>
      <c r="H462" s="351">
        <v>0</v>
      </c>
      <c r="I462" s="351">
        <v>965174.21</v>
      </c>
    </row>
    <row r="463" spans="2:9" ht="16.5">
      <c r="B463" s="363" t="s">
        <v>764</v>
      </c>
      <c r="C463" s="364">
        <v>9</v>
      </c>
      <c r="D463" s="351">
        <v>0</v>
      </c>
      <c r="E463" s="351">
        <v>0</v>
      </c>
      <c r="F463" s="363" t="s">
        <v>765</v>
      </c>
      <c r="G463" s="364">
        <v>57</v>
      </c>
      <c r="H463" s="351">
        <v>508357944.75</v>
      </c>
      <c r="I463" s="351">
        <v>-5993934.6799999997</v>
      </c>
    </row>
    <row r="464" spans="2:9" ht="16.5">
      <c r="B464" s="363" t="s">
        <v>766</v>
      </c>
      <c r="C464" s="364">
        <v>10</v>
      </c>
      <c r="D464" s="351">
        <v>0</v>
      </c>
      <c r="E464" s="351">
        <v>0</v>
      </c>
      <c r="F464" s="363" t="s">
        <v>767</v>
      </c>
      <c r="G464" s="364">
        <v>58</v>
      </c>
      <c r="H464" s="351">
        <v>0</v>
      </c>
      <c r="I464" s="351">
        <v>0</v>
      </c>
    </row>
    <row r="465" spans="2:11" ht="16.5">
      <c r="B465" s="363" t="s">
        <v>768</v>
      </c>
      <c r="C465" s="364">
        <v>11</v>
      </c>
      <c r="D465" s="351">
        <v>5199673847.3800001</v>
      </c>
      <c r="E465" s="351">
        <v>2618311086.3699999</v>
      </c>
      <c r="F465" s="363"/>
      <c r="G465" s="364">
        <v>59</v>
      </c>
      <c r="H465" s="351"/>
      <c r="I465" s="351"/>
    </row>
    <row r="466" spans="2:11" ht="16.5">
      <c r="B466" s="363" t="s">
        <v>769</v>
      </c>
      <c r="C466" s="364">
        <v>12</v>
      </c>
      <c r="D466" s="351">
        <v>142855959.19</v>
      </c>
      <c r="E466" s="351">
        <v>210047663.63999999</v>
      </c>
      <c r="F466" s="363" t="s">
        <v>770</v>
      </c>
      <c r="G466" s="364">
        <v>60</v>
      </c>
      <c r="H466" s="351">
        <v>0</v>
      </c>
      <c r="I466" s="351">
        <v>0</v>
      </c>
    </row>
    <row r="467" spans="2:11" ht="16.5">
      <c r="B467" s="363" t="s">
        <v>771</v>
      </c>
      <c r="C467" s="364">
        <v>13</v>
      </c>
      <c r="D467" s="351">
        <v>184523225.53</v>
      </c>
      <c r="E467" s="351">
        <v>0</v>
      </c>
      <c r="F467" s="363" t="s">
        <v>772</v>
      </c>
      <c r="G467" s="364">
        <v>61</v>
      </c>
      <c r="H467" s="351">
        <v>44765.2</v>
      </c>
      <c r="I467" s="351">
        <v>37094762.359999999</v>
      </c>
    </row>
    <row r="468" spans="2:11" ht="16.5">
      <c r="B468" s="363" t="s">
        <v>773</v>
      </c>
      <c r="C468" s="364">
        <v>14</v>
      </c>
      <c r="D468" s="351">
        <v>0</v>
      </c>
      <c r="E468" s="351">
        <v>0</v>
      </c>
      <c r="F468" s="363" t="s">
        <v>774</v>
      </c>
      <c r="G468" s="364">
        <v>62</v>
      </c>
      <c r="H468" s="351">
        <v>0</v>
      </c>
      <c r="I468" s="351">
        <v>0</v>
      </c>
    </row>
    <row r="469" spans="2:11" ht="16.5">
      <c r="B469" s="363" t="s">
        <v>775</v>
      </c>
      <c r="C469" s="364">
        <v>15</v>
      </c>
      <c r="D469" s="351">
        <v>1200068.58</v>
      </c>
      <c r="E469" s="351">
        <v>52941253.789999999</v>
      </c>
      <c r="F469" s="363" t="s">
        <v>776</v>
      </c>
      <c r="G469" s="364">
        <v>63</v>
      </c>
      <c r="H469" s="351">
        <v>0</v>
      </c>
      <c r="I469" s="351">
        <v>0</v>
      </c>
    </row>
    <row r="470" spans="2:11" ht="16.5">
      <c r="B470" s="363" t="s">
        <v>777</v>
      </c>
      <c r="C470" s="364">
        <v>16</v>
      </c>
      <c r="D470" s="351">
        <v>7730015761.1400003</v>
      </c>
      <c r="E470" s="351">
        <v>6664906732.7700005</v>
      </c>
      <c r="F470" s="363" t="s">
        <v>778</v>
      </c>
      <c r="G470" s="364">
        <v>64</v>
      </c>
      <c r="H470" s="351">
        <v>0</v>
      </c>
      <c r="I470" s="351">
        <v>0</v>
      </c>
    </row>
    <row r="471" spans="2:11" ht="16.5">
      <c r="B471" s="363" t="s">
        <v>779</v>
      </c>
      <c r="C471" s="364">
        <v>17</v>
      </c>
      <c r="D471" s="351"/>
      <c r="E471" s="351"/>
      <c r="F471" s="363" t="s">
        <v>780</v>
      </c>
      <c r="G471" s="364">
        <v>65</v>
      </c>
      <c r="H471" s="351">
        <v>5292983152.6899996</v>
      </c>
      <c r="I471" s="351">
        <v>6023574001.7399998</v>
      </c>
    </row>
    <row r="472" spans="2:11" ht="16.5">
      <c r="B472" s="363" t="s">
        <v>781</v>
      </c>
      <c r="C472" s="364">
        <v>18</v>
      </c>
      <c r="D472" s="351">
        <v>0</v>
      </c>
      <c r="E472" s="351">
        <v>0</v>
      </c>
      <c r="F472" s="363" t="s">
        <v>782</v>
      </c>
      <c r="G472" s="364">
        <v>66</v>
      </c>
      <c r="H472" s="351"/>
      <c r="I472" s="351"/>
      <c r="K472">
        <v>7375726.0499999998</v>
      </c>
    </row>
    <row r="473" spans="2:11" ht="16.5">
      <c r="B473" s="363" t="s">
        <v>783</v>
      </c>
      <c r="C473" s="364">
        <v>19</v>
      </c>
      <c r="D473" s="351">
        <v>0</v>
      </c>
      <c r="E473" s="351">
        <v>0</v>
      </c>
      <c r="F473" s="363" t="s">
        <v>784</v>
      </c>
      <c r="G473" s="364">
        <v>67</v>
      </c>
      <c r="H473" s="351">
        <v>0</v>
      </c>
      <c r="I473" s="351">
        <v>0</v>
      </c>
    </row>
    <row r="474" spans="2:11" ht="16.5">
      <c r="B474" s="363" t="s">
        <v>785</v>
      </c>
      <c r="C474" s="364">
        <v>20</v>
      </c>
      <c r="D474" s="351">
        <v>0</v>
      </c>
      <c r="E474" s="351">
        <v>0</v>
      </c>
      <c r="F474" s="363" t="s">
        <v>786</v>
      </c>
      <c r="G474" s="364">
        <v>68</v>
      </c>
      <c r="H474" s="351">
        <v>0</v>
      </c>
      <c r="I474" s="351">
        <v>0</v>
      </c>
    </row>
    <row r="475" spans="2:11" ht="16.5">
      <c r="B475" s="363" t="s">
        <v>787</v>
      </c>
      <c r="C475" s="364">
        <v>21</v>
      </c>
      <c r="D475" s="351">
        <v>23000</v>
      </c>
      <c r="E475" s="351">
        <v>23000</v>
      </c>
      <c r="F475" s="363" t="s">
        <v>788</v>
      </c>
      <c r="G475" s="364">
        <v>69</v>
      </c>
      <c r="H475" s="351">
        <v>0</v>
      </c>
      <c r="I475" s="351">
        <v>0</v>
      </c>
    </row>
    <row r="476" spans="2:11" ht="16.5">
      <c r="B476" s="363" t="s">
        <v>789</v>
      </c>
      <c r="C476" s="364">
        <v>22</v>
      </c>
      <c r="D476" s="351">
        <v>0</v>
      </c>
      <c r="E476" s="351">
        <v>0</v>
      </c>
      <c r="F476" s="363" t="s">
        <v>790</v>
      </c>
      <c r="G476" s="364">
        <v>70</v>
      </c>
      <c r="H476" s="351">
        <v>0</v>
      </c>
      <c r="I476" s="351">
        <v>0</v>
      </c>
    </row>
    <row r="477" spans="2:11" ht="16.5">
      <c r="B477" s="363" t="s">
        <v>791</v>
      </c>
      <c r="C477" s="364">
        <v>23</v>
      </c>
      <c r="D477" s="351">
        <v>0</v>
      </c>
      <c r="E477" s="351">
        <v>0</v>
      </c>
      <c r="F477" s="363" t="s">
        <v>792</v>
      </c>
      <c r="G477" s="364">
        <v>71</v>
      </c>
      <c r="H477" s="351">
        <v>0</v>
      </c>
      <c r="I477" s="351">
        <v>0</v>
      </c>
    </row>
    <row r="478" spans="2:11" ht="16.5">
      <c r="B478" s="363" t="s">
        <v>793</v>
      </c>
      <c r="C478" s="364">
        <v>24</v>
      </c>
      <c r="D478" s="351">
        <v>0</v>
      </c>
      <c r="E478" s="351">
        <v>0</v>
      </c>
      <c r="F478" s="363" t="s">
        <v>794</v>
      </c>
      <c r="G478" s="364">
        <v>72</v>
      </c>
      <c r="H478" s="351">
        <v>0</v>
      </c>
      <c r="I478" s="351">
        <v>0</v>
      </c>
    </row>
    <row r="479" spans="2:11" ht="16.5">
      <c r="B479" s="363" t="s">
        <v>795</v>
      </c>
      <c r="C479" s="364">
        <v>25</v>
      </c>
      <c r="D479" s="351">
        <v>0</v>
      </c>
      <c r="E479" s="351">
        <v>0</v>
      </c>
      <c r="F479" s="363" t="s">
        <v>796</v>
      </c>
      <c r="G479" s="364">
        <v>73</v>
      </c>
      <c r="H479" s="351">
        <v>0</v>
      </c>
      <c r="I479" s="351">
        <v>0</v>
      </c>
    </row>
    <row r="480" spans="2:11" ht="16.5">
      <c r="B480" s="363" t="s">
        <v>797</v>
      </c>
      <c r="C480" s="364">
        <v>26</v>
      </c>
      <c r="D480" s="351">
        <v>0</v>
      </c>
      <c r="E480" s="351">
        <v>0</v>
      </c>
      <c r="F480" s="363" t="s">
        <v>798</v>
      </c>
      <c r="G480" s="364">
        <v>74</v>
      </c>
      <c r="H480" s="351">
        <v>0</v>
      </c>
      <c r="I480" s="351">
        <v>0</v>
      </c>
    </row>
    <row r="481" spans="2:9" ht="16.5">
      <c r="B481" s="363" t="s">
        <v>799</v>
      </c>
      <c r="C481" s="364">
        <v>27</v>
      </c>
      <c r="D481" s="351">
        <v>0</v>
      </c>
      <c r="E481" s="351">
        <v>0</v>
      </c>
      <c r="F481" s="363" t="s">
        <v>800</v>
      </c>
      <c r="G481" s="364">
        <v>75</v>
      </c>
      <c r="H481" s="351">
        <v>0</v>
      </c>
      <c r="I481" s="351">
        <v>0</v>
      </c>
    </row>
    <row r="482" spans="2:9" ht="16.5">
      <c r="B482" s="363" t="s">
        <v>801</v>
      </c>
      <c r="C482" s="364">
        <v>28</v>
      </c>
      <c r="D482" s="351">
        <v>0</v>
      </c>
      <c r="E482" s="351">
        <v>0</v>
      </c>
      <c r="F482" s="363"/>
      <c r="G482" s="364">
        <v>76</v>
      </c>
      <c r="H482" s="351"/>
      <c r="I482" s="351"/>
    </row>
    <row r="483" spans="2:9" ht="16.5">
      <c r="B483" s="363" t="s">
        <v>802</v>
      </c>
      <c r="C483" s="364">
        <v>29</v>
      </c>
      <c r="D483" s="351">
        <v>0</v>
      </c>
      <c r="E483" s="351">
        <v>0</v>
      </c>
      <c r="F483" s="363"/>
      <c r="G483" s="364">
        <v>77</v>
      </c>
      <c r="H483" s="351"/>
      <c r="I483" s="351"/>
    </row>
    <row r="484" spans="2:9" ht="16.5">
      <c r="B484" s="363" t="s">
        <v>803</v>
      </c>
      <c r="C484" s="364">
        <v>30</v>
      </c>
      <c r="D484" s="351">
        <v>0</v>
      </c>
      <c r="E484" s="351">
        <v>0</v>
      </c>
      <c r="F484" s="363" t="s">
        <v>804</v>
      </c>
      <c r="G484" s="364">
        <v>78</v>
      </c>
      <c r="H484" s="351">
        <v>5292983152.6899996</v>
      </c>
      <c r="I484" s="351">
        <v>6023574001.7399998</v>
      </c>
    </row>
    <row r="485" spans="2:9" ht="16.5">
      <c r="B485" s="363" t="s">
        <v>805</v>
      </c>
      <c r="C485" s="364">
        <v>31</v>
      </c>
      <c r="D485" s="351">
        <v>0</v>
      </c>
      <c r="E485" s="351">
        <v>0</v>
      </c>
      <c r="F485" s="363"/>
      <c r="G485" s="364">
        <v>79</v>
      </c>
      <c r="H485" s="351"/>
      <c r="I485" s="351"/>
    </row>
    <row r="486" spans="2:9" ht="16.5">
      <c r="B486" s="363" t="s">
        <v>806</v>
      </c>
      <c r="C486" s="364">
        <v>32</v>
      </c>
      <c r="D486" s="351">
        <v>0</v>
      </c>
      <c r="E486" s="351">
        <v>0</v>
      </c>
      <c r="F486" s="363" t="s">
        <v>807</v>
      </c>
      <c r="G486" s="364">
        <v>80</v>
      </c>
      <c r="H486" s="351"/>
      <c r="I486" s="351"/>
    </row>
    <row r="487" spans="2:9" ht="16.5">
      <c r="B487" s="363" t="s">
        <v>808</v>
      </c>
      <c r="C487" s="364">
        <v>33</v>
      </c>
      <c r="D487" s="351">
        <v>0</v>
      </c>
      <c r="E487" s="351">
        <v>0</v>
      </c>
      <c r="F487" s="363" t="s">
        <v>809</v>
      </c>
      <c r="G487" s="364">
        <v>81</v>
      </c>
      <c r="H487" s="351">
        <v>445000000</v>
      </c>
      <c r="I487" s="351">
        <v>445000000</v>
      </c>
    </row>
    <row r="488" spans="2:9" ht="16.5">
      <c r="B488" s="363" t="s">
        <v>810</v>
      </c>
      <c r="C488" s="364">
        <v>34</v>
      </c>
      <c r="D488" s="351">
        <v>0</v>
      </c>
      <c r="E488" s="351">
        <v>0</v>
      </c>
      <c r="F488" s="363" t="s">
        <v>811</v>
      </c>
      <c r="G488" s="364">
        <v>82</v>
      </c>
      <c r="H488" s="351">
        <v>0</v>
      </c>
      <c r="I488" s="351">
        <v>0</v>
      </c>
    </row>
    <row r="489" spans="2:9" ht="16.5">
      <c r="B489" s="363" t="s">
        <v>812</v>
      </c>
      <c r="C489" s="364">
        <v>35</v>
      </c>
      <c r="D489" s="351">
        <v>0</v>
      </c>
      <c r="E489" s="351">
        <v>0</v>
      </c>
      <c r="F489" s="363" t="s">
        <v>813</v>
      </c>
      <c r="G489" s="364">
        <v>83</v>
      </c>
      <c r="H489" s="351">
        <v>222500000</v>
      </c>
      <c r="I489" s="351">
        <v>222500000</v>
      </c>
    </row>
    <row r="490" spans="2:9" ht="16.5">
      <c r="B490" s="363" t="s">
        <v>814</v>
      </c>
      <c r="C490" s="364">
        <v>36</v>
      </c>
      <c r="D490" s="351">
        <v>202652895.02000001</v>
      </c>
      <c r="E490" s="351">
        <v>202652895.02000001</v>
      </c>
      <c r="F490" s="363" t="s">
        <v>815</v>
      </c>
      <c r="G490" s="364">
        <v>84</v>
      </c>
      <c r="H490" s="351">
        <v>0</v>
      </c>
      <c r="I490" s="351">
        <v>0</v>
      </c>
    </row>
    <row r="491" spans="2:9" ht="16.5">
      <c r="B491" s="363" t="s">
        <v>816</v>
      </c>
      <c r="C491" s="364">
        <v>37</v>
      </c>
      <c r="D491" s="351">
        <v>1738000</v>
      </c>
      <c r="E491" s="351">
        <v>0</v>
      </c>
      <c r="F491" s="363" t="s">
        <v>817</v>
      </c>
      <c r="G491" s="364">
        <v>85</v>
      </c>
      <c r="H491" s="351">
        <v>1973946503.47</v>
      </c>
      <c r="I491" s="351">
        <v>176508626.05000001</v>
      </c>
    </row>
    <row r="492" spans="2:9" ht="16.5">
      <c r="B492" s="363" t="s">
        <v>818</v>
      </c>
      <c r="C492" s="364">
        <v>38</v>
      </c>
      <c r="D492" s="351">
        <v>204413895.02000001</v>
      </c>
      <c r="E492" s="351">
        <v>202675895.02000001</v>
      </c>
      <c r="F492" s="363" t="s">
        <v>819</v>
      </c>
      <c r="G492" s="364">
        <v>86</v>
      </c>
      <c r="H492" s="351">
        <v>2641446503.4699998</v>
      </c>
      <c r="I492" s="351">
        <v>844008626.04999995</v>
      </c>
    </row>
    <row r="493" spans="2:9" ht="16.5">
      <c r="B493" s="363" t="s">
        <v>820</v>
      </c>
      <c r="C493" s="364">
        <v>39</v>
      </c>
      <c r="D493" s="351">
        <v>7934429656.1599998</v>
      </c>
      <c r="E493" s="351">
        <v>6867582627.79</v>
      </c>
      <c r="F493" s="363" t="s">
        <v>821</v>
      </c>
      <c r="G493" s="364">
        <v>87</v>
      </c>
      <c r="H493" s="351">
        <v>7934429656.1599998</v>
      </c>
      <c r="I493" s="351">
        <v>6867582627.79</v>
      </c>
    </row>
    <row r="496" spans="2:9" ht="16.5">
      <c r="B496" s="353" t="s">
        <v>741</v>
      </c>
    </row>
    <row r="497" spans="2:9" ht="16.5">
      <c r="B497" s="353" t="s">
        <v>742</v>
      </c>
      <c r="C497" s="362"/>
      <c r="F497" s="332"/>
      <c r="G497" s="362"/>
    </row>
    <row r="498" spans="2:9" ht="16.5">
      <c r="B498" s="353" t="s">
        <v>832</v>
      </c>
      <c r="C498" s="362"/>
      <c r="F498" s="332"/>
      <c r="G498" s="362"/>
    </row>
    <row r="499" spans="2:9" ht="16.5">
      <c r="B499" s="354" t="s">
        <v>744</v>
      </c>
      <c r="C499" s="354" t="s">
        <v>745</v>
      </c>
      <c r="D499" s="354" t="s">
        <v>746</v>
      </c>
      <c r="E499" s="354" t="s">
        <v>747</v>
      </c>
      <c r="F499" s="354" t="s">
        <v>744</v>
      </c>
      <c r="G499" s="354" t="s">
        <v>745</v>
      </c>
      <c r="H499" s="354" t="s">
        <v>746</v>
      </c>
      <c r="I499" s="354" t="s">
        <v>747</v>
      </c>
    </row>
    <row r="500" spans="2:9" ht="16.5">
      <c r="B500" s="368" t="s">
        <v>748</v>
      </c>
      <c r="C500" s="369">
        <v>1</v>
      </c>
      <c r="D500" s="370"/>
      <c r="E500" s="370"/>
      <c r="F500" s="368" t="s">
        <v>749</v>
      </c>
      <c r="G500" s="369"/>
      <c r="H500" s="371"/>
      <c r="I500" s="371"/>
    </row>
    <row r="501" spans="2:9" ht="16.5">
      <c r="B501" s="368" t="s">
        <v>750</v>
      </c>
      <c r="C501" s="369">
        <v>2</v>
      </c>
      <c r="D501" s="358">
        <v>667764079.75</v>
      </c>
      <c r="E501" s="358">
        <v>277354044.83999997</v>
      </c>
      <c r="F501" s="368" t="s">
        <v>751</v>
      </c>
      <c r="G501" s="369">
        <v>50</v>
      </c>
      <c r="H501" s="358">
        <v>0</v>
      </c>
      <c r="I501" s="358">
        <v>0</v>
      </c>
    </row>
    <row r="502" spans="2:9" ht="16.5">
      <c r="B502" s="368" t="s">
        <v>752</v>
      </c>
      <c r="C502" s="369">
        <v>3</v>
      </c>
      <c r="D502" s="358">
        <v>0</v>
      </c>
      <c r="E502" s="358">
        <v>0</v>
      </c>
      <c r="F502" s="368" t="s">
        <v>753</v>
      </c>
      <c r="G502" s="369">
        <v>51</v>
      </c>
      <c r="H502" s="358">
        <v>0</v>
      </c>
      <c r="I502" s="358">
        <v>0</v>
      </c>
    </row>
    <row r="503" spans="2:9" ht="16.5">
      <c r="B503" s="368" t="s">
        <v>754</v>
      </c>
      <c r="C503" s="369">
        <v>4</v>
      </c>
      <c r="D503" s="358">
        <v>0</v>
      </c>
      <c r="E503" s="358">
        <v>0</v>
      </c>
      <c r="F503" s="368" t="s">
        <v>755</v>
      </c>
      <c r="G503" s="369">
        <v>52</v>
      </c>
      <c r="H503" s="358">
        <v>933401278.95000005</v>
      </c>
      <c r="I503" s="358">
        <v>628807930.89999998</v>
      </c>
    </row>
    <row r="504" spans="2:9" ht="16.5">
      <c r="B504" s="368" t="s">
        <v>756</v>
      </c>
      <c r="C504" s="369">
        <v>5</v>
      </c>
      <c r="D504" s="358">
        <v>0</v>
      </c>
      <c r="E504" s="358">
        <v>0</v>
      </c>
      <c r="F504" s="368" t="s">
        <v>757</v>
      </c>
      <c r="G504" s="369">
        <v>53</v>
      </c>
      <c r="H504" s="358">
        <v>2903224448.9200001</v>
      </c>
      <c r="I504" s="358">
        <v>5178895632.4799995</v>
      </c>
    </row>
    <row r="505" spans="2:9" ht="16.5">
      <c r="B505" s="368" t="s">
        <v>758</v>
      </c>
      <c r="C505" s="369">
        <v>6</v>
      </c>
      <c r="D505" s="358">
        <v>998242693.07000005</v>
      </c>
      <c r="E505" s="358">
        <v>4415741160.8400002</v>
      </c>
      <c r="F505" s="368" t="s">
        <v>759</v>
      </c>
      <c r="G505" s="369">
        <v>54</v>
      </c>
      <c r="H505" s="358">
        <v>947954714.87</v>
      </c>
      <c r="I505" s="358">
        <v>2393040842.0300002</v>
      </c>
    </row>
    <row r="506" spans="2:9" ht="16.5">
      <c r="B506" s="368" t="s">
        <v>760</v>
      </c>
      <c r="C506" s="369">
        <v>7</v>
      </c>
      <c r="D506" s="358">
        <v>11879165.17</v>
      </c>
      <c r="E506" s="358">
        <v>18835.57</v>
      </c>
      <c r="F506" s="368" t="s">
        <v>761</v>
      </c>
      <c r="G506" s="369">
        <v>55</v>
      </c>
      <c r="H506" s="358">
        <v>0</v>
      </c>
      <c r="I506" s="358">
        <v>0</v>
      </c>
    </row>
    <row r="507" spans="2:9" ht="16.5">
      <c r="B507" s="368" t="s">
        <v>762</v>
      </c>
      <c r="C507" s="369">
        <v>8</v>
      </c>
      <c r="D507" s="358">
        <v>523876722.47000003</v>
      </c>
      <c r="E507" s="358">
        <v>777352050.38999999</v>
      </c>
      <c r="F507" s="368" t="s">
        <v>763</v>
      </c>
      <c r="G507" s="369">
        <v>56</v>
      </c>
      <c r="H507" s="358">
        <v>0</v>
      </c>
      <c r="I507" s="358">
        <v>968115.07</v>
      </c>
    </row>
    <row r="508" spans="2:9" ht="16.5">
      <c r="B508" s="368" t="s">
        <v>764</v>
      </c>
      <c r="C508" s="369">
        <v>9</v>
      </c>
      <c r="D508" s="358">
        <v>0</v>
      </c>
      <c r="E508" s="358">
        <v>0</v>
      </c>
      <c r="F508" s="368" t="s">
        <v>765</v>
      </c>
      <c r="G508" s="369">
        <v>57</v>
      </c>
      <c r="H508" s="358">
        <v>508357944.75</v>
      </c>
      <c r="I508" s="358">
        <v>126301639.47</v>
      </c>
    </row>
    <row r="509" spans="2:9" ht="16.5">
      <c r="B509" s="368" t="s">
        <v>766</v>
      </c>
      <c r="C509" s="369">
        <v>10</v>
      </c>
      <c r="D509" s="358">
        <v>0</v>
      </c>
      <c r="E509" s="358">
        <v>0</v>
      </c>
      <c r="F509" s="368" t="s">
        <v>767</v>
      </c>
      <c r="G509" s="369">
        <v>58</v>
      </c>
      <c r="H509" s="358">
        <v>0</v>
      </c>
      <c r="I509" s="358">
        <v>0</v>
      </c>
    </row>
    <row r="510" spans="2:9" ht="16.5">
      <c r="B510" s="368" t="s">
        <v>768</v>
      </c>
      <c r="C510" s="369">
        <v>11</v>
      </c>
      <c r="D510" s="358">
        <v>5199673847.3800001</v>
      </c>
      <c r="E510" s="358">
        <v>3458249819.8699999</v>
      </c>
      <c r="F510" s="368"/>
      <c r="G510" s="369">
        <v>59</v>
      </c>
      <c r="H510" s="358"/>
      <c r="I510" s="358"/>
    </row>
    <row r="511" spans="2:9" ht="16.5">
      <c r="B511" s="368" t="s">
        <v>769</v>
      </c>
      <c r="C511" s="369">
        <v>12</v>
      </c>
      <c r="D511" s="358">
        <v>142855959.19</v>
      </c>
      <c r="E511" s="358">
        <v>210306321.83000001</v>
      </c>
      <c r="F511" s="368" t="s">
        <v>770</v>
      </c>
      <c r="G511" s="369">
        <v>60</v>
      </c>
      <c r="H511" s="358">
        <v>0</v>
      </c>
      <c r="I511" s="358">
        <v>0</v>
      </c>
    </row>
    <row r="512" spans="2:9" ht="16.5">
      <c r="B512" s="368" t="s">
        <v>771</v>
      </c>
      <c r="C512" s="369">
        <v>13</v>
      </c>
      <c r="D512" s="358">
        <v>184523225.53</v>
      </c>
      <c r="E512" s="358">
        <v>60089800</v>
      </c>
      <c r="F512" s="368" t="s">
        <v>772</v>
      </c>
      <c r="G512" s="369">
        <v>61</v>
      </c>
      <c r="H512" s="358">
        <v>44765.2</v>
      </c>
      <c r="I512" s="358">
        <v>37134460.710000001</v>
      </c>
    </row>
    <row r="513" spans="2:11" ht="16.5">
      <c r="B513" s="368" t="s">
        <v>773</v>
      </c>
      <c r="C513" s="369">
        <v>14</v>
      </c>
      <c r="D513" s="358">
        <v>0</v>
      </c>
      <c r="E513" s="358">
        <v>0</v>
      </c>
      <c r="F513" s="368" t="s">
        <v>774</v>
      </c>
      <c r="G513" s="369">
        <v>62</v>
      </c>
      <c r="H513" s="358">
        <v>0</v>
      </c>
      <c r="I513" s="358">
        <v>0</v>
      </c>
    </row>
    <row r="514" spans="2:11" ht="16.5">
      <c r="B514" s="368" t="s">
        <v>775</v>
      </c>
      <c r="C514" s="369">
        <v>15</v>
      </c>
      <c r="D514" s="358">
        <v>1200068.58</v>
      </c>
      <c r="E514" s="358">
        <v>15511086.27</v>
      </c>
      <c r="F514" s="368" t="s">
        <v>776</v>
      </c>
      <c r="G514" s="369">
        <v>63</v>
      </c>
      <c r="H514" s="358">
        <v>0</v>
      </c>
      <c r="I514" s="358">
        <v>0</v>
      </c>
    </row>
    <row r="515" spans="2:11" ht="16.5">
      <c r="B515" s="368" t="s">
        <v>777</v>
      </c>
      <c r="C515" s="369">
        <v>16</v>
      </c>
      <c r="D515" s="358">
        <v>7730015761.1400003</v>
      </c>
      <c r="E515" s="358">
        <v>9214623119.6100006</v>
      </c>
      <c r="F515" s="368" t="s">
        <v>778</v>
      </c>
      <c r="G515" s="369">
        <v>64</v>
      </c>
      <c r="H515" s="358">
        <v>0</v>
      </c>
      <c r="I515" s="358">
        <v>0</v>
      </c>
    </row>
    <row r="516" spans="2:11" ht="16.5">
      <c r="B516" s="368" t="s">
        <v>779</v>
      </c>
      <c r="C516" s="369">
        <v>17</v>
      </c>
      <c r="D516" s="358"/>
      <c r="E516" s="358"/>
      <c r="F516" s="368" t="s">
        <v>780</v>
      </c>
      <c r="G516" s="369">
        <v>65</v>
      </c>
      <c r="H516" s="358">
        <v>5292983152.6899996</v>
      </c>
      <c r="I516" s="358">
        <v>8365148620.6599998</v>
      </c>
      <c r="K516">
        <v>-48393682.130000003</v>
      </c>
    </row>
    <row r="517" spans="2:11" ht="16.5">
      <c r="B517" s="368" t="s">
        <v>781</v>
      </c>
      <c r="C517" s="369">
        <v>18</v>
      </c>
      <c r="D517" s="358">
        <v>0</v>
      </c>
      <c r="E517" s="358">
        <v>0</v>
      </c>
      <c r="F517" s="368" t="s">
        <v>782</v>
      </c>
      <c r="G517" s="369">
        <v>66</v>
      </c>
      <c r="H517" s="358"/>
      <c r="I517" s="358"/>
    </row>
    <row r="518" spans="2:11" ht="16.5">
      <c r="B518" s="368" t="s">
        <v>783</v>
      </c>
      <c r="C518" s="369">
        <v>19</v>
      </c>
      <c r="D518" s="358">
        <v>0</v>
      </c>
      <c r="E518" s="358">
        <v>0</v>
      </c>
      <c r="F518" s="368" t="s">
        <v>784</v>
      </c>
      <c r="G518" s="369">
        <v>67</v>
      </c>
      <c r="H518" s="358">
        <v>0</v>
      </c>
      <c r="I518" s="358">
        <v>0</v>
      </c>
    </row>
    <row r="519" spans="2:11" ht="16.5">
      <c r="B519" s="368" t="s">
        <v>785</v>
      </c>
      <c r="C519" s="369">
        <v>20</v>
      </c>
      <c r="D519" s="358">
        <v>0</v>
      </c>
      <c r="E519" s="358">
        <v>0</v>
      </c>
      <c r="F519" s="368" t="s">
        <v>786</v>
      </c>
      <c r="G519" s="369">
        <v>68</v>
      </c>
      <c r="H519" s="358">
        <v>0</v>
      </c>
      <c r="I519" s="358">
        <v>0</v>
      </c>
    </row>
    <row r="520" spans="2:11" ht="16.5">
      <c r="B520" s="368" t="s">
        <v>787</v>
      </c>
      <c r="C520" s="369">
        <v>21</v>
      </c>
      <c r="D520" s="358">
        <v>23000</v>
      </c>
      <c r="E520" s="358">
        <v>23000</v>
      </c>
      <c r="F520" s="368" t="s">
        <v>788</v>
      </c>
      <c r="G520" s="369">
        <v>69</v>
      </c>
      <c r="H520" s="358">
        <v>0</v>
      </c>
      <c r="I520" s="358">
        <v>0</v>
      </c>
    </row>
    <row r="521" spans="2:11" ht="16.5">
      <c r="B521" s="368" t="s">
        <v>789</v>
      </c>
      <c r="C521" s="369">
        <v>22</v>
      </c>
      <c r="D521" s="358">
        <v>0</v>
      </c>
      <c r="E521" s="358">
        <v>0</v>
      </c>
      <c r="F521" s="368" t="s">
        <v>790</v>
      </c>
      <c r="G521" s="369">
        <v>70</v>
      </c>
      <c r="H521" s="358">
        <v>0</v>
      </c>
      <c r="I521" s="358">
        <v>0</v>
      </c>
    </row>
    <row r="522" spans="2:11" ht="16.5">
      <c r="B522" s="368" t="s">
        <v>791</v>
      </c>
      <c r="C522" s="369">
        <v>23</v>
      </c>
      <c r="D522" s="358">
        <v>0</v>
      </c>
      <c r="E522" s="358">
        <v>0</v>
      </c>
      <c r="F522" s="368" t="s">
        <v>792</v>
      </c>
      <c r="G522" s="369">
        <v>71</v>
      </c>
      <c r="H522" s="358">
        <v>0</v>
      </c>
      <c r="I522" s="358">
        <v>0</v>
      </c>
    </row>
    <row r="523" spans="2:11" ht="16.5">
      <c r="B523" s="368" t="s">
        <v>793</v>
      </c>
      <c r="C523" s="369">
        <v>24</v>
      </c>
      <c r="D523" s="358">
        <v>0</v>
      </c>
      <c r="E523" s="358">
        <v>0</v>
      </c>
      <c r="F523" s="368" t="s">
        <v>794</v>
      </c>
      <c r="G523" s="369">
        <v>72</v>
      </c>
      <c r="H523" s="358">
        <v>0</v>
      </c>
      <c r="I523" s="358">
        <v>0</v>
      </c>
    </row>
    <row r="524" spans="2:11" ht="16.5">
      <c r="B524" s="368" t="s">
        <v>795</v>
      </c>
      <c r="C524" s="369">
        <v>25</v>
      </c>
      <c r="D524" s="358">
        <v>0</v>
      </c>
      <c r="E524" s="358">
        <v>0</v>
      </c>
      <c r="F524" s="368" t="s">
        <v>796</v>
      </c>
      <c r="G524" s="369">
        <v>73</v>
      </c>
      <c r="H524" s="358">
        <v>0</v>
      </c>
      <c r="I524" s="358">
        <v>0</v>
      </c>
    </row>
    <row r="525" spans="2:11" ht="16.5">
      <c r="B525" s="368" t="s">
        <v>797</v>
      </c>
      <c r="C525" s="369">
        <v>26</v>
      </c>
      <c r="D525" s="358">
        <v>0</v>
      </c>
      <c r="E525" s="358">
        <v>0</v>
      </c>
      <c r="F525" s="368" t="s">
        <v>798</v>
      </c>
      <c r="G525" s="369">
        <v>74</v>
      </c>
      <c r="H525" s="358">
        <v>0</v>
      </c>
      <c r="I525" s="358">
        <v>0</v>
      </c>
    </row>
    <row r="526" spans="2:11" ht="16.5">
      <c r="B526" s="368" t="s">
        <v>799</v>
      </c>
      <c r="C526" s="369">
        <v>27</v>
      </c>
      <c r="D526" s="358">
        <v>0</v>
      </c>
      <c r="E526" s="358">
        <v>0</v>
      </c>
      <c r="F526" s="368" t="s">
        <v>800</v>
      </c>
      <c r="G526" s="369">
        <v>75</v>
      </c>
      <c r="H526" s="358">
        <v>0</v>
      </c>
      <c r="I526" s="358">
        <v>0</v>
      </c>
    </row>
    <row r="527" spans="2:11" ht="16.5">
      <c r="B527" s="368" t="s">
        <v>801</v>
      </c>
      <c r="C527" s="369">
        <v>28</v>
      </c>
      <c r="D527" s="358">
        <v>0</v>
      </c>
      <c r="E527" s="358">
        <v>2837337.6</v>
      </c>
      <c r="F527" s="368"/>
      <c r="G527" s="369">
        <v>76</v>
      </c>
      <c r="H527" s="358"/>
      <c r="I527" s="358"/>
    </row>
    <row r="528" spans="2:11" ht="16.5">
      <c r="B528" s="368" t="s">
        <v>802</v>
      </c>
      <c r="C528" s="369">
        <v>29</v>
      </c>
      <c r="D528" s="358">
        <v>0</v>
      </c>
      <c r="E528" s="358">
        <v>0</v>
      </c>
      <c r="F528" s="368"/>
      <c r="G528" s="369">
        <v>77</v>
      </c>
      <c r="H528" s="358"/>
      <c r="I528" s="358"/>
    </row>
    <row r="529" spans="2:9" ht="16.5">
      <c r="B529" s="368" t="s">
        <v>803</v>
      </c>
      <c r="C529" s="369">
        <v>30</v>
      </c>
      <c r="D529" s="358">
        <v>0</v>
      </c>
      <c r="E529" s="358">
        <v>0</v>
      </c>
      <c r="F529" s="368" t="s">
        <v>804</v>
      </c>
      <c r="G529" s="369">
        <v>78</v>
      </c>
      <c r="H529" s="358">
        <v>5292983152.6899996</v>
      </c>
      <c r="I529" s="358">
        <v>8365148620.6599998</v>
      </c>
    </row>
    <row r="530" spans="2:9" ht="16.5">
      <c r="B530" s="368" t="s">
        <v>805</v>
      </c>
      <c r="C530" s="369">
        <v>31</v>
      </c>
      <c r="D530" s="358">
        <v>0</v>
      </c>
      <c r="E530" s="358">
        <v>0</v>
      </c>
      <c r="F530" s="368"/>
      <c r="G530" s="369">
        <v>79</v>
      </c>
      <c r="H530" s="358"/>
      <c r="I530" s="358"/>
    </row>
    <row r="531" spans="2:9" ht="16.5">
      <c r="B531" s="368" t="s">
        <v>806</v>
      </c>
      <c r="C531" s="369">
        <v>32</v>
      </c>
      <c r="D531" s="358">
        <v>0</v>
      </c>
      <c r="E531" s="358">
        <v>0</v>
      </c>
      <c r="F531" s="368" t="s">
        <v>807</v>
      </c>
      <c r="G531" s="369">
        <v>80</v>
      </c>
      <c r="H531" s="358"/>
      <c r="I531" s="358"/>
    </row>
    <row r="532" spans="2:9" ht="16.5">
      <c r="B532" s="368" t="s">
        <v>808</v>
      </c>
      <c r="C532" s="369">
        <v>33</v>
      </c>
      <c r="D532" s="358">
        <v>0</v>
      </c>
      <c r="E532" s="358">
        <v>0</v>
      </c>
      <c r="F532" s="368" t="s">
        <v>809</v>
      </c>
      <c r="G532" s="369">
        <v>81</v>
      </c>
      <c r="H532" s="358">
        <v>445000000</v>
      </c>
      <c r="I532" s="358">
        <v>445000000</v>
      </c>
    </row>
    <row r="533" spans="2:9" ht="16.5">
      <c r="B533" s="368" t="s">
        <v>810</v>
      </c>
      <c r="C533" s="369">
        <v>34</v>
      </c>
      <c r="D533" s="358">
        <v>0</v>
      </c>
      <c r="E533" s="358">
        <v>0</v>
      </c>
      <c r="F533" s="368" t="s">
        <v>811</v>
      </c>
      <c r="G533" s="369">
        <v>82</v>
      </c>
      <c r="H533" s="358">
        <v>0</v>
      </c>
      <c r="I533" s="358">
        <v>0</v>
      </c>
    </row>
    <row r="534" spans="2:9" ht="16.5">
      <c r="B534" s="368" t="s">
        <v>812</v>
      </c>
      <c r="C534" s="369">
        <v>35</v>
      </c>
      <c r="D534" s="358">
        <v>0</v>
      </c>
      <c r="E534" s="358">
        <v>0</v>
      </c>
      <c r="F534" s="368" t="s">
        <v>813</v>
      </c>
      <c r="G534" s="369">
        <v>83</v>
      </c>
      <c r="H534" s="358">
        <v>222500000</v>
      </c>
      <c r="I534" s="358">
        <v>222500000</v>
      </c>
    </row>
    <row r="535" spans="2:9" ht="16.5">
      <c r="B535" s="368" t="s">
        <v>814</v>
      </c>
      <c r="C535" s="369">
        <v>36</v>
      </c>
      <c r="D535" s="358">
        <v>202652895.02000001</v>
      </c>
      <c r="E535" s="358">
        <v>202652895.02000001</v>
      </c>
      <c r="F535" s="368" t="s">
        <v>815</v>
      </c>
      <c r="G535" s="369">
        <v>84</v>
      </c>
      <c r="H535" s="358">
        <v>0</v>
      </c>
      <c r="I535" s="358">
        <v>0</v>
      </c>
    </row>
    <row r="536" spans="2:9" ht="16.5">
      <c r="B536" s="368" t="s">
        <v>816</v>
      </c>
      <c r="C536" s="369">
        <v>37</v>
      </c>
      <c r="D536" s="358">
        <v>1738000</v>
      </c>
      <c r="E536" s="358">
        <v>19450600</v>
      </c>
      <c r="F536" s="368" t="s">
        <v>817</v>
      </c>
      <c r="G536" s="369">
        <v>85</v>
      </c>
      <c r="H536" s="358">
        <v>1973946503.47</v>
      </c>
      <c r="I536" s="358">
        <v>406938331.56999999</v>
      </c>
    </row>
    <row r="537" spans="2:9" ht="16.5">
      <c r="B537" s="368" t="s">
        <v>818</v>
      </c>
      <c r="C537" s="369">
        <v>38</v>
      </c>
      <c r="D537" s="358">
        <v>204413895.02000001</v>
      </c>
      <c r="E537" s="358">
        <v>224963832.62</v>
      </c>
      <c r="F537" s="368" t="s">
        <v>819</v>
      </c>
      <c r="G537" s="369">
        <v>86</v>
      </c>
      <c r="H537" s="358">
        <v>2641446503.4699998</v>
      </c>
      <c r="I537" s="358">
        <v>1074438331.5699999</v>
      </c>
    </row>
    <row r="538" spans="2:9" ht="16.5">
      <c r="B538" s="368" t="s">
        <v>820</v>
      </c>
      <c r="C538" s="369">
        <v>39</v>
      </c>
      <c r="D538" s="358">
        <v>7934429656.1599998</v>
      </c>
      <c r="E538" s="358">
        <v>9439586952.2299995</v>
      </c>
      <c r="F538" s="368" t="s">
        <v>821</v>
      </c>
      <c r="G538" s="369">
        <v>87</v>
      </c>
      <c r="H538" s="358">
        <v>7934429656.1599998</v>
      </c>
      <c r="I538" s="358">
        <v>9439586952.2299995</v>
      </c>
    </row>
  </sheetData>
  <phoneticPr fontId="8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85"/>
  <sheetViews>
    <sheetView topLeftCell="E327" zoomScale="85" zoomScaleNormal="85" zoomScaleSheetLayoutView="98" workbookViewId="0">
      <selection activeCell="K335" sqref="K335"/>
    </sheetView>
  </sheetViews>
  <sheetFormatPr defaultColWidth="9" defaultRowHeight="14.25"/>
  <cols>
    <col min="1" max="1" width="8" hidden="1" customWidth="1"/>
    <col min="2" max="2" width="32.125" customWidth="1"/>
    <col min="3" max="3" width="3" customWidth="1"/>
    <col min="4" max="5" width="19.25" customWidth="1"/>
    <col min="6" max="6" width="16.125" hidden="1" customWidth="1"/>
    <col min="8" max="8" width="18.625" customWidth="1"/>
    <col min="10" max="10" width="17.875" customWidth="1"/>
    <col min="11" max="11" width="18.625" customWidth="1"/>
    <col min="12" max="13" width="28.5" customWidth="1"/>
    <col min="14" max="14" width="23.375" customWidth="1"/>
    <col min="15" max="15" width="26.875" customWidth="1"/>
    <col min="16" max="16" width="22.25" customWidth="1"/>
    <col min="17" max="17" width="14.75"/>
    <col min="18" max="18" width="13.625"/>
  </cols>
  <sheetData>
    <row r="1" spans="1:13" ht="16.5">
      <c r="A1" s="332"/>
      <c r="B1" s="333" t="s">
        <v>833</v>
      </c>
      <c r="D1" s="334"/>
      <c r="E1" s="335"/>
      <c r="F1" s="335"/>
    </row>
    <row r="2" spans="1:13" ht="16.5">
      <c r="A2" s="332" t="s">
        <v>834</v>
      </c>
      <c r="B2" s="333" t="s">
        <v>742</v>
      </c>
    </row>
    <row r="3" spans="1:13" ht="16.5">
      <c r="B3" s="333" t="s">
        <v>743</v>
      </c>
      <c r="D3" s="334"/>
    </row>
    <row r="4" spans="1:13" ht="16.5">
      <c r="A4" s="332">
        <v>2024.11</v>
      </c>
      <c r="B4" s="336" t="s">
        <v>744</v>
      </c>
      <c r="C4" s="336"/>
      <c r="D4" s="337" t="s">
        <v>835</v>
      </c>
      <c r="E4" s="336" t="s">
        <v>836</v>
      </c>
      <c r="F4" s="338" t="s">
        <v>837</v>
      </c>
    </row>
    <row r="5" spans="1:13" ht="16.5">
      <c r="A5" s="332" t="s">
        <v>838</v>
      </c>
      <c r="B5" s="339" t="s">
        <v>839</v>
      </c>
      <c r="C5" s="340">
        <v>1</v>
      </c>
      <c r="D5" s="341">
        <v>431165837.97000003</v>
      </c>
      <c r="E5" s="341">
        <v>431165837.97000003</v>
      </c>
      <c r="F5" s="342"/>
      <c r="I5" s="61"/>
      <c r="J5" s="61" t="s">
        <v>68</v>
      </c>
      <c r="K5" s="61" t="s">
        <v>840</v>
      </c>
      <c r="L5" s="61" t="s">
        <v>841</v>
      </c>
      <c r="M5" s="61" t="s">
        <v>842</v>
      </c>
    </row>
    <row r="6" spans="1:13" ht="16.5">
      <c r="A6" s="332" t="str">
        <f>RIGHT(A4,2)</f>
        <v>11</v>
      </c>
      <c r="B6" s="339" t="s">
        <v>843</v>
      </c>
      <c r="C6" s="340">
        <v>2</v>
      </c>
      <c r="D6" s="341">
        <v>431165837.97000003</v>
      </c>
      <c r="E6" s="341">
        <v>431165837.97000003</v>
      </c>
      <c r="F6" s="342"/>
      <c r="G6" s="335"/>
      <c r="I6" s="343">
        <v>0.13</v>
      </c>
      <c r="J6" s="105">
        <v>-73175569.739999995</v>
      </c>
      <c r="K6" s="344">
        <f t="shared" ref="K6:K8" si="0">J6*I6</f>
        <v>-9512824.0661999993</v>
      </c>
      <c r="L6" s="62">
        <v>477778946.55000001</v>
      </c>
      <c r="M6" s="62">
        <v>62111263.060000002</v>
      </c>
    </row>
    <row r="7" spans="1:13" ht="16.5">
      <c r="B7" s="339" t="s">
        <v>844</v>
      </c>
      <c r="C7" s="340">
        <v>3</v>
      </c>
      <c r="D7" s="341">
        <v>431165837.97000003</v>
      </c>
      <c r="E7" s="341">
        <v>431165837.97000003</v>
      </c>
      <c r="F7" s="342"/>
      <c r="I7" s="343">
        <v>0.09</v>
      </c>
      <c r="J7" s="345">
        <v>-259673679.25</v>
      </c>
      <c r="K7" s="344">
        <f t="shared" si="0"/>
        <v>-23370631.1325</v>
      </c>
      <c r="L7" s="62">
        <v>282430242.26999998</v>
      </c>
      <c r="M7" s="62">
        <v>25418721.800000001</v>
      </c>
    </row>
    <row r="8" spans="1:13" ht="16.5">
      <c r="B8" s="339" t="s">
        <v>845</v>
      </c>
      <c r="C8" s="340">
        <v>4</v>
      </c>
      <c r="D8" s="341">
        <v>0</v>
      </c>
      <c r="E8" s="341">
        <v>0</v>
      </c>
      <c r="F8" s="342"/>
      <c r="I8" s="343">
        <v>0.06</v>
      </c>
      <c r="J8" s="105">
        <v>-16521509.74</v>
      </c>
      <c r="K8" s="344">
        <f t="shared" si="0"/>
        <v>-991290.58440000005</v>
      </c>
      <c r="L8" s="62">
        <v>20327407.879999999</v>
      </c>
      <c r="M8" s="62">
        <v>1219644.52</v>
      </c>
    </row>
    <row r="9" spans="1:13" ht="16.5">
      <c r="B9" s="339" t="s">
        <v>846</v>
      </c>
      <c r="C9" s="340">
        <v>5</v>
      </c>
      <c r="D9" s="341">
        <f>D10+D13+D14+D15+D16+D17+D20+D21+D22+D23+D24</f>
        <v>438997105.18000001</v>
      </c>
      <c r="E9" s="341">
        <f>E10+E13+E14+E15+E16+E17+E20+E21+E22+E23+E24</f>
        <v>438997105.18000001</v>
      </c>
      <c r="F9" s="342"/>
      <c r="I9" s="61"/>
      <c r="J9" s="346">
        <f>SUM(J6:J8)</f>
        <v>-349370758.73000002</v>
      </c>
      <c r="K9" s="346">
        <f>SUM(K6:K8)</f>
        <v>-33874745.783100002</v>
      </c>
      <c r="L9" s="346">
        <f>SUM(L6:L8)</f>
        <v>780536596.70000005</v>
      </c>
      <c r="M9" s="346">
        <f>SUM(M6:M8)</f>
        <v>88749629.379999995</v>
      </c>
    </row>
    <row r="10" spans="1:13" ht="16.5">
      <c r="B10" s="339" t="s">
        <v>847</v>
      </c>
      <c r="C10" s="340">
        <v>6</v>
      </c>
      <c r="D10" s="341">
        <v>427697721.10000002</v>
      </c>
      <c r="E10" s="341">
        <v>427697721.10000002</v>
      </c>
      <c r="F10" s="342"/>
    </row>
    <row r="11" spans="1:13" ht="16.5">
      <c r="B11" s="339" t="s">
        <v>848</v>
      </c>
      <c r="C11" s="340">
        <v>7</v>
      </c>
      <c r="D11" s="341">
        <v>427697721.10000002</v>
      </c>
      <c r="E11" s="341">
        <v>427697721.10000002</v>
      </c>
      <c r="F11" s="342"/>
    </row>
    <row r="12" spans="1:13" ht="16.5">
      <c r="B12" s="339" t="s">
        <v>849</v>
      </c>
      <c r="C12" s="340">
        <v>8</v>
      </c>
      <c r="D12" s="341">
        <v>0</v>
      </c>
      <c r="E12" s="341">
        <v>0</v>
      </c>
      <c r="F12" s="342"/>
      <c r="K12" s="347">
        <f>L9+J9</f>
        <v>431165837.97000003</v>
      </c>
    </row>
    <row r="13" spans="1:13" ht="16.5">
      <c r="B13" s="339" t="s">
        <v>850</v>
      </c>
      <c r="C13" s="340">
        <v>9</v>
      </c>
      <c r="D13" s="341">
        <v>11077601.130000001</v>
      </c>
      <c r="E13" s="341">
        <v>11077601.130000001</v>
      </c>
      <c r="F13" s="342"/>
      <c r="J13" t="s">
        <v>851</v>
      </c>
      <c r="K13" t="s">
        <v>852</v>
      </c>
    </row>
    <row r="14" spans="1:13" ht="16.5">
      <c r="B14" s="339" t="s">
        <v>853</v>
      </c>
      <c r="C14" s="340">
        <v>10</v>
      </c>
      <c r="D14" s="341">
        <v>0</v>
      </c>
      <c r="E14" s="341">
        <v>0</v>
      </c>
      <c r="F14" s="342"/>
      <c r="I14" s="343">
        <v>0.13</v>
      </c>
      <c r="J14" s="348">
        <f t="shared" ref="J14:J16" si="1">L6+J6</f>
        <v>404603376.81</v>
      </c>
      <c r="K14" s="348">
        <f t="shared" ref="K14:K16" si="2">J14*I14</f>
        <v>52598438.985299997</v>
      </c>
    </row>
    <row r="15" spans="1:13" ht="16.5">
      <c r="B15" s="339" t="s">
        <v>854</v>
      </c>
      <c r="C15" s="340">
        <v>11</v>
      </c>
      <c r="D15" s="341">
        <v>169655.36</v>
      </c>
      <c r="E15" s="341">
        <v>169655.36</v>
      </c>
      <c r="F15" s="342"/>
      <c r="I15" s="343">
        <v>0.09</v>
      </c>
      <c r="J15" s="348">
        <f t="shared" si="1"/>
        <v>22756563.02</v>
      </c>
      <c r="K15" s="348">
        <f t="shared" si="2"/>
        <v>2048090.6717999999</v>
      </c>
    </row>
    <row r="16" spans="1:13" ht="16.5">
      <c r="B16" s="339" t="s">
        <v>855</v>
      </c>
      <c r="C16" s="340">
        <v>12</v>
      </c>
      <c r="D16" s="341">
        <v>0</v>
      </c>
      <c r="E16" s="341">
        <v>0</v>
      </c>
      <c r="F16" s="342"/>
      <c r="I16" s="343">
        <v>0.06</v>
      </c>
      <c r="J16" s="348">
        <f t="shared" si="1"/>
        <v>3805898.14</v>
      </c>
      <c r="K16" s="348">
        <f t="shared" si="2"/>
        <v>228353.8884</v>
      </c>
    </row>
    <row r="17" spans="2:11" ht="16.5">
      <c r="B17" s="339" t="s">
        <v>856</v>
      </c>
      <c r="C17" s="340">
        <v>13</v>
      </c>
      <c r="D17" s="341">
        <v>0</v>
      </c>
      <c r="E17" s="341">
        <v>0</v>
      </c>
      <c r="F17" s="342"/>
    </row>
    <row r="18" spans="2:11" ht="16.5">
      <c r="B18" s="339" t="s">
        <v>857</v>
      </c>
      <c r="C18" s="340">
        <v>14</v>
      </c>
      <c r="D18" s="341">
        <v>0</v>
      </c>
      <c r="E18" s="341">
        <v>0</v>
      </c>
      <c r="F18" s="342"/>
      <c r="I18" t="s">
        <v>858</v>
      </c>
      <c r="J18" s="348">
        <f>J14+J15+J16</f>
        <v>431165837.97000003</v>
      </c>
      <c r="K18" s="348">
        <f>K14+K15+K16</f>
        <v>54874883.545500003</v>
      </c>
    </row>
    <row r="19" spans="2:11" ht="16.5">
      <c r="B19" s="339" t="s">
        <v>859</v>
      </c>
      <c r="C19" s="340">
        <v>15</v>
      </c>
      <c r="D19" s="341">
        <v>-235010.9</v>
      </c>
      <c r="E19" s="341">
        <v>-235010.9</v>
      </c>
      <c r="F19" s="342"/>
    </row>
    <row r="20" spans="2:11" ht="16.5">
      <c r="B20" s="339" t="s">
        <v>4</v>
      </c>
      <c r="C20" s="340">
        <v>16</v>
      </c>
      <c r="D20" s="341">
        <v>52127.59</v>
      </c>
      <c r="E20" s="341">
        <v>52127.59</v>
      </c>
      <c r="F20" s="342"/>
    </row>
    <row r="21" spans="2:11" ht="16.5">
      <c r="B21" s="339" t="s">
        <v>860</v>
      </c>
      <c r="C21" s="340">
        <v>17</v>
      </c>
      <c r="D21" s="341">
        <v>0</v>
      </c>
      <c r="E21" s="341">
        <v>0</v>
      </c>
      <c r="F21" s="342"/>
    </row>
    <row r="22" spans="2:11" ht="16.5">
      <c r="B22" s="339" t="s">
        <v>861</v>
      </c>
      <c r="C22" s="340">
        <v>18</v>
      </c>
      <c r="D22" s="341">
        <v>0</v>
      </c>
      <c r="E22" s="341">
        <v>0</v>
      </c>
      <c r="F22" s="342"/>
    </row>
    <row r="23" spans="2:11" ht="16.5">
      <c r="B23" s="339" t="s">
        <v>862</v>
      </c>
      <c r="C23" s="340">
        <v>19</v>
      </c>
      <c r="D23" s="341">
        <v>0</v>
      </c>
      <c r="E23" s="341">
        <v>0</v>
      </c>
      <c r="F23" s="342"/>
    </row>
    <row r="24" spans="2:11" ht="16.5">
      <c r="B24" s="339" t="s">
        <v>863</v>
      </c>
      <c r="C24" s="340">
        <v>20</v>
      </c>
      <c r="D24" s="341">
        <v>0</v>
      </c>
      <c r="E24" s="341">
        <v>0</v>
      </c>
      <c r="F24" s="342"/>
      <c r="H24" s="347"/>
    </row>
    <row r="25" spans="2:11" ht="16.5">
      <c r="B25" s="339" t="s">
        <v>864</v>
      </c>
      <c r="C25" s="340">
        <v>21</v>
      </c>
      <c r="D25" s="341">
        <v>0</v>
      </c>
      <c r="E25" s="341">
        <v>0</v>
      </c>
      <c r="F25" s="342"/>
      <c r="H25" s="348"/>
      <c r="K25" s="347"/>
    </row>
    <row r="26" spans="2:11" ht="16.5">
      <c r="B26" s="339" t="s">
        <v>865</v>
      </c>
      <c r="C26" s="340">
        <v>22</v>
      </c>
      <c r="D26" s="341">
        <v>0</v>
      </c>
      <c r="E26" s="341">
        <v>0</v>
      </c>
      <c r="F26" s="342"/>
      <c r="K26" s="347"/>
    </row>
    <row r="27" spans="2:11" ht="16.5">
      <c r="B27" s="339" t="s">
        <v>866</v>
      </c>
      <c r="C27" s="340">
        <v>23</v>
      </c>
      <c r="D27" s="341">
        <v>-7492001.1299999999</v>
      </c>
      <c r="E27" s="341">
        <v>-7492001.1299999999</v>
      </c>
      <c r="F27" s="342"/>
      <c r="K27" s="349"/>
    </row>
    <row r="28" spans="2:11" ht="16.5">
      <c r="B28" s="339" t="s">
        <v>867</v>
      </c>
      <c r="C28" s="340">
        <v>24</v>
      </c>
      <c r="D28" s="341">
        <v>0</v>
      </c>
      <c r="E28" s="341">
        <v>0</v>
      </c>
      <c r="F28" s="342"/>
    </row>
    <row r="29" spans="2:11" ht="16.5">
      <c r="B29" s="339" t="s">
        <v>868</v>
      </c>
      <c r="C29" s="340">
        <v>25</v>
      </c>
      <c r="D29" s="341">
        <v>133.84</v>
      </c>
      <c r="E29" s="341">
        <v>133.84</v>
      </c>
      <c r="F29" s="342"/>
    </row>
    <row r="30" spans="2:11" ht="16.5">
      <c r="B30" s="339" t="s">
        <v>869</v>
      </c>
      <c r="C30" s="340">
        <v>26</v>
      </c>
      <c r="D30" s="341">
        <v>-7492134.9699999997</v>
      </c>
      <c r="E30" s="341">
        <v>-7492134.9699999997</v>
      </c>
      <c r="F30" s="342"/>
    </row>
    <row r="31" spans="2:11">
      <c r="B31" s="350" t="s">
        <v>870</v>
      </c>
      <c r="C31" s="350">
        <v>27</v>
      </c>
      <c r="D31" s="112"/>
      <c r="E31" s="112"/>
    </row>
    <row r="32" spans="2:11" ht="16.5">
      <c r="B32" s="350" t="s">
        <v>871</v>
      </c>
      <c r="C32" s="350">
        <v>28</v>
      </c>
      <c r="D32" s="341">
        <v>-7492134.9699999997</v>
      </c>
      <c r="E32" s="341">
        <v>-7492134.9699999997</v>
      </c>
    </row>
    <row r="35" spans="2:15" ht="16.5">
      <c r="B35" s="333" t="s">
        <v>833</v>
      </c>
      <c r="D35" s="334"/>
      <c r="E35" s="335"/>
      <c r="F35" s="335"/>
    </row>
    <row r="36" spans="2:15" ht="16.5">
      <c r="B36" s="333" t="s">
        <v>742</v>
      </c>
    </row>
    <row r="37" spans="2:15" ht="16.5">
      <c r="B37" s="333" t="s">
        <v>822</v>
      </c>
      <c r="D37" s="334"/>
    </row>
    <row r="38" spans="2:15" ht="16.5">
      <c r="B38" s="336" t="s">
        <v>744</v>
      </c>
      <c r="C38" s="336"/>
      <c r="D38" s="337" t="s">
        <v>835</v>
      </c>
      <c r="E38" s="336" t="s">
        <v>836</v>
      </c>
      <c r="F38" s="338" t="s">
        <v>837</v>
      </c>
    </row>
    <row r="39" spans="2:15" ht="16.5">
      <c r="B39" s="339" t="s">
        <v>872</v>
      </c>
      <c r="C39" s="340">
        <v>1</v>
      </c>
      <c r="D39" s="351">
        <v>355584080.39999998</v>
      </c>
      <c r="E39" s="352">
        <v>786749918.37</v>
      </c>
      <c r="F39" s="342"/>
      <c r="O39" s="61"/>
    </row>
    <row r="40" spans="2:15" ht="16.5">
      <c r="B40" s="339" t="s">
        <v>873</v>
      </c>
      <c r="C40" s="340">
        <v>2</v>
      </c>
      <c r="D40" s="351">
        <v>355584080.39999998</v>
      </c>
      <c r="E40" s="352">
        <v>786749918.37</v>
      </c>
      <c r="F40" s="342"/>
      <c r="G40" s="335"/>
      <c r="I40" s="61"/>
      <c r="J40" s="61" t="s">
        <v>68</v>
      </c>
      <c r="K40" s="61" t="s">
        <v>840</v>
      </c>
      <c r="L40" s="61" t="s">
        <v>841</v>
      </c>
      <c r="M40" s="61" t="s">
        <v>842</v>
      </c>
      <c r="O40" s="59"/>
    </row>
    <row r="41" spans="2:15" ht="16.5">
      <c r="B41" s="339" t="s">
        <v>844</v>
      </c>
      <c r="C41" s="340">
        <v>3</v>
      </c>
      <c r="D41" s="351">
        <v>355584080.39999998</v>
      </c>
      <c r="E41" s="352">
        <v>786749918.37</v>
      </c>
      <c r="F41" s="342"/>
      <c r="I41" s="343">
        <v>0.13</v>
      </c>
      <c r="J41" s="105">
        <v>-99152455.980000004</v>
      </c>
      <c r="K41" s="344">
        <f>J41*I41+0.04</f>
        <v>-12889819.237400001</v>
      </c>
      <c r="L41" s="62">
        <v>441484567.69999999</v>
      </c>
      <c r="M41" s="62">
        <f>L41*I41-0.04</f>
        <v>57392993.761</v>
      </c>
      <c r="O41" s="59"/>
    </row>
    <row r="42" spans="2:15" ht="16.5">
      <c r="B42" s="339" t="s">
        <v>874</v>
      </c>
      <c r="C42" s="340">
        <v>4</v>
      </c>
      <c r="D42" s="351">
        <v>0</v>
      </c>
      <c r="E42" s="352">
        <v>0</v>
      </c>
      <c r="F42" s="342"/>
      <c r="I42" s="343">
        <v>0.09</v>
      </c>
      <c r="J42" s="345">
        <v>-60940236.82</v>
      </c>
      <c r="K42" s="344">
        <f>J42*I42-0.03</f>
        <v>-5484621.3437999999</v>
      </c>
      <c r="L42" s="62">
        <v>65474783.409999996</v>
      </c>
      <c r="M42" s="62">
        <f>L42*I42+0.02</f>
        <v>5892730.5268999999</v>
      </c>
      <c r="O42" s="59"/>
    </row>
    <row r="43" spans="2:15" ht="16.5">
      <c r="B43" s="339" t="s">
        <v>846</v>
      </c>
      <c r="C43" s="340">
        <v>5</v>
      </c>
      <c r="D43" s="351">
        <v>346971735.25999999</v>
      </c>
      <c r="E43" s="352">
        <f>E44+E47+E48+E49+E50+E51+E54+E55+E56+E57+E58</f>
        <v>785681701.95000005</v>
      </c>
      <c r="F43" s="342"/>
      <c r="I43" s="343">
        <v>0.06</v>
      </c>
      <c r="J43" s="105">
        <v>-10524908.6</v>
      </c>
      <c r="K43" s="344">
        <f>J43*I43-0.03</f>
        <v>-631494.54599999997</v>
      </c>
      <c r="L43" s="62">
        <v>19242330.690000001</v>
      </c>
      <c r="M43" s="62">
        <f>L43*I43+0.05</f>
        <v>1154539.8914000001</v>
      </c>
      <c r="O43" s="346"/>
    </row>
    <row r="44" spans="2:15" ht="16.5">
      <c r="B44" s="339" t="s">
        <v>875</v>
      </c>
      <c r="C44" s="340">
        <v>6</v>
      </c>
      <c r="D44" s="351">
        <v>347650824.24000001</v>
      </c>
      <c r="E44" s="352">
        <v>775348545.34000003</v>
      </c>
      <c r="F44" s="342"/>
      <c r="I44" s="61"/>
      <c r="J44" s="346">
        <f>SUM(J41:J43)</f>
        <v>-170617601.40000001</v>
      </c>
      <c r="K44" s="346">
        <f>SUM(K41:K43)</f>
        <v>-19005935.1272</v>
      </c>
      <c r="L44" s="346">
        <f>SUM(L41:L43)</f>
        <v>526201681.80000001</v>
      </c>
      <c r="M44" s="346">
        <f>SUM(M41:M43)</f>
        <v>64440264.179300003</v>
      </c>
    </row>
    <row r="45" spans="2:15" ht="16.5">
      <c r="B45" s="339" t="s">
        <v>876</v>
      </c>
      <c r="C45" s="340">
        <v>7</v>
      </c>
      <c r="D45" s="351">
        <v>347650824.24000001</v>
      </c>
      <c r="E45" s="352">
        <v>775348545.34000003</v>
      </c>
      <c r="F45" s="342"/>
    </row>
    <row r="46" spans="2:15" ht="16.5">
      <c r="B46" s="339" t="s">
        <v>877</v>
      </c>
      <c r="C46" s="340">
        <v>8</v>
      </c>
      <c r="D46" s="351">
        <v>0</v>
      </c>
      <c r="E46" s="352">
        <v>0</v>
      </c>
      <c r="F46" s="342"/>
    </row>
    <row r="47" spans="2:15" ht="16.5">
      <c r="B47" s="339" t="s">
        <v>878</v>
      </c>
      <c r="C47" s="340">
        <v>9</v>
      </c>
      <c r="D47" s="351">
        <v>0</v>
      </c>
      <c r="E47" s="352">
        <v>11077601.130000001</v>
      </c>
      <c r="F47" s="342"/>
      <c r="K47" s="347">
        <f>L44+J44</f>
        <v>355584080.39999998</v>
      </c>
    </row>
    <row r="48" spans="2:15" ht="16.5">
      <c r="B48" s="339" t="s">
        <v>879</v>
      </c>
      <c r="C48" s="340">
        <v>10</v>
      </c>
      <c r="D48" s="351">
        <v>0</v>
      </c>
      <c r="E48" s="352">
        <v>0</v>
      </c>
      <c r="F48" s="342"/>
      <c r="J48" t="s">
        <v>851</v>
      </c>
      <c r="K48" t="s">
        <v>852</v>
      </c>
    </row>
    <row r="49" spans="2:11" ht="16.5">
      <c r="B49" s="339" t="s">
        <v>880</v>
      </c>
      <c r="C49" s="340">
        <v>11</v>
      </c>
      <c r="D49" s="351">
        <v>222702.56</v>
      </c>
      <c r="E49" s="352">
        <v>392357.92</v>
      </c>
      <c r="F49" s="342"/>
      <c r="I49" s="343">
        <v>0.13</v>
      </c>
      <c r="J49" s="348">
        <f t="shared" ref="J49:J51" si="3">L41+J41</f>
        <v>342332111.72000003</v>
      </c>
      <c r="K49" s="348">
        <f t="shared" ref="K49:K50" si="4">J49*I49</f>
        <v>44503174.523599997</v>
      </c>
    </row>
    <row r="50" spans="2:11" ht="16.5">
      <c r="B50" s="339" t="s">
        <v>881</v>
      </c>
      <c r="C50" s="340">
        <v>12</v>
      </c>
      <c r="D50" s="351">
        <v>0</v>
      </c>
      <c r="E50" s="352">
        <v>0</v>
      </c>
      <c r="F50" s="342"/>
      <c r="I50" s="343">
        <v>0.09</v>
      </c>
      <c r="J50" s="348">
        <f t="shared" si="3"/>
        <v>4534546.59</v>
      </c>
      <c r="K50" s="348">
        <f t="shared" si="4"/>
        <v>408109.19309999997</v>
      </c>
    </row>
    <row r="51" spans="2:11" ht="16.5">
      <c r="B51" s="339" t="s">
        <v>859</v>
      </c>
      <c r="C51" s="340">
        <v>13</v>
      </c>
      <c r="D51" s="351">
        <v>-901791.54</v>
      </c>
      <c r="E51" s="352">
        <v>-1136802.44</v>
      </c>
      <c r="F51" s="342"/>
      <c r="I51" s="343">
        <v>0.06</v>
      </c>
      <c r="J51" s="348">
        <f t="shared" si="3"/>
        <v>8717422.0899999999</v>
      </c>
      <c r="K51" s="348">
        <f>J51*I51+0.01</f>
        <v>523045.33539999998</v>
      </c>
    </row>
    <row r="52" spans="2:11" ht="16.5">
      <c r="B52" s="339" t="s">
        <v>4</v>
      </c>
      <c r="C52" s="340">
        <v>14</v>
      </c>
      <c r="D52" s="351">
        <v>0</v>
      </c>
      <c r="E52" s="352">
        <v>52127.59</v>
      </c>
      <c r="F52" s="342"/>
    </row>
    <row r="53" spans="2:11" ht="16.5">
      <c r="B53" s="339" t="s">
        <v>860</v>
      </c>
      <c r="C53" s="340">
        <v>15</v>
      </c>
      <c r="D53" s="351">
        <v>0</v>
      </c>
      <c r="E53" s="352">
        <v>0</v>
      </c>
      <c r="F53" s="342"/>
      <c r="I53" t="s">
        <v>858</v>
      </c>
      <c r="J53" s="348">
        <f>J49+J50+J51</f>
        <v>355584080.39999998</v>
      </c>
      <c r="K53" s="348">
        <f>K49+K50+K51</f>
        <v>45434329.052100003</v>
      </c>
    </row>
    <row r="54" spans="2:11" ht="16.5">
      <c r="B54" s="339" t="s">
        <v>861</v>
      </c>
      <c r="C54" s="340">
        <v>16</v>
      </c>
      <c r="D54" s="351">
        <v>0</v>
      </c>
      <c r="E54" s="352">
        <v>0</v>
      </c>
      <c r="F54" s="342"/>
    </row>
    <row r="55" spans="2:11" ht="16.5">
      <c r="B55" s="339" t="s">
        <v>882</v>
      </c>
      <c r="C55" s="340">
        <v>17</v>
      </c>
      <c r="D55" s="351">
        <v>0</v>
      </c>
      <c r="E55" s="352">
        <v>0</v>
      </c>
      <c r="F55" s="342"/>
    </row>
    <row r="56" spans="2:11" ht="16.5">
      <c r="B56" s="339" t="s">
        <v>883</v>
      </c>
      <c r="C56" s="340">
        <v>18</v>
      </c>
      <c r="D56" s="351">
        <v>0</v>
      </c>
      <c r="E56" s="352">
        <v>0</v>
      </c>
      <c r="F56" s="342"/>
    </row>
    <row r="57" spans="2:11" ht="16.5">
      <c r="B57" s="339" t="s">
        <v>864</v>
      </c>
      <c r="C57" s="340">
        <v>19</v>
      </c>
      <c r="D57" s="351">
        <v>0</v>
      </c>
      <c r="E57" s="352">
        <v>0</v>
      </c>
      <c r="F57" s="342"/>
    </row>
    <row r="58" spans="2:11" ht="16.5">
      <c r="B58" s="339" t="s">
        <v>865</v>
      </c>
      <c r="C58" s="340">
        <v>20</v>
      </c>
      <c r="D58" s="351">
        <v>0</v>
      </c>
      <c r="E58" s="352">
        <v>0</v>
      </c>
      <c r="F58" s="342"/>
    </row>
    <row r="59" spans="2:11" ht="16.5">
      <c r="B59" s="339" t="s">
        <v>884</v>
      </c>
      <c r="C59" s="340">
        <v>21</v>
      </c>
      <c r="D59" s="351">
        <v>8612345.1400000006</v>
      </c>
      <c r="E59" s="352">
        <v>1120344.01</v>
      </c>
      <c r="F59" s="342"/>
    </row>
    <row r="60" spans="2:11" ht="16.5">
      <c r="B60" s="339" t="s">
        <v>885</v>
      </c>
      <c r="C60" s="340">
        <v>22</v>
      </c>
      <c r="D60" s="351">
        <v>0</v>
      </c>
      <c r="E60" s="352">
        <v>0</v>
      </c>
      <c r="F60" s="342"/>
    </row>
    <row r="61" spans="2:11" ht="16.5">
      <c r="B61" s="339" t="s">
        <v>886</v>
      </c>
      <c r="C61" s="340">
        <v>23</v>
      </c>
      <c r="D61" s="351">
        <v>100</v>
      </c>
      <c r="E61" s="352">
        <v>233.84</v>
      </c>
      <c r="F61" s="342"/>
    </row>
    <row r="62" spans="2:11" ht="16.5">
      <c r="B62" s="339" t="s">
        <v>869</v>
      </c>
      <c r="C62" s="340">
        <v>24</v>
      </c>
      <c r="D62" s="351">
        <v>8612245.1400000006</v>
      </c>
      <c r="E62" s="352">
        <v>1120110.17</v>
      </c>
      <c r="F62" s="342"/>
    </row>
    <row r="63" spans="2:11" ht="16.5">
      <c r="B63" s="339" t="s">
        <v>887</v>
      </c>
      <c r="C63" s="340">
        <v>25</v>
      </c>
      <c r="D63" s="351">
        <v>280027.53999999998</v>
      </c>
      <c r="E63" s="352">
        <v>280027.53999999998</v>
      </c>
      <c r="F63" s="342"/>
    </row>
    <row r="64" spans="2:11" ht="16.5">
      <c r="B64" s="339" t="s">
        <v>871</v>
      </c>
      <c r="C64" s="340">
        <v>26</v>
      </c>
      <c r="D64" s="351">
        <v>8332217.5999999996</v>
      </c>
      <c r="E64" s="352">
        <v>840082.63</v>
      </c>
      <c r="F64" s="342"/>
    </row>
    <row r="67" spans="2:15" ht="16.5">
      <c r="B67" s="353" t="s">
        <v>833</v>
      </c>
      <c r="D67" s="334"/>
      <c r="E67" s="335"/>
      <c r="F67" s="335"/>
    </row>
    <row r="68" spans="2:15" ht="16.5">
      <c r="B68" s="353" t="s">
        <v>742</v>
      </c>
    </row>
    <row r="69" spans="2:15" ht="16.5">
      <c r="B69" s="353" t="s">
        <v>823</v>
      </c>
      <c r="D69" s="334"/>
    </row>
    <row r="70" spans="2:15" ht="16.5">
      <c r="B70" s="354" t="s">
        <v>744</v>
      </c>
      <c r="C70" s="354"/>
      <c r="D70" s="355" t="s">
        <v>835</v>
      </c>
      <c r="E70" s="354" t="s">
        <v>836</v>
      </c>
      <c r="F70" s="338" t="s">
        <v>837</v>
      </c>
    </row>
    <row r="71" spans="2:15" ht="16.5">
      <c r="B71" s="356" t="s">
        <v>872</v>
      </c>
      <c r="C71" s="357">
        <v>1</v>
      </c>
      <c r="D71" s="358">
        <v>48816137.859999999</v>
      </c>
      <c r="E71" s="341">
        <v>835566056.23000002</v>
      </c>
      <c r="F71" s="342"/>
      <c r="N71" s="61"/>
      <c r="O71" s="61"/>
    </row>
    <row r="72" spans="2:15" ht="16.5">
      <c r="B72" s="356" t="s">
        <v>873</v>
      </c>
      <c r="C72" s="357">
        <v>2</v>
      </c>
      <c r="D72" s="358">
        <v>48816137.859999999</v>
      </c>
      <c r="E72" s="341">
        <v>835566056.23000002</v>
      </c>
      <c r="F72" s="342"/>
      <c r="G72" s="335"/>
      <c r="I72" s="61"/>
      <c r="J72" s="61" t="s">
        <v>68</v>
      </c>
      <c r="K72" s="61" t="s">
        <v>840</v>
      </c>
      <c r="L72" s="61" t="s">
        <v>841</v>
      </c>
      <c r="M72" s="61" t="s">
        <v>842</v>
      </c>
      <c r="N72" s="59"/>
      <c r="O72" s="59"/>
    </row>
    <row r="73" spans="2:15" ht="16.5">
      <c r="B73" s="356" t="s">
        <v>844</v>
      </c>
      <c r="C73" s="357">
        <v>3</v>
      </c>
      <c r="D73" s="358">
        <v>48816137.859999999</v>
      </c>
      <c r="E73" s="341">
        <v>835566056.23000002</v>
      </c>
      <c r="F73" s="342"/>
      <c r="I73" s="343">
        <v>0.13</v>
      </c>
      <c r="J73" s="105">
        <f t="shared" ref="J73:K75" si="5">J81-L73</f>
        <v>-350213433.60000002</v>
      </c>
      <c r="K73" s="344">
        <f t="shared" si="5"/>
        <v>-45527746.357500002</v>
      </c>
      <c r="L73" s="62">
        <v>359477262.75</v>
      </c>
      <c r="M73" s="62">
        <f>L73*I73-0.02</f>
        <v>46732044.137500003</v>
      </c>
      <c r="N73" s="59"/>
      <c r="O73" s="59"/>
    </row>
    <row r="74" spans="2:15" ht="16.5">
      <c r="B74" s="356" t="s">
        <v>874</v>
      </c>
      <c r="C74" s="357">
        <v>4</v>
      </c>
      <c r="D74" s="358">
        <v>0</v>
      </c>
      <c r="E74" s="341">
        <v>0</v>
      </c>
      <c r="F74" s="342"/>
      <c r="I74" s="343">
        <v>0.09</v>
      </c>
      <c r="J74" s="105">
        <f t="shared" si="5"/>
        <v>-30035426.899999999</v>
      </c>
      <c r="K74" s="344">
        <f t="shared" si="5"/>
        <v>-2703188.4599000001</v>
      </c>
      <c r="L74" s="62">
        <v>65827967.630000003</v>
      </c>
      <c r="M74" s="62">
        <f>L74*I74+0.03</f>
        <v>5924517.1167000001</v>
      </c>
      <c r="N74" s="59"/>
      <c r="O74" s="59"/>
    </row>
    <row r="75" spans="2:15" ht="16.5">
      <c r="B75" s="356" t="s">
        <v>846</v>
      </c>
      <c r="C75" s="357">
        <v>5</v>
      </c>
      <c r="D75" s="358">
        <v>47584780.310000204</v>
      </c>
      <c r="E75" s="341">
        <f>E76+E79+E80+E81+E82+E83+E86+E87+E88+E89+E90</f>
        <v>833266482.25999999</v>
      </c>
      <c r="F75" s="342"/>
      <c r="I75" s="343">
        <v>0.06</v>
      </c>
      <c r="J75" s="105">
        <f t="shared" si="5"/>
        <v>-47021945.539999999</v>
      </c>
      <c r="K75" s="344">
        <f t="shared" si="5"/>
        <v>-2821316.7311999998</v>
      </c>
      <c r="L75" s="62">
        <v>50781713.520000003</v>
      </c>
      <c r="M75" s="62">
        <f>L75*I75+0.01</f>
        <v>3046902.8212000001</v>
      </c>
      <c r="N75" s="359"/>
      <c r="O75" s="359"/>
    </row>
    <row r="76" spans="2:15" ht="16.5">
      <c r="B76" s="356" t="s">
        <v>875</v>
      </c>
      <c r="C76" s="357">
        <v>6</v>
      </c>
      <c r="D76" s="358">
        <v>47974910.600000001</v>
      </c>
      <c r="E76" s="341">
        <v>823323455.94000006</v>
      </c>
      <c r="F76" s="342"/>
      <c r="I76" s="61"/>
      <c r="J76" s="346">
        <f>SUM(J73:J75)</f>
        <v>-427270806.04000002</v>
      </c>
      <c r="K76" s="346">
        <f>SUM(K73:K75)</f>
        <v>-51052251.548600003</v>
      </c>
      <c r="L76" s="346">
        <f>SUM(L73:L75)</f>
        <v>476086943.89999998</v>
      </c>
      <c r="M76" s="346">
        <f>SUM(M73:M75)</f>
        <v>55703464.075400002</v>
      </c>
    </row>
    <row r="77" spans="2:15" ht="16.5">
      <c r="B77" s="356" t="s">
        <v>876</v>
      </c>
      <c r="C77" s="357">
        <v>7</v>
      </c>
      <c r="D77" s="358">
        <v>47974910.600000001</v>
      </c>
      <c r="E77" s="341">
        <v>823323455.94000006</v>
      </c>
      <c r="F77" s="342"/>
    </row>
    <row r="78" spans="2:15" ht="16.5">
      <c r="B78" s="356" t="s">
        <v>877</v>
      </c>
      <c r="C78" s="357">
        <v>8</v>
      </c>
      <c r="D78" s="358">
        <v>0</v>
      </c>
      <c r="E78" s="341">
        <v>0</v>
      </c>
      <c r="F78" s="342"/>
    </row>
    <row r="79" spans="2:15" ht="16.5">
      <c r="B79" s="356" t="s">
        <v>878</v>
      </c>
      <c r="C79" s="357">
        <v>9</v>
      </c>
      <c r="D79" s="358">
        <v>2978.1999999992499</v>
      </c>
      <c r="E79" s="341">
        <v>11080579.33</v>
      </c>
      <c r="F79" s="342"/>
      <c r="K79" s="347">
        <f>L76+J76</f>
        <v>48816137.859999999</v>
      </c>
    </row>
    <row r="80" spans="2:15" ht="16.5">
      <c r="B80" s="356" t="s">
        <v>879</v>
      </c>
      <c r="C80" s="357">
        <v>10</v>
      </c>
      <c r="D80" s="358">
        <v>0</v>
      </c>
      <c r="E80" s="341">
        <v>0</v>
      </c>
      <c r="F80" s="342"/>
      <c r="J80" t="s">
        <v>851</v>
      </c>
      <c r="K80" t="s">
        <v>852</v>
      </c>
    </row>
    <row r="81" spans="2:11" ht="16.5">
      <c r="B81" s="356" t="s">
        <v>880</v>
      </c>
      <c r="C81" s="357">
        <v>11</v>
      </c>
      <c r="D81" s="358">
        <v>341530.92</v>
      </c>
      <c r="E81" s="341">
        <v>733888.84</v>
      </c>
      <c r="F81" s="342"/>
      <c r="I81" s="343">
        <v>0.13</v>
      </c>
      <c r="J81" s="348">
        <v>9263829.1500000004</v>
      </c>
      <c r="K81" s="348">
        <v>1204297.78</v>
      </c>
    </row>
    <row r="82" spans="2:11" ht="16.5">
      <c r="B82" s="356" t="s">
        <v>881</v>
      </c>
      <c r="C82" s="357">
        <v>12</v>
      </c>
      <c r="D82" s="358">
        <v>0</v>
      </c>
      <c r="E82" s="341">
        <v>0</v>
      </c>
      <c r="F82" s="342"/>
      <c r="I82" s="343">
        <v>0.09</v>
      </c>
      <c r="J82" s="348">
        <v>35792540.729999997</v>
      </c>
      <c r="K82" s="348">
        <v>3221328.6568</v>
      </c>
    </row>
    <row r="83" spans="2:11" ht="16.5">
      <c r="B83" s="356" t="s">
        <v>859</v>
      </c>
      <c r="C83" s="357">
        <v>13</v>
      </c>
      <c r="D83" s="358">
        <v>-734639.41</v>
      </c>
      <c r="E83" s="341">
        <v>-1871441.85</v>
      </c>
      <c r="F83" s="342"/>
      <c r="I83" s="343">
        <v>0.06</v>
      </c>
      <c r="J83" s="348">
        <v>3759767.98</v>
      </c>
      <c r="K83" s="348">
        <v>225586.09</v>
      </c>
    </row>
    <row r="84" spans="2:11" ht="16.5">
      <c r="B84" s="356" t="s">
        <v>4</v>
      </c>
      <c r="C84" s="357">
        <v>14</v>
      </c>
      <c r="D84" s="358">
        <v>0</v>
      </c>
      <c r="E84" s="341">
        <v>52127.59</v>
      </c>
      <c r="F84" s="342"/>
    </row>
    <row r="85" spans="2:11" ht="16.5">
      <c r="B85" s="356" t="s">
        <v>860</v>
      </c>
      <c r="C85" s="357">
        <v>15</v>
      </c>
      <c r="D85" s="358">
        <v>0</v>
      </c>
      <c r="E85" s="341">
        <v>0</v>
      </c>
      <c r="F85" s="342"/>
      <c r="I85" t="s">
        <v>858</v>
      </c>
      <c r="J85" s="348">
        <f>J81+J82+J83</f>
        <v>48816137.859999999</v>
      </c>
      <c r="K85" s="348">
        <f>K81+K82+K83</f>
        <v>4651212.5268000001</v>
      </c>
    </row>
    <row r="86" spans="2:11" ht="16.5">
      <c r="B86" s="356" t="s">
        <v>861</v>
      </c>
      <c r="C86" s="357">
        <v>16</v>
      </c>
      <c r="D86" s="358">
        <v>0</v>
      </c>
      <c r="E86" s="341">
        <v>0</v>
      </c>
      <c r="F86" s="342"/>
    </row>
    <row r="87" spans="2:11" ht="16.5">
      <c r="B87" s="356" t="s">
        <v>882</v>
      </c>
      <c r="C87" s="357">
        <v>17</v>
      </c>
      <c r="D87" s="358">
        <v>0</v>
      </c>
      <c r="E87" s="341">
        <v>0</v>
      </c>
      <c r="F87" s="342"/>
    </row>
    <row r="88" spans="2:11" ht="16.5">
      <c r="B88" s="356" t="s">
        <v>883</v>
      </c>
      <c r="C88" s="357">
        <v>18</v>
      </c>
      <c r="D88" s="358">
        <v>0</v>
      </c>
      <c r="E88" s="341">
        <v>0</v>
      </c>
      <c r="F88" s="342"/>
    </row>
    <row r="89" spans="2:11" ht="16.5">
      <c r="B89" s="356" t="s">
        <v>864</v>
      </c>
      <c r="C89" s="357">
        <v>19</v>
      </c>
      <c r="D89" s="358">
        <v>0</v>
      </c>
      <c r="E89" s="341">
        <v>0</v>
      </c>
      <c r="F89" s="342"/>
    </row>
    <row r="90" spans="2:11" ht="16.5">
      <c r="B90" s="356" t="s">
        <v>865</v>
      </c>
      <c r="C90" s="357">
        <v>20</v>
      </c>
      <c r="D90" s="358">
        <v>0</v>
      </c>
      <c r="E90" s="341">
        <v>0</v>
      </c>
      <c r="F90" s="342"/>
    </row>
    <row r="91" spans="2:11" ht="16.5">
      <c r="B91" s="356" t="s">
        <v>884</v>
      </c>
      <c r="C91" s="357">
        <v>21</v>
      </c>
      <c r="D91" s="358">
        <v>1231357.55</v>
      </c>
      <c r="E91" s="341">
        <v>2351701.56</v>
      </c>
      <c r="F91" s="342"/>
    </row>
    <row r="92" spans="2:11" ht="16.5">
      <c r="B92" s="356" t="s">
        <v>885</v>
      </c>
      <c r="C92" s="357">
        <v>22</v>
      </c>
      <c r="D92" s="358">
        <v>12265.21</v>
      </c>
      <c r="E92" s="341">
        <v>12265.21</v>
      </c>
      <c r="F92" s="342"/>
    </row>
    <row r="93" spans="2:11" ht="16.5">
      <c r="B93" s="356" t="s">
        <v>886</v>
      </c>
      <c r="C93" s="357">
        <v>23</v>
      </c>
      <c r="D93" s="358">
        <v>0</v>
      </c>
      <c r="E93" s="341">
        <v>233.84</v>
      </c>
      <c r="F93" s="342"/>
    </row>
    <row r="94" spans="2:11" ht="16.5">
      <c r="B94" s="356" t="s">
        <v>869</v>
      </c>
      <c r="C94" s="357">
        <v>24</v>
      </c>
      <c r="D94" s="358">
        <v>1243622.76</v>
      </c>
      <c r="E94" s="341">
        <v>2363732.9300000002</v>
      </c>
      <c r="F94" s="342"/>
    </row>
    <row r="95" spans="2:11" ht="16.5">
      <c r="B95" s="356" t="s">
        <v>887</v>
      </c>
      <c r="C95" s="357">
        <v>25</v>
      </c>
      <c r="D95" s="358">
        <v>310905.69</v>
      </c>
      <c r="E95" s="341">
        <v>590933.23</v>
      </c>
      <c r="F95" s="342"/>
    </row>
    <row r="96" spans="2:11" ht="16.5">
      <c r="B96" s="356" t="s">
        <v>871</v>
      </c>
      <c r="C96" s="357">
        <v>26</v>
      </c>
      <c r="D96" s="358">
        <v>932717.07</v>
      </c>
      <c r="E96" s="341">
        <v>1772799.7</v>
      </c>
      <c r="F96" s="342"/>
    </row>
    <row r="99" spans="2:13" ht="16.5">
      <c r="B99" s="333" t="s">
        <v>833</v>
      </c>
      <c r="D99" s="334"/>
      <c r="E99" s="335"/>
    </row>
    <row r="100" spans="2:13" ht="16.5">
      <c r="B100" s="333" t="s">
        <v>742</v>
      </c>
    </row>
    <row r="101" spans="2:13" ht="16.5">
      <c r="B101" s="333" t="s">
        <v>824</v>
      </c>
      <c r="D101" s="334"/>
    </row>
    <row r="102" spans="2:13" ht="16.5">
      <c r="B102" s="336" t="s">
        <v>744</v>
      </c>
      <c r="C102" s="336"/>
      <c r="D102" s="337" t="s">
        <v>835</v>
      </c>
      <c r="E102" s="336" t="s">
        <v>836</v>
      </c>
    </row>
    <row r="103" spans="2:13" ht="16.5">
      <c r="B103" s="339" t="s">
        <v>872</v>
      </c>
      <c r="C103" s="340">
        <v>1</v>
      </c>
      <c r="D103" s="351">
        <v>97382183.189999893</v>
      </c>
      <c r="E103" s="352">
        <v>932948239.41999996</v>
      </c>
    </row>
    <row r="104" spans="2:13" ht="16.5">
      <c r="B104" s="339" t="s">
        <v>873</v>
      </c>
      <c r="C104" s="340">
        <v>2</v>
      </c>
      <c r="D104" s="351">
        <v>97382183.189999893</v>
      </c>
      <c r="E104" s="352">
        <v>932948239.41999996</v>
      </c>
    </row>
    <row r="105" spans="2:13" ht="16.5">
      <c r="B105" s="339" t="s">
        <v>844</v>
      </c>
      <c r="C105" s="340">
        <v>3</v>
      </c>
      <c r="D105" s="351">
        <v>97382183.189999893</v>
      </c>
      <c r="E105" s="352">
        <v>932948239.41999996</v>
      </c>
    </row>
    <row r="106" spans="2:13" ht="16.5">
      <c r="B106" s="339" t="s">
        <v>874</v>
      </c>
      <c r="C106" s="340">
        <v>4</v>
      </c>
      <c r="D106" s="351">
        <v>0</v>
      </c>
      <c r="E106" s="352">
        <v>0</v>
      </c>
    </row>
    <row r="107" spans="2:13" ht="16.5">
      <c r="B107" s="339" t="s">
        <v>846</v>
      </c>
      <c r="C107" s="340">
        <v>5</v>
      </c>
      <c r="D107" s="351">
        <v>-29002863.670000199</v>
      </c>
      <c r="E107" s="352">
        <f>E108+E111+E112+E113+E114+E115+E118+E119+E120+E121+E122</f>
        <v>804263618.59000003</v>
      </c>
      <c r="I107" s="61"/>
      <c r="J107" s="61" t="s">
        <v>68</v>
      </c>
      <c r="K107" s="61" t="s">
        <v>840</v>
      </c>
      <c r="L107" s="61" t="s">
        <v>841</v>
      </c>
      <c r="M107" s="61" t="s">
        <v>842</v>
      </c>
    </row>
    <row r="108" spans="2:13" ht="16.5">
      <c r="B108" s="339" t="s">
        <v>875</v>
      </c>
      <c r="C108" s="340">
        <v>6</v>
      </c>
      <c r="D108" s="351">
        <v>-28879450.850000001</v>
      </c>
      <c r="E108" s="352">
        <v>794444005.09000003</v>
      </c>
      <c r="I108" s="343">
        <v>0.13</v>
      </c>
      <c r="J108" s="105">
        <f t="shared" ref="J108:K110" si="6">J116-L108</f>
        <v>3789194.835</v>
      </c>
      <c r="K108" s="344">
        <f t="shared" si="6"/>
        <v>492595.32</v>
      </c>
      <c r="L108" s="62">
        <v>17534647.48</v>
      </c>
      <c r="M108" s="62">
        <v>2279504.19</v>
      </c>
    </row>
    <row r="109" spans="2:13" ht="16.5">
      <c r="B109" s="339" t="s">
        <v>876</v>
      </c>
      <c r="C109" s="340">
        <v>7</v>
      </c>
      <c r="D109" s="351">
        <v>-28879450.850000001</v>
      </c>
      <c r="E109" s="352">
        <v>794444005.09000003</v>
      </c>
      <c r="I109" s="343">
        <v>0.09</v>
      </c>
      <c r="J109" s="105">
        <f t="shared" si="6"/>
        <v>7446929.9800000004</v>
      </c>
      <c r="K109" s="344">
        <f t="shared" si="6"/>
        <v>670223.69999999995</v>
      </c>
      <c r="L109" s="62">
        <v>60452778.880000003</v>
      </c>
      <c r="M109" s="62">
        <v>5440750.0899999999</v>
      </c>
    </row>
    <row r="110" spans="2:13" ht="16.5">
      <c r="B110" s="339" t="s">
        <v>877</v>
      </c>
      <c r="C110" s="340">
        <v>8</v>
      </c>
      <c r="D110" s="351">
        <v>0</v>
      </c>
      <c r="E110" s="352">
        <v>0</v>
      </c>
      <c r="I110" s="343">
        <v>0.06</v>
      </c>
      <c r="J110" s="105">
        <f t="shared" si="6"/>
        <v>7541539.4000000004</v>
      </c>
      <c r="K110" s="344">
        <f t="shared" si="6"/>
        <v>452492.36</v>
      </c>
      <c r="L110" s="62">
        <v>617092.61</v>
      </c>
      <c r="M110" s="62">
        <v>37025.56</v>
      </c>
    </row>
    <row r="111" spans="2:13" ht="16.5">
      <c r="B111" s="339" t="s">
        <v>878</v>
      </c>
      <c r="C111" s="340">
        <v>9</v>
      </c>
      <c r="D111" s="351">
        <v>462845.73</v>
      </c>
      <c r="E111" s="352">
        <v>11543425.060000001</v>
      </c>
      <c r="I111" s="61"/>
      <c r="J111" s="346">
        <f>SUM(J108:J110)</f>
        <v>18777664.215</v>
      </c>
      <c r="K111" s="346">
        <f>SUM(K108:K110)</f>
        <v>1615311.38</v>
      </c>
      <c r="L111" s="346">
        <f>SUM(L108:L110)</f>
        <v>78604518.969999999</v>
      </c>
      <c r="M111" s="346">
        <f>SUM(M108:M110)</f>
        <v>7757279.8399999999</v>
      </c>
    </row>
    <row r="112" spans="2:13" ht="16.5">
      <c r="B112" s="339" t="s">
        <v>879</v>
      </c>
      <c r="C112" s="340">
        <v>10</v>
      </c>
      <c r="D112" s="351">
        <v>0</v>
      </c>
      <c r="E112" s="352">
        <v>0</v>
      </c>
    </row>
    <row r="113" spans="2:11" ht="16.5">
      <c r="B113" s="339" t="s">
        <v>880</v>
      </c>
      <c r="C113" s="340">
        <v>11</v>
      </c>
      <c r="D113" s="351">
        <v>321356.55</v>
      </c>
      <c r="E113" s="352">
        <v>1055245.3899999999</v>
      </c>
    </row>
    <row r="114" spans="2:11" ht="16.5">
      <c r="B114" s="339" t="s">
        <v>881</v>
      </c>
      <c r="C114" s="340">
        <v>12</v>
      </c>
      <c r="D114" s="351">
        <v>0</v>
      </c>
      <c r="E114" s="352">
        <v>0</v>
      </c>
      <c r="K114" s="347">
        <f>L111+J111</f>
        <v>97382183.185000002</v>
      </c>
    </row>
    <row r="115" spans="2:11" ht="16.5">
      <c r="B115" s="339" t="s">
        <v>859</v>
      </c>
      <c r="C115" s="340">
        <v>13</v>
      </c>
      <c r="D115" s="351">
        <v>-907615.1</v>
      </c>
      <c r="E115" s="352">
        <v>-2779056.95</v>
      </c>
      <c r="J115" t="s">
        <v>851</v>
      </c>
      <c r="K115" t="s">
        <v>852</v>
      </c>
    </row>
    <row r="116" spans="2:11" ht="16.5">
      <c r="B116" s="339" t="s">
        <v>4</v>
      </c>
      <c r="C116" s="340">
        <v>14</v>
      </c>
      <c r="D116" s="351">
        <v>0</v>
      </c>
      <c r="E116" s="352">
        <v>52127.59</v>
      </c>
      <c r="I116" s="343">
        <v>0.13</v>
      </c>
      <c r="J116" s="348">
        <v>21323842.315000001</v>
      </c>
      <c r="K116" s="348">
        <v>2772099.51</v>
      </c>
    </row>
    <row r="117" spans="2:11" ht="16.5">
      <c r="B117" s="339" t="s">
        <v>860</v>
      </c>
      <c r="C117" s="340">
        <v>15</v>
      </c>
      <c r="D117" s="351">
        <v>0</v>
      </c>
      <c r="E117" s="352">
        <v>0</v>
      </c>
      <c r="I117" s="343">
        <v>0.09</v>
      </c>
      <c r="J117" s="348">
        <v>67899708.859999999</v>
      </c>
      <c r="K117" s="348">
        <v>6110973.79</v>
      </c>
    </row>
    <row r="118" spans="2:11" ht="16.5">
      <c r="B118" s="339" t="s">
        <v>861</v>
      </c>
      <c r="C118" s="340">
        <v>16</v>
      </c>
      <c r="D118" s="351">
        <v>0</v>
      </c>
      <c r="E118" s="352">
        <v>0</v>
      </c>
      <c r="I118" s="343">
        <v>0.06</v>
      </c>
      <c r="J118" s="348">
        <v>8158632.0099999998</v>
      </c>
      <c r="K118" s="348">
        <v>489517.92</v>
      </c>
    </row>
    <row r="119" spans="2:11" ht="16.5">
      <c r="B119" s="339" t="s">
        <v>882</v>
      </c>
      <c r="C119" s="340">
        <v>17</v>
      </c>
      <c r="D119" s="351">
        <v>0</v>
      </c>
      <c r="E119" s="352">
        <v>0</v>
      </c>
    </row>
    <row r="120" spans="2:11" ht="16.5">
      <c r="B120" s="339" t="s">
        <v>883</v>
      </c>
      <c r="C120" s="340">
        <v>18</v>
      </c>
      <c r="D120" s="351">
        <v>0</v>
      </c>
      <c r="E120" s="352">
        <v>0</v>
      </c>
      <c r="I120" t="s">
        <v>858</v>
      </c>
      <c r="J120" s="348">
        <f>J116+J117+J118</f>
        <v>97382183.185000002</v>
      </c>
      <c r="K120" s="348">
        <f>K116+K117+K118</f>
        <v>9372591.2200000007</v>
      </c>
    </row>
    <row r="121" spans="2:11" ht="16.5">
      <c r="B121" s="339" t="s">
        <v>864</v>
      </c>
      <c r="C121" s="340">
        <v>19</v>
      </c>
      <c r="D121" s="351">
        <v>0</v>
      </c>
      <c r="E121" s="352">
        <v>0</v>
      </c>
    </row>
    <row r="122" spans="2:11" ht="16.5">
      <c r="B122" s="339" t="s">
        <v>865</v>
      </c>
      <c r="C122" s="340">
        <v>20</v>
      </c>
      <c r="D122" s="351">
        <v>0</v>
      </c>
      <c r="E122" s="352">
        <v>0</v>
      </c>
    </row>
    <row r="123" spans="2:11" ht="16.5">
      <c r="B123" s="339" t="s">
        <v>884</v>
      </c>
      <c r="C123" s="340">
        <v>21</v>
      </c>
      <c r="D123" s="351">
        <v>126385046.86</v>
      </c>
      <c r="E123" s="352">
        <v>128736748.42</v>
      </c>
    </row>
    <row r="124" spans="2:11" ht="16.5">
      <c r="B124" s="339" t="s">
        <v>885</v>
      </c>
      <c r="C124" s="340">
        <v>22</v>
      </c>
      <c r="D124" s="351">
        <v>40000</v>
      </c>
      <c r="E124" s="352">
        <v>52265.21</v>
      </c>
    </row>
    <row r="125" spans="2:11" ht="16.5">
      <c r="B125" s="339" t="s">
        <v>886</v>
      </c>
      <c r="C125" s="340">
        <v>23</v>
      </c>
      <c r="D125" s="351">
        <v>0</v>
      </c>
      <c r="E125" s="352">
        <v>233.84</v>
      </c>
    </row>
    <row r="126" spans="2:11" ht="16.5">
      <c r="B126" s="339" t="s">
        <v>869</v>
      </c>
      <c r="C126" s="340">
        <v>24</v>
      </c>
      <c r="D126" s="351">
        <v>126425046.86</v>
      </c>
      <c r="E126" s="352">
        <v>128788779.79000001</v>
      </c>
    </row>
    <row r="127" spans="2:11" ht="16.5">
      <c r="B127" s="339" t="s">
        <v>887</v>
      </c>
      <c r="C127" s="340">
        <v>25</v>
      </c>
      <c r="D127" s="351">
        <v>31606261.719999999</v>
      </c>
      <c r="E127" s="352">
        <v>32197194.949999999</v>
      </c>
    </row>
    <row r="128" spans="2:11" ht="16.5">
      <c r="B128" s="339" t="s">
        <v>871</v>
      </c>
      <c r="C128" s="340">
        <v>26</v>
      </c>
      <c r="D128" s="351">
        <v>94818785.140000001</v>
      </c>
      <c r="E128" s="352">
        <v>96591584.840000004</v>
      </c>
    </row>
    <row r="131" spans="2:13" ht="16.5">
      <c r="B131" s="333" t="s">
        <v>833</v>
      </c>
      <c r="D131" s="334"/>
      <c r="E131" s="335"/>
    </row>
    <row r="132" spans="2:13" ht="16.5">
      <c r="B132" s="333" t="s">
        <v>742</v>
      </c>
    </row>
    <row r="133" spans="2:13" ht="16.5">
      <c r="B133" s="333" t="s">
        <v>825</v>
      </c>
      <c r="D133" s="334"/>
      <c r="H133">
        <f>E104+D136</f>
        <v>983832509.32000005</v>
      </c>
    </row>
    <row r="134" spans="2:13" ht="16.5">
      <c r="B134" s="336" t="s">
        <v>744</v>
      </c>
      <c r="C134" s="336"/>
      <c r="D134" s="337" t="s">
        <v>835</v>
      </c>
      <c r="E134" s="336" t="s">
        <v>836</v>
      </c>
      <c r="H134">
        <f>E135-H133</f>
        <v>91743119.25</v>
      </c>
    </row>
    <row r="135" spans="2:13" ht="16.5">
      <c r="B135" s="339" t="s">
        <v>872</v>
      </c>
      <c r="C135" s="340">
        <v>1</v>
      </c>
      <c r="D135" s="351">
        <v>50884269.899999999</v>
      </c>
      <c r="E135" s="352">
        <v>1075575628.5699999</v>
      </c>
    </row>
    <row r="136" spans="2:13" ht="16.5">
      <c r="B136" s="339" t="s">
        <v>873</v>
      </c>
      <c r="C136" s="340">
        <v>2</v>
      </c>
      <c r="D136" s="351">
        <v>50884269.899999999</v>
      </c>
      <c r="E136" s="352">
        <v>1075575628.5699999</v>
      </c>
    </row>
    <row r="137" spans="2:13" ht="16.5">
      <c r="B137" s="339" t="s">
        <v>844</v>
      </c>
      <c r="C137" s="340">
        <v>3</v>
      </c>
      <c r="D137" s="351">
        <v>50884269.899999999</v>
      </c>
      <c r="E137" s="352">
        <v>1075575628.5699999</v>
      </c>
    </row>
    <row r="138" spans="2:13" ht="16.5">
      <c r="B138" s="339" t="s">
        <v>874</v>
      </c>
      <c r="C138" s="340">
        <v>4</v>
      </c>
      <c r="D138" s="351">
        <v>0</v>
      </c>
      <c r="E138" s="352">
        <v>0</v>
      </c>
    </row>
    <row r="139" spans="2:13" ht="16.5">
      <c r="B139" s="339" t="s">
        <v>846</v>
      </c>
      <c r="C139" s="340">
        <v>5</v>
      </c>
      <c r="D139" s="351">
        <v>142489262.37</v>
      </c>
      <c r="E139" s="352">
        <f>E140+E143+E144+E145+E146+E147+E150+E151+E152+E153+E154</f>
        <v>946752880.96000004</v>
      </c>
      <c r="I139" s="61"/>
      <c r="J139" s="61" t="s">
        <v>68</v>
      </c>
      <c r="K139" s="61" t="s">
        <v>840</v>
      </c>
      <c r="L139" s="61" t="s">
        <v>841</v>
      </c>
      <c r="M139" s="61" t="s">
        <v>842</v>
      </c>
    </row>
    <row r="140" spans="2:13" ht="16.5">
      <c r="B140" s="339" t="s">
        <v>875</v>
      </c>
      <c r="C140" s="340">
        <v>6</v>
      </c>
      <c r="D140" s="351">
        <v>143230918.05000001</v>
      </c>
      <c r="E140" s="352">
        <v>937674923.13999999</v>
      </c>
      <c r="I140" s="343">
        <v>0.13</v>
      </c>
      <c r="J140" s="105">
        <f t="shared" ref="J140:J142" si="7">J148-L140</f>
        <v>-4890202.6399999997</v>
      </c>
      <c r="K140" s="344">
        <f t="shared" ref="K140:K142" si="8">K148-M140</f>
        <v>-635726.33000000101</v>
      </c>
      <c r="L140" s="62">
        <v>33522208.960000001</v>
      </c>
      <c r="M140" s="62">
        <v>4357887.1500000004</v>
      </c>
    </row>
    <row r="141" spans="2:13" ht="16.5">
      <c r="B141" s="339" t="s">
        <v>876</v>
      </c>
      <c r="C141" s="340">
        <v>7</v>
      </c>
      <c r="D141" s="351">
        <v>143230918.05000001</v>
      </c>
      <c r="E141" s="352">
        <v>937674923.13999999</v>
      </c>
      <c r="I141" s="343">
        <v>0.09</v>
      </c>
      <c r="J141" s="105">
        <f t="shared" si="7"/>
        <v>-17724968.07</v>
      </c>
      <c r="K141" s="344">
        <f t="shared" si="8"/>
        <v>-1595247.14</v>
      </c>
      <c r="L141" s="62">
        <v>2703064.96</v>
      </c>
      <c r="M141" s="62">
        <v>243275.84</v>
      </c>
    </row>
    <row r="142" spans="2:13" ht="16.5">
      <c r="B142" s="339" t="s">
        <v>877</v>
      </c>
      <c r="C142" s="340">
        <v>8</v>
      </c>
      <c r="D142" s="351">
        <v>0</v>
      </c>
      <c r="E142" s="352">
        <v>0</v>
      </c>
      <c r="I142" s="343">
        <v>0.06</v>
      </c>
      <c r="J142" s="105">
        <f t="shared" si="7"/>
        <v>35524679.939999998</v>
      </c>
      <c r="K142" s="344">
        <f t="shared" si="8"/>
        <v>2131480.79</v>
      </c>
      <c r="L142" s="62">
        <v>1749486.75</v>
      </c>
      <c r="M142" s="62">
        <v>104969.18</v>
      </c>
    </row>
    <row r="143" spans="2:13" ht="16.5">
      <c r="B143" s="339" t="s">
        <v>878</v>
      </c>
      <c r="C143" s="340">
        <v>9</v>
      </c>
      <c r="D143" s="351">
        <v>81903.33</v>
      </c>
      <c r="E143" s="352">
        <v>11625328.390000001</v>
      </c>
      <c r="I143" s="61"/>
      <c r="J143" s="346">
        <f>SUM(J140:J142)</f>
        <v>12909509.23</v>
      </c>
      <c r="K143" s="346">
        <f>SUM(K140:K142)</f>
        <v>-99492.680000000604</v>
      </c>
      <c r="L143" s="346">
        <f>SUM(L140:L142)</f>
        <v>37974760.670000002</v>
      </c>
      <c r="M143" s="346">
        <f>SUM(M140:M142)</f>
        <v>4706132.17</v>
      </c>
    </row>
    <row r="144" spans="2:13" ht="16.5">
      <c r="B144" s="339" t="s">
        <v>879</v>
      </c>
      <c r="C144" s="340">
        <v>10</v>
      </c>
      <c r="D144" s="351">
        <v>0</v>
      </c>
      <c r="E144" s="352">
        <v>0</v>
      </c>
    </row>
    <row r="145" spans="2:11" ht="16.5">
      <c r="B145" s="339" t="s">
        <v>880</v>
      </c>
      <c r="C145" s="340">
        <v>11</v>
      </c>
      <c r="D145" s="351">
        <v>337981.55</v>
      </c>
      <c r="E145" s="352">
        <v>1393226.94</v>
      </c>
    </row>
    <row r="146" spans="2:11" ht="16.5">
      <c r="B146" s="339" t="s">
        <v>881</v>
      </c>
      <c r="C146" s="340">
        <v>12</v>
      </c>
      <c r="D146" s="351">
        <v>0</v>
      </c>
      <c r="E146" s="352">
        <v>0</v>
      </c>
      <c r="K146" s="347">
        <f>L143+J143</f>
        <v>50884269.899999999</v>
      </c>
    </row>
    <row r="147" spans="2:11" ht="16.5">
      <c r="B147" s="339" t="s">
        <v>859</v>
      </c>
      <c r="C147" s="340">
        <v>13</v>
      </c>
      <c r="D147" s="351">
        <v>-1161540.56</v>
      </c>
      <c r="E147" s="352">
        <v>-3940597.51</v>
      </c>
      <c r="J147" t="s">
        <v>851</v>
      </c>
      <c r="K147" t="s">
        <v>852</v>
      </c>
    </row>
    <row r="148" spans="2:11" ht="16.5">
      <c r="B148" s="339" t="s">
        <v>4</v>
      </c>
      <c r="C148" s="340">
        <v>14</v>
      </c>
      <c r="D148" s="351">
        <v>1500</v>
      </c>
      <c r="E148" s="352">
        <v>53627.59</v>
      </c>
      <c r="I148" s="343">
        <v>0.13</v>
      </c>
      <c r="J148" s="348">
        <v>28632006.32</v>
      </c>
      <c r="K148" s="348">
        <v>3722160.82</v>
      </c>
    </row>
    <row r="149" spans="2:11" ht="16.5">
      <c r="B149" s="339" t="s">
        <v>860</v>
      </c>
      <c r="C149" s="340">
        <v>15</v>
      </c>
      <c r="D149" s="351">
        <v>0</v>
      </c>
      <c r="E149" s="352">
        <v>0</v>
      </c>
      <c r="I149" s="343">
        <v>0.09</v>
      </c>
      <c r="J149" s="348">
        <v>-15021903.109999999</v>
      </c>
      <c r="K149" s="348">
        <v>-1351971.3</v>
      </c>
    </row>
    <row r="150" spans="2:11" ht="16.5">
      <c r="B150" s="339" t="s">
        <v>861</v>
      </c>
      <c r="C150" s="340">
        <v>16</v>
      </c>
      <c r="D150" s="351">
        <v>0</v>
      </c>
      <c r="E150" s="352">
        <v>0</v>
      </c>
      <c r="I150" s="343">
        <v>0.06</v>
      </c>
      <c r="J150" s="348">
        <v>37274166.689999998</v>
      </c>
      <c r="K150" s="348">
        <v>2236449.9700000002</v>
      </c>
    </row>
    <row r="151" spans="2:11" ht="16.5">
      <c r="B151" s="339" t="s">
        <v>882</v>
      </c>
      <c r="C151" s="340">
        <v>17</v>
      </c>
      <c r="D151" s="351">
        <v>0</v>
      </c>
      <c r="E151" s="352">
        <v>0</v>
      </c>
    </row>
    <row r="152" spans="2:11" ht="16.5">
      <c r="B152" s="339" t="s">
        <v>883</v>
      </c>
      <c r="C152" s="340">
        <v>18</v>
      </c>
      <c r="D152" s="351">
        <v>0</v>
      </c>
      <c r="E152" s="352">
        <v>0</v>
      </c>
      <c r="I152" t="s">
        <v>858</v>
      </c>
      <c r="J152" s="348">
        <f>J148+J149+J150</f>
        <v>50884269.899999999</v>
      </c>
      <c r="K152" s="348">
        <f>K148+K149+K150</f>
        <v>4606639.49</v>
      </c>
    </row>
    <row r="153" spans="2:11" ht="16.5">
      <c r="B153" s="339" t="s">
        <v>864</v>
      </c>
      <c r="C153" s="340">
        <v>19</v>
      </c>
      <c r="D153" s="351">
        <v>0</v>
      </c>
      <c r="E153" s="352">
        <v>0</v>
      </c>
    </row>
    <row r="154" spans="2:11" ht="16.5">
      <c r="B154" s="339" t="s">
        <v>865</v>
      </c>
      <c r="C154" s="340">
        <v>20</v>
      </c>
      <c r="D154" s="351">
        <v>0</v>
      </c>
      <c r="E154" s="352">
        <v>0</v>
      </c>
    </row>
    <row r="155" spans="2:11" ht="16.5">
      <c r="B155" s="339" t="s">
        <v>884</v>
      </c>
      <c r="C155" s="340">
        <v>21</v>
      </c>
      <c r="D155" s="351">
        <v>-91603492.469999999</v>
      </c>
      <c r="E155" s="352">
        <v>128876375.2</v>
      </c>
    </row>
    <row r="156" spans="2:11" ht="16.5">
      <c r="B156" s="339" t="s">
        <v>885</v>
      </c>
      <c r="C156" s="340">
        <v>22</v>
      </c>
      <c r="D156" s="351">
        <v>49500</v>
      </c>
      <c r="E156" s="352">
        <v>101765.21</v>
      </c>
    </row>
    <row r="157" spans="2:11" ht="16.5">
      <c r="B157" s="339" t="s">
        <v>886</v>
      </c>
      <c r="C157" s="340">
        <v>23</v>
      </c>
      <c r="D157" s="351">
        <v>0</v>
      </c>
      <c r="E157" s="352">
        <v>233.84</v>
      </c>
    </row>
    <row r="158" spans="2:11" ht="16.5">
      <c r="B158" s="339" t="s">
        <v>869</v>
      </c>
      <c r="C158" s="340">
        <v>24</v>
      </c>
      <c r="D158" s="351">
        <v>-91553992.469999999</v>
      </c>
      <c r="E158" s="352">
        <v>128977906.56999999</v>
      </c>
    </row>
    <row r="159" spans="2:11" ht="16.5">
      <c r="B159" s="339" t="s">
        <v>887</v>
      </c>
      <c r="C159" s="340">
        <v>25</v>
      </c>
      <c r="D159" s="351">
        <v>-22513592.190000001</v>
      </c>
      <c r="E159" s="352">
        <v>32244476.640000001</v>
      </c>
    </row>
    <row r="160" spans="2:11" ht="16.5">
      <c r="B160" s="339" t="s">
        <v>871</v>
      </c>
      <c r="C160" s="340">
        <v>26</v>
      </c>
      <c r="D160" s="351">
        <v>-69040400.280000001</v>
      </c>
      <c r="E160" s="352">
        <v>96733429.930000007</v>
      </c>
    </row>
    <row r="163" spans="2:13" ht="16.5">
      <c r="B163" s="353" t="s">
        <v>833</v>
      </c>
      <c r="D163" s="334"/>
      <c r="E163" s="335"/>
    </row>
    <row r="164" spans="2:13" ht="16.5">
      <c r="B164" s="353" t="s">
        <v>742</v>
      </c>
    </row>
    <row r="165" spans="2:13" ht="16.5">
      <c r="B165" s="353" t="s">
        <v>826</v>
      </c>
      <c r="D165" s="334"/>
    </row>
    <row r="166" spans="2:13" ht="16.5">
      <c r="B166" s="354" t="s">
        <v>744</v>
      </c>
      <c r="C166" s="354"/>
      <c r="D166" s="355" t="s">
        <v>835</v>
      </c>
      <c r="E166" s="354" t="s">
        <v>836</v>
      </c>
    </row>
    <row r="167" spans="2:13" ht="16.5">
      <c r="B167" s="356" t="s">
        <v>872</v>
      </c>
      <c r="C167" s="357">
        <v>1</v>
      </c>
      <c r="D167" s="358">
        <v>29972935.440000098</v>
      </c>
      <c r="E167" s="341">
        <v>1105548564.01</v>
      </c>
    </row>
    <row r="168" spans="2:13" ht="16.5">
      <c r="B168" s="356" t="s">
        <v>873</v>
      </c>
      <c r="C168" s="357">
        <v>2</v>
      </c>
      <c r="D168" s="358">
        <v>29972935.440000098</v>
      </c>
      <c r="E168" s="341">
        <v>1105548564.01</v>
      </c>
    </row>
    <row r="169" spans="2:13" ht="16.5">
      <c r="B169" s="356" t="s">
        <v>844</v>
      </c>
      <c r="C169" s="357">
        <v>3</v>
      </c>
      <c r="D169" s="358">
        <v>29972935.440000098</v>
      </c>
      <c r="E169" s="341">
        <v>1105548564.01</v>
      </c>
      <c r="I169" s="61"/>
      <c r="J169" s="61" t="s">
        <v>68</v>
      </c>
      <c r="K169" s="61" t="s">
        <v>840</v>
      </c>
      <c r="L169" s="61" t="s">
        <v>841</v>
      </c>
      <c r="M169" s="61" t="s">
        <v>842</v>
      </c>
    </row>
    <row r="170" spans="2:13" ht="16.5">
      <c r="B170" s="356" t="s">
        <v>874</v>
      </c>
      <c r="C170" s="357">
        <v>4</v>
      </c>
      <c r="D170" s="358">
        <v>0</v>
      </c>
      <c r="E170" s="341">
        <v>0</v>
      </c>
      <c r="I170" s="343">
        <v>0.13</v>
      </c>
      <c r="J170" s="105">
        <f t="shared" ref="J170:J172" si="9">J178-L170</f>
        <v>-105705112.16</v>
      </c>
      <c r="K170" s="344">
        <f t="shared" ref="K170:K172" si="10">K178-M170</f>
        <v>-13741664.66</v>
      </c>
      <c r="L170" s="62">
        <v>110922362.87</v>
      </c>
      <c r="M170" s="62">
        <v>14419907.25</v>
      </c>
    </row>
    <row r="171" spans="2:13" ht="16.5">
      <c r="B171" s="356" t="s">
        <v>846</v>
      </c>
      <c r="C171" s="357">
        <v>5</v>
      </c>
      <c r="D171" s="358">
        <v>33375153.350000001</v>
      </c>
      <c r="E171" s="341">
        <f>E172+E175+E176+E177+E178+E179+E182+E183+E184+E185+E186</f>
        <v>980128034.30999994</v>
      </c>
      <c r="I171" s="343">
        <v>0.09</v>
      </c>
      <c r="J171" s="105">
        <f t="shared" si="9"/>
        <v>27709537.539999999</v>
      </c>
      <c r="K171" s="344">
        <f t="shared" si="10"/>
        <v>2493858.4300000002</v>
      </c>
      <c r="L171" s="62">
        <v>79949925.75</v>
      </c>
      <c r="M171" s="62">
        <v>7195493.29</v>
      </c>
    </row>
    <row r="172" spans="2:13" ht="16.5">
      <c r="B172" s="356" t="s">
        <v>875</v>
      </c>
      <c r="C172" s="357">
        <v>6</v>
      </c>
      <c r="D172" s="358">
        <v>28984918.41</v>
      </c>
      <c r="E172" s="341">
        <v>966659841.54999995</v>
      </c>
      <c r="I172" s="343">
        <v>0.06</v>
      </c>
      <c r="J172" s="105">
        <f t="shared" si="9"/>
        <v>-37128853.359999999</v>
      </c>
      <c r="K172" s="344">
        <f t="shared" si="10"/>
        <v>-2227731.1800000002</v>
      </c>
      <c r="L172" s="62">
        <v>45968194.049999997</v>
      </c>
      <c r="M172" s="62">
        <v>2758091.62</v>
      </c>
    </row>
    <row r="173" spans="2:13" ht="16.5">
      <c r="B173" s="356" t="s">
        <v>876</v>
      </c>
      <c r="C173" s="357">
        <v>7</v>
      </c>
      <c r="D173" s="358">
        <v>28984918.41</v>
      </c>
      <c r="E173" s="341">
        <v>966659841.54999995</v>
      </c>
      <c r="I173" s="61"/>
      <c r="J173" s="346">
        <f>SUM(J170:J172)</f>
        <v>-115124427.98</v>
      </c>
      <c r="K173" s="346">
        <f>SUM(K170:K172)</f>
        <v>-13475537.41</v>
      </c>
      <c r="L173" s="346">
        <f>SUM(L170:L172)</f>
        <v>236840482.66999999</v>
      </c>
      <c r="M173" s="346">
        <f>SUM(M170:M172)</f>
        <v>24373492.16</v>
      </c>
    </row>
    <row r="174" spans="2:13" ht="16.5">
      <c r="B174" s="356" t="s">
        <v>877</v>
      </c>
      <c r="C174" s="357">
        <v>8</v>
      </c>
      <c r="D174" s="358">
        <v>0</v>
      </c>
      <c r="E174" s="341">
        <v>0</v>
      </c>
    </row>
    <row r="175" spans="2:13" ht="16.5">
      <c r="B175" s="356" t="s">
        <v>878</v>
      </c>
      <c r="C175" s="357">
        <v>9</v>
      </c>
      <c r="D175" s="358">
        <v>-952541.53000000096</v>
      </c>
      <c r="E175" s="341">
        <v>10672786.859999999</v>
      </c>
    </row>
    <row r="176" spans="2:13" ht="16.5">
      <c r="B176" s="356" t="s">
        <v>879</v>
      </c>
      <c r="C176" s="357">
        <v>10</v>
      </c>
      <c r="D176" s="358">
        <v>0</v>
      </c>
      <c r="E176" s="341">
        <v>0</v>
      </c>
      <c r="K176" s="347">
        <f>L173+J173</f>
        <v>121716054.69</v>
      </c>
    </row>
    <row r="177" spans="2:11" ht="16.5">
      <c r="B177" s="356" t="s">
        <v>880</v>
      </c>
      <c r="C177" s="357">
        <v>11</v>
      </c>
      <c r="D177" s="358">
        <v>6301603.6399999997</v>
      </c>
      <c r="E177" s="341">
        <v>7694830.5800000001</v>
      </c>
      <c r="J177" t="s">
        <v>851</v>
      </c>
      <c r="K177" t="s">
        <v>852</v>
      </c>
    </row>
    <row r="178" spans="2:11" ht="16.5">
      <c r="B178" s="356" t="s">
        <v>881</v>
      </c>
      <c r="C178" s="357">
        <v>12</v>
      </c>
      <c r="D178" s="358">
        <v>0</v>
      </c>
      <c r="E178" s="341">
        <v>0</v>
      </c>
      <c r="I178" s="343">
        <v>0.13</v>
      </c>
      <c r="J178" s="348">
        <v>5217250.71</v>
      </c>
      <c r="K178" s="348">
        <v>678242.59</v>
      </c>
    </row>
    <row r="179" spans="2:11" ht="16.5">
      <c r="B179" s="356" t="s">
        <v>859</v>
      </c>
      <c r="C179" s="357">
        <v>13</v>
      </c>
      <c r="D179" s="358">
        <v>-958827.17</v>
      </c>
      <c r="E179" s="341">
        <v>-4899424.68</v>
      </c>
      <c r="I179" s="343">
        <v>0.09</v>
      </c>
      <c r="J179" s="348">
        <v>107659463.29000001</v>
      </c>
      <c r="K179" s="348">
        <v>9689351.7200000007</v>
      </c>
    </row>
    <row r="180" spans="2:11" ht="16.5">
      <c r="B180" s="356" t="s">
        <v>4</v>
      </c>
      <c r="C180" s="357">
        <v>14</v>
      </c>
      <c r="D180" s="358">
        <v>0</v>
      </c>
      <c r="E180" s="341">
        <v>53627.59</v>
      </c>
      <c r="I180" s="343">
        <v>0.06</v>
      </c>
      <c r="J180" s="348">
        <v>8839340.6899999995</v>
      </c>
      <c r="K180" s="348">
        <v>530360.43999999994</v>
      </c>
    </row>
    <row r="181" spans="2:11" ht="16.5">
      <c r="B181" s="356" t="s">
        <v>860</v>
      </c>
      <c r="C181" s="357">
        <v>15</v>
      </c>
      <c r="D181" s="358">
        <v>0</v>
      </c>
      <c r="E181" s="341">
        <v>0</v>
      </c>
    </row>
    <row r="182" spans="2:11" ht="16.5">
      <c r="B182" s="356" t="s">
        <v>861</v>
      </c>
      <c r="C182" s="357">
        <v>16</v>
      </c>
      <c r="D182" s="358">
        <v>0</v>
      </c>
      <c r="E182" s="341">
        <v>0</v>
      </c>
      <c r="I182" t="s">
        <v>858</v>
      </c>
      <c r="J182" s="348">
        <f>J178+J179+J180</f>
        <v>121716054.69</v>
      </c>
      <c r="K182" s="348">
        <f>K178+K179+K180</f>
        <v>10897954.75</v>
      </c>
    </row>
    <row r="183" spans="2:11" ht="16.5">
      <c r="B183" s="356" t="s">
        <v>882</v>
      </c>
      <c r="C183" s="357">
        <v>17</v>
      </c>
      <c r="D183" s="358">
        <v>0</v>
      </c>
      <c r="E183" s="341">
        <v>0</v>
      </c>
    </row>
    <row r="184" spans="2:11" ht="16.5">
      <c r="B184" s="356" t="s">
        <v>883</v>
      </c>
      <c r="C184" s="357">
        <v>18</v>
      </c>
      <c r="D184" s="358">
        <v>0</v>
      </c>
      <c r="E184" s="341">
        <v>0</v>
      </c>
    </row>
    <row r="185" spans="2:11" ht="16.5">
      <c r="B185" s="356" t="s">
        <v>864</v>
      </c>
      <c r="C185" s="357">
        <v>19</v>
      </c>
      <c r="D185" s="358">
        <v>0</v>
      </c>
      <c r="E185" s="341">
        <v>0</v>
      </c>
    </row>
    <row r="186" spans="2:11" ht="16.5">
      <c r="B186" s="356" t="s">
        <v>865</v>
      </c>
      <c r="C186" s="357">
        <v>20</v>
      </c>
      <c r="D186" s="358">
        <v>0</v>
      </c>
      <c r="E186" s="341">
        <v>0</v>
      </c>
    </row>
    <row r="187" spans="2:11" ht="16.5">
      <c r="B187" s="356" t="s">
        <v>884</v>
      </c>
      <c r="C187" s="357">
        <v>21</v>
      </c>
      <c r="D187" s="358">
        <v>-3402217.91</v>
      </c>
      <c r="E187" s="341">
        <v>125474157.29000001</v>
      </c>
    </row>
    <row r="188" spans="2:11" ht="16.5">
      <c r="B188" s="356" t="s">
        <v>885</v>
      </c>
      <c r="C188" s="357">
        <v>22</v>
      </c>
      <c r="D188" s="358">
        <v>80000</v>
      </c>
      <c r="E188" s="341">
        <v>181765.21</v>
      </c>
    </row>
    <row r="189" spans="2:11" ht="16.5">
      <c r="B189" s="356" t="s">
        <v>886</v>
      </c>
      <c r="C189" s="357">
        <v>23</v>
      </c>
      <c r="D189" s="358">
        <v>0</v>
      </c>
      <c r="E189" s="341">
        <v>233.84</v>
      </c>
    </row>
    <row r="190" spans="2:11" ht="16.5">
      <c r="B190" s="356" t="s">
        <v>869</v>
      </c>
      <c r="C190" s="357">
        <v>24</v>
      </c>
      <c r="D190" s="358">
        <v>-3322217.91</v>
      </c>
      <c r="E190" s="341">
        <v>125655688.66</v>
      </c>
      <c r="H190" s="348"/>
    </row>
    <row r="191" spans="2:11" ht="16.5">
      <c r="B191" s="356" t="s">
        <v>887</v>
      </c>
      <c r="C191" s="357">
        <v>25</v>
      </c>
      <c r="D191" s="358">
        <v>-830554.46999999904</v>
      </c>
      <c r="E191" s="341">
        <v>31413922.170000002</v>
      </c>
    </row>
    <row r="192" spans="2:11" ht="16.5">
      <c r="B192" s="356" t="s">
        <v>871</v>
      </c>
      <c r="C192" s="357">
        <v>26</v>
      </c>
      <c r="D192" s="358">
        <v>-2491663.4400000102</v>
      </c>
      <c r="E192" s="341">
        <v>94241766.489999995</v>
      </c>
    </row>
    <row r="195" spans="2:13" ht="16.5">
      <c r="B195" s="353" t="s">
        <v>833</v>
      </c>
      <c r="D195" s="334"/>
      <c r="E195" s="335"/>
    </row>
    <row r="196" spans="2:13" ht="16.5">
      <c r="B196" s="353" t="s">
        <v>742</v>
      </c>
    </row>
    <row r="197" spans="2:13" ht="16.5">
      <c r="B197" s="353" t="s">
        <v>827</v>
      </c>
      <c r="D197" s="334"/>
    </row>
    <row r="198" spans="2:13" ht="16.5">
      <c r="B198" s="354" t="s">
        <v>744</v>
      </c>
      <c r="C198" s="354"/>
      <c r="D198" s="355" t="s">
        <v>835</v>
      </c>
      <c r="E198" s="354" t="s">
        <v>836</v>
      </c>
    </row>
    <row r="199" spans="2:13" ht="16.5">
      <c r="B199" s="356" t="s">
        <v>872</v>
      </c>
      <c r="C199" s="357">
        <v>1</v>
      </c>
      <c r="D199" s="358">
        <v>110819286.25</v>
      </c>
      <c r="E199" s="341">
        <v>1216367850.26</v>
      </c>
    </row>
    <row r="200" spans="2:13" ht="16.5">
      <c r="B200" s="356" t="s">
        <v>873</v>
      </c>
      <c r="C200" s="357">
        <v>2</v>
      </c>
      <c r="D200" s="358">
        <v>110819286.25</v>
      </c>
      <c r="E200" s="341">
        <v>1216367850.26</v>
      </c>
    </row>
    <row r="201" spans="2:13" ht="16.5">
      <c r="B201" s="356" t="s">
        <v>844</v>
      </c>
      <c r="C201" s="357">
        <v>3</v>
      </c>
      <c r="D201" s="358">
        <v>110819286.25</v>
      </c>
      <c r="E201" s="341">
        <v>1216367850.26</v>
      </c>
      <c r="I201" s="61"/>
      <c r="J201" s="61" t="s">
        <v>68</v>
      </c>
      <c r="K201" s="61" t="s">
        <v>840</v>
      </c>
      <c r="L201" s="61" t="s">
        <v>841</v>
      </c>
      <c r="M201" s="61" t="s">
        <v>842</v>
      </c>
    </row>
    <row r="202" spans="2:13" ht="16.5">
      <c r="B202" s="356" t="s">
        <v>874</v>
      </c>
      <c r="C202" s="357">
        <v>4</v>
      </c>
      <c r="D202" s="358">
        <v>0</v>
      </c>
      <c r="E202" s="341">
        <v>0</v>
      </c>
      <c r="I202" s="343">
        <v>0.13</v>
      </c>
      <c r="J202" s="105">
        <f t="shared" ref="J202:K204" si="11">J210-L202</f>
        <v>-10541034.58</v>
      </c>
      <c r="K202" s="344">
        <f t="shared" si="11"/>
        <v>-1370334.58</v>
      </c>
      <c r="L202" s="62">
        <v>21068170.940000001</v>
      </c>
      <c r="M202" s="62">
        <v>2738862.29</v>
      </c>
    </row>
    <row r="203" spans="2:13" ht="16.5">
      <c r="B203" s="356" t="s">
        <v>846</v>
      </c>
      <c r="C203" s="357">
        <v>5</v>
      </c>
      <c r="D203" s="358">
        <v>59234114.410000101</v>
      </c>
      <c r="E203" s="341">
        <f>E204+E207+E208+E209+E210+E211+E214+E215+E216+E217+E218</f>
        <v>1039362148.72</v>
      </c>
      <c r="I203" s="343">
        <v>0.09</v>
      </c>
      <c r="J203" s="105">
        <f t="shared" si="11"/>
        <v>9511301.2900000103</v>
      </c>
      <c r="K203" s="344">
        <f t="shared" si="11"/>
        <v>856017.10000000196</v>
      </c>
      <c r="L203" s="62">
        <v>74348075.319999993</v>
      </c>
      <c r="M203" s="62">
        <v>6691326.7699999996</v>
      </c>
    </row>
    <row r="204" spans="2:13" ht="16.5">
      <c r="B204" s="356" t="s">
        <v>875</v>
      </c>
      <c r="C204" s="357">
        <v>6</v>
      </c>
      <c r="D204" s="358">
        <v>58340943.680000097</v>
      </c>
      <c r="E204" s="341">
        <v>1025000785.23</v>
      </c>
      <c r="I204" s="343">
        <v>0.06</v>
      </c>
      <c r="J204" s="105">
        <f t="shared" si="11"/>
        <v>2701206.94</v>
      </c>
      <c r="K204" s="344">
        <f t="shared" si="11"/>
        <v>162072.44</v>
      </c>
      <c r="L204" s="62">
        <v>13731566.34</v>
      </c>
      <c r="M204" s="62">
        <v>823894.03</v>
      </c>
    </row>
    <row r="205" spans="2:13" ht="16.5">
      <c r="B205" s="356" t="s">
        <v>876</v>
      </c>
      <c r="C205" s="357">
        <v>7</v>
      </c>
      <c r="D205" s="358">
        <v>58340943.680000097</v>
      </c>
      <c r="E205" s="341">
        <v>1025000785.23</v>
      </c>
      <c r="I205" s="61"/>
      <c r="J205" s="346">
        <f>SUM(J202:J204)</f>
        <v>1671473.6500000099</v>
      </c>
      <c r="K205" s="346">
        <f>SUM(K202:K204)</f>
        <v>-352245.039999998</v>
      </c>
      <c r="L205" s="346">
        <f>SUM(L202:L204)</f>
        <v>109147812.59999999</v>
      </c>
      <c r="M205" s="346">
        <f>SUM(M202:M204)</f>
        <v>10254083.09</v>
      </c>
    </row>
    <row r="206" spans="2:13" ht="16.5">
      <c r="B206" s="356" t="s">
        <v>877</v>
      </c>
      <c r="C206" s="357">
        <v>8</v>
      </c>
      <c r="D206" s="358">
        <v>0</v>
      </c>
      <c r="E206" s="341">
        <v>0</v>
      </c>
    </row>
    <row r="207" spans="2:13" ht="16.5">
      <c r="B207" s="356" t="s">
        <v>878</v>
      </c>
      <c r="C207" s="357">
        <v>9</v>
      </c>
      <c r="D207" s="358">
        <v>330365.58</v>
      </c>
      <c r="E207" s="341">
        <v>11003152.439999999</v>
      </c>
    </row>
    <row r="208" spans="2:13" ht="16.5">
      <c r="B208" s="356" t="s">
        <v>879</v>
      </c>
      <c r="C208" s="357">
        <v>10</v>
      </c>
      <c r="D208" s="358">
        <v>0</v>
      </c>
      <c r="E208" s="341">
        <v>0</v>
      </c>
      <c r="K208" s="347">
        <f>L205+J205</f>
        <v>110819286.25</v>
      </c>
    </row>
    <row r="209" spans="2:11" ht="16.5">
      <c r="B209" s="356" t="s">
        <v>880</v>
      </c>
      <c r="C209" s="357">
        <v>11</v>
      </c>
      <c r="D209" s="358">
        <v>592811.52000000002</v>
      </c>
      <c r="E209" s="341">
        <v>8287642.0999999996</v>
      </c>
      <c r="J209" t="s">
        <v>851</v>
      </c>
      <c r="K209" t="s">
        <v>852</v>
      </c>
    </row>
    <row r="210" spans="2:11" ht="16.5">
      <c r="B210" s="356" t="s">
        <v>881</v>
      </c>
      <c r="C210" s="357">
        <v>12</v>
      </c>
      <c r="D210" s="358">
        <v>0</v>
      </c>
      <c r="E210" s="341">
        <v>0</v>
      </c>
      <c r="I210" s="343">
        <v>0.13</v>
      </c>
      <c r="J210" s="348">
        <v>10527136.359999999</v>
      </c>
      <c r="K210" s="348">
        <v>1368527.71</v>
      </c>
    </row>
    <row r="211" spans="2:11" ht="16.5">
      <c r="B211" s="356" t="s">
        <v>859</v>
      </c>
      <c r="C211" s="357">
        <v>13</v>
      </c>
      <c r="D211" s="358">
        <v>-30006.370000000101</v>
      </c>
      <c r="E211" s="341">
        <v>-4929431.05</v>
      </c>
      <c r="I211" s="343">
        <v>0.09</v>
      </c>
      <c r="J211" s="348">
        <v>83859376.609999999</v>
      </c>
      <c r="K211" s="348">
        <v>7547343.8700000001</v>
      </c>
    </row>
    <row r="212" spans="2:11" ht="16.5">
      <c r="B212" s="356" t="s">
        <v>4</v>
      </c>
      <c r="C212" s="357">
        <v>14</v>
      </c>
      <c r="D212" s="358">
        <v>0</v>
      </c>
      <c r="E212" s="341">
        <v>53627.59</v>
      </c>
      <c r="I212" s="343">
        <v>0.06</v>
      </c>
      <c r="J212" s="348">
        <v>16432773.279999999</v>
      </c>
      <c r="K212" s="348">
        <v>985966.47</v>
      </c>
    </row>
    <row r="213" spans="2:11" ht="16.5">
      <c r="B213" s="356" t="s">
        <v>860</v>
      </c>
      <c r="C213" s="357">
        <v>15</v>
      </c>
      <c r="D213" s="358">
        <v>0</v>
      </c>
      <c r="E213" s="341">
        <v>0</v>
      </c>
    </row>
    <row r="214" spans="2:11" ht="16.5">
      <c r="B214" s="356" t="s">
        <v>861</v>
      </c>
      <c r="C214" s="357">
        <v>16</v>
      </c>
      <c r="D214" s="358">
        <v>0</v>
      </c>
      <c r="E214" s="341">
        <v>0</v>
      </c>
      <c r="I214" t="s">
        <v>858</v>
      </c>
      <c r="J214" s="348">
        <f>J210+J211+J212</f>
        <v>110819286.25</v>
      </c>
      <c r="K214" s="348">
        <f>K210+K211+K212</f>
        <v>9901838.0500000007</v>
      </c>
    </row>
    <row r="215" spans="2:11" ht="16.5">
      <c r="B215" s="356" t="s">
        <v>882</v>
      </c>
      <c r="C215" s="357">
        <v>17</v>
      </c>
      <c r="D215" s="358">
        <v>0</v>
      </c>
      <c r="E215" s="341">
        <v>0</v>
      </c>
    </row>
    <row r="216" spans="2:11" ht="16.5">
      <c r="B216" s="356" t="s">
        <v>883</v>
      </c>
      <c r="C216" s="357">
        <v>18</v>
      </c>
      <c r="D216" s="358">
        <v>0</v>
      </c>
      <c r="E216" s="341">
        <v>0</v>
      </c>
    </row>
    <row r="217" spans="2:11" ht="16.5">
      <c r="B217" s="356" t="s">
        <v>864</v>
      </c>
      <c r="C217" s="357">
        <v>19</v>
      </c>
      <c r="D217" s="358">
        <v>0</v>
      </c>
      <c r="E217" s="341">
        <v>0</v>
      </c>
    </row>
    <row r="218" spans="2:11" ht="16.5">
      <c r="B218" s="356" t="s">
        <v>865</v>
      </c>
      <c r="C218" s="357">
        <v>20</v>
      </c>
      <c r="D218" s="358">
        <v>0</v>
      </c>
      <c r="E218" s="341">
        <v>0</v>
      </c>
    </row>
    <row r="219" spans="2:11" ht="16.5">
      <c r="B219" s="356" t="s">
        <v>884</v>
      </c>
      <c r="C219" s="357">
        <v>21</v>
      </c>
      <c r="D219" s="358">
        <v>51585171.840000004</v>
      </c>
      <c r="E219" s="341">
        <v>177059329.13</v>
      </c>
    </row>
    <row r="220" spans="2:11" ht="16.5">
      <c r="B220" s="356" t="s">
        <v>885</v>
      </c>
      <c r="C220" s="357">
        <v>22</v>
      </c>
      <c r="D220" s="358">
        <v>70500</v>
      </c>
      <c r="E220" s="341">
        <v>252265.21</v>
      </c>
    </row>
    <row r="221" spans="2:11" ht="16.5">
      <c r="B221" s="356" t="s">
        <v>886</v>
      </c>
      <c r="C221" s="357">
        <v>23</v>
      </c>
      <c r="D221" s="358">
        <v>0</v>
      </c>
      <c r="E221" s="341">
        <v>233.84</v>
      </c>
    </row>
    <row r="222" spans="2:11" ht="16.5">
      <c r="B222" s="356" t="s">
        <v>869</v>
      </c>
      <c r="C222" s="357">
        <v>24</v>
      </c>
      <c r="D222" s="358">
        <v>51655671.840000004</v>
      </c>
      <c r="E222" s="341">
        <v>177311360.5</v>
      </c>
    </row>
    <row r="223" spans="2:11" ht="16.5">
      <c r="B223" s="356" t="s">
        <v>887</v>
      </c>
      <c r="C223" s="357">
        <v>25</v>
      </c>
      <c r="D223" s="358">
        <v>12913917.960000001</v>
      </c>
      <c r="E223" s="341">
        <v>44327840.130000003</v>
      </c>
    </row>
    <row r="224" spans="2:11" ht="16.5">
      <c r="B224" s="356" t="s">
        <v>871</v>
      </c>
      <c r="C224" s="357">
        <v>26</v>
      </c>
      <c r="D224" s="358">
        <v>38741753.880000003</v>
      </c>
      <c r="E224" s="341">
        <v>132983520.37</v>
      </c>
    </row>
    <row r="227" spans="2:13" ht="16.5">
      <c r="B227" s="353" t="s">
        <v>833</v>
      </c>
      <c r="D227" s="334"/>
      <c r="E227" s="335"/>
    </row>
    <row r="228" spans="2:13" ht="16.5">
      <c r="B228" s="353" t="s">
        <v>742</v>
      </c>
    </row>
    <row r="229" spans="2:13" ht="16.5">
      <c r="B229" s="353" t="s">
        <v>828</v>
      </c>
      <c r="D229" s="334"/>
    </row>
    <row r="230" spans="2:13" ht="16.5">
      <c r="B230" s="354" t="s">
        <v>744</v>
      </c>
      <c r="C230" s="354"/>
      <c r="D230" s="355" t="s">
        <v>835</v>
      </c>
      <c r="E230" s="354" t="s">
        <v>836</v>
      </c>
    </row>
    <row r="231" spans="2:13" ht="16.5">
      <c r="B231" s="356" t="s">
        <v>872</v>
      </c>
      <c r="C231" s="357">
        <v>1</v>
      </c>
      <c r="D231" s="358">
        <v>179583690.52000001</v>
      </c>
      <c r="E231" s="341">
        <v>1395951540.78</v>
      </c>
    </row>
    <row r="232" spans="2:13" ht="16.5">
      <c r="B232" s="356" t="s">
        <v>873</v>
      </c>
      <c r="C232" s="357">
        <v>2</v>
      </c>
      <c r="D232" s="358">
        <v>179583690.52000001</v>
      </c>
      <c r="E232" s="341">
        <v>1395951540.78</v>
      </c>
    </row>
    <row r="233" spans="2:13" ht="16.5">
      <c r="B233" s="356" t="s">
        <v>844</v>
      </c>
      <c r="C233" s="357">
        <v>3</v>
      </c>
      <c r="D233" s="358">
        <v>179583690.52000001</v>
      </c>
      <c r="E233" s="341">
        <v>1395951540.78</v>
      </c>
    </row>
    <row r="234" spans="2:13" ht="16.5">
      <c r="B234" s="356" t="s">
        <v>874</v>
      </c>
      <c r="C234" s="357">
        <v>4</v>
      </c>
      <c r="D234" s="358">
        <v>0</v>
      </c>
      <c r="E234" s="341">
        <v>0</v>
      </c>
      <c r="I234" s="61"/>
      <c r="J234" s="61" t="s">
        <v>68</v>
      </c>
      <c r="K234" s="61" t="s">
        <v>840</v>
      </c>
      <c r="L234" s="61" t="s">
        <v>841</v>
      </c>
      <c r="M234" s="61" t="s">
        <v>842</v>
      </c>
    </row>
    <row r="235" spans="2:13" ht="16.5">
      <c r="B235" s="356" t="s">
        <v>846</v>
      </c>
      <c r="C235" s="357">
        <v>5</v>
      </c>
      <c r="D235" s="358">
        <v>121487028.53</v>
      </c>
      <c r="E235" s="341">
        <f>E236+E239+E240+E241+E242+E243+E246+E247+E248+E249+E250</f>
        <v>1160849177.25</v>
      </c>
      <c r="I235" s="343">
        <v>0.13</v>
      </c>
      <c r="J235" s="105">
        <f t="shared" ref="J235:K237" si="12">O243-L235</f>
        <v>34789569.909999996</v>
      </c>
      <c r="K235" s="344">
        <f t="shared" si="12"/>
        <v>4522644.04</v>
      </c>
      <c r="L235" s="62">
        <v>136445343.16999999</v>
      </c>
      <c r="M235" s="62">
        <v>17737894.609999999</v>
      </c>
    </row>
    <row r="236" spans="2:13" ht="16.5">
      <c r="B236" s="356" t="s">
        <v>875</v>
      </c>
      <c r="C236" s="357">
        <v>6</v>
      </c>
      <c r="D236" s="358">
        <v>112463057.42</v>
      </c>
      <c r="E236" s="341">
        <v>1137463842.6500001</v>
      </c>
      <c r="I236" s="343">
        <v>0.09</v>
      </c>
      <c r="J236" s="105">
        <f t="shared" si="12"/>
        <v>120141692.84</v>
      </c>
      <c r="K236" s="344">
        <f t="shared" si="12"/>
        <v>10812752.369999999</v>
      </c>
      <c r="L236" s="62">
        <v>866835.23</v>
      </c>
      <c r="M236" s="62">
        <v>78015.149999999994</v>
      </c>
    </row>
    <row r="237" spans="2:13" ht="16.5">
      <c r="B237" s="356" t="s">
        <v>876</v>
      </c>
      <c r="C237" s="357">
        <v>7</v>
      </c>
      <c r="D237" s="358">
        <v>112463057.42</v>
      </c>
      <c r="E237" s="341">
        <v>1137463842.6500001</v>
      </c>
      <c r="I237" s="343">
        <v>0.06</v>
      </c>
      <c r="J237" s="105">
        <f t="shared" si="12"/>
        <v>19814633.420000002</v>
      </c>
      <c r="K237" s="344">
        <f t="shared" si="12"/>
        <v>1188878.02</v>
      </c>
      <c r="L237" s="62">
        <v>2855156.33</v>
      </c>
      <c r="M237" s="62">
        <v>171309.36</v>
      </c>
    </row>
    <row r="238" spans="2:13" ht="16.5">
      <c r="B238" s="356" t="s">
        <v>877</v>
      </c>
      <c r="C238" s="357">
        <v>8</v>
      </c>
      <c r="D238" s="358">
        <v>0</v>
      </c>
      <c r="E238" s="341">
        <v>0</v>
      </c>
      <c r="I238" s="61" t="s">
        <v>858</v>
      </c>
      <c r="J238" s="346">
        <f>SUM(J235:J237)</f>
        <v>174745896.16999999</v>
      </c>
      <c r="K238" s="346">
        <f>SUM(K235:K237)</f>
        <v>16524274.43</v>
      </c>
      <c r="L238" s="346">
        <f>SUM(L235:L237)</f>
        <v>140167334.72999999</v>
      </c>
      <c r="M238" s="346">
        <f>SUM(M235:M237)</f>
        <v>17987219.120000001</v>
      </c>
    </row>
    <row r="239" spans="2:13" ht="16.5">
      <c r="B239" s="356" t="s">
        <v>878</v>
      </c>
      <c r="C239" s="357">
        <v>9</v>
      </c>
      <c r="D239" s="358">
        <v>102756.560000001</v>
      </c>
      <c r="E239" s="341">
        <v>11105909</v>
      </c>
    </row>
    <row r="240" spans="2:13" ht="16.5">
      <c r="B240" s="356" t="s">
        <v>879</v>
      </c>
      <c r="C240" s="357">
        <v>10</v>
      </c>
      <c r="D240" s="358">
        <v>0</v>
      </c>
      <c r="E240" s="341">
        <v>0</v>
      </c>
    </row>
    <row r="241" spans="2:16" ht="16.5">
      <c r="B241" s="356" t="s">
        <v>880</v>
      </c>
      <c r="C241" s="357">
        <v>11</v>
      </c>
      <c r="D241" s="358">
        <v>9035014.0299999993</v>
      </c>
      <c r="E241" s="341">
        <v>17322656.129999999</v>
      </c>
      <c r="K241" s="347">
        <f>L238+J238</f>
        <v>314913230.89999998</v>
      </c>
    </row>
    <row r="242" spans="2:16" ht="16.5">
      <c r="B242" s="356" t="s">
        <v>881</v>
      </c>
      <c r="C242" s="357">
        <v>12</v>
      </c>
      <c r="D242" s="358">
        <v>0</v>
      </c>
      <c r="E242" s="341">
        <v>0</v>
      </c>
      <c r="J242" t="s">
        <v>888</v>
      </c>
      <c r="K242" t="s">
        <v>889</v>
      </c>
      <c r="L242" s="360" t="s">
        <v>890</v>
      </c>
      <c r="M242" s="360" t="s">
        <v>891</v>
      </c>
      <c r="N242" s="360" t="s">
        <v>892</v>
      </c>
      <c r="O242" t="s">
        <v>893</v>
      </c>
      <c r="P242" t="s">
        <v>894</v>
      </c>
    </row>
    <row r="243" spans="2:16" ht="16.5">
      <c r="B243" s="356" t="s">
        <v>859</v>
      </c>
      <c r="C243" s="357">
        <v>13</v>
      </c>
      <c r="D243" s="358">
        <v>-113799.48</v>
      </c>
      <c r="E243" s="341">
        <v>-5043230.53</v>
      </c>
      <c r="I243" s="343">
        <v>0.13</v>
      </c>
      <c r="J243" s="348">
        <v>36101207.07</v>
      </c>
      <c r="K243" s="348">
        <v>4728543.08</v>
      </c>
      <c r="L243" s="360">
        <v>134861504.43000001</v>
      </c>
      <c r="M243" s="360">
        <v>17531995.57</v>
      </c>
      <c r="N243" s="360">
        <v>272201.58</v>
      </c>
      <c r="O243">
        <f>J243+L243+N243</f>
        <v>171234913.08000001</v>
      </c>
      <c r="P243">
        <f>K243+M243</f>
        <v>22260538.649999999</v>
      </c>
    </row>
    <row r="244" spans="2:16" ht="16.5">
      <c r="B244" s="356" t="s">
        <v>4</v>
      </c>
      <c r="C244" s="357">
        <v>14</v>
      </c>
      <c r="D244" s="358">
        <v>0</v>
      </c>
      <c r="E244" s="341">
        <v>53627.59</v>
      </c>
      <c r="I244" s="343">
        <v>0.09</v>
      </c>
      <c r="J244" s="348">
        <v>120876318.43000001</v>
      </c>
      <c r="K244" s="348">
        <v>10890767.52</v>
      </c>
      <c r="L244" s="360"/>
      <c r="M244" s="360"/>
      <c r="N244" s="360">
        <v>132209.64000000001</v>
      </c>
      <c r="O244">
        <f>J244+L244+N244</f>
        <v>121008528.06999999</v>
      </c>
      <c r="P244">
        <f>K244+M244</f>
        <v>10890767.52</v>
      </c>
    </row>
    <row r="245" spans="2:16" ht="16.5">
      <c r="B245" s="356" t="s">
        <v>860</v>
      </c>
      <c r="C245" s="357">
        <v>15</v>
      </c>
      <c r="D245" s="358">
        <v>0</v>
      </c>
      <c r="E245" s="341">
        <v>0</v>
      </c>
      <c r="I245" s="343">
        <v>0.06</v>
      </c>
      <c r="J245" s="348">
        <v>22606165.02</v>
      </c>
      <c r="K245" s="348">
        <v>1360187.38</v>
      </c>
      <c r="L245" s="360"/>
      <c r="M245" s="360"/>
      <c r="N245" s="360">
        <v>63624.73</v>
      </c>
      <c r="O245">
        <f>J245+L245+N245</f>
        <v>22669789.75</v>
      </c>
      <c r="P245">
        <f>K245+M245</f>
        <v>1360187.38</v>
      </c>
    </row>
    <row r="246" spans="2:16" ht="16.5">
      <c r="B246" s="356" t="s">
        <v>861</v>
      </c>
      <c r="C246" s="357">
        <v>16</v>
      </c>
      <c r="D246" s="358">
        <v>0</v>
      </c>
      <c r="E246" s="341">
        <v>0</v>
      </c>
      <c r="L246" s="360"/>
      <c r="M246" s="360"/>
      <c r="N246" s="360"/>
    </row>
    <row r="247" spans="2:16" ht="16.5">
      <c r="B247" s="356" t="s">
        <v>882</v>
      </c>
      <c r="C247" s="357">
        <v>17</v>
      </c>
      <c r="D247" s="358">
        <v>0</v>
      </c>
      <c r="E247" s="341">
        <v>0</v>
      </c>
      <c r="I247" t="s">
        <v>858</v>
      </c>
      <c r="J247" s="348">
        <f>J243+J244+J245</f>
        <v>179583690.52000001</v>
      </c>
      <c r="K247" s="348">
        <f>K243+K244+K245</f>
        <v>16979497.98</v>
      </c>
      <c r="L247" s="360">
        <f>SUM(L243:L245)</f>
        <v>134861504.43000001</v>
      </c>
      <c r="M247" s="360">
        <f>SUM(M243:M245)</f>
        <v>17531995.57</v>
      </c>
      <c r="N247" s="360">
        <f>SUM(N243:N245)</f>
        <v>468035.95</v>
      </c>
      <c r="O247" s="361">
        <f>SUM(O243:O245)</f>
        <v>314913230.89999998</v>
      </c>
      <c r="P247" s="361">
        <f>SUM(P243:P245)</f>
        <v>34511493.549999997</v>
      </c>
    </row>
    <row r="248" spans="2:16" ht="16.5">
      <c r="B248" s="356" t="s">
        <v>883</v>
      </c>
      <c r="C248" s="357">
        <v>18</v>
      </c>
      <c r="D248" s="358">
        <v>0</v>
      </c>
      <c r="E248" s="341">
        <v>0</v>
      </c>
      <c r="L248" s="59"/>
    </row>
    <row r="249" spans="2:16" ht="16.5">
      <c r="B249" s="356" t="s">
        <v>864</v>
      </c>
      <c r="C249" s="357">
        <v>19</v>
      </c>
      <c r="D249" s="358">
        <v>0</v>
      </c>
      <c r="E249" s="341">
        <v>0</v>
      </c>
    </row>
    <row r="250" spans="2:16" ht="16.5">
      <c r="B250" s="356" t="s">
        <v>865</v>
      </c>
      <c r="C250" s="357">
        <v>20</v>
      </c>
      <c r="D250" s="358">
        <v>0</v>
      </c>
      <c r="E250" s="341">
        <v>0</v>
      </c>
      <c r="M250">
        <f>L247+N247</f>
        <v>135329540.38</v>
      </c>
    </row>
    <row r="251" spans="2:16" ht="16.5">
      <c r="B251" s="356" t="s">
        <v>884</v>
      </c>
      <c r="C251" s="357">
        <v>21</v>
      </c>
      <c r="D251" s="358">
        <v>58096661.990000002</v>
      </c>
      <c r="E251" s="341">
        <v>235155991.12</v>
      </c>
    </row>
    <row r="252" spans="2:16" ht="16.5">
      <c r="B252" s="356" t="s">
        <v>885</v>
      </c>
      <c r="C252" s="357">
        <v>22</v>
      </c>
      <c r="D252" s="358">
        <v>156000</v>
      </c>
      <c r="E252" s="341">
        <v>408265.21</v>
      </c>
    </row>
    <row r="253" spans="2:16" ht="16.5">
      <c r="B253" s="356" t="s">
        <v>886</v>
      </c>
      <c r="C253" s="357">
        <v>23</v>
      </c>
      <c r="D253" s="358">
        <v>0</v>
      </c>
      <c r="E253" s="341">
        <v>233.84</v>
      </c>
    </row>
    <row r="254" spans="2:16" ht="16.5">
      <c r="B254" s="356" t="s">
        <v>869</v>
      </c>
      <c r="C254" s="357">
        <v>24</v>
      </c>
      <c r="D254" s="358">
        <v>58252661.990000002</v>
      </c>
      <c r="E254" s="341">
        <v>235564022.49000001</v>
      </c>
    </row>
    <row r="255" spans="2:16" ht="16.5">
      <c r="B255" s="356" t="s">
        <v>887</v>
      </c>
      <c r="C255" s="357">
        <v>25</v>
      </c>
      <c r="D255" s="358">
        <v>14563165.49</v>
      </c>
      <c r="E255" s="341">
        <v>58891005.619999997</v>
      </c>
    </row>
    <row r="256" spans="2:16" ht="16.5">
      <c r="B256" s="356" t="s">
        <v>871</v>
      </c>
      <c r="C256" s="357">
        <v>26</v>
      </c>
      <c r="D256" s="358">
        <v>43689496.5</v>
      </c>
      <c r="E256" s="341">
        <v>176673016.87</v>
      </c>
    </row>
    <row r="259" spans="2:13" ht="16.5">
      <c r="B259" s="353" t="s">
        <v>833</v>
      </c>
      <c r="D259" s="334"/>
      <c r="E259" s="335"/>
    </row>
    <row r="260" spans="2:13" ht="16.5">
      <c r="B260" s="353" t="s">
        <v>742</v>
      </c>
    </row>
    <row r="261" spans="2:13" ht="16.5">
      <c r="B261" s="353" t="s">
        <v>829</v>
      </c>
      <c r="D261" s="334"/>
    </row>
    <row r="262" spans="2:13" ht="16.5">
      <c r="B262" s="354" t="s">
        <v>744</v>
      </c>
      <c r="C262" s="354"/>
      <c r="D262" s="355" t="s">
        <v>835</v>
      </c>
      <c r="E262" s="354" t="s">
        <v>836</v>
      </c>
    </row>
    <row r="263" spans="2:13" ht="16.5">
      <c r="B263" s="356" t="s">
        <v>872</v>
      </c>
      <c r="C263" s="357">
        <v>1</v>
      </c>
      <c r="D263" s="358">
        <v>174426163.13999999</v>
      </c>
      <c r="E263" s="341">
        <v>1570377703.9200001</v>
      </c>
    </row>
    <row r="264" spans="2:13" ht="16.5">
      <c r="B264" s="356" t="s">
        <v>873</v>
      </c>
      <c r="C264" s="357">
        <v>2</v>
      </c>
      <c r="D264" s="358">
        <v>174426163.13999999</v>
      </c>
      <c r="E264" s="341">
        <v>1570377703.9200001</v>
      </c>
    </row>
    <row r="265" spans="2:13" ht="16.5">
      <c r="B265" s="356" t="s">
        <v>844</v>
      </c>
      <c r="C265" s="357">
        <v>3</v>
      </c>
      <c r="D265" s="358">
        <v>174426163.13999999</v>
      </c>
      <c r="E265" s="341">
        <v>1570377703.9200001</v>
      </c>
    </row>
    <row r="266" spans="2:13" ht="16.5">
      <c r="B266" s="356" t="s">
        <v>874</v>
      </c>
      <c r="C266" s="357">
        <v>4</v>
      </c>
      <c r="D266" s="358">
        <v>0</v>
      </c>
      <c r="E266" s="341">
        <v>0</v>
      </c>
    </row>
    <row r="267" spans="2:13" ht="16.5">
      <c r="B267" s="356" t="s">
        <v>846</v>
      </c>
      <c r="C267" s="357">
        <v>5</v>
      </c>
      <c r="D267" s="358">
        <v>179102343.02000001</v>
      </c>
      <c r="E267" s="341">
        <f>E268+E271+E272+E273+E274+E275+E278+E279+E280+E281+E282</f>
        <v>1339951520.27</v>
      </c>
      <c r="I267" s="61"/>
      <c r="J267" s="61" t="s">
        <v>68</v>
      </c>
      <c r="K267" s="61" t="s">
        <v>840</v>
      </c>
      <c r="L267" s="61" t="s">
        <v>841</v>
      </c>
      <c r="M267" s="61" t="s">
        <v>842</v>
      </c>
    </row>
    <row r="268" spans="2:13" ht="16.5">
      <c r="B268" s="356" t="s">
        <v>875</v>
      </c>
      <c r="C268" s="357">
        <v>6</v>
      </c>
      <c r="D268" s="358">
        <v>178421664.63</v>
      </c>
      <c r="E268" s="341">
        <v>1315885507.28</v>
      </c>
      <c r="I268" s="343">
        <v>0.13</v>
      </c>
      <c r="J268" s="105">
        <f>J276-L268</f>
        <v>30613260.57</v>
      </c>
      <c r="K268" s="344">
        <f t="shared" ref="K268:K270" si="13">K276-M268</f>
        <v>3979723.87</v>
      </c>
      <c r="L268" s="62">
        <v>7446608.4299999997</v>
      </c>
      <c r="M268" s="62">
        <v>968059.09</v>
      </c>
    </row>
    <row r="269" spans="2:13" ht="16.5">
      <c r="B269" s="356" t="s">
        <v>876</v>
      </c>
      <c r="C269" s="357">
        <v>7</v>
      </c>
      <c r="D269" s="358">
        <v>178421664.63</v>
      </c>
      <c r="E269" s="341">
        <v>1315885507.28</v>
      </c>
      <c r="I269" s="343">
        <v>0.09</v>
      </c>
      <c r="J269" s="105">
        <f t="shared" ref="J269:J270" si="14">J277-L269</f>
        <v>-104828644.70999999</v>
      </c>
      <c r="K269" s="344">
        <f t="shared" si="13"/>
        <v>-9434578.0199999996</v>
      </c>
      <c r="L269" s="62">
        <v>222542088.90000001</v>
      </c>
      <c r="M269" s="62">
        <v>20028788.010000002</v>
      </c>
    </row>
    <row r="270" spans="2:13" ht="16.5">
      <c r="B270" s="356" t="s">
        <v>877</v>
      </c>
      <c r="C270" s="357">
        <v>8</v>
      </c>
      <c r="D270" s="358">
        <v>0</v>
      </c>
      <c r="E270" s="341">
        <v>0</v>
      </c>
      <c r="I270" s="343">
        <v>0.06</v>
      </c>
      <c r="J270" s="105">
        <f t="shared" si="14"/>
        <v>8842219.5399999991</v>
      </c>
      <c r="K270" s="344">
        <f t="shared" si="13"/>
        <v>530533.19999999995</v>
      </c>
      <c r="L270" s="62">
        <v>9810630.4100000001</v>
      </c>
      <c r="M270" s="62">
        <v>588637.81999999995</v>
      </c>
    </row>
    <row r="271" spans="2:13" ht="16.5">
      <c r="B271" s="356" t="s">
        <v>878</v>
      </c>
      <c r="C271" s="357">
        <v>9</v>
      </c>
      <c r="D271" s="358">
        <v>290080.17</v>
      </c>
      <c r="E271" s="341">
        <v>11395989.17</v>
      </c>
      <c r="I271" s="61"/>
      <c r="J271" s="346">
        <f t="shared" ref="J271:M271" si="15">SUM(J268:J270)</f>
        <v>-65373164.600000001</v>
      </c>
      <c r="K271" s="346">
        <f t="shared" si="15"/>
        <v>-4924320.95</v>
      </c>
      <c r="L271" s="346">
        <f t="shared" si="15"/>
        <v>239799327.74000001</v>
      </c>
      <c r="M271" s="346">
        <f t="shared" si="15"/>
        <v>21585484.920000002</v>
      </c>
    </row>
    <row r="272" spans="2:13" ht="16.5">
      <c r="B272" s="356" t="s">
        <v>879</v>
      </c>
      <c r="C272" s="357">
        <v>10</v>
      </c>
      <c r="D272" s="358">
        <v>0</v>
      </c>
      <c r="E272" s="341">
        <v>0</v>
      </c>
    </row>
    <row r="273" spans="2:11" ht="16.5">
      <c r="B273" s="356" t="s">
        <v>880</v>
      </c>
      <c r="C273" s="357">
        <v>11</v>
      </c>
      <c r="D273" s="358">
        <v>396610.359999999</v>
      </c>
      <c r="E273" s="341">
        <v>17719266.489999998</v>
      </c>
    </row>
    <row r="274" spans="2:11" ht="16.5">
      <c r="B274" s="356" t="s">
        <v>881</v>
      </c>
      <c r="C274" s="357">
        <v>12</v>
      </c>
      <c r="D274" s="358">
        <v>0</v>
      </c>
      <c r="E274" s="341">
        <v>0</v>
      </c>
      <c r="K274" s="347">
        <f>L271+J271</f>
        <v>174426163.13999999</v>
      </c>
    </row>
    <row r="275" spans="2:11" ht="16.5">
      <c r="B275" s="356" t="s">
        <v>859</v>
      </c>
      <c r="C275" s="357">
        <v>13</v>
      </c>
      <c r="D275" s="358">
        <v>-6012.1399999996602</v>
      </c>
      <c r="E275" s="341">
        <v>-5049242.67</v>
      </c>
      <c r="J275" t="s">
        <v>851</v>
      </c>
      <c r="K275" t="s">
        <v>852</v>
      </c>
    </row>
    <row r="276" spans="2:11" ht="16.5">
      <c r="B276" s="356" t="s">
        <v>4</v>
      </c>
      <c r="C276" s="357">
        <v>14</v>
      </c>
      <c r="D276" s="358">
        <v>0</v>
      </c>
      <c r="E276" s="341">
        <v>53627.59</v>
      </c>
      <c r="I276" s="343">
        <v>0.13</v>
      </c>
      <c r="J276" s="348">
        <v>38059869</v>
      </c>
      <c r="K276" s="348">
        <v>4947782.96</v>
      </c>
    </row>
    <row r="277" spans="2:11" ht="16.5">
      <c r="B277" s="356" t="s">
        <v>860</v>
      </c>
      <c r="C277" s="357">
        <v>15</v>
      </c>
      <c r="D277" s="358">
        <v>0</v>
      </c>
      <c r="E277" s="341">
        <v>0</v>
      </c>
      <c r="I277" s="343">
        <v>0.09</v>
      </c>
      <c r="J277" s="348">
        <v>117713444.19</v>
      </c>
      <c r="K277" s="348">
        <v>10594209.99</v>
      </c>
    </row>
    <row r="278" spans="2:11" ht="16.5">
      <c r="B278" s="356" t="s">
        <v>861</v>
      </c>
      <c r="C278" s="357">
        <v>16</v>
      </c>
      <c r="D278" s="358">
        <v>0</v>
      </c>
      <c r="E278" s="341">
        <v>0</v>
      </c>
      <c r="I278" s="343">
        <v>0.06</v>
      </c>
      <c r="J278" s="348">
        <v>18652849.949999999</v>
      </c>
      <c r="K278" s="348">
        <v>1119171.02</v>
      </c>
    </row>
    <row r="279" spans="2:11" ht="16.5">
      <c r="B279" s="356" t="s">
        <v>882</v>
      </c>
      <c r="C279" s="357">
        <v>17</v>
      </c>
      <c r="D279" s="358">
        <v>0</v>
      </c>
      <c r="E279" s="341">
        <v>0</v>
      </c>
    </row>
    <row r="280" spans="2:11" ht="16.5">
      <c r="B280" s="356" t="s">
        <v>883</v>
      </c>
      <c r="C280" s="357">
        <v>18</v>
      </c>
      <c r="D280" s="358">
        <v>0</v>
      </c>
      <c r="E280" s="341">
        <v>0</v>
      </c>
      <c r="I280" t="s">
        <v>858</v>
      </c>
      <c r="J280" s="348">
        <f>J276+J277+J278</f>
        <v>174426163.13999999</v>
      </c>
      <c r="K280" s="348">
        <f>K276+K277+K278</f>
        <v>16661163.970000001</v>
      </c>
    </row>
    <row r="281" spans="2:11" ht="16.5">
      <c r="B281" s="356" t="s">
        <v>864</v>
      </c>
      <c r="C281" s="357">
        <v>19</v>
      </c>
      <c r="D281" s="358">
        <v>0</v>
      </c>
      <c r="E281" s="341">
        <v>0</v>
      </c>
    </row>
    <row r="282" spans="2:11" ht="16.5">
      <c r="B282" s="356" t="s">
        <v>865</v>
      </c>
      <c r="C282" s="357">
        <v>20</v>
      </c>
      <c r="D282" s="358">
        <v>0</v>
      </c>
      <c r="E282" s="341">
        <v>0</v>
      </c>
    </row>
    <row r="283" spans="2:11" ht="16.5">
      <c r="B283" s="356" t="s">
        <v>884</v>
      </c>
      <c r="C283" s="357">
        <v>21</v>
      </c>
      <c r="D283" s="358">
        <v>-4676179.88</v>
      </c>
      <c r="E283" s="341">
        <v>230479811.24000001</v>
      </c>
    </row>
    <row r="284" spans="2:11" ht="16.5">
      <c r="B284" s="356" t="s">
        <v>885</v>
      </c>
      <c r="C284" s="357">
        <v>22</v>
      </c>
      <c r="D284" s="358">
        <v>95000</v>
      </c>
      <c r="E284" s="341">
        <v>503265.21</v>
      </c>
    </row>
    <row r="285" spans="2:11" ht="16.5">
      <c r="B285" s="356" t="s">
        <v>886</v>
      </c>
      <c r="C285" s="357">
        <v>23</v>
      </c>
      <c r="D285" s="358">
        <v>0</v>
      </c>
      <c r="E285" s="341">
        <v>233.84</v>
      </c>
    </row>
    <row r="286" spans="2:11" ht="16.5">
      <c r="B286" s="356" t="s">
        <v>869</v>
      </c>
      <c r="C286" s="357">
        <v>24</v>
      </c>
      <c r="D286" s="358">
        <v>-4581179.88</v>
      </c>
      <c r="E286" s="341">
        <v>230982842.61000001</v>
      </c>
    </row>
    <row r="287" spans="2:11" ht="16.5">
      <c r="B287" s="356" t="s">
        <v>887</v>
      </c>
      <c r="C287" s="357">
        <v>25</v>
      </c>
      <c r="D287" s="358">
        <v>-1145294.97</v>
      </c>
      <c r="E287" s="341">
        <v>57745710.649999999</v>
      </c>
    </row>
    <row r="288" spans="2:11" ht="16.5">
      <c r="B288" s="356" t="s">
        <v>871</v>
      </c>
      <c r="C288" s="357">
        <v>26</v>
      </c>
      <c r="D288" s="358">
        <v>-3435884.91</v>
      </c>
      <c r="E288" s="341">
        <v>173237131.96000001</v>
      </c>
    </row>
    <row r="291" spans="2:13" ht="16.5">
      <c r="B291" s="353" t="s">
        <v>833</v>
      </c>
      <c r="D291" s="334"/>
      <c r="E291" s="335"/>
    </row>
    <row r="292" spans="2:13" ht="16.5">
      <c r="B292" s="353" t="s">
        <v>742</v>
      </c>
    </row>
    <row r="293" spans="2:13" ht="16.5">
      <c r="B293" s="353" t="s">
        <v>830</v>
      </c>
      <c r="D293" s="334"/>
    </row>
    <row r="294" spans="2:13" ht="16.5">
      <c r="B294" s="354" t="s">
        <v>744</v>
      </c>
      <c r="C294" s="354"/>
      <c r="D294" s="355" t="s">
        <v>835</v>
      </c>
      <c r="E294" s="354" t="s">
        <v>836</v>
      </c>
    </row>
    <row r="295" spans="2:13" ht="16.5">
      <c r="B295" s="356" t="s">
        <v>872</v>
      </c>
      <c r="C295" s="357">
        <v>1</v>
      </c>
      <c r="D295" s="358">
        <v>117094624.44</v>
      </c>
      <c r="E295" s="341">
        <v>1687472328.3599999</v>
      </c>
    </row>
    <row r="296" spans="2:13" ht="16.5">
      <c r="B296" s="356" t="s">
        <v>873</v>
      </c>
      <c r="C296" s="357">
        <v>2</v>
      </c>
      <c r="D296" s="358">
        <v>117094624.44</v>
      </c>
      <c r="E296" s="341">
        <v>1687472328.3599999</v>
      </c>
    </row>
    <row r="297" spans="2:13" ht="16.5">
      <c r="B297" s="356" t="s">
        <v>844</v>
      </c>
      <c r="C297" s="357">
        <v>3</v>
      </c>
      <c r="D297" s="358">
        <v>117094624.44</v>
      </c>
      <c r="E297" s="341">
        <v>1687472328.3599999</v>
      </c>
    </row>
    <row r="298" spans="2:13" ht="16.5">
      <c r="B298" s="356" t="s">
        <v>874</v>
      </c>
      <c r="C298" s="357">
        <v>4</v>
      </c>
      <c r="D298" s="358">
        <v>0</v>
      </c>
      <c r="E298" s="341">
        <v>0</v>
      </c>
    </row>
    <row r="299" spans="2:13" ht="16.5">
      <c r="B299" s="356" t="s">
        <v>846</v>
      </c>
      <c r="C299" s="357">
        <v>5</v>
      </c>
      <c r="D299" s="358">
        <v>126350424.38</v>
      </c>
      <c r="E299" s="341">
        <f>E300+E303+E304+E305+E306+E307+E310+E311+E312+E313+E314</f>
        <v>1466301944.6500001</v>
      </c>
    </row>
    <row r="300" spans="2:13" ht="16.5">
      <c r="B300" s="356" t="s">
        <v>875</v>
      </c>
      <c r="C300" s="357">
        <v>6</v>
      </c>
      <c r="D300" s="358">
        <v>121636080.8</v>
      </c>
      <c r="E300" s="341">
        <v>1437521588.0799999</v>
      </c>
      <c r="I300" s="61"/>
      <c r="J300" s="61" t="s">
        <v>68</v>
      </c>
      <c r="K300" s="61" t="s">
        <v>840</v>
      </c>
      <c r="L300" s="61" t="s">
        <v>841</v>
      </c>
      <c r="M300" s="61" t="s">
        <v>842</v>
      </c>
    </row>
    <row r="301" spans="2:13" ht="16.5">
      <c r="B301" s="356" t="s">
        <v>876</v>
      </c>
      <c r="C301" s="357">
        <v>7</v>
      </c>
      <c r="D301" s="358">
        <v>121636080.8</v>
      </c>
      <c r="E301" s="341">
        <v>1437521588.0799999</v>
      </c>
      <c r="I301" s="343">
        <v>0.13</v>
      </c>
      <c r="J301" s="105">
        <f t="shared" ref="J301:K303" si="16">Q309-L301</f>
        <v>5668542.2000000197</v>
      </c>
      <c r="K301" s="344">
        <f t="shared" si="16"/>
        <v>736910.5</v>
      </c>
      <c r="L301" s="62">
        <v>193206785.38999999</v>
      </c>
      <c r="M301" s="62">
        <v>25116882.09</v>
      </c>
    </row>
    <row r="302" spans="2:13" ht="16.5">
      <c r="B302" s="356" t="s">
        <v>877</v>
      </c>
      <c r="C302" s="357">
        <v>8</v>
      </c>
      <c r="D302" s="358">
        <v>0</v>
      </c>
      <c r="E302" s="341">
        <v>0</v>
      </c>
      <c r="I302" s="343">
        <v>0.09</v>
      </c>
      <c r="J302" s="105">
        <f t="shared" si="16"/>
        <v>-27063651.940000001</v>
      </c>
      <c r="K302" s="344">
        <f t="shared" si="16"/>
        <v>-2435728.73</v>
      </c>
      <c r="L302" s="62">
        <v>80723241.310000002</v>
      </c>
      <c r="M302" s="62">
        <v>7265091.7599999998</v>
      </c>
    </row>
    <row r="303" spans="2:13" ht="16.5">
      <c r="B303" s="356" t="s">
        <v>878</v>
      </c>
      <c r="C303" s="357">
        <v>9</v>
      </c>
      <c r="D303" s="358">
        <v>344819.57</v>
      </c>
      <c r="E303" s="341">
        <v>11740808.74</v>
      </c>
      <c r="I303" s="343">
        <v>0.06</v>
      </c>
      <c r="J303" s="105">
        <f t="shared" si="16"/>
        <v>-26693940.390000001</v>
      </c>
      <c r="K303" s="344">
        <f t="shared" si="16"/>
        <v>-1601636.42</v>
      </c>
      <c r="L303" s="62">
        <v>39969021.810000002</v>
      </c>
      <c r="M303" s="62">
        <v>2398141.2799999998</v>
      </c>
    </row>
    <row r="304" spans="2:13" ht="16.5">
      <c r="B304" s="356" t="s">
        <v>879</v>
      </c>
      <c r="C304" s="357">
        <v>10</v>
      </c>
      <c r="D304" s="358">
        <v>0</v>
      </c>
      <c r="E304" s="341">
        <v>0</v>
      </c>
      <c r="I304" s="61"/>
      <c r="J304" s="346">
        <f t="shared" ref="J304:M304" si="17">SUM(J301:J303)</f>
        <v>-48089050.130000003</v>
      </c>
      <c r="K304" s="346">
        <f t="shared" si="17"/>
        <v>-3300454.65</v>
      </c>
      <c r="L304" s="346">
        <f t="shared" si="17"/>
        <v>313899048.50999999</v>
      </c>
      <c r="M304" s="346">
        <f t="shared" si="17"/>
        <v>34780115.130000003</v>
      </c>
    </row>
    <row r="305" spans="2:18" ht="16.5">
      <c r="B305" s="356" t="s">
        <v>880</v>
      </c>
      <c r="C305" s="357">
        <v>11</v>
      </c>
      <c r="D305" s="358">
        <v>4275796.32</v>
      </c>
      <c r="E305" s="341">
        <v>21995062.809999999</v>
      </c>
    </row>
    <row r="306" spans="2:18" ht="16.5">
      <c r="B306" s="356" t="s">
        <v>881</v>
      </c>
      <c r="C306" s="357">
        <v>12</v>
      </c>
      <c r="D306" s="358">
        <v>0</v>
      </c>
      <c r="E306" s="341">
        <v>0</v>
      </c>
    </row>
    <row r="307" spans="2:18" ht="16.5">
      <c r="B307" s="356" t="s">
        <v>859</v>
      </c>
      <c r="C307" s="357">
        <v>13</v>
      </c>
      <c r="D307" s="358">
        <v>93727.689999999493</v>
      </c>
      <c r="E307" s="341">
        <v>-4955514.9800000004</v>
      </c>
      <c r="K307" s="347">
        <f>L304+J304</f>
        <v>265809998.38</v>
      </c>
    </row>
    <row r="308" spans="2:18" ht="16.5">
      <c r="B308" s="356" t="s">
        <v>4</v>
      </c>
      <c r="C308" s="357">
        <v>14</v>
      </c>
      <c r="D308" s="358">
        <v>0</v>
      </c>
      <c r="E308" s="341">
        <v>53627.59</v>
      </c>
      <c r="J308" t="s">
        <v>851</v>
      </c>
      <c r="K308" t="s">
        <v>852</v>
      </c>
      <c r="L308" s="360" t="s">
        <v>895</v>
      </c>
      <c r="M308" s="360" t="s">
        <v>896</v>
      </c>
      <c r="N308" t="s">
        <v>897</v>
      </c>
      <c r="O308" s="360" t="s">
        <v>898</v>
      </c>
      <c r="P308" s="360" t="s">
        <v>899</v>
      </c>
      <c r="Q308" t="s">
        <v>893</v>
      </c>
      <c r="R308" t="s">
        <v>894</v>
      </c>
    </row>
    <row r="309" spans="2:18" ht="16.5">
      <c r="B309" s="356" t="s">
        <v>860</v>
      </c>
      <c r="C309" s="357">
        <v>15</v>
      </c>
      <c r="D309" s="358">
        <v>0</v>
      </c>
      <c r="E309" s="341">
        <v>0</v>
      </c>
      <c r="I309" s="343">
        <v>0.13</v>
      </c>
      <c r="J309" s="348">
        <v>50555057.539999999</v>
      </c>
      <c r="K309" s="348">
        <f>6572157.47+0.03</f>
        <v>6572157.5</v>
      </c>
      <c r="L309" s="348">
        <v>159050800.11000001</v>
      </c>
      <c r="M309" s="348">
        <v>20676604</v>
      </c>
      <c r="O309">
        <v>-10730530.060000001</v>
      </c>
      <c r="P309">
        <v>-1394968.91</v>
      </c>
      <c r="Q309">
        <f>J309+L309+O309</f>
        <v>198875327.59</v>
      </c>
      <c r="R309">
        <f>K309+M309+P309</f>
        <v>25853792.59</v>
      </c>
    </row>
    <row r="310" spans="2:18" ht="16.5">
      <c r="B310" s="356" t="s">
        <v>861</v>
      </c>
      <c r="C310" s="357">
        <v>16</v>
      </c>
      <c r="D310" s="358">
        <v>0</v>
      </c>
      <c r="E310" s="341">
        <v>0</v>
      </c>
      <c r="I310" s="343">
        <v>0.09</v>
      </c>
      <c r="J310" s="348">
        <v>53264485.479999997</v>
      </c>
      <c r="K310" s="348">
        <v>4829363.03</v>
      </c>
      <c r="L310" s="348"/>
      <c r="M310" s="348"/>
      <c r="N310">
        <v>395103.89</v>
      </c>
      <c r="Q310">
        <f>J310+N310</f>
        <v>53659589.369999997</v>
      </c>
      <c r="R310">
        <f>K310</f>
        <v>4829363.03</v>
      </c>
    </row>
    <row r="311" spans="2:18" ht="16.5">
      <c r="B311" s="356" t="s">
        <v>882</v>
      </c>
      <c r="C311" s="357">
        <v>17</v>
      </c>
      <c r="D311" s="358">
        <v>0</v>
      </c>
      <c r="E311" s="341">
        <v>0</v>
      </c>
      <c r="I311" s="343">
        <v>0.06</v>
      </c>
      <c r="J311" s="348">
        <v>13275081.42</v>
      </c>
      <c r="K311" s="348">
        <v>796504.86</v>
      </c>
      <c r="L311" s="348"/>
      <c r="M311" s="348"/>
      <c r="Q311">
        <f>J311</f>
        <v>13275081.42</v>
      </c>
      <c r="R311">
        <f>K311</f>
        <v>796504.86</v>
      </c>
    </row>
    <row r="312" spans="2:18" ht="16.5">
      <c r="B312" s="356" t="s">
        <v>883</v>
      </c>
      <c r="C312" s="357">
        <v>18</v>
      </c>
      <c r="D312" s="358">
        <v>0</v>
      </c>
      <c r="E312" s="341">
        <v>0</v>
      </c>
    </row>
    <row r="313" spans="2:18" ht="16.5">
      <c r="B313" s="356" t="s">
        <v>864</v>
      </c>
      <c r="C313" s="357">
        <v>19</v>
      </c>
      <c r="D313" s="358">
        <v>0</v>
      </c>
      <c r="E313" s="341">
        <v>0</v>
      </c>
      <c r="I313" t="s">
        <v>858</v>
      </c>
      <c r="J313" s="348">
        <f>J309+J310+J311</f>
        <v>117094624.44</v>
      </c>
      <c r="K313" s="348">
        <f>K309+K310+K311</f>
        <v>12198025.390000001</v>
      </c>
      <c r="L313" s="348"/>
      <c r="M313" s="348"/>
      <c r="Q313">
        <f>SUM(Q309:Q311)</f>
        <v>265809998.38</v>
      </c>
      <c r="R313">
        <f>SUM(R309:R311)</f>
        <v>31479660.48</v>
      </c>
    </row>
    <row r="314" spans="2:18" ht="16.5">
      <c r="B314" s="356" t="s">
        <v>865</v>
      </c>
      <c r="C314" s="357">
        <v>20</v>
      </c>
      <c r="D314" s="358">
        <v>0</v>
      </c>
      <c r="E314" s="341">
        <v>0</v>
      </c>
    </row>
    <row r="315" spans="2:18" ht="16.5">
      <c r="B315" s="356" t="s">
        <v>884</v>
      </c>
      <c r="C315" s="357">
        <v>21</v>
      </c>
      <c r="D315" s="358">
        <v>-9255799.9399999995</v>
      </c>
      <c r="E315" s="341">
        <v>221224011.30000001</v>
      </c>
    </row>
    <row r="316" spans="2:18" ht="16.5">
      <c r="B316" s="356" t="s">
        <v>885</v>
      </c>
      <c r="C316" s="357">
        <v>22</v>
      </c>
      <c r="D316" s="358">
        <v>247500</v>
      </c>
      <c r="E316" s="341">
        <v>750765.21</v>
      </c>
    </row>
    <row r="317" spans="2:18" ht="16.5">
      <c r="B317" s="356" t="s">
        <v>886</v>
      </c>
      <c r="C317" s="357">
        <v>23</v>
      </c>
      <c r="D317" s="358">
        <v>0</v>
      </c>
      <c r="E317" s="341">
        <v>233.84</v>
      </c>
    </row>
    <row r="318" spans="2:18" ht="16.5">
      <c r="B318" s="356" t="s">
        <v>869</v>
      </c>
      <c r="C318" s="357">
        <v>24</v>
      </c>
      <c r="D318" s="358">
        <v>-9008299.9400000293</v>
      </c>
      <c r="E318" s="341">
        <v>221974542.66999999</v>
      </c>
    </row>
    <row r="319" spans="2:18" ht="16.5">
      <c r="B319" s="356" t="s">
        <v>887</v>
      </c>
      <c r="C319" s="357">
        <v>25</v>
      </c>
      <c r="D319" s="358">
        <v>0</v>
      </c>
      <c r="E319" s="341">
        <v>57745710.649999999</v>
      </c>
    </row>
    <row r="320" spans="2:18" ht="16.5">
      <c r="B320" s="356" t="s">
        <v>871</v>
      </c>
      <c r="C320" s="357">
        <v>26</v>
      </c>
      <c r="D320" s="358">
        <v>-9008299.9399999995</v>
      </c>
      <c r="E320" s="341">
        <v>164228832.02000001</v>
      </c>
    </row>
    <row r="324" spans="2:13" ht="16.5">
      <c r="B324" s="353" t="s">
        <v>833</v>
      </c>
      <c r="D324" s="334"/>
      <c r="E324" s="335"/>
    </row>
    <row r="325" spans="2:13" ht="16.5">
      <c r="B325" s="353" t="s">
        <v>742</v>
      </c>
    </row>
    <row r="326" spans="2:13" ht="16.5">
      <c r="B326" s="353" t="s">
        <v>831</v>
      </c>
      <c r="D326" s="334"/>
    </row>
    <row r="327" spans="2:13" ht="16.5">
      <c r="B327" s="354" t="s">
        <v>744</v>
      </c>
      <c r="C327" s="354"/>
      <c r="D327" s="355" t="s">
        <v>835</v>
      </c>
      <c r="E327" s="354" t="s">
        <v>836</v>
      </c>
    </row>
    <row r="328" spans="2:13" ht="16.5">
      <c r="B328" s="356" t="s">
        <v>872</v>
      </c>
      <c r="C328" s="357">
        <v>1</v>
      </c>
      <c r="D328" s="358">
        <v>1739318190.04</v>
      </c>
      <c r="E328" s="341">
        <v>3426790518.4000001</v>
      </c>
    </row>
    <row r="329" spans="2:13" ht="16.5">
      <c r="B329" s="356" t="s">
        <v>873</v>
      </c>
      <c r="C329" s="357">
        <v>2</v>
      </c>
      <c r="D329" s="358">
        <v>1739318190.04</v>
      </c>
      <c r="E329" s="341">
        <v>3426790518.4000001</v>
      </c>
    </row>
    <row r="330" spans="2:13" ht="16.5">
      <c r="B330" s="356" t="s">
        <v>844</v>
      </c>
      <c r="C330" s="357">
        <v>3</v>
      </c>
      <c r="D330" s="358">
        <v>1739318190.04</v>
      </c>
      <c r="E330" s="341">
        <v>3426790518.4000001</v>
      </c>
    </row>
    <row r="331" spans="2:13" ht="16.5">
      <c r="B331" s="356" t="s">
        <v>874</v>
      </c>
      <c r="C331" s="357">
        <v>4</v>
      </c>
      <c r="D331" s="358">
        <v>0</v>
      </c>
      <c r="E331" s="341">
        <v>0</v>
      </c>
    </row>
    <row r="332" spans="2:13" ht="16.5">
      <c r="B332" s="356" t="s">
        <v>846</v>
      </c>
      <c r="C332" s="357">
        <v>5</v>
      </c>
      <c r="D332" s="358">
        <v>1726272747.97</v>
      </c>
      <c r="E332" s="341">
        <f>E333+E336+E337+E338+E339+E340+E343+E344+E345+E346+E347</f>
        <v>3192574692.6199999</v>
      </c>
    </row>
    <row r="333" spans="2:13" ht="16.5">
      <c r="B333" s="356" t="s">
        <v>875</v>
      </c>
      <c r="C333" s="357">
        <v>6</v>
      </c>
      <c r="D333" s="358">
        <v>1725783879.72</v>
      </c>
      <c r="E333" s="341">
        <v>3163305467.8000002</v>
      </c>
      <c r="I333" s="61"/>
      <c r="J333" s="61" t="s">
        <v>68</v>
      </c>
      <c r="K333" s="61" t="s">
        <v>840</v>
      </c>
      <c r="L333" s="61" t="s">
        <v>841</v>
      </c>
      <c r="M333" s="61" t="s">
        <v>842</v>
      </c>
    </row>
    <row r="334" spans="2:13" ht="16.5">
      <c r="B334" s="356" t="s">
        <v>876</v>
      </c>
      <c r="C334" s="357">
        <v>7</v>
      </c>
      <c r="D334" s="358">
        <v>1725783879.72</v>
      </c>
      <c r="E334" s="341">
        <v>3163305467.8000002</v>
      </c>
      <c r="I334" s="343">
        <v>0.13</v>
      </c>
      <c r="J334" s="105">
        <f t="shared" ref="J334:J336" si="18">Q342-L334</f>
        <v>317656232.11000001</v>
      </c>
      <c r="K334" s="344">
        <f t="shared" ref="K334:K336" si="19">R342-M334</f>
        <v>41295310.170000002</v>
      </c>
      <c r="L334" s="62">
        <v>1035284160.03</v>
      </c>
      <c r="M334" s="62">
        <v>134586940.78999999</v>
      </c>
    </row>
    <row r="335" spans="2:13" ht="16.5">
      <c r="B335" s="356" t="s">
        <v>877</v>
      </c>
      <c r="C335" s="357">
        <v>8</v>
      </c>
      <c r="D335" s="358">
        <v>0</v>
      </c>
      <c r="E335" s="341">
        <v>0</v>
      </c>
      <c r="I335" s="343">
        <v>0.09</v>
      </c>
      <c r="J335" s="105">
        <f t="shared" si="18"/>
        <v>119472540.89</v>
      </c>
      <c r="K335" s="344">
        <f t="shared" si="19"/>
        <v>10752528.67</v>
      </c>
      <c r="L335" s="62">
        <v>6040022.0799999898</v>
      </c>
      <c r="M335" s="62">
        <v>543602.02</v>
      </c>
    </row>
    <row r="336" spans="2:13" ht="16.5">
      <c r="B336" s="356" t="s">
        <v>878</v>
      </c>
      <c r="C336" s="357">
        <v>9</v>
      </c>
      <c r="D336" s="358">
        <v>0</v>
      </c>
      <c r="E336" s="341">
        <v>11740808.74</v>
      </c>
      <c r="I336" s="343">
        <v>0.06</v>
      </c>
      <c r="J336" s="105">
        <f t="shared" si="18"/>
        <v>5400425.71</v>
      </c>
      <c r="K336" s="344">
        <f t="shared" si="19"/>
        <v>324025.52</v>
      </c>
      <c r="L336" s="62">
        <v>-28112069.149999999</v>
      </c>
      <c r="M336" s="62">
        <v>-1686724.11</v>
      </c>
    </row>
    <row r="337" spans="2:18" ht="16.5">
      <c r="B337" s="356" t="s">
        <v>879</v>
      </c>
      <c r="C337" s="357">
        <v>10</v>
      </c>
      <c r="D337" s="358">
        <v>0</v>
      </c>
      <c r="E337" s="341">
        <v>0</v>
      </c>
      <c r="I337" s="61"/>
      <c r="J337" s="346">
        <f t="shared" ref="J337:M337" si="20">SUM(J334:J336)</f>
        <v>442529198.70999998</v>
      </c>
      <c r="K337" s="346">
        <f t="shared" si="20"/>
        <v>52371864.359999999</v>
      </c>
      <c r="L337" s="346">
        <f t="shared" si="20"/>
        <v>1013212112.96</v>
      </c>
      <c r="M337" s="346">
        <f t="shared" si="20"/>
        <v>133443818.7</v>
      </c>
    </row>
    <row r="338" spans="2:18" ht="16.5">
      <c r="B338" s="356" t="s">
        <v>880</v>
      </c>
      <c r="C338" s="357">
        <v>11</v>
      </c>
      <c r="D338" s="358">
        <v>584599.26000000199</v>
      </c>
      <c r="E338" s="341">
        <v>22579662.07</v>
      </c>
    </row>
    <row r="339" spans="2:18" ht="16.5">
      <c r="B339" s="356" t="s">
        <v>881</v>
      </c>
      <c r="C339" s="357">
        <v>12</v>
      </c>
      <c r="D339" s="358">
        <v>0</v>
      </c>
      <c r="E339" s="341">
        <v>0</v>
      </c>
    </row>
    <row r="340" spans="2:18" ht="16.5">
      <c r="B340" s="356" t="s">
        <v>859</v>
      </c>
      <c r="C340" s="357">
        <v>13</v>
      </c>
      <c r="D340" s="358">
        <v>-95731.009999999806</v>
      </c>
      <c r="E340" s="341">
        <v>-5051245.99</v>
      </c>
      <c r="K340" s="347">
        <f>L337+J337</f>
        <v>1455741311.6700001</v>
      </c>
    </row>
    <row r="341" spans="2:18" ht="16.5">
      <c r="B341" s="356" t="s">
        <v>4</v>
      </c>
      <c r="C341" s="357">
        <v>14</v>
      </c>
      <c r="D341" s="358">
        <v>0</v>
      </c>
      <c r="E341" s="341">
        <v>53627.59</v>
      </c>
      <c r="J341" t="s">
        <v>900</v>
      </c>
      <c r="K341" t="s">
        <v>901</v>
      </c>
      <c r="L341" s="360" t="s">
        <v>902</v>
      </c>
      <c r="M341" s="360" t="s">
        <v>903</v>
      </c>
      <c r="N341" s="360" t="s">
        <v>904</v>
      </c>
      <c r="O341" s="360" t="s">
        <v>898</v>
      </c>
      <c r="P341" s="360" t="s">
        <v>899</v>
      </c>
      <c r="Q341" t="s">
        <v>893</v>
      </c>
      <c r="R341" t="s">
        <v>894</v>
      </c>
    </row>
    <row r="342" spans="2:18" ht="16.5">
      <c r="B342" s="356" t="s">
        <v>860</v>
      </c>
      <c r="C342" s="357">
        <v>15</v>
      </c>
      <c r="D342" s="358">
        <v>0</v>
      </c>
      <c r="E342" s="341">
        <v>0</v>
      </c>
      <c r="I342" s="343">
        <v>0.13</v>
      </c>
      <c r="J342" s="348">
        <v>1636122166.6199999</v>
      </c>
      <c r="K342" s="348">
        <v>212695881.62</v>
      </c>
      <c r="L342" s="348">
        <v>-159050800.11000001</v>
      </c>
      <c r="M342" s="348">
        <v>-20676604</v>
      </c>
      <c r="O342" s="141">
        <v>-124130974.37</v>
      </c>
      <c r="P342">
        <v>-16137026.66</v>
      </c>
      <c r="Q342" s="141">
        <f>J342+L342+O342</f>
        <v>1352940392.1400001</v>
      </c>
      <c r="R342" s="141">
        <f>K342+M342+P342</f>
        <v>175882250.96000001</v>
      </c>
    </row>
    <row r="343" spans="2:18" ht="16.5">
      <c r="B343" s="356" t="s">
        <v>861</v>
      </c>
      <c r="C343" s="357">
        <v>16</v>
      </c>
      <c r="D343" s="358">
        <v>0</v>
      </c>
      <c r="E343" s="341">
        <v>0</v>
      </c>
      <c r="I343" s="343">
        <v>0.09</v>
      </c>
      <c r="J343" s="348">
        <v>125907666.86</v>
      </c>
      <c r="K343" s="348">
        <v>11296130.689999999</v>
      </c>
      <c r="L343" s="348"/>
      <c r="M343" s="348"/>
      <c r="N343">
        <v>-395103.89</v>
      </c>
      <c r="Q343">
        <f>J343+N343</f>
        <v>125512562.97</v>
      </c>
      <c r="R343">
        <f>K343</f>
        <v>11296130.689999999</v>
      </c>
    </row>
    <row r="344" spans="2:18" ht="16.5">
      <c r="B344" s="356" t="s">
        <v>882</v>
      </c>
      <c r="C344" s="357">
        <v>17</v>
      </c>
      <c r="D344" s="358">
        <v>0</v>
      </c>
      <c r="E344" s="341">
        <v>0</v>
      </c>
      <c r="I344" s="343">
        <v>0.06</v>
      </c>
      <c r="J344" s="348">
        <v>-22711643.440000001</v>
      </c>
      <c r="K344" s="348">
        <v>-1362698.59</v>
      </c>
      <c r="L344" s="348"/>
      <c r="M344" s="348"/>
      <c r="Q344">
        <f>J344</f>
        <v>-22711643.440000001</v>
      </c>
      <c r="R344">
        <f>K344</f>
        <v>-1362698.59</v>
      </c>
    </row>
    <row r="345" spans="2:18" ht="16.5">
      <c r="B345" s="356" t="s">
        <v>883</v>
      </c>
      <c r="C345" s="357">
        <v>18</v>
      </c>
      <c r="D345" s="358">
        <v>0</v>
      </c>
      <c r="E345" s="341">
        <v>0</v>
      </c>
    </row>
    <row r="346" spans="2:18" ht="16.5">
      <c r="B346" s="356" t="s">
        <v>864</v>
      </c>
      <c r="C346" s="357">
        <v>19</v>
      </c>
      <c r="D346" s="358">
        <v>0</v>
      </c>
      <c r="E346" s="341">
        <v>0</v>
      </c>
      <c r="I346" t="s">
        <v>858</v>
      </c>
      <c r="J346" s="348">
        <f>J342+J343+J344</f>
        <v>1739318190.04</v>
      </c>
      <c r="K346" s="348">
        <f>K342+K343+K344</f>
        <v>222629313.72</v>
      </c>
      <c r="L346" s="348"/>
      <c r="M346" s="348"/>
      <c r="Q346">
        <f>SUM(Q342:Q344)</f>
        <v>1455741311.6700001</v>
      </c>
      <c r="R346">
        <f>SUM(R342:R344)</f>
        <v>185815683.06</v>
      </c>
    </row>
    <row r="347" spans="2:18" ht="16.5">
      <c r="B347" s="356" t="s">
        <v>865</v>
      </c>
      <c r="C347" s="357">
        <v>20</v>
      </c>
      <c r="D347" s="358">
        <v>0</v>
      </c>
      <c r="E347" s="341">
        <v>0</v>
      </c>
    </row>
    <row r="348" spans="2:18" ht="16.5">
      <c r="B348" s="356" t="s">
        <v>884</v>
      </c>
      <c r="C348" s="357">
        <v>21</v>
      </c>
      <c r="D348" s="358">
        <v>13045442.07</v>
      </c>
      <c r="E348" s="341">
        <v>234269453.37</v>
      </c>
    </row>
    <row r="349" spans="2:18" ht="16.5">
      <c r="B349" s="356" t="s">
        <v>885</v>
      </c>
      <c r="C349" s="357">
        <v>22</v>
      </c>
      <c r="D349" s="358">
        <v>324850</v>
      </c>
      <c r="E349" s="341">
        <v>1075615.21</v>
      </c>
    </row>
    <row r="350" spans="2:18" ht="16.5">
      <c r="B350" s="356" t="s">
        <v>886</v>
      </c>
      <c r="C350" s="357">
        <v>23</v>
      </c>
      <c r="D350" s="358">
        <v>0</v>
      </c>
      <c r="E350" s="341">
        <v>233.84</v>
      </c>
    </row>
    <row r="351" spans="2:18" ht="16.5">
      <c r="B351" s="356" t="s">
        <v>869</v>
      </c>
      <c r="C351" s="357">
        <v>24</v>
      </c>
      <c r="D351" s="358">
        <v>13370292.07</v>
      </c>
      <c r="E351" s="341">
        <v>235344834.74000001</v>
      </c>
    </row>
    <row r="352" spans="2:18" ht="16.5">
      <c r="B352" s="356" t="s">
        <v>887</v>
      </c>
      <c r="C352" s="357">
        <v>25</v>
      </c>
      <c r="D352" s="358">
        <v>1090498.04</v>
      </c>
      <c r="E352" s="341">
        <v>58836208.689999998</v>
      </c>
    </row>
    <row r="353" spans="2:13" ht="16.5">
      <c r="B353" s="356" t="s">
        <v>871</v>
      </c>
      <c r="C353" s="357">
        <v>26</v>
      </c>
      <c r="D353" s="358">
        <v>12279794.029999999</v>
      </c>
      <c r="E353" s="341">
        <v>176508626.05000001</v>
      </c>
    </row>
    <row r="356" spans="2:13" ht="16.5">
      <c r="B356" s="353" t="s">
        <v>833</v>
      </c>
      <c r="D356" s="334"/>
      <c r="E356" s="335"/>
    </row>
    <row r="357" spans="2:13" ht="16.5">
      <c r="B357" s="353" t="s">
        <v>742</v>
      </c>
    </row>
    <row r="358" spans="2:13" ht="16.5">
      <c r="B358" s="353" t="s">
        <v>832</v>
      </c>
      <c r="D358" s="334"/>
    </row>
    <row r="359" spans="2:13" ht="16.5">
      <c r="B359" s="354" t="s">
        <v>744</v>
      </c>
      <c r="C359" s="354"/>
      <c r="D359" s="355" t="s">
        <v>835</v>
      </c>
      <c r="E359" s="354" t="s">
        <v>836</v>
      </c>
    </row>
    <row r="360" spans="2:13" ht="16.5">
      <c r="B360" s="356" t="s">
        <v>872</v>
      </c>
      <c r="C360" s="357">
        <v>1</v>
      </c>
      <c r="D360" s="358">
        <v>3914722849.3400002</v>
      </c>
      <c r="E360" s="341">
        <v>7341513367.7399998</v>
      </c>
    </row>
    <row r="361" spans="2:13" ht="16.5">
      <c r="B361" s="356" t="s">
        <v>873</v>
      </c>
      <c r="C361" s="357">
        <v>2</v>
      </c>
      <c r="D361" s="358">
        <v>3914722849.3400002</v>
      </c>
      <c r="E361" s="341">
        <v>7341513367.7399998</v>
      </c>
    </row>
    <row r="362" spans="2:13" ht="16.5">
      <c r="B362" s="356" t="s">
        <v>844</v>
      </c>
      <c r="C362" s="357">
        <v>3</v>
      </c>
      <c r="D362" s="358">
        <v>3914722849.3400002</v>
      </c>
      <c r="E362" s="341">
        <v>7341513367.7399998</v>
      </c>
    </row>
    <row r="363" spans="2:13" ht="16.5">
      <c r="B363" s="356" t="s">
        <v>874</v>
      </c>
      <c r="C363" s="357">
        <v>4</v>
      </c>
      <c r="D363" s="358">
        <v>0</v>
      </c>
      <c r="E363" s="341">
        <v>0</v>
      </c>
    </row>
    <row r="364" spans="2:13" ht="16.5">
      <c r="B364" s="356" t="s">
        <v>846</v>
      </c>
      <c r="C364" s="357">
        <v>5</v>
      </c>
      <c r="D364" s="358">
        <v>3607884196.9000001</v>
      </c>
      <c r="E364" s="341">
        <f>E365+E368+E369+E370+E371+E372+E375+E376+E377+E378+E379</f>
        <v>6800458889.5200005</v>
      </c>
    </row>
    <row r="365" spans="2:13" ht="16.5">
      <c r="B365" s="356" t="s">
        <v>875</v>
      </c>
      <c r="C365" s="357">
        <v>6</v>
      </c>
      <c r="D365" s="358">
        <v>3608390241.3200002</v>
      </c>
      <c r="E365" s="341">
        <v>6771695709.1199999</v>
      </c>
      <c r="I365" s="61"/>
      <c r="J365" s="61" t="s">
        <v>68</v>
      </c>
      <c r="K365" s="61" t="s">
        <v>840</v>
      </c>
      <c r="L365" s="61" t="s">
        <v>841</v>
      </c>
      <c r="M365" s="61" t="s">
        <v>842</v>
      </c>
    </row>
    <row r="366" spans="2:13" ht="16.5">
      <c r="B366" s="356" t="s">
        <v>876</v>
      </c>
      <c r="C366" s="357">
        <v>7</v>
      </c>
      <c r="D366" s="358">
        <v>3608390241.3200002</v>
      </c>
      <c r="E366" s="341">
        <v>6771695709.1199999</v>
      </c>
      <c r="I366" s="343">
        <v>0.13</v>
      </c>
      <c r="J366" s="105">
        <f t="shared" ref="J366:J368" si="21">Q374-L366</f>
        <v>2091759362.98437</v>
      </c>
      <c r="K366" s="344">
        <f>R374-M366</f>
        <v>272305004.03725702</v>
      </c>
      <c r="L366" s="62">
        <v>854194844.01999998</v>
      </c>
      <c r="M366" s="62">
        <v>111045329.72</v>
      </c>
    </row>
    <row r="367" spans="2:13" ht="16.5">
      <c r="B367" s="356" t="s">
        <v>877</v>
      </c>
      <c r="C367" s="357">
        <v>8</v>
      </c>
      <c r="D367" s="358">
        <v>0</v>
      </c>
      <c r="E367" s="341">
        <v>0</v>
      </c>
      <c r="I367" s="343">
        <v>0.09</v>
      </c>
      <c r="J367" s="105">
        <f t="shared" si="21"/>
        <v>569791267.49000001</v>
      </c>
      <c r="K367" s="344">
        <f t="shared" ref="K367:K368" si="22">R375-M367</f>
        <v>51281214.060000002</v>
      </c>
      <c r="L367" s="62">
        <v>220186683.55000001</v>
      </c>
      <c r="M367" s="62">
        <v>19816801.550000001</v>
      </c>
    </row>
    <row r="368" spans="2:13" ht="16.5">
      <c r="B368" s="356" t="s">
        <v>878</v>
      </c>
      <c r="C368" s="357">
        <v>9</v>
      </c>
      <c r="D368" s="358">
        <v>152892.84</v>
      </c>
      <c r="E368" s="341">
        <v>11893701.58</v>
      </c>
      <c r="I368" s="343">
        <v>0.06</v>
      </c>
      <c r="J368" s="105">
        <f t="shared" si="21"/>
        <v>158525189.66620299</v>
      </c>
      <c r="K368" s="344">
        <f t="shared" si="22"/>
        <v>18944260.460000001</v>
      </c>
      <c r="L368" s="62">
        <v>20265501.629999999</v>
      </c>
      <c r="M368" s="62">
        <v>1215930.1200000001</v>
      </c>
    </row>
    <row r="369" spans="2:18" ht="16.5">
      <c r="B369" s="356" t="s">
        <v>879</v>
      </c>
      <c r="C369" s="357">
        <v>10</v>
      </c>
      <c r="D369" s="358">
        <v>0</v>
      </c>
      <c r="E369" s="341">
        <v>0</v>
      </c>
      <c r="I369" s="61"/>
      <c r="J369" s="346">
        <f t="shared" ref="J369:M369" si="23">SUM(J366:J368)</f>
        <v>2820075820.1405702</v>
      </c>
      <c r="K369" s="346">
        <f t="shared" si="23"/>
        <v>342530478.557257</v>
      </c>
      <c r="L369" s="346">
        <f t="shared" si="23"/>
        <v>1094647029.2</v>
      </c>
      <c r="M369" s="346">
        <f t="shared" si="23"/>
        <v>132078061.39</v>
      </c>
    </row>
    <row r="370" spans="2:18" ht="16.5">
      <c r="B370" s="356" t="s">
        <v>880</v>
      </c>
      <c r="C370" s="357">
        <v>11</v>
      </c>
      <c r="D370" s="358">
        <v>-648018.66</v>
      </c>
      <c r="E370" s="341">
        <v>21931643.41</v>
      </c>
    </row>
    <row r="371" spans="2:18" ht="16.5">
      <c r="B371" s="356" t="s">
        <v>881</v>
      </c>
      <c r="C371" s="357">
        <v>12</v>
      </c>
      <c r="D371" s="358">
        <v>0</v>
      </c>
      <c r="E371" s="341">
        <v>0</v>
      </c>
    </row>
    <row r="372" spans="2:18" ht="16.5">
      <c r="B372" s="356" t="s">
        <v>859</v>
      </c>
      <c r="C372" s="357">
        <v>13</v>
      </c>
      <c r="D372" s="358">
        <v>-10918.5999999996</v>
      </c>
      <c r="E372" s="341">
        <v>-5062164.59</v>
      </c>
      <c r="K372" s="347">
        <f>L369+J369</f>
        <v>3914722849.34057</v>
      </c>
    </row>
    <row r="373" spans="2:18" ht="16.5">
      <c r="B373" s="356" t="s">
        <v>4</v>
      </c>
      <c r="C373" s="357">
        <v>14</v>
      </c>
      <c r="D373" s="358">
        <v>0</v>
      </c>
      <c r="E373" s="341">
        <v>53627.59</v>
      </c>
      <c r="J373" t="s">
        <v>900</v>
      </c>
      <c r="K373" t="s">
        <v>901</v>
      </c>
      <c r="L373" s="360" t="s">
        <v>902</v>
      </c>
      <c r="M373" s="360" t="s">
        <v>903</v>
      </c>
      <c r="N373" s="360" t="s">
        <v>904</v>
      </c>
      <c r="O373" s="360" t="s">
        <v>898</v>
      </c>
      <c r="P373" s="360" t="s">
        <v>899</v>
      </c>
      <c r="Q373" t="s">
        <v>893</v>
      </c>
      <c r="R373" t="s">
        <v>894</v>
      </c>
    </row>
    <row r="374" spans="2:18" ht="16.5">
      <c r="B374" s="356" t="s">
        <v>860</v>
      </c>
      <c r="C374" s="357">
        <v>15</v>
      </c>
      <c r="D374" s="358">
        <v>0</v>
      </c>
      <c r="E374" s="341">
        <v>0</v>
      </c>
      <c r="I374" s="343">
        <v>0.13</v>
      </c>
      <c r="J374" s="348">
        <v>2945954207.0043702</v>
      </c>
      <c r="K374" s="348">
        <v>383350333.75725698</v>
      </c>
      <c r="L374" s="348"/>
      <c r="M374" s="348"/>
      <c r="O374" s="141"/>
      <c r="Q374" s="141">
        <f>J374+L374+O374</f>
        <v>2945954207.0043702</v>
      </c>
      <c r="R374" s="141">
        <f>K374+M374+P374</f>
        <v>383350333.75725698</v>
      </c>
    </row>
    <row r="375" spans="2:18" ht="16.5">
      <c r="B375" s="356" t="s">
        <v>861</v>
      </c>
      <c r="C375" s="357">
        <v>16</v>
      </c>
      <c r="D375" s="358">
        <v>0</v>
      </c>
      <c r="E375" s="341">
        <v>0</v>
      </c>
      <c r="I375" s="343">
        <v>0.09</v>
      </c>
      <c r="J375" s="348">
        <v>789977951.03999996</v>
      </c>
      <c r="K375" s="348">
        <v>71098015.609999999</v>
      </c>
      <c r="L375" s="348"/>
      <c r="M375" s="348"/>
      <c r="Q375">
        <f>J375+N375</f>
        <v>789977951.03999996</v>
      </c>
      <c r="R375">
        <f>K375</f>
        <v>71098015.609999999</v>
      </c>
    </row>
    <row r="376" spans="2:18" ht="16.5">
      <c r="B376" s="356" t="s">
        <v>882</v>
      </c>
      <c r="C376" s="357">
        <v>17</v>
      </c>
      <c r="D376" s="358">
        <v>0</v>
      </c>
      <c r="E376" s="341">
        <v>0</v>
      </c>
      <c r="I376" s="343">
        <v>0.06</v>
      </c>
      <c r="J376" s="348">
        <v>178790691.29620299</v>
      </c>
      <c r="K376" s="348">
        <v>20160190.579999998</v>
      </c>
      <c r="L376" s="348"/>
      <c r="M376" s="348"/>
      <c r="Q376">
        <f>J376</f>
        <v>178790691.29620299</v>
      </c>
      <c r="R376">
        <f>K376</f>
        <v>20160190.579999998</v>
      </c>
    </row>
    <row r="377" spans="2:18" ht="16.5">
      <c r="B377" s="356" t="s">
        <v>883</v>
      </c>
      <c r="C377" s="357">
        <v>18</v>
      </c>
      <c r="D377" s="358">
        <v>0</v>
      </c>
      <c r="E377" s="341">
        <v>0</v>
      </c>
    </row>
    <row r="378" spans="2:18" ht="16.5">
      <c r="B378" s="356" t="s">
        <v>864</v>
      </c>
      <c r="C378" s="357">
        <v>19</v>
      </c>
      <c r="D378" s="358">
        <v>0</v>
      </c>
      <c r="E378" s="341">
        <v>0</v>
      </c>
      <c r="I378" t="s">
        <v>858</v>
      </c>
      <c r="J378" s="348">
        <f>J374+J375+J376</f>
        <v>3914722849.34057</v>
      </c>
      <c r="K378" s="348">
        <f>K374+K375+K376</f>
        <v>474608539.94725698</v>
      </c>
      <c r="L378" s="348"/>
      <c r="M378" s="348"/>
      <c r="Q378">
        <f>SUM(Q374:Q376)</f>
        <v>3914722849.34057</v>
      </c>
      <c r="R378">
        <f>SUM(R374:R376)</f>
        <v>474608539.94725698</v>
      </c>
    </row>
    <row r="379" spans="2:18" ht="16.5">
      <c r="B379" s="356" t="s">
        <v>865</v>
      </c>
      <c r="C379" s="357">
        <v>20</v>
      </c>
      <c r="D379" s="358">
        <v>0</v>
      </c>
      <c r="E379" s="341">
        <v>0</v>
      </c>
    </row>
    <row r="380" spans="2:18" ht="16.5">
      <c r="B380" s="356" t="s">
        <v>884</v>
      </c>
      <c r="C380" s="357">
        <v>21</v>
      </c>
      <c r="D380" s="358">
        <v>306838652.44</v>
      </c>
      <c r="E380" s="341">
        <v>541108105.80999994</v>
      </c>
    </row>
    <row r="381" spans="2:18" ht="16.5">
      <c r="B381" s="356" t="s">
        <v>885</v>
      </c>
      <c r="C381" s="357">
        <v>22</v>
      </c>
      <c r="D381" s="358">
        <v>401004.92</v>
      </c>
      <c r="E381" s="341">
        <v>1476620.13</v>
      </c>
    </row>
    <row r="382" spans="2:18" ht="16.5">
      <c r="B382" s="356" t="s">
        <v>886</v>
      </c>
      <c r="C382" s="357">
        <v>23</v>
      </c>
      <c r="D382" s="358">
        <v>50</v>
      </c>
      <c r="E382" s="341">
        <v>283.83999999999997</v>
      </c>
    </row>
    <row r="383" spans="2:18" ht="16.5">
      <c r="B383" s="356" t="s">
        <v>869</v>
      </c>
      <c r="C383" s="357">
        <v>24</v>
      </c>
      <c r="D383" s="358">
        <v>307239607.36000001</v>
      </c>
      <c r="E383" s="341">
        <v>542584442.10000002</v>
      </c>
    </row>
    <row r="384" spans="2:18" ht="16.5">
      <c r="B384" s="356" t="s">
        <v>887</v>
      </c>
      <c r="C384" s="357">
        <v>25</v>
      </c>
      <c r="D384" s="358">
        <v>76809901.840000004</v>
      </c>
      <c r="E384" s="341">
        <v>135646110.53</v>
      </c>
    </row>
    <row r="385" spans="2:5" ht="16.5">
      <c r="B385" s="356" t="s">
        <v>871</v>
      </c>
      <c r="C385" s="357">
        <v>26</v>
      </c>
      <c r="D385" s="358">
        <v>230429705.52000001</v>
      </c>
      <c r="E385" s="341">
        <v>406938331.56999999</v>
      </c>
    </row>
  </sheetData>
  <phoneticPr fontId="85" type="noConversion"/>
  <pageMargins left="0.7" right="0.7" top="0.75" bottom="0.75" header="0.3" footer="0.3"/>
  <pageSetup paperSize="9" scale="96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C42" sqref="C42"/>
    </sheetView>
  </sheetViews>
  <sheetFormatPr defaultColWidth="9" defaultRowHeight="14.25"/>
  <cols>
    <col min="1" max="1" width="29.125" style="311" customWidth="1"/>
    <col min="2" max="2" width="23.625" style="311" customWidth="1"/>
    <col min="3" max="3" width="11.625" style="311" customWidth="1"/>
    <col min="4" max="4" width="4.25" style="311" customWidth="1"/>
    <col min="5" max="5" width="17.625" style="311" customWidth="1"/>
    <col min="6" max="16384" width="9" style="311"/>
  </cols>
  <sheetData>
    <row r="1" spans="1:5" ht="18" customHeight="1">
      <c r="A1" s="724" t="s">
        <v>905</v>
      </c>
      <c r="B1" s="725"/>
      <c r="C1" s="725"/>
      <c r="D1" s="725"/>
      <c r="E1" s="725"/>
    </row>
    <row r="2" spans="1:5" ht="10.5" customHeight="1">
      <c r="A2" s="726" t="s">
        <v>906</v>
      </c>
      <c r="B2" s="725"/>
      <c r="C2" s="725"/>
      <c r="D2" s="725"/>
      <c r="E2" s="725"/>
    </row>
    <row r="3" spans="1:5" ht="14.85" customHeight="1">
      <c r="A3" s="312" t="s">
        <v>907</v>
      </c>
      <c r="B3" s="313"/>
      <c r="C3" s="314" t="s">
        <v>908</v>
      </c>
      <c r="D3" s="313"/>
      <c r="E3" s="315" t="s">
        <v>909</v>
      </c>
    </row>
    <row r="4" spans="1:5" ht="14.25" customHeight="1">
      <c r="A4" s="312" t="s">
        <v>910</v>
      </c>
      <c r="B4" s="312" t="s">
        <v>911</v>
      </c>
      <c r="C4" s="314" t="s">
        <v>912</v>
      </c>
      <c r="D4" s="313"/>
      <c r="E4" s="314" t="s">
        <v>913</v>
      </c>
    </row>
    <row r="5" spans="1:5" ht="12.4" customHeight="1">
      <c r="A5" s="316" t="s">
        <v>914</v>
      </c>
      <c r="B5" s="317"/>
      <c r="C5" s="317"/>
      <c r="D5" s="318" t="s">
        <v>915</v>
      </c>
      <c r="E5" s="316" t="s">
        <v>916</v>
      </c>
    </row>
    <row r="6" spans="1:5" ht="11.85" customHeight="1">
      <c r="A6" s="319" t="s">
        <v>917</v>
      </c>
      <c r="B6" s="320"/>
      <c r="C6" s="320"/>
      <c r="D6" s="320"/>
      <c r="E6" s="320"/>
    </row>
    <row r="7" spans="1:5" ht="12" customHeight="1">
      <c r="A7" s="727" t="s">
        <v>918</v>
      </c>
      <c r="B7" s="728"/>
      <c r="C7" s="320"/>
      <c r="D7" s="321">
        <v>1</v>
      </c>
      <c r="E7" s="322">
        <v>2275838944.5799999</v>
      </c>
    </row>
    <row r="8" spans="1:5" ht="12" customHeight="1">
      <c r="A8" s="323" t="s">
        <v>919</v>
      </c>
      <c r="B8" s="320"/>
      <c r="C8" s="320"/>
      <c r="D8" s="321">
        <v>3</v>
      </c>
      <c r="E8" s="320"/>
    </row>
    <row r="9" spans="1:5" ht="12" customHeight="1">
      <c r="A9" s="727" t="s">
        <v>920</v>
      </c>
      <c r="B9" s="728"/>
      <c r="C9" s="320"/>
      <c r="D9" s="321">
        <v>8</v>
      </c>
      <c r="E9" s="322">
        <v>3895518716.0300002</v>
      </c>
    </row>
    <row r="10" spans="1:5" ht="12" customHeight="1">
      <c r="A10" s="729" t="s">
        <v>921</v>
      </c>
      <c r="B10" s="730"/>
      <c r="C10" s="320"/>
      <c r="D10" s="321">
        <v>9</v>
      </c>
      <c r="E10" s="322">
        <v>6171357660.6099997</v>
      </c>
    </row>
    <row r="11" spans="1:5" ht="12" customHeight="1">
      <c r="A11" s="727" t="s">
        <v>922</v>
      </c>
      <c r="B11" s="728"/>
      <c r="C11" s="320"/>
      <c r="D11" s="321">
        <v>10</v>
      </c>
      <c r="E11" s="322">
        <v>3438380159.1399999</v>
      </c>
    </row>
    <row r="12" spans="1:5" ht="12" customHeight="1">
      <c r="A12" s="727" t="s">
        <v>923</v>
      </c>
      <c r="B12" s="728"/>
      <c r="C12" s="320"/>
      <c r="D12" s="321">
        <v>12</v>
      </c>
      <c r="E12" s="322">
        <v>29777302.039999999</v>
      </c>
    </row>
    <row r="13" spans="1:5" ht="12" customHeight="1">
      <c r="A13" s="323" t="s">
        <v>924</v>
      </c>
      <c r="B13" s="320"/>
      <c r="C13" s="320"/>
      <c r="D13" s="321">
        <v>13</v>
      </c>
      <c r="E13" s="322">
        <v>557817420.21000004</v>
      </c>
    </row>
    <row r="14" spans="1:5" ht="12" customHeight="1">
      <c r="A14" s="727" t="s">
        <v>925</v>
      </c>
      <c r="B14" s="728"/>
      <c r="C14" s="320"/>
      <c r="D14" s="321">
        <v>18</v>
      </c>
      <c r="E14" s="322">
        <v>2203394569.9899998</v>
      </c>
    </row>
    <row r="15" spans="1:5" ht="12" customHeight="1">
      <c r="A15" s="729" t="s">
        <v>926</v>
      </c>
      <c r="B15" s="730"/>
      <c r="C15" s="320"/>
      <c r="D15" s="321">
        <v>20</v>
      </c>
      <c r="E15" s="322">
        <v>6229369451.3800001</v>
      </c>
    </row>
    <row r="16" spans="1:5" ht="12" customHeight="1">
      <c r="A16" s="727" t="s">
        <v>927</v>
      </c>
      <c r="B16" s="728"/>
      <c r="C16" s="320"/>
      <c r="D16" s="321">
        <v>21</v>
      </c>
      <c r="E16" s="322">
        <v>-58011790.770000502</v>
      </c>
    </row>
    <row r="17" spans="1:5" ht="12" customHeight="1">
      <c r="A17" s="319" t="s">
        <v>928</v>
      </c>
      <c r="B17" s="320"/>
      <c r="C17" s="320"/>
      <c r="D17" s="320"/>
      <c r="E17" s="325">
        <v>0</v>
      </c>
    </row>
    <row r="18" spans="1:5" ht="12" customHeight="1">
      <c r="A18" s="326" t="s">
        <v>929</v>
      </c>
      <c r="B18" s="320"/>
      <c r="C18" s="320"/>
      <c r="D18" s="321">
        <v>22</v>
      </c>
      <c r="E18" s="325">
        <v>0</v>
      </c>
    </row>
    <row r="19" spans="1:5" ht="12" customHeight="1">
      <c r="A19" s="727" t="s">
        <v>930</v>
      </c>
      <c r="B19" s="728"/>
      <c r="C19" s="320"/>
      <c r="D19" s="321">
        <v>23</v>
      </c>
      <c r="E19" s="325">
        <v>0</v>
      </c>
    </row>
    <row r="20" spans="1:5" ht="12" customHeight="1">
      <c r="A20" s="727" t="s">
        <v>931</v>
      </c>
      <c r="B20" s="728"/>
      <c r="C20" s="320"/>
      <c r="D20" s="321">
        <v>25</v>
      </c>
      <c r="E20" s="325">
        <v>0</v>
      </c>
    </row>
    <row r="21" spans="1:5" ht="12" customHeight="1">
      <c r="A21" s="727" t="s">
        <v>932</v>
      </c>
      <c r="B21" s="728"/>
      <c r="C21" s="320"/>
      <c r="D21" s="321">
        <v>28</v>
      </c>
      <c r="E21" s="325">
        <v>0</v>
      </c>
    </row>
    <row r="22" spans="1:5" ht="12" customHeight="1">
      <c r="A22" s="729" t="s">
        <v>921</v>
      </c>
      <c r="B22" s="730"/>
      <c r="C22" s="320"/>
      <c r="D22" s="321">
        <v>29</v>
      </c>
      <c r="E22" s="325">
        <v>0</v>
      </c>
    </row>
    <row r="23" spans="1:5" ht="12" customHeight="1">
      <c r="A23" s="729" t="s">
        <v>933</v>
      </c>
      <c r="B23" s="730"/>
      <c r="C23" s="320"/>
      <c r="D23" s="321">
        <v>30</v>
      </c>
      <c r="E23" s="325">
        <v>0</v>
      </c>
    </row>
    <row r="24" spans="1:5" ht="12" customHeight="1">
      <c r="A24" s="327" t="s">
        <v>934</v>
      </c>
      <c r="B24" s="320"/>
      <c r="C24" s="320"/>
      <c r="D24" s="321">
        <v>31</v>
      </c>
      <c r="E24" s="320"/>
    </row>
    <row r="25" spans="1:5" ht="12" customHeight="1">
      <c r="A25" s="727" t="s">
        <v>935</v>
      </c>
      <c r="B25" s="728"/>
      <c r="C25" s="320"/>
      <c r="D25" s="321">
        <v>35</v>
      </c>
      <c r="E25" s="325">
        <v>0</v>
      </c>
    </row>
    <row r="26" spans="1:5" ht="12" customHeight="1">
      <c r="A26" s="729" t="s">
        <v>926</v>
      </c>
      <c r="B26" s="730"/>
      <c r="C26" s="320"/>
      <c r="D26" s="321">
        <v>36</v>
      </c>
      <c r="E26" s="325">
        <v>0</v>
      </c>
    </row>
    <row r="27" spans="1:5" ht="12" customHeight="1">
      <c r="A27" s="727" t="s">
        <v>936</v>
      </c>
      <c r="B27" s="728"/>
      <c r="C27" s="320"/>
      <c r="D27" s="321">
        <v>37</v>
      </c>
      <c r="E27" s="325">
        <v>0</v>
      </c>
    </row>
    <row r="28" spans="1:5" ht="12" customHeight="1">
      <c r="A28" s="319" t="s">
        <v>937</v>
      </c>
      <c r="B28" s="320"/>
      <c r="C28" s="320"/>
      <c r="D28" s="320"/>
      <c r="E28" s="325">
        <v>0</v>
      </c>
    </row>
    <row r="29" spans="1:5" ht="12" customHeight="1">
      <c r="A29" s="326" t="s">
        <v>938</v>
      </c>
      <c r="B29" s="320"/>
      <c r="C29" s="320"/>
      <c r="D29" s="321">
        <v>38</v>
      </c>
      <c r="E29" s="325">
        <v>0</v>
      </c>
    </row>
    <row r="30" spans="1:5" ht="12" customHeight="1">
      <c r="A30" s="327" t="s">
        <v>939</v>
      </c>
      <c r="B30" s="320"/>
      <c r="C30" s="320"/>
      <c r="D30" s="321">
        <v>40</v>
      </c>
      <c r="E30" s="325">
        <v>0</v>
      </c>
    </row>
    <row r="31" spans="1:5" ht="12" customHeight="1">
      <c r="A31" s="727" t="s">
        <v>940</v>
      </c>
      <c r="B31" s="728"/>
      <c r="C31" s="320"/>
      <c r="D31" s="321">
        <v>43</v>
      </c>
      <c r="E31" s="320"/>
    </row>
    <row r="32" spans="1:5" ht="12" customHeight="1">
      <c r="A32" s="729" t="s">
        <v>921</v>
      </c>
      <c r="B32" s="730"/>
      <c r="C32" s="320"/>
      <c r="D32" s="321">
        <v>44</v>
      </c>
      <c r="E32" s="325">
        <v>0</v>
      </c>
    </row>
    <row r="33" spans="1:5" ht="12" customHeight="1">
      <c r="A33" s="326" t="s">
        <v>941</v>
      </c>
      <c r="B33" s="320"/>
      <c r="C33" s="320"/>
      <c r="D33" s="321">
        <v>45</v>
      </c>
      <c r="E33" s="325">
        <v>0</v>
      </c>
    </row>
    <row r="34" spans="1:5" ht="12" customHeight="1">
      <c r="A34" s="729" t="s">
        <v>942</v>
      </c>
      <c r="B34" s="730"/>
      <c r="C34" s="320"/>
      <c r="D34" s="321">
        <v>46</v>
      </c>
      <c r="E34" s="325">
        <v>0</v>
      </c>
    </row>
    <row r="35" spans="1:5" ht="12" customHeight="1">
      <c r="A35" s="727" t="s">
        <v>943</v>
      </c>
      <c r="B35" s="728"/>
      <c r="C35" s="320"/>
      <c r="D35" s="321">
        <v>52</v>
      </c>
      <c r="E35" s="325">
        <v>0</v>
      </c>
    </row>
    <row r="36" spans="1:5" ht="12" customHeight="1">
      <c r="A36" s="729" t="s">
        <v>926</v>
      </c>
      <c r="B36" s="730"/>
      <c r="C36" s="320"/>
      <c r="D36" s="321">
        <v>53</v>
      </c>
      <c r="E36" s="325">
        <v>0</v>
      </c>
    </row>
    <row r="37" spans="1:5" ht="12" customHeight="1">
      <c r="A37" s="727" t="s">
        <v>944</v>
      </c>
      <c r="B37" s="728"/>
      <c r="C37" s="320"/>
      <c r="D37" s="321">
        <v>54</v>
      </c>
      <c r="E37" s="325">
        <v>0</v>
      </c>
    </row>
    <row r="38" spans="1:5" ht="12" customHeight="1">
      <c r="A38" s="319" t="s">
        <v>945</v>
      </c>
      <c r="B38" s="320"/>
      <c r="C38" s="320"/>
      <c r="D38" s="321">
        <v>55</v>
      </c>
      <c r="E38" s="325">
        <v>0</v>
      </c>
    </row>
    <row r="39" spans="1:5" ht="12" customHeight="1">
      <c r="A39" s="319" t="s">
        <v>946</v>
      </c>
      <c r="B39" s="320"/>
      <c r="C39" s="320"/>
      <c r="D39" s="321">
        <v>56</v>
      </c>
      <c r="E39" s="322">
        <v>-58011790.770000502</v>
      </c>
    </row>
    <row r="40" spans="1:5" ht="12" customHeight="1">
      <c r="A40" s="319" t="s">
        <v>947</v>
      </c>
      <c r="B40" s="320"/>
      <c r="C40" s="320"/>
      <c r="D40" s="320"/>
      <c r="E40" s="320"/>
    </row>
    <row r="41" spans="1:5" ht="12" customHeight="1">
      <c r="A41" s="319" t="s">
        <v>914</v>
      </c>
      <c r="B41" s="320"/>
      <c r="C41" s="320"/>
      <c r="D41" s="324" t="s">
        <v>915</v>
      </c>
      <c r="E41" s="319" t="s">
        <v>948</v>
      </c>
    </row>
    <row r="42" spans="1:5" ht="12" customHeight="1">
      <c r="A42" s="328" t="s">
        <v>949</v>
      </c>
      <c r="B42" s="320"/>
      <c r="C42" s="320"/>
      <c r="D42" s="320"/>
      <c r="E42" s="320"/>
    </row>
    <row r="43" spans="1:5" ht="12" customHeight="1">
      <c r="A43" s="324" t="s">
        <v>950</v>
      </c>
      <c r="B43" s="320"/>
      <c r="C43" s="320"/>
      <c r="D43" s="321">
        <v>57</v>
      </c>
      <c r="E43" s="325">
        <v>0</v>
      </c>
    </row>
    <row r="44" spans="1:5" ht="12" customHeight="1">
      <c r="A44" s="727" t="s">
        <v>951</v>
      </c>
      <c r="B44" s="728"/>
      <c r="C44" s="320"/>
      <c r="D44" s="321">
        <v>58</v>
      </c>
      <c r="E44" s="325">
        <v>0</v>
      </c>
    </row>
    <row r="45" spans="1:5" ht="12" customHeight="1">
      <c r="A45" s="326" t="s">
        <v>952</v>
      </c>
      <c r="B45" s="320"/>
      <c r="C45" s="320"/>
      <c r="D45" s="321">
        <v>59</v>
      </c>
      <c r="E45" s="325">
        <v>0</v>
      </c>
    </row>
    <row r="46" spans="1:5" ht="12" customHeight="1">
      <c r="A46" s="326" t="s">
        <v>953</v>
      </c>
      <c r="B46" s="320"/>
      <c r="C46" s="320"/>
      <c r="D46" s="321">
        <v>60</v>
      </c>
      <c r="E46" s="325">
        <v>0</v>
      </c>
    </row>
    <row r="47" spans="1:5" ht="12" customHeight="1">
      <c r="A47" s="729" t="s">
        <v>954</v>
      </c>
      <c r="B47" s="730"/>
      <c r="C47" s="320"/>
      <c r="D47" s="321">
        <v>61</v>
      </c>
      <c r="E47" s="325">
        <v>0</v>
      </c>
    </row>
    <row r="48" spans="1:5" ht="12" customHeight="1">
      <c r="A48" s="729" t="s">
        <v>955</v>
      </c>
      <c r="B48" s="730"/>
      <c r="C48" s="320"/>
      <c r="D48" s="321">
        <v>64</v>
      </c>
      <c r="E48" s="325">
        <v>0</v>
      </c>
    </row>
    <row r="49" spans="1:5" ht="12" customHeight="1">
      <c r="A49" s="729" t="s">
        <v>956</v>
      </c>
      <c r="B49" s="730"/>
      <c r="C49" s="320"/>
      <c r="D49" s="321">
        <v>65</v>
      </c>
      <c r="E49" s="325">
        <v>0</v>
      </c>
    </row>
    <row r="50" spans="1:5" ht="31.5" customHeight="1">
      <c r="A50" s="319" t="s">
        <v>957</v>
      </c>
      <c r="B50" s="320"/>
      <c r="C50" s="320"/>
      <c r="D50" s="321">
        <v>66</v>
      </c>
      <c r="E50" s="325">
        <v>0</v>
      </c>
    </row>
    <row r="51" spans="1:5" ht="12" customHeight="1">
      <c r="A51" s="729" t="s">
        <v>958</v>
      </c>
      <c r="B51" s="730"/>
      <c r="C51" s="320"/>
      <c r="D51" s="321">
        <v>67</v>
      </c>
      <c r="E51" s="325">
        <v>0</v>
      </c>
    </row>
    <row r="52" spans="1:5" ht="12" customHeight="1">
      <c r="A52" s="327" t="s">
        <v>959</v>
      </c>
      <c r="B52" s="320"/>
      <c r="C52" s="320"/>
      <c r="D52" s="321">
        <v>68</v>
      </c>
      <c r="E52" s="325">
        <v>0</v>
      </c>
    </row>
    <row r="53" spans="1:5" ht="12" customHeight="1">
      <c r="A53" s="729" t="s">
        <v>960</v>
      </c>
      <c r="B53" s="730"/>
      <c r="C53" s="320"/>
      <c r="D53" s="321">
        <v>69</v>
      </c>
      <c r="E53" s="325">
        <v>0</v>
      </c>
    </row>
    <row r="54" spans="1:5" ht="12" customHeight="1">
      <c r="A54" s="729" t="s">
        <v>961</v>
      </c>
      <c r="B54" s="730"/>
      <c r="C54" s="320"/>
      <c r="D54" s="321">
        <v>70</v>
      </c>
      <c r="E54" s="325">
        <v>0</v>
      </c>
    </row>
    <row r="55" spans="1:5" ht="12" customHeight="1">
      <c r="A55" s="729" t="s">
        <v>962</v>
      </c>
      <c r="B55" s="730"/>
      <c r="C55" s="320"/>
      <c r="D55" s="321">
        <v>71</v>
      </c>
      <c r="E55" s="325">
        <v>0</v>
      </c>
    </row>
    <row r="56" spans="1:5" ht="12" customHeight="1">
      <c r="A56" s="729" t="s">
        <v>963</v>
      </c>
      <c r="B56" s="730"/>
      <c r="C56" s="320"/>
      <c r="D56" s="321">
        <v>72</v>
      </c>
      <c r="E56" s="325">
        <v>0</v>
      </c>
    </row>
    <row r="57" spans="1:5" ht="12.4" customHeight="1">
      <c r="A57" s="729" t="s">
        <v>964</v>
      </c>
      <c r="B57" s="730"/>
      <c r="C57" s="320"/>
      <c r="D57" s="321">
        <v>73</v>
      </c>
      <c r="E57" s="325">
        <v>0</v>
      </c>
    </row>
    <row r="58" spans="1:5" ht="12.4" customHeight="1">
      <c r="A58" s="323" t="s">
        <v>965</v>
      </c>
      <c r="B58" s="320"/>
      <c r="C58" s="320"/>
      <c r="D58" s="321">
        <v>74</v>
      </c>
      <c r="E58" s="325">
        <v>0</v>
      </c>
    </row>
    <row r="59" spans="1:5" ht="12" customHeight="1">
      <c r="A59" s="727" t="s">
        <v>927</v>
      </c>
      <c r="B59" s="728"/>
      <c r="C59" s="320"/>
      <c r="D59" s="321">
        <v>75</v>
      </c>
      <c r="E59" s="325">
        <v>0</v>
      </c>
    </row>
    <row r="60" spans="1:5" ht="12" customHeight="1">
      <c r="A60" s="327" t="s">
        <v>966</v>
      </c>
      <c r="B60" s="320"/>
      <c r="C60" s="320"/>
      <c r="D60" s="320"/>
      <c r="E60" s="320"/>
    </row>
    <row r="61" spans="1:5" ht="12" customHeight="1">
      <c r="A61" s="323" t="s">
        <v>967</v>
      </c>
      <c r="B61" s="320"/>
      <c r="C61" s="320"/>
      <c r="D61" s="321">
        <v>76</v>
      </c>
      <c r="E61" s="325">
        <v>0</v>
      </c>
    </row>
    <row r="62" spans="1:5" ht="12" customHeight="1">
      <c r="A62" s="727" t="s">
        <v>968</v>
      </c>
      <c r="B62" s="728"/>
      <c r="C62" s="320"/>
      <c r="D62" s="321">
        <v>77</v>
      </c>
      <c r="E62" s="325">
        <v>0</v>
      </c>
    </row>
    <row r="63" spans="1:5" ht="12" customHeight="1">
      <c r="A63" s="327" t="s">
        <v>969</v>
      </c>
      <c r="B63" s="320"/>
      <c r="C63" s="320"/>
      <c r="D63" s="321">
        <v>78</v>
      </c>
      <c r="E63" s="325">
        <v>0</v>
      </c>
    </row>
    <row r="64" spans="1:5" ht="12" customHeight="1">
      <c r="A64" s="323" t="s">
        <v>970</v>
      </c>
      <c r="B64" s="320"/>
      <c r="C64" s="320"/>
      <c r="D64" s="320"/>
      <c r="E64" s="320"/>
    </row>
    <row r="65" spans="1:5" ht="12" customHeight="1">
      <c r="A65" s="323" t="s">
        <v>971</v>
      </c>
      <c r="B65" s="320"/>
      <c r="C65" s="320"/>
      <c r="D65" s="321">
        <v>79</v>
      </c>
      <c r="E65" s="329">
        <v>47174497.549999997</v>
      </c>
    </row>
    <row r="66" spans="1:5" ht="12" customHeight="1">
      <c r="A66" s="327" t="s">
        <v>972</v>
      </c>
      <c r="B66" s="320"/>
      <c r="C66" s="320"/>
      <c r="D66" s="321">
        <v>80</v>
      </c>
      <c r="E66" s="329">
        <v>105186288.31999999</v>
      </c>
    </row>
    <row r="67" spans="1:5" ht="12" customHeight="1">
      <c r="A67" s="727" t="s">
        <v>973</v>
      </c>
      <c r="B67" s="728"/>
      <c r="C67" s="320"/>
      <c r="D67" s="321">
        <v>81</v>
      </c>
      <c r="E67" s="330">
        <v>0</v>
      </c>
    </row>
    <row r="68" spans="1:5" ht="12" customHeight="1">
      <c r="A68" s="727" t="s">
        <v>974</v>
      </c>
      <c r="B68" s="728"/>
      <c r="C68" s="320"/>
      <c r="D68" s="321">
        <v>82</v>
      </c>
      <c r="E68" s="330">
        <v>0</v>
      </c>
    </row>
    <row r="69" spans="1:5" ht="12.4" customHeight="1">
      <c r="A69" s="727" t="s">
        <v>975</v>
      </c>
      <c r="B69" s="728"/>
      <c r="C69" s="320"/>
      <c r="D69" s="321">
        <v>83</v>
      </c>
      <c r="E69" s="322">
        <v>-58011790.770000003</v>
      </c>
    </row>
    <row r="70" spans="1:5" ht="10.5" customHeight="1">
      <c r="A70" s="725"/>
      <c r="B70" s="725"/>
      <c r="E70" s="331">
        <v>4.3958425521850602E-7</v>
      </c>
    </row>
  </sheetData>
  <mergeCells count="40">
    <mergeCell ref="A62:B62"/>
    <mergeCell ref="A67:B67"/>
    <mergeCell ref="A68:B68"/>
    <mergeCell ref="A69:B69"/>
    <mergeCell ref="A70:B70"/>
    <mergeCell ref="A54:B54"/>
    <mergeCell ref="A55:B55"/>
    <mergeCell ref="A56:B56"/>
    <mergeCell ref="A57:B57"/>
    <mergeCell ref="A59:B59"/>
    <mergeCell ref="A47:B47"/>
    <mergeCell ref="A48:B48"/>
    <mergeCell ref="A49:B49"/>
    <mergeCell ref="A51:B51"/>
    <mergeCell ref="A53:B53"/>
    <mergeCell ref="A34:B34"/>
    <mergeCell ref="A35:B35"/>
    <mergeCell ref="A36:B36"/>
    <mergeCell ref="A37:B37"/>
    <mergeCell ref="A44:B44"/>
    <mergeCell ref="A25:B25"/>
    <mergeCell ref="A26:B26"/>
    <mergeCell ref="A27:B27"/>
    <mergeCell ref="A31:B31"/>
    <mergeCell ref="A32:B32"/>
    <mergeCell ref="A19:B19"/>
    <mergeCell ref="A20:B20"/>
    <mergeCell ref="A21:B21"/>
    <mergeCell ref="A22:B22"/>
    <mergeCell ref="A23:B23"/>
    <mergeCell ref="A11:B11"/>
    <mergeCell ref="A12:B12"/>
    <mergeCell ref="A14:B14"/>
    <mergeCell ref="A15:B15"/>
    <mergeCell ref="A16:B16"/>
    <mergeCell ref="A1:E1"/>
    <mergeCell ref="A2:E2"/>
    <mergeCell ref="A7:B7"/>
    <mergeCell ref="A9:B9"/>
    <mergeCell ref="A10:B10"/>
  </mergeCells>
  <phoneticPr fontId="8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A711"/>
  <sheetViews>
    <sheetView workbookViewId="0">
      <selection activeCell="K654" sqref="K646:K654"/>
    </sheetView>
  </sheetViews>
  <sheetFormatPr defaultColWidth="7.875" defaultRowHeight="12.75"/>
  <cols>
    <col min="1" max="1" width="7.875" style="306"/>
    <col min="2" max="2" width="5" style="306" customWidth="1"/>
    <col min="3" max="3" width="8.5" style="306" customWidth="1"/>
    <col min="4" max="5" width="10.375" style="306" customWidth="1"/>
    <col min="6" max="6" width="7.875" style="306"/>
    <col min="7" max="8" width="9.625" style="306" customWidth="1"/>
    <col min="9" max="9" width="13.625" style="306" customWidth="1"/>
    <col min="10" max="10" width="5.125" style="306" customWidth="1"/>
    <col min="11" max="11" width="13.625" style="306" customWidth="1"/>
    <col min="12" max="12" width="7.875" style="306"/>
    <col min="13" max="13" width="75" style="306" customWidth="1"/>
    <col min="14" max="14" width="45.375" style="306" customWidth="1"/>
    <col min="15" max="15" width="26" style="306" customWidth="1"/>
    <col min="16" max="16" width="7.875" style="306"/>
    <col min="17" max="17" width="4.75" style="306" customWidth="1"/>
    <col min="18" max="18" width="6.375" style="306" customWidth="1"/>
    <col min="19" max="19" width="7.875" style="306"/>
    <col min="20" max="20" width="15.375" style="306" customWidth="1"/>
    <col min="21" max="21" width="4.75" style="306" customWidth="1"/>
    <col min="22" max="23" width="7.875" style="306"/>
    <col min="24" max="24" width="9.375" style="306" customWidth="1"/>
    <col min="25" max="25" width="15.375" style="306" customWidth="1"/>
    <col min="26" max="26" width="13.75" style="306" customWidth="1"/>
    <col min="27" max="27" width="11.5" style="306" customWidth="1"/>
    <col min="28" max="16384" width="7.875" style="306"/>
  </cols>
  <sheetData>
    <row r="1" spans="1:27">
      <c r="A1" s="307" t="s">
        <v>976</v>
      </c>
      <c r="B1" s="307" t="s">
        <v>977</v>
      </c>
      <c r="C1" s="307" t="s">
        <v>978</v>
      </c>
      <c r="D1" s="307" t="s">
        <v>979</v>
      </c>
      <c r="E1" s="307" t="s">
        <v>980</v>
      </c>
      <c r="F1" s="307" t="s">
        <v>981</v>
      </c>
      <c r="G1" s="307" t="s">
        <v>982</v>
      </c>
      <c r="H1" s="307" t="s">
        <v>983</v>
      </c>
      <c r="I1" s="307" t="s">
        <v>984</v>
      </c>
      <c r="J1" s="307" t="s">
        <v>985</v>
      </c>
      <c r="K1" s="307" t="s">
        <v>986</v>
      </c>
      <c r="L1" s="307" t="s">
        <v>987</v>
      </c>
      <c r="M1" s="307" t="s">
        <v>988</v>
      </c>
      <c r="N1" s="307" t="s">
        <v>989</v>
      </c>
      <c r="O1" s="307" t="s">
        <v>990</v>
      </c>
      <c r="P1" s="307" t="s">
        <v>991</v>
      </c>
      <c r="Q1" s="307" t="s">
        <v>992</v>
      </c>
      <c r="R1" s="307" t="s">
        <v>993</v>
      </c>
      <c r="S1" s="307" t="s">
        <v>994</v>
      </c>
      <c r="T1" s="307" t="s">
        <v>995</v>
      </c>
      <c r="U1" s="307" t="s">
        <v>996</v>
      </c>
      <c r="V1" s="307" t="s">
        <v>997</v>
      </c>
      <c r="W1" s="307" t="s">
        <v>998</v>
      </c>
      <c r="X1" s="307" t="s">
        <v>999</v>
      </c>
      <c r="Y1" s="307" t="s">
        <v>1000</v>
      </c>
      <c r="Z1" s="307" t="s">
        <v>1001</v>
      </c>
      <c r="AA1" s="307" t="s">
        <v>1002</v>
      </c>
    </row>
    <row r="2" spans="1:27" hidden="1">
      <c r="A2" s="306" t="s">
        <v>494</v>
      </c>
      <c r="B2" s="306" t="s">
        <v>1003</v>
      </c>
      <c r="C2" s="306" t="s">
        <v>1004</v>
      </c>
      <c r="D2" s="306" t="s">
        <v>1005</v>
      </c>
      <c r="E2" s="306" t="s">
        <v>1006</v>
      </c>
      <c r="F2" s="306" t="s">
        <v>1007</v>
      </c>
      <c r="G2" s="308">
        <v>46010</v>
      </c>
      <c r="H2" s="308">
        <v>46010</v>
      </c>
      <c r="I2" s="309">
        <v>-478401.17</v>
      </c>
      <c r="J2" s="306" t="s">
        <v>1008</v>
      </c>
      <c r="K2" s="309">
        <v>-478401.17</v>
      </c>
      <c r="L2" s="306" t="s">
        <v>1008</v>
      </c>
      <c r="M2" s="306" t="s">
        <v>1009</v>
      </c>
      <c r="N2" s="306" t="s">
        <v>1010</v>
      </c>
      <c r="O2" s="306" t="s">
        <v>1011</v>
      </c>
      <c r="P2" s="306" t="s">
        <v>1012</v>
      </c>
      <c r="Q2" s="306" t="s">
        <v>1013</v>
      </c>
      <c r="R2" s="306" t="s">
        <v>1013</v>
      </c>
      <c r="S2" s="306" t="s">
        <v>1013</v>
      </c>
      <c r="T2" s="306" t="s">
        <v>1014</v>
      </c>
      <c r="U2" s="306" t="s">
        <v>1013</v>
      </c>
      <c r="V2" s="306" t="s">
        <v>1013</v>
      </c>
      <c r="W2" s="306" t="s">
        <v>1013</v>
      </c>
      <c r="X2" s="306" t="s">
        <v>1013</v>
      </c>
      <c r="Y2" s="306" t="s">
        <v>1014</v>
      </c>
      <c r="Z2" s="306" t="s">
        <v>1015</v>
      </c>
      <c r="AA2" s="306" t="s">
        <v>1013</v>
      </c>
    </row>
    <row r="3" spans="1:27" hidden="1">
      <c r="A3" s="306" t="s">
        <v>494</v>
      </c>
      <c r="B3" s="306" t="s">
        <v>1003</v>
      </c>
      <c r="C3" s="306" t="s">
        <v>1004</v>
      </c>
      <c r="D3" s="306" t="s">
        <v>1005</v>
      </c>
      <c r="E3" s="306" t="s">
        <v>1016</v>
      </c>
      <c r="F3" s="306" t="s">
        <v>1007</v>
      </c>
      <c r="G3" s="308">
        <v>46010</v>
      </c>
      <c r="H3" s="308">
        <v>46010</v>
      </c>
      <c r="I3" s="309">
        <v>-2613532.11</v>
      </c>
      <c r="J3" s="306" t="s">
        <v>1008</v>
      </c>
      <c r="K3" s="309">
        <v>-2613532.11</v>
      </c>
      <c r="L3" s="306" t="s">
        <v>1008</v>
      </c>
      <c r="M3" s="306" t="s">
        <v>1017</v>
      </c>
      <c r="N3" s="306" t="s">
        <v>1010</v>
      </c>
      <c r="O3" s="306" t="s">
        <v>1018</v>
      </c>
      <c r="P3" s="306" t="s">
        <v>1012</v>
      </c>
      <c r="Q3" s="306" t="s">
        <v>1013</v>
      </c>
      <c r="R3" s="306" t="s">
        <v>1013</v>
      </c>
      <c r="S3" s="306" t="s">
        <v>1013</v>
      </c>
      <c r="T3" s="306" t="s">
        <v>1014</v>
      </c>
      <c r="U3" s="306" t="s">
        <v>1013</v>
      </c>
      <c r="V3" s="306" t="s">
        <v>1013</v>
      </c>
      <c r="W3" s="306" t="s">
        <v>1013</v>
      </c>
      <c r="X3" s="306" t="s">
        <v>1013</v>
      </c>
      <c r="Y3" s="306" t="s">
        <v>1014</v>
      </c>
      <c r="Z3" s="306" t="s">
        <v>1015</v>
      </c>
      <c r="AA3" s="306" t="s">
        <v>1013</v>
      </c>
    </row>
    <row r="4" spans="1:27" hidden="1">
      <c r="A4" s="306" t="s">
        <v>494</v>
      </c>
      <c r="B4" s="306" t="s">
        <v>1003</v>
      </c>
      <c r="C4" s="306" t="s">
        <v>1004</v>
      </c>
      <c r="D4" s="306" t="s">
        <v>1019</v>
      </c>
      <c r="E4" s="306" t="s">
        <v>1020</v>
      </c>
      <c r="F4" s="306" t="s">
        <v>1007</v>
      </c>
      <c r="G4" s="308">
        <v>46010</v>
      </c>
      <c r="H4" s="308">
        <v>46010</v>
      </c>
      <c r="I4" s="309">
        <v>-47158.02</v>
      </c>
      <c r="J4" s="306" t="s">
        <v>1008</v>
      </c>
      <c r="K4" s="309">
        <v>-47158.02</v>
      </c>
      <c r="L4" s="306" t="s">
        <v>1008</v>
      </c>
      <c r="M4" s="306" t="s">
        <v>1021</v>
      </c>
      <c r="N4" s="306" t="s">
        <v>1022</v>
      </c>
      <c r="O4" s="306" t="s">
        <v>1023</v>
      </c>
      <c r="P4" s="306" t="s">
        <v>1012</v>
      </c>
      <c r="Q4" s="306" t="s">
        <v>1013</v>
      </c>
      <c r="R4" s="306" t="s">
        <v>1013</v>
      </c>
      <c r="S4" s="306" t="s">
        <v>1013</v>
      </c>
      <c r="T4" s="306" t="s">
        <v>1014</v>
      </c>
      <c r="U4" s="306" t="s">
        <v>1013</v>
      </c>
      <c r="V4" s="306" t="s">
        <v>1013</v>
      </c>
      <c r="W4" s="306" t="s">
        <v>1013</v>
      </c>
      <c r="X4" s="306" t="s">
        <v>1013</v>
      </c>
      <c r="Y4" s="306" t="s">
        <v>1014</v>
      </c>
      <c r="Z4" s="306" t="s">
        <v>1015</v>
      </c>
      <c r="AA4" s="306" t="s">
        <v>1013</v>
      </c>
    </row>
    <row r="5" spans="1:27" hidden="1">
      <c r="A5" s="306" t="s">
        <v>494</v>
      </c>
      <c r="B5" s="306" t="s">
        <v>1003</v>
      </c>
      <c r="C5" s="306" t="s">
        <v>1004</v>
      </c>
      <c r="D5" s="306" t="s">
        <v>1005</v>
      </c>
      <c r="E5" s="306" t="s">
        <v>1024</v>
      </c>
      <c r="F5" s="306" t="s">
        <v>1007</v>
      </c>
      <c r="G5" s="308">
        <v>46010</v>
      </c>
      <c r="H5" s="308">
        <v>46010</v>
      </c>
      <c r="I5" s="309">
        <v>-478401.17</v>
      </c>
      <c r="J5" s="306" t="s">
        <v>1008</v>
      </c>
      <c r="K5" s="309">
        <v>-478401.17</v>
      </c>
      <c r="L5" s="306" t="s">
        <v>1008</v>
      </c>
      <c r="M5" s="306" t="s">
        <v>1025</v>
      </c>
      <c r="N5" s="306" t="s">
        <v>1010</v>
      </c>
      <c r="O5" s="306" t="s">
        <v>1011</v>
      </c>
      <c r="P5" s="306" t="s">
        <v>1026</v>
      </c>
      <c r="Q5" s="306" t="s">
        <v>1013</v>
      </c>
      <c r="R5" s="306" t="s">
        <v>1013</v>
      </c>
      <c r="S5" s="306" t="s">
        <v>1013</v>
      </c>
      <c r="T5" s="306" t="s">
        <v>1014</v>
      </c>
      <c r="U5" s="306" t="s">
        <v>1013</v>
      </c>
      <c r="V5" s="306" t="s">
        <v>1013</v>
      </c>
      <c r="W5" s="306" t="s">
        <v>1013</v>
      </c>
      <c r="X5" s="306" t="s">
        <v>1013</v>
      </c>
      <c r="Y5" s="306" t="s">
        <v>1014</v>
      </c>
      <c r="Z5" s="306" t="s">
        <v>1015</v>
      </c>
      <c r="AA5" s="306" t="s">
        <v>1013</v>
      </c>
    </row>
    <row r="6" spans="1:27" hidden="1">
      <c r="A6" s="306" t="s">
        <v>494</v>
      </c>
      <c r="B6" s="306" t="s">
        <v>1003</v>
      </c>
      <c r="C6" s="306" t="s">
        <v>1004</v>
      </c>
      <c r="D6" s="306" t="s">
        <v>1005</v>
      </c>
      <c r="E6" s="306" t="s">
        <v>1027</v>
      </c>
      <c r="F6" s="306" t="s">
        <v>1007</v>
      </c>
      <c r="G6" s="308">
        <v>46010</v>
      </c>
      <c r="H6" s="308">
        <v>46010</v>
      </c>
      <c r="I6" s="309">
        <v>-2613532.11</v>
      </c>
      <c r="J6" s="306" t="s">
        <v>1008</v>
      </c>
      <c r="K6" s="309">
        <v>-2613532.11</v>
      </c>
      <c r="L6" s="306" t="s">
        <v>1008</v>
      </c>
      <c r="M6" s="306" t="s">
        <v>1028</v>
      </c>
      <c r="N6" s="306" t="s">
        <v>1010</v>
      </c>
      <c r="O6" s="306" t="s">
        <v>1018</v>
      </c>
      <c r="P6" s="306" t="s">
        <v>1026</v>
      </c>
      <c r="Q6" s="306" t="s">
        <v>1013</v>
      </c>
      <c r="R6" s="306" t="s">
        <v>1013</v>
      </c>
      <c r="S6" s="306" t="s">
        <v>1013</v>
      </c>
      <c r="T6" s="306" t="s">
        <v>1014</v>
      </c>
      <c r="U6" s="306" t="s">
        <v>1013</v>
      </c>
      <c r="V6" s="306" t="s">
        <v>1013</v>
      </c>
      <c r="W6" s="306" t="s">
        <v>1013</v>
      </c>
      <c r="X6" s="306" t="s">
        <v>1013</v>
      </c>
      <c r="Y6" s="306" t="s">
        <v>1014</v>
      </c>
      <c r="Z6" s="306" t="s">
        <v>1015</v>
      </c>
      <c r="AA6" s="306" t="s">
        <v>1013</v>
      </c>
    </row>
    <row r="7" spans="1:27" hidden="1">
      <c r="A7" s="306" t="s">
        <v>494</v>
      </c>
      <c r="B7" s="306" t="s">
        <v>1003</v>
      </c>
      <c r="C7" s="306" t="s">
        <v>1004</v>
      </c>
      <c r="D7" s="306" t="s">
        <v>1019</v>
      </c>
      <c r="E7" s="306" t="s">
        <v>1029</v>
      </c>
      <c r="F7" s="306" t="s">
        <v>1007</v>
      </c>
      <c r="G7" s="308">
        <v>46010</v>
      </c>
      <c r="H7" s="308">
        <v>46010</v>
      </c>
      <c r="I7" s="309">
        <v>-47158.02</v>
      </c>
      <c r="J7" s="306" t="s">
        <v>1008</v>
      </c>
      <c r="K7" s="309">
        <v>-47158.02</v>
      </c>
      <c r="L7" s="306" t="s">
        <v>1008</v>
      </c>
      <c r="M7" s="306" t="s">
        <v>1030</v>
      </c>
      <c r="N7" s="306" t="s">
        <v>1022</v>
      </c>
      <c r="O7" s="306" t="s">
        <v>1023</v>
      </c>
      <c r="P7" s="306" t="s">
        <v>1026</v>
      </c>
      <c r="Q7" s="306" t="s">
        <v>1013</v>
      </c>
      <c r="R7" s="306" t="s">
        <v>1013</v>
      </c>
      <c r="S7" s="306" t="s">
        <v>1013</v>
      </c>
      <c r="T7" s="306" t="s">
        <v>1014</v>
      </c>
      <c r="U7" s="306" t="s">
        <v>1013</v>
      </c>
      <c r="V7" s="306" t="s">
        <v>1013</v>
      </c>
      <c r="W7" s="306" t="s">
        <v>1013</v>
      </c>
      <c r="X7" s="306" t="s">
        <v>1013</v>
      </c>
      <c r="Y7" s="306" t="s">
        <v>1014</v>
      </c>
      <c r="Z7" s="306" t="s">
        <v>1015</v>
      </c>
      <c r="AA7" s="306" t="s">
        <v>1013</v>
      </c>
    </row>
    <row r="8" spans="1:27" hidden="1">
      <c r="A8" s="306" t="s">
        <v>494</v>
      </c>
      <c r="B8" s="306" t="s">
        <v>1003</v>
      </c>
      <c r="C8" s="306" t="s">
        <v>1004</v>
      </c>
      <c r="D8" s="306" t="s">
        <v>1031</v>
      </c>
      <c r="E8" s="306" t="s">
        <v>1032</v>
      </c>
      <c r="F8" s="306" t="s">
        <v>1007</v>
      </c>
      <c r="G8" s="308">
        <v>46013</v>
      </c>
      <c r="H8" s="308">
        <v>46013</v>
      </c>
      <c r="I8" s="309">
        <v>-6085308.6200000001</v>
      </c>
      <c r="J8" s="306" t="s">
        <v>1008</v>
      </c>
      <c r="K8" s="309">
        <v>-6085308.6200000001</v>
      </c>
      <c r="L8" s="306" t="s">
        <v>1008</v>
      </c>
      <c r="M8" s="306" t="s">
        <v>1033</v>
      </c>
      <c r="N8" s="306" t="s">
        <v>1034</v>
      </c>
      <c r="O8" s="306" t="s">
        <v>1035</v>
      </c>
      <c r="P8" s="306" t="s">
        <v>1012</v>
      </c>
      <c r="Q8" s="306" t="s">
        <v>1013</v>
      </c>
      <c r="R8" s="306" t="s">
        <v>1013</v>
      </c>
      <c r="S8" s="306" t="s">
        <v>1013</v>
      </c>
      <c r="T8" s="306" t="s">
        <v>1036</v>
      </c>
      <c r="U8" s="306" t="s">
        <v>1013</v>
      </c>
      <c r="V8" s="306" t="s">
        <v>1013</v>
      </c>
      <c r="W8" s="306" t="s">
        <v>1013</v>
      </c>
      <c r="X8" s="306" t="s">
        <v>1013</v>
      </c>
      <c r="Y8" s="306" t="s">
        <v>1036</v>
      </c>
      <c r="Z8" s="306" t="s">
        <v>1015</v>
      </c>
      <c r="AA8" s="306" t="s">
        <v>1013</v>
      </c>
    </row>
    <row r="9" spans="1:27" hidden="1">
      <c r="A9" s="306" t="s">
        <v>494</v>
      </c>
      <c r="B9" s="306" t="s">
        <v>1003</v>
      </c>
      <c r="C9" s="306" t="s">
        <v>1004</v>
      </c>
      <c r="D9" s="306" t="s">
        <v>1031</v>
      </c>
      <c r="E9" s="306" t="s">
        <v>1037</v>
      </c>
      <c r="F9" s="306" t="s">
        <v>1007</v>
      </c>
      <c r="G9" s="308">
        <v>46013</v>
      </c>
      <c r="H9" s="308">
        <v>46013</v>
      </c>
      <c r="I9" s="309">
        <v>-1568907.66</v>
      </c>
      <c r="J9" s="306" t="s">
        <v>1008</v>
      </c>
      <c r="K9" s="309">
        <v>-1568907.66</v>
      </c>
      <c r="L9" s="306" t="s">
        <v>1008</v>
      </c>
      <c r="M9" s="306" t="s">
        <v>1033</v>
      </c>
      <c r="N9" s="306" t="s">
        <v>1034</v>
      </c>
      <c r="O9" s="306" t="s">
        <v>1038</v>
      </c>
      <c r="P9" s="306" t="s">
        <v>1012</v>
      </c>
      <c r="Q9" s="306" t="s">
        <v>1013</v>
      </c>
      <c r="R9" s="306" t="s">
        <v>1013</v>
      </c>
      <c r="S9" s="306" t="s">
        <v>1013</v>
      </c>
      <c r="T9" s="306" t="s">
        <v>1036</v>
      </c>
      <c r="U9" s="306" t="s">
        <v>1013</v>
      </c>
      <c r="V9" s="306" t="s">
        <v>1013</v>
      </c>
      <c r="W9" s="306" t="s">
        <v>1013</v>
      </c>
      <c r="X9" s="306" t="s">
        <v>1013</v>
      </c>
      <c r="Y9" s="306" t="s">
        <v>1036</v>
      </c>
      <c r="Z9" s="306" t="s">
        <v>1015</v>
      </c>
      <c r="AA9" s="306" t="s">
        <v>1013</v>
      </c>
    </row>
    <row r="10" spans="1:27" hidden="1">
      <c r="A10" s="306" t="s">
        <v>494</v>
      </c>
      <c r="B10" s="306" t="s">
        <v>1003</v>
      </c>
      <c r="C10" s="306" t="s">
        <v>1004</v>
      </c>
      <c r="D10" s="306" t="s">
        <v>1031</v>
      </c>
      <c r="E10" s="306" t="s">
        <v>1039</v>
      </c>
      <c r="F10" s="306" t="s">
        <v>1007</v>
      </c>
      <c r="G10" s="308">
        <v>46013</v>
      </c>
      <c r="H10" s="308">
        <v>46013</v>
      </c>
      <c r="I10" s="309">
        <v>-875376.46</v>
      </c>
      <c r="J10" s="306" t="s">
        <v>1008</v>
      </c>
      <c r="K10" s="309">
        <v>-875376.46</v>
      </c>
      <c r="L10" s="306" t="s">
        <v>1008</v>
      </c>
      <c r="M10" s="306" t="s">
        <v>1033</v>
      </c>
      <c r="N10" s="306" t="s">
        <v>1034</v>
      </c>
      <c r="O10" s="306" t="s">
        <v>1040</v>
      </c>
      <c r="P10" s="306" t="s">
        <v>1012</v>
      </c>
      <c r="Q10" s="306" t="s">
        <v>1013</v>
      </c>
      <c r="R10" s="306" t="s">
        <v>1013</v>
      </c>
      <c r="S10" s="306" t="s">
        <v>1013</v>
      </c>
      <c r="T10" s="306" t="s">
        <v>1036</v>
      </c>
      <c r="U10" s="306" t="s">
        <v>1013</v>
      </c>
      <c r="V10" s="306" t="s">
        <v>1013</v>
      </c>
      <c r="W10" s="306" t="s">
        <v>1013</v>
      </c>
      <c r="X10" s="306" t="s">
        <v>1013</v>
      </c>
      <c r="Y10" s="306" t="s">
        <v>1036</v>
      </c>
      <c r="Z10" s="306" t="s">
        <v>1015</v>
      </c>
      <c r="AA10" s="306" t="s">
        <v>1013</v>
      </c>
    </row>
    <row r="11" spans="1:27" hidden="1">
      <c r="A11" s="306" t="s">
        <v>494</v>
      </c>
      <c r="B11" s="306" t="s">
        <v>1003</v>
      </c>
      <c r="C11" s="306" t="s">
        <v>1004</v>
      </c>
      <c r="D11" s="306" t="s">
        <v>1019</v>
      </c>
      <c r="E11" s="306" t="s">
        <v>1041</v>
      </c>
      <c r="F11" s="306" t="s">
        <v>1007</v>
      </c>
      <c r="G11" s="308">
        <v>46013</v>
      </c>
      <c r="H11" s="308">
        <v>46013</v>
      </c>
      <c r="I11" s="309">
        <v>-216352.2</v>
      </c>
      <c r="J11" s="306" t="s">
        <v>1008</v>
      </c>
      <c r="K11" s="309">
        <v>-216352.2</v>
      </c>
      <c r="L11" s="306" t="s">
        <v>1008</v>
      </c>
      <c r="M11" s="306" t="s">
        <v>1042</v>
      </c>
      <c r="N11" s="306" t="s">
        <v>1043</v>
      </c>
      <c r="O11" s="306" t="s">
        <v>1044</v>
      </c>
      <c r="P11" s="306" t="s">
        <v>1012</v>
      </c>
      <c r="Q11" s="306" t="s">
        <v>1013</v>
      </c>
      <c r="R11" s="306" t="s">
        <v>1013</v>
      </c>
      <c r="S11" s="306" t="s">
        <v>1013</v>
      </c>
      <c r="T11" s="306" t="s">
        <v>1036</v>
      </c>
      <c r="U11" s="306" t="s">
        <v>1013</v>
      </c>
      <c r="V11" s="306" t="s">
        <v>1013</v>
      </c>
      <c r="W11" s="306" t="s">
        <v>1013</v>
      </c>
      <c r="X11" s="306" t="s">
        <v>1013</v>
      </c>
      <c r="Y11" s="306" t="s">
        <v>1036</v>
      </c>
      <c r="Z11" s="306" t="s">
        <v>1015</v>
      </c>
      <c r="AA11" s="306" t="s">
        <v>1013</v>
      </c>
    </row>
    <row r="12" spans="1:27" hidden="1">
      <c r="A12" s="306" t="s">
        <v>494</v>
      </c>
      <c r="B12" s="306" t="s">
        <v>1003</v>
      </c>
      <c r="C12" s="306" t="s">
        <v>1004</v>
      </c>
      <c r="D12" s="306" t="s">
        <v>1005</v>
      </c>
      <c r="E12" s="306" t="s">
        <v>1045</v>
      </c>
      <c r="F12" s="306" t="s">
        <v>1007</v>
      </c>
      <c r="G12" s="308">
        <v>46013</v>
      </c>
      <c r="H12" s="308">
        <v>46013</v>
      </c>
      <c r="I12" s="309">
        <v>-3224999.98</v>
      </c>
      <c r="J12" s="306" t="s">
        <v>1008</v>
      </c>
      <c r="K12" s="309">
        <v>-3224999.98</v>
      </c>
      <c r="L12" s="306" t="s">
        <v>1008</v>
      </c>
      <c r="M12" s="306" t="s">
        <v>1046</v>
      </c>
      <c r="N12" s="306" t="s">
        <v>1047</v>
      </c>
      <c r="O12" s="306" t="s">
        <v>1048</v>
      </c>
      <c r="P12" s="306" t="s">
        <v>1012</v>
      </c>
      <c r="Q12" s="306" t="s">
        <v>1013</v>
      </c>
      <c r="R12" s="306" t="s">
        <v>1013</v>
      </c>
      <c r="S12" s="306" t="s">
        <v>1013</v>
      </c>
      <c r="T12" s="306" t="s">
        <v>1036</v>
      </c>
      <c r="U12" s="306" t="s">
        <v>1013</v>
      </c>
      <c r="V12" s="306" t="s">
        <v>1013</v>
      </c>
      <c r="W12" s="306" t="s">
        <v>1013</v>
      </c>
      <c r="X12" s="306" t="s">
        <v>1013</v>
      </c>
      <c r="Y12" s="306" t="s">
        <v>1036</v>
      </c>
      <c r="Z12" s="306" t="s">
        <v>1015</v>
      </c>
      <c r="AA12" s="306" t="s">
        <v>1013</v>
      </c>
    </row>
    <row r="13" spans="1:27" hidden="1">
      <c r="A13" s="306" t="s">
        <v>494</v>
      </c>
      <c r="B13" s="306" t="s">
        <v>1003</v>
      </c>
      <c r="C13" s="306" t="s">
        <v>1004</v>
      </c>
      <c r="D13" s="306" t="s">
        <v>1005</v>
      </c>
      <c r="E13" s="306" t="s">
        <v>1049</v>
      </c>
      <c r="F13" s="306" t="s">
        <v>1007</v>
      </c>
      <c r="G13" s="308">
        <v>46013</v>
      </c>
      <c r="H13" s="308">
        <v>46013</v>
      </c>
      <c r="I13" s="309">
        <v>-2171287.04</v>
      </c>
      <c r="J13" s="306" t="s">
        <v>1008</v>
      </c>
      <c r="K13" s="309">
        <v>-2171287.04</v>
      </c>
      <c r="L13" s="306" t="s">
        <v>1008</v>
      </c>
      <c r="M13" s="306" t="s">
        <v>1046</v>
      </c>
      <c r="N13" s="306" t="s">
        <v>1047</v>
      </c>
      <c r="O13" s="306" t="s">
        <v>1050</v>
      </c>
      <c r="P13" s="306" t="s">
        <v>1012</v>
      </c>
      <c r="Q13" s="306" t="s">
        <v>1013</v>
      </c>
      <c r="R13" s="306" t="s">
        <v>1013</v>
      </c>
      <c r="S13" s="306" t="s">
        <v>1013</v>
      </c>
      <c r="T13" s="306" t="s">
        <v>1036</v>
      </c>
      <c r="U13" s="306" t="s">
        <v>1013</v>
      </c>
      <c r="V13" s="306" t="s">
        <v>1013</v>
      </c>
      <c r="W13" s="306" t="s">
        <v>1013</v>
      </c>
      <c r="X13" s="306" t="s">
        <v>1013</v>
      </c>
      <c r="Y13" s="306" t="s">
        <v>1036</v>
      </c>
      <c r="Z13" s="306" t="s">
        <v>1015</v>
      </c>
      <c r="AA13" s="306" t="s">
        <v>1013</v>
      </c>
    </row>
    <row r="14" spans="1:27" hidden="1">
      <c r="A14" s="306" t="s">
        <v>494</v>
      </c>
      <c r="B14" s="306" t="s">
        <v>1003</v>
      </c>
      <c r="C14" s="306" t="s">
        <v>1004</v>
      </c>
      <c r="D14" s="306" t="s">
        <v>1005</v>
      </c>
      <c r="E14" s="306" t="s">
        <v>1051</v>
      </c>
      <c r="F14" s="306" t="s">
        <v>1007</v>
      </c>
      <c r="G14" s="308">
        <v>46013</v>
      </c>
      <c r="H14" s="308">
        <v>46013</v>
      </c>
      <c r="I14" s="309">
        <v>-78899.09</v>
      </c>
      <c r="J14" s="306" t="s">
        <v>1008</v>
      </c>
      <c r="K14" s="309">
        <v>-78899.09</v>
      </c>
      <c r="L14" s="306" t="s">
        <v>1008</v>
      </c>
      <c r="M14" s="306" t="s">
        <v>1046</v>
      </c>
      <c r="N14" s="306" t="s">
        <v>1047</v>
      </c>
      <c r="O14" s="306" t="s">
        <v>1052</v>
      </c>
      <c r="P14" s="306" t="s">
        <v>1012</v>
      </c>
      <c r="Q14" s="306" t="s">
        <v>1013</v>
      </c>
      <c r="R14" s="306" t="s">
        <v>1013</v>
      </c>
      <c r="S14" s="306" t="s">
        <v>1013</v>
      </c>
      <c r="T14" s="306" t="s">
        <v>1036</v>
      </c>
      <c r="U14" s="306" t="s">
        <v>1013</v>
      </c>
      <c r="V14" s="306" t="s">
        <v>1013</v>
      </c>
      <c r="W14" s="306" t="s">
        <v>1013</v>
      </c>
      <c r="X14" s="306" t="s">
        <v>1013</v>
      </c>
      <c r="Y14" s="306" t="s">
        <v>1036</v>
      </c>
      <c r="Z14" s="306" t="s">
        <v>1015</v>
      </c>
      <c r="AA14" s="306" t="s">
        <v>1013</v>
      </c>
    </row>
    <row r="15" spans="1:27" hidden="1">
      <c r="A15" s="306" t="s">
        <v>494</v>
      </c>
      <c r="B15" s="306" t="s">
        <v>1003</v>
      </c>
      <c r="C15" s="306" t="s">
        <v>1004</v>
      </c>
      <c r="D15" s="306" t="s">
        <v>1031</v>
      </c>
      <c r="E15" s="306" t="s">
        <v>1053</v>
      </c>
      <c r="F15" s="306" t="s">
        <v>1007</v>
      </c>
      <c r="G15" s="308">
        <v>46013</v>
      </c>
      <c r="H15" s="308">
        <v>46013</v>
      </c>
      <c r="I15" s="309">
        <v>-130648.96000000001</v>
      </c>
      <c r="J15" s="306" t="s">
        <v>1008</v>
      </c>
      <c r="K15" s="309">
        <v>-130648.96000000001</v>
      </c>
      <c r="L15" s="306" t="s">
        <v>1008</v>
      </c>
      <c r="M15" s="306" t="s">
        <v>1033</v>
      </c>
      <c r="N15" s="306" t="s">
        <v>1034</v>
      </c>
      <c r="O15" s="306" t="s">
        <v>1054</v>
      </c>
      <c r="P15" s="306" t="s">
        <v>1012</v>
      </c>
      <c r="Q15" s="306" t="s">
        <v>1013</v>
      </c>
      <c r="R15" s="306" t="s">
        <v>1013</v>
      </c>
      <c r="S15" s="306" t="s">
        <v>1013</v>
      </c>
      <c r="T15" s="306" t="s">
        <v>1036</v>
      </c>
      <c r="U15" s="306" t="s">
        <v>1013</v>
      </c>
      <c r="V15" s="306" t="s">
        <v>1013</v>
      </c>
      <c r="W15" s="306" t="s">
        <v>1013</v>
      </c>
      <c r="X15" s="306" t="s">
        <v>1013</v>
      </c>
      <c r="Y15" s="306" t="s">
        <v>1036</v>
      </c>
      <c r="Z15" s="306" t="s">
        <v>1015</v>
      </c>
      <c r="AA15" s="306" t="s">
        <v>1013</v>
      </c>
    </row>
    <row r="16" spans="1:27" hidden="1">
      <c r="A16" s="306" t="s">
        <v>494</v>
      </c>
      <c r="B16" s="306" t="s">
        <v>1003</v>
      </c>
      <c r="C16" s="306" t="s">
        <v>1004</v>
      </c>
      <c r="D16" s="306" t="s">
        <v>1005</v>
      </c>
      <c r="E16" s="306" t="s">
        <v>1055</v>
      </c>
      <c r="F16" s="306" t="s">
        <v>1007</v>
      </c>
      <c r="G16" s="308">
        <v>46013</v>
      </c>
      <c r="H16" s="308">
        <v>46013</v>
      </c>
      <c r="I16" s="309">
        <v>-197247.71</v>
      </c>
      <c r="J16" s="306" t="s">
        <v>1008</v>
      </c>
      <c r="K16" s="309">
        <v>-197247.71</v>
      </c>
      <c r="L16" s="306" t="s">
        <v>1008</v>
      </c>
      <c r="M16" s="306" t="s">
        <v>1046</v>
      </c>
      <c r="N16" s="306" t="s">
        <v>1047</v>
      </c>
      <c r="O16" s="306" t="s">
        <v>1056</v>
      </c>
      <c r="P16" s="306" t="s">
        <v>1012</v>
      </c>
      <c r="Q16" s="306" t="s">
        <v>1013</v>
      </c>
      <c r="R16" s="306" t="s">
        <v>1013</v>
      </c>
      <c r="S16" s="306" t="s">
        <v>1013</v>
      </c>
      <c r="T16" s="306" t="s">
        <v>1036</v>
      </c>
      <c r="U16" s="306" t="s">
        <v>1013</v>
      </c>
      <c r="V16" s="306" t="s">
        <v>1013</v>
      </c>
      <c r="W16" s="306" t="s">
        <v>1013</v>
      </c>
      <c r="X16" s="306" t="s">
        <v>1013</v>
      </c>
      <c r="Y16" s="306" t="s">
        <v>1036</v>
      </c>
      <c r="Z16" s="306" t="s">
        <v>1015</v>
      </c>
      <c r="AA16" s="306" t="s">
        <v>1013</v>
      </c>
    </row>
    <row r="17" spans="1:27" hidden="1">
      <c r="A17" s="306" t="s">
        <v>494</v>
      </c>
      <c r="B17" s="306" t="s">
        <v>1003</v>
      </c>
      <c r="C17" s="306" t="s">
        <v>1004</v>
      </c>
      <c r="D17" s="306" t="s">
        <v>1031</v>
      </c>
      <c r="E17" s="306" t="s">
        <v>1057</v>
      </c>
      <c r="F17" s="306" t="s">
        <v>1007</v>
      </c>
      <c r="G17" s="308">
        <v>46013</v>
      </c>
      <c r="H17" s="308">
        <v>46013</v>
      </c>
      <c r="I17" s="309">
        <v>-786430.68</v>
      </c>
      <c r="J17" s="306" t="s">
        <v>1008</v>
      </c>
      <c r="K17" s="309">
        <v>-786430.68</v>
      </c>
      <c r="L17" s="306" t="s">
        <v>1008</v>
      </c>
      <c r="M17" s="306" t="s">
        <v>1033</v>
      </c>
      <c r="N17" s="306" t="s">
        <v>1034</v>
      </c>
      <c r="O17" s="306" t="s">
        <v>1058</v>
      </c>
      <c r="P17" s="306" t="s">
        <v>1012</v>
      </c>
      <c r="Q17" s="306" t="s">
        <v>1013</v>
      </c>
      <c r="R17" s="306" t="s">
        <v>1013</v>
      </c>
      <c r="S17" s="306" t="s">
        <v>1013</v>
      </c>
      <c r="T17" s="306" t="s">
        <v>1036</v>
      </c>
      <c r="U17" s="306" t="s">
        <v>1013</v>
      </c>
      <c r="V17" s="306" t="s">
        <v>1013</v>
      </c>
      <c r="W17" s="306" t="s">
        <v>1013</v>
      </c>
      <c r="X17" s="306" t="s">
        <v>1013</v>
      </c>
      <c r="Y17" s="306" t="s">
        <v>1036</v>
      </c>
      <c r="Z17" s="306" t="s">
        <v>1015</v>
      </c>
      <c r="AA17" s="306" t="s">
        <v>1013</v>
      </c>
    </row>
    <row r="18" spans="1:27" hidden="1">
      <c r="A18" s="306" t="s">
        <v>494</v>
      </c>
      <c r="B18" s="306" t="s">
        <v>1003</v>
      </c>
      <c r="C18" s="306" t="s">
        <v>1004</v>
      </c>
      <c r="D18" s="306" t="s">
        <v>1019</v>
      </c>
      <c r="E18" s="306" t="s">
        <v>1059</v>
      </c>
      <c r="F18" s="306" t="s">
        <v>1007</v>
      </c>
      <c r="G18" s="308">
        <v>46013</v>
      </c>
      <c r="H18" s="308">
        <v>46013</v>
      </c>
      <c r="I18" s="309">
        <v>-132548.54</v>
      </c>
      <c r="J18" s="306" t="s">
        <v>1008</v>
      </c>
      <c r="K18" s="309">
        <v>-132548.54</v>
      </c>
      <c r="L18" s="306" t="s">
        <v>1008</v>
      </c>
      <c r="M18" s="306" t="s">
        <v>1042</v>
      </c>
      <c r="N18" s="306" t="s">
        <v>1043</v>
      </c>
      <c r="O18" s="306" t="s">
        <v>1060</v>
      </c>
      <c r="P18" s="306" t="s">
        <v>1012</v>
      </c>
      <c r="Q18" s="306" t="s">
        <v>1013</v>
      </c>
      <c r="R18" s="306" t="s">
        <v>1013</v>
      </c>
      <c r="S18" s="306" t="s">
        <v>1013</v>
      </c>
      <c r="T18" s="306" t="s">
        <v>1036</v>
      </c>
      <c r="U18" s="306" t="s">
        <v>1013</v>
      </c>
      <c r="V18" s="306" t="s">
        <v>1013</v>
      </c>
      <c r="W18" s="306" t="s">
        <v>1013</v>
      </c>
      <c r="X18" s="306" t="s">
        <v>1013</v>
      </c>
      <c r="Y18" s="306" t="s">
        <v>1036</v>
      </c>
      <c r="Z18" s="306" t="s">
        <v>1015</v>
      </c>
      <c r="AA18" s="306" t="s">
        <v>1013</v>
      </c>
    </row>
    <row r="19" spans="1:27" hidden="1">
      <c r="A19" s="306" t="s">
        <v>494</v>
      </c>
      <c r="B19" s="306" t="s">
        <v>1003</v>
      </c>
      <c r="C19" s="306" t="s">
        <v>1004</v>
      </c>
      <c r="D19" s="306" t="s">
        <v>1031</v>
      </c>
      <c r="E19" s="306" t="s">
        <v>1061</v>
      </c>
      <c r="F19" s="306" t="s">
        <v>1007</v>
      </c>
      <c r="G19" s="308">
        <v>46013</v>
      </c>
      <c r="H19" s="308">
        <v>46013</v>
      </c>
      <c r="I19" s="309">
        <v>-78008.850000000006</v>
      </c>
      <c r="J19" s="306" t="s">
        <v>1008</v>
      </c>
      <c r="K19" s="309">
        <v>-78008.850000000006</v>
      </c>
      <c r="L19" s="306" t="s">
        <v>1008</v>
      </c>
      <c r="M19" s="306" t="s">
        <v>1033</v>
      </c>
      <c r="N19" s="306" t="s">
        <v>1034</v>
      </c>
      <c r="O19" s="306" t="s">
        <v>1062</v>
      </c>
      <c r="P19" s="306" t="s">
        <v>1012</v>
      </c>
      <c r="Q19" s="306" t="s">
        <v>1013</v>
      </c>
      <c r="R19" s="306" t="s">
        <v>1013</v>
      </c>
      <c r="S19" s="306" t="s">
        <v>1013</v>
      </c>
      <c r="T19" s="306" t="s">
        <v>1036</v>
      </c>
      <c r="U19" s="306" t="s">
        <v>1013</v>
      </c>
      <c r="V19" s="306" t="s">
        <v>1013</v>
      </c>
      <c r="W19" s="306" t="s">
        <v>1013</v>
      </c>
      <c r="X19" s="306" t="s">
        <v>1013</v>
      </c>
      <c r="Y19" s="306" t="s">
        <v>1036</v>
      </c>
      <c r="Z19" s="306" t="s">
        <v>1015</v>
      </c>
      <c r="AA19" s="306" t="s">
        <v>1013</v>
      </c>
    </row>
    <row r="20" spans="1:27" hidden="1">
      <c r="A20" s="306" t="s">
        <v>494</v>
      </c>
      <c r="B20" s="306" t="s">
        <v>1003</v>
      </c>
      <c r="C20" s="306" t="s">
        <v>1004</v>
      </c>
      <c r="D20" s="306" t="s">
        <v>1005</v>
      </c>
      <c r="E20" s="306" t="s">
        <v>1063</v>
      </c>
      <c r="F20" s="306" t="s">
        <v>1007</v>
      </c>
      <c r="G20" s="308">
        <v>46013</v>
      </c>
      <c r="H20" s="308">
        <v>46013</v>
      </c>
      <c r="I20" s="309">
        <v>-41422.019999999997</v>
      </c>
      <c r="J20" s="306" t="s">
        <v>1008</v>
      </c>
      <c r="K20" s="309">
        <v>-41422.019999999997</v>
      </c>
      <c r="L20" s="306" t="s">
        <v>1008</v>
      </c>
      <c r="M20" s="306" t="s">
        <v>1046</v>
      </c>
      <c r="N20" s="306" t="s">
        <v>1047</v>
      </c>
      <c r="O20" s="306" t="s">
        <v>1064</v>
      </c>
      <c r="P20" s="306" t="s">
        <v>1012</v>
      </c>
      <c r="Q20" s="306" t="s">
        <v>1013</v>
      </c>
      <c r="R20" s="306" t="s">
        <v>1013</v>
      </c>
      <c r="S20" s="306" t="s">
        <v>1013</v>
      </c>
      <c r="T20" s="306" t="s">
        <v>1036</v>
      </c>
      <c r="U20" s="306" t="s">
        <v>1013</v>
      </c>
      <c r="V20" s="306" t="s">
        <v>1013</v>
      </c>
      <c r="W20" s="306" t="s">
        <v>1013</v>
      </c>
      <c r="X20" s="306" t="s">
        <v>1013</v>
      </c>
      <c r="Y20" s="306" t="s">
        <v>1036</v>
      </c>
      <c r="Z20" s="306" t="s">
        <v>1015</v>
      </c>
      <c r="AA20" s="306" t="s">
        <v>1013</v>
      </c>
    </row>
    <row r="21" spans="1:27" hidden="1">
      <c r="A21" s="306" t="s">
        <v>494</v>
      </c>
      <c r="B21" s="306" t="s">
        <v>1003</v>
      </c>
      <c r="C21" s="306" t="s">
        <v>1004</v>
      </c>
      <c r="D21" s="306" t="s">
        <v>1019</v>
      </c>
      <c r="E21" s="306" t="s">
        <v>1065</v>
      </c>
      <c r="F21" s="306" t="s">
        <v>1007</v>
      </c>
      <c r="G21" s="308">
        <v>46013</v>
      </c>
      <c r="H21" s="308">
        <v>46013</v>
      </c>
      <c r="I21" s="309">
        <v>-46522.01</v>
      </c>
      <c r="J21" s="306" t="s">
        <v>1008</v>
      </c>
      <c r="K21" s="309">
        <v>-46522.01</v>
      </c>
      <c r="L21" s="306" t="s">
        <v>1008</v>
      </c>
      <c r="M21" s="306" t="s">
        <v>1066</v>
      </c>
      <c r="N21" s="306" t="s">
        <v>1067</v>
      </c>
      <c r="O21" s="306" t="s">
        <v>1068</v>
      </c>
      <c r="P21" s="306" t="s">
        <v>1069</v>
      </c>
      <c r="Q21" s="306" t="s">
        <v>1013</v>
      </c>
      <c r="R21" s="306" t="s">
        <v>1013</v>
      </c>
      <c r="S21" s="306" t="s">
        <v>1013</v>
      </c>
      <c r="T21" s="306" t="s">
        <v>1070</v>
      </c>
      <c r="U21" s="306" t="s">
        <v>1013</v>
      </c>
      <c r="V21" s="306" t="s">
        <v>1013</v>
      </c>
      <c r="W21" s="306" t="s">
        <v>1013</v>
      </c>
      <c r="X21" s="306" t="s">
        <v>1013</v>
      </c>
      <c r="Y21" s="306" t="s">
        <v>1070</v>
      </c>
      <c r="Z21" s="306" t="s">
        <v>1071</v>
      </c>
      <c r="AA21" s="306" t="s">
        <v>1013</v>
      </c>
    </row>
    <row r="22" spans="1:27" hidden="1">
      <c r="A22" s="306" t="s">
        <v>494</v>
      </c>
      <c r="B22" s="306" t="s">
        <v>1003</v>
      </c>
      <c r="C22" s="306" t="s">
        <v>1004</v>
      </c>
      <c r="D22" s="306" t="s">
        <v>1019</v>
      </c>
      <c r="E22" s="306" t="s">
        <v>1072</v>
      </c>
      <c r="F22" s="306" t="s">
        <v>1007</v>
      </c>
      <c r="G22" s="308">
        <v>46013</v>
      </c>
      <c r="H22" s="308">
        <v>46013</v>
      </c>
      <c r="I22" s="309">
        <v>-158176.1</v>
      </c>
      <c r="J22" s="306" t="s">
        <v>1008</v>
      </c>
      <c r="K22" s="309">
        <v>-158176.1</v>
      </c>
      <c r="L22" s="306" t="s">
        <v>1008</v>
      </c>
      <c r="M22" s="306" t="s">
        <v>1066</v>
      </c>
      <c r="N22" s="306" t="s">
        <v>1067</v>
      </c>
      <c r="O22" s="306" t="s">
        <v>1073</v>
      </c>
      <c r="P22" s="306" t="s">
        <v>1069</v>
      </c>
      <c r="Q22" s="306" t="s">
        <v>1013</v>
      </c>
      <c r="R22" s="306" t="s">
        <v>1013</v>
      </c>
      <c r="S22" s="306" t="s">
        <v>1013</v>
      </c>
      <c r="T22" s="306" t="s">
        <v>1070</v>
      </c>
      <c r="U22" s="306" t="s">
        <v>1013</v>
      </c>
      <c r="V22" s="306" t="s">
        <v>1013</v>
      </c>
      <c r="W22" s="306" t="s">
        <v>1013</v>
      </c>
      <c r="X22" s="306" t="s">
        <v>1013</v>
      </c>
      <c r="Y22" s="306" t="s">
        <v>1070</v>
      </c>
      <c r="Z22" s="306" t="s">
        <v>1071</v>
      </c>
      <c r="AA22" s="306" t="s">
        <v>1013</v>
      </c>
    </row>
    <row r="23" spans="1:27" hidden="1">
      <c r="A23" s="306" t="s">
        <v>494</v>
      </c>
      <c r="B23" s="306" t="s">
        <v>1003</v>
      </c>
      <c r="C23" s="306" t="s">
        <v>1004</v>
      </c>
      <c r="D23" s="306" t="s">
        <v>1019</v>
      </c>
      <c r="E23" s="306" t="s">
        <v>1074</v>
      </c>
      <c r="F23" s="306" t="s">
        <v>1007</v>
      </c>
      <c r="G23" s="308">
        <v>46013</v>
      </c>
      <c r="H23" s="308">
        <v>46013</v>
      </c>
      <c r="I23" s="309">
        <v>-84410.9</v>
      </c>
      <c r="J23" s="306" t="s">
        <v>1008</v>
      </c>
      <c r="K23" s="309">
        <v>-84410.9</v>
      </c>
      <c r="L23" s="306" t="s">
        <v>1008</v>
      </c>
      <c r="M23" s="306" t="s">
        <v>1066</v>
      </c>
      <c r="N23" s="306" t="s">
        <v>1067</v>
      </c>
      <c r="O23" s="306" t="s">
        <v>1075</v>
      </c>
      <c r="P23" s="306" t="s">
        <v>1069</v>
      </c>
      <c r="Q23" s="306" t="s">
        <v>1013</v>
      </c>
      <c r="R23" s="306" t="s">
        <v>1013</v>
      </c>
      <c r="S23" s="306" t="s">
        <v>1013</v>
      </c>
      <c r="T23" s="306" t="s">
        <v>1070</v>
      </c>
      <c r="U23" s="306" t="s">
        <v>1013</v>
      </c>
      <c r="V23" s="306" t="s">
        <v>1013</v>
      </c>
      <c r="W23" s="306" t="s">
        <v>1013</v>
      </c>
      <c r="X23" s="306" t="s">
        <v>1013</v>
      </c>
      <c r="Y23" s="306" t="s">
        <v>1070</v>
      </c>
      <c r="Z23" s="306" t="s">
        <v>1071</v>
      </c>
      <c r="AA23" s="306" t="s">
        <v>1013</v>
      </c>
    </row>
    <row r="24" spans="1:27" hidden="1">
      <c r="A24" s="306" t="s">
        <v>494</v>
      </c>
      <c r="B24" s="306" t="s">
        <v>1003</v>
      </c>
      <c r="C24" s="306" t="s">
        <v>1004</v>
      </c>
      <c r="D24" s="306" t="s">
        <v>1019</v>
      </c>
      <c r="E24" s="306" t="s">
        <v>1076</v>
      </c>
      <c r="F24" s="306" t="s">
        <v>1007</v>
      </c>
      <c r="G24" s="308">
        <v>46013</v>
      </c>
      <c r="H24" s="308">
        <v>46013</v>
      </c>
      <c r="I24" s="309">
        <v>-330188.68</v>
      </c>
      <c r="J24" s="306" t="s">
        <v>1008</v>
      </c>
      <c r="K24" s="309">
        <v>-330188.68</v>
      </c>
      <c r="L24" s="306" t="s">
        <v>1008</v>
      </c>
      <c r="M24" s="306" t="s">
        <v>1066</v>
      </c>
      <c r="N24" s="306" t="s">
        <v>1067</v>
      </c>
      <c r="O24" s="306" t="s">
        <v>1077</v>
      </c>
      <c r="P24" s="306" t="s">
        <v>1069</v>
      </c>
      <c r="Q24" s="306" t="s">
        <v>1013</v>
      </c>
      <c r="R24" s="306" t="s">
        <v>1013</v>
      </c>
      <c r="S24" s="306" t="s">
        <v>1013</v>
      </c>
      <c r="T24" s="306" t="s">
        <v>1070</v>
      </c>
      <c r="U24" s="306" t="s">
        <v>1013</v>
      </c>
      <c r="V24" s="306" t="s">
        <v>1013</v>
      </c>
      <c r="W24" s="306" t="s">
        <v>1013</v>
      </c>
      <c r="X24" s="306" t="s">
        <v>1013</v>
      </c>
      <c r="Y24" s="306" t="s">
        <v>1070</v>
      </c>
      <c r="Z24" s="306" t="s">
        <v>1071</v>
      </c>
      <c r="AA24" s="306" t="s">
        <v>1013</v>
      </c>
    </row>
    <row r="25" spans="1:27" hidden="1">
      <c r="A25" s="306" t="s">
        <v>494</v>
      </c>
      <c r="B25" s="306" t="s">
        <v>1003</v>
      </c>
      <c r="C25" s="306" t="s">
        <v>1004</v>
      </c>
      <c r="D25" s="306" t="s">
        <v>1031</v>
      </c>
      <c r="E25" s="306" t="s">
        <v>1078</v>
      </c>
      <c r="F25" s="306" t="s">
        <v>1007</v>
      </c>
      <c r="G25" s="308">
        <v>46013</v>
      </c>
      <c r="H25" s="308">
        <v>46013</v>
      </c>
      <c r="I25" s="309">
        <v>-6085308.6200000001</v>
      </c>
      <c r="J25" s="306" t="s">
        <v>1008</v>
      </c>
      <c r="K25" s="309">
        <v>-6085308.6200000001</v>
      </c>
      <c r="L25" s="306" t="s">
        <v>1008</v>
      </c>
      <c r="M25" s="306" t="s">
        <v>1034</v>
      </c>
      <c r="N25" s="306" t="s">
        <v>1034</v>
      </c>
      <c r="O25" s="306" t="s">
        <v>1035</v>
      </c>
      <c r="P25" s="306" t="s">
        <v>1026</v>
      </c>
      <c r="Q25" s="306" t="s">
        <v>1013</v>
      </c>
      <c r="R25" s="306" t="s">
        <v>1013</v>
      </c>
      <c r="S25" s="306" t="s">
        <v>1013</v>
      </c>
      <c r="T25" s="306" t="s">
        <v>1036</v>
      </c>
      <c r="U25" s="306" t="s">
        <v>1013</v>
      </c>
      <c r="V25" s="306" t="s">
        <v>1013</v>
      </c>
      <c r="W25" s="306" t="s">
        <v>1013</v>
      </c>
      <c r="X25" s="306" t="s">
        <v>1013</v>
      </c>
      <c r="Y25" s="306" t="s">
        <v>1036</v>
      </c>
      <c r="Z25" s="306" t="s">
        <v>1015</v>
      </c>
      <c r="AA25" s="306" t="s">
        <v>1013</v>
      </c>
    </row>
    <row r="26" spans="1:27" hidden="1">
      <c r="A26" s="306" t="s">
        <v>494</v>
      </c>
      <c r="B26" s="306" t="s">
        <v>1003</v>
      </c>
      <c r="C26" s="306" t="s">
        <v>1004</v>
      </c>
      <c r="D26" s="306" t="s">
        <v>1031</v>
      </c>
      <c r="E26" s="306" t="s">
        <v>1079</v>
      </c>
      <c r="F26" s="306" t="s">
        <v>1007</v>
      </c>
      <c r="G26" s="308">
        <v>46013</v>
      </c>
      <c r="H26" s="308">
        <v>46013</v>
      </c>
      <c r="I26" s="309">
        <v>-1568907.66</v>
      </c>
      <c r="J26" s="306" t="s">
        <v>1008</v>
      </c>
      <c r="K26" s="309">
        <v>-1568907.66</v>
      </c>
      <c r="L26" s="306" t="s">
        <v>1008</v>
      </c>
      <c r="M26" s="306" t="s">
        <v>1034</v>
      </c>
      <c r="N26" s="306" t="s">
        <v>1034</v>
      </c>
      <c r="O26" s="306" t="s">
        <v>1038</v>
      </c>
      <c r="P26" s="306" t="s">
        <v>1026</v>
      </c>
      <c r="Q26" s="306" t="s">
        <v>1013</v>
      </c>
      <c r="R26" s="306" t="s">
        <v>1013</v>
      </c>
      <c r="S26" s="306" t="s">
        <v>1013</v>
      </c>
      <c r="T26" s="306" t="s">
        <v>1036</v>
      </c>
      <c r="U26" s="306" t="s">
        <v>1013</v>
      </c>
      <c r="V26" s="306" t="s">
        <v>1013</v>
      </c>
      <c r="W26" s="306" t="s">
        <v>1013</v>
      </c>
      <c r="X26" s="306" t="s">
        <v>1013</v>
      </c>
      <c r="Y26" s="306" t="s">
        <v>1036</v>
      </c>
      <c r="Z26" s="306" t="s">
        <v>1015</v>
      </c>
      <c r="AA26" s="306" t="s">
        <v>1013</v>
      </c>
    </row>
    <row r="27" spans="1:27" hidden="1">
      <c r="A27" s="306" t="s">
        <v>494</v>
      </c>
      <c r="B27" s="306" t="s">
        <v>1003</v>
      </c>
      <c r="C27" s="306" t="s">
        <v>1004</v>
      </c>
      <c r="D27" s="306" t="s">
        <v>1031</v>
      </c>
      <c r="E27" s="306" t="s">
        <v>1080</v>
      </c>
      <c r="F27" s="306" t="s">
        <v>1007</v>
      </c>
      <c r="G27" s="308">
        <v>46013</v>
      </c>
      <c r="H27" s="308">
        <v>46013</v>
      </c>
      <c r="I27" s="309">
        <v>-875376.46</v>
      </c>
      <c r="J27" s="306" t="s">
        <v>1008</v>
      </c>
      <c r="K27" s="309">
        <v>-875376.46</v>
      </c>
      <c r="L27" s="306" t="s">
        <v>1008</v>
      </c>
      <c r="M27" s="306" t="s">
        <v>1034</v>
      </c>
      <c r="N27" s="306" t="s">
        <v>1034</v>
      </c>
      <c r="O27" s="306" t="s">
        <v>1040</v>
      </c>
      <c r="P27" s="306" t="s">
        <v>1026</v>
      </c>
      <c r="Q27" s="306" t="s">
        <v>1013</v>
      </c>
      <c r="R27" s="306" t="s">
        <v>1013</v>
      </c>
      <c r="S27" s="306" t="s">
        <v>1013</v>
      </c>
      <c r="T27" s="306" t="s">
        <v>1036</v>
      </c>
      <c r="U27" s="306" t="s">
        <v>1013</v>
      </c>
      <c r="V27" s="306" t="s">
        <v>1013</v>
      </c>
      <c r="W27" s="306" t="s">
        <v>1013</v>
      </c>
      <c r="X27" s="306" t="s">
        <v>1013</v>
      </c>
      <c r="Y27" s="306" t="s">
        <v>1036</v>
      </c>
      <c r="Z27" s="306" t="s">
        <v>1015</v>
      </c>
      <c r="AA27" s="306" t="s">
        <v>1013</v>
      </c>
    </row>
    <row r="28" spans="1:27" hidden="1">
      <c r="A28" s="306" t="s">
        <v>494</v>
      </c>
      <c r="B28" s="306" t="s">
        <v>1003</v>
      </c>
      <c r="C28" s="306" t="s">
        <v>1004</v>
      </c>
      <c r="D28" s="306" t="s">
        <v>1019</v>
      </c>
      <c r="E28" s="306" t="s">
        <v>1081</v>
      </c>
      <c r="F28" s="306" t="s">
        <v>1007</v>
      </c>
      <c r="G28" s="308">
        <v>46013</v>
      </c>
      <c r="H28" s="308">
        <v>46013</v>
      </c>
      <c r="I28" s="309">
        <v>-216352.2</v>
      </c>
      <c r="J28" s="306" t="s">
        <v>1008</v>
      </c>
      <c r="K28" s="309">
        <v>-216352.2</v>
      </c>
      <c r="L28" s="306" t="s">
        <v>1008</v>
      </c>
      <c r="M28" s="306" t="s">
        <v>1043</v>
      </c>
      <c r="N28" s="306" t="s">
        <v>1043</v>
      </c>
      <c r="O28" s="306" t="s">
        <v>1044</v>
      </c>
      <c r="P28" s="306" t="s">
        <v>1026</v>
      </c>
      <c r="Q28" s="306" t="s">
        <v>1013</v>
      </c>
      <c r="R28" s="306" t="s">
        <v>1013</v>
      </c>
      <c r="S28" s="306" t="s">
        <v>1013</v>
      </c>
      <c r="T28" s="306" t="s">
        <v>1036</v>
      </c>
      <c r="U28" s="306" t="s">
        <v>1013</v>
      </c>
      <c r="V28" s="306" t="s">
        <v>1013</v>
      </c>
      <c r="W28" s="306" t="s">
        <v>1013</v>
      </c>
      <c r="X28" s="306" t="s">
        <v>1013</v>
      </c>
      <c r="Y28" s="306" t="s">
        <v>1036</v>
      </c>
      <c r="Z28" s="306" t="s">
        <v>1015</v>
      </c>
      <c r="AA28" s="306" t="s">
        <v>1013</v>
      </c>
    </row>
    <row r="29" spans="1:27" hidden="1">
      <c r="A29" s="306" t="s">
        <v>494</v>
      </c>
      <c r="B29" s="306" t="s">
        <v>1003</v>
      </c>
      <c r="C29" s="306" t="s">
        <v>1004</v>
      </c>
      <c r="D29" s="306" t="s">
        <v>1005</v>
      </c>
      <c r="E29" s="306" t="s">
        <v>1082</v>
      </c>
      <c r="F29" s="306" t="s">
        <v>1007</v>
      </c>
      <c r="G29" s="308">
        <v>46013</v>
      </c>
      <c r="H29" s="308">
        <v>46013</v>
      </c>
      <c r="I29" s="309">
        <v>-3224999.98</v>
      </c>
      <c r="J29" s="306" t="s">
        <v>1008</v>
      </c>
      <c r="K29" s="309">
        <v>-3224999.98</v>
      </c>
      <c r="L29" s="306" t="s">
        <v>1008</v>
      </c>
      <c r="M29" s="306" t="s">
        <v>1047</v>
      </c>
      <c r="N29" s="306" t="s">
        <v>1047</v>
      </c>
      <c r="O29" s="306" t="s">
        <v>1048</v>
      </c>
      <c r="P29" s="306" t="s">
        <v>1026</v>
      </c>
      <c r="Q29" s="306" t="s">
        <v>1013</v>
      </c>
      <c r="R29" s="306" t="s">
        <v>1013</v>
      </c>
      <c r="S29" s="306" t="s">
        <v>1013</v>
      </c>
      <c r="T29" s="306" t="s">
        <v>1036</v>
      </c>
      <c r="U29" s="306" t="s">
        <v>1013</v>
      </c>
      <c r="V29" s="306" t="s">
        <v>1013</v>
      </c>
      <c r="W29" s="306" t="s">
        <v>1013</v>
      </c>
      <c r="X29" s="306" t="s">
        <v>1013</v>
      </c>
      <c r="Y29" s="306" t="s">
        <v>1036</v>
      </c>
      <c r="Z29" s="306" t="s">
        <v>1015</v>
      </c>
      <c r="AA29" s="306" t="s">
        <v>1013</v>
      </c>
    </row>
    <row r="30" spans="1:27" hidden="1">
      <c r="A30" s="306" t="s">
        <v>494</v>
      </c>
      <c r="B30" s="306" t="s">
        <v>1003</v>
      </c>
      <c r="C30" s="306" t="s">
        <v>1004</v>
      </c>
      <c r="D30" s="306" t="s">
        <v>1005</v>
      </c>
      <c r="E30" s="306" t="s">
        <v>1083</v>
      </c>
      <c r="F30" s="306" t="s">
        <v>1007</v>
      </c>
      <c r="G30" s="308">
        <v>46013</v>
      </c>
      <c r="H30" s="308">
        <v>46013</v>
      </c>
      <c r="I30" s="309">
        <v>-2171287.04</v>
      </c>
      <c r="J30" s="306" t="s">
        <v>1008</v>
      </c>
      <c r="K30" s="309">
        <v>-2171287.04</v>
      </c>
      <c r="L30" s="306" t="s">
        <v>1008</v>
      </c>
      <c r="M30" s="306" t="s">
        <v>1047</v>
      </c>
      <c r="N30" s="306" t="s">
        <v>1047</v>
      </c>
      <c r="O30" s="306" t="s">
        <v>1050</v>
      </c>
      <c r="P30" s="306" t="s">
        <v>1026</v>
      </c>
      <c r="Q30" s="306" t="s">
        <v>1013</v>
      </c>
      <c r="R30" s="306" t="s">
        <v>1013</v>
      </c>
      <c r="S30" s="306" t="s">
        <v>1013</v>
      </c>
      <c r="T30" s="306" t="s">
        <v>1036</v>
      </c>
      <c r="U30" s="306" t="s">
        <v>1013</v>
      </c>
      <c r="V30" s="306" t="s">
        <v>1013</v>
      </c>
      <c r="W30" s="306" t="s">
        <v>1013</v>
      </c>
      <c r="X30" s="306" t="s">
        <v>1013</v>
      </c>
      <c r="Y30" s="306" t="s">
        <v>1036</v>
      </c>
      <c r="Z30" s="306" t="s">
        <v>1015</v>
      </c>
      <c r="AA30" s="306" t="s">
        <v>1013</v>
      </c>
    </row>
    <row r="31" spans="1:27" hidden="1">
      <c r="A31" s="306" t="s">
        <v>494</v>
      </c>
      <c r="B31" s="306" t="s">
        <v>1003</v>
      </c>
      <c r="C31" s="306" t="s">
        <v>1004</v>
      </c>
      <c r="D31" s="306" t="s">
        <v>1005</v>
      </c>
      <c r="E31" s="306" t="s">
        <v>1084</v>
      </c>
      <c r="F31" s="306" t="s">
        <v>1007</v>
      </c>
      <c r="G31" s="308">
        <v>46013</v>
      </c>
      <c r="H31" s="308">
        <v>46013</v>
      </c>
      <c r="I31" s="309">
        <v>-78899.09</v>
      </c>
      <c r="J31" s="306" t="s">
        <v>1008</v>
      </c>
      <c r="K31" s="309">
        <v>-78899.09</v>
      </c>
      <c r="L31" s="306" t="s">
        <v>1008</v>
      </c>
      <c r="M31" s="306" t="s">
        <v>1047</v>
      </c>
      <c r="N31" s="306" t="s">
        <v>1047</v>
      </c>
      <c r="O31" s="306" t="s">
        <v>1052</v>
      </c>
      <c r="P31" s="306" t="s">
        <v>1026</v>
      </c>
      <c r="Q31" s="306" t="s">
        <v>1013</v>
      </c>
      <c r="R31" s="306" t="s">
        <v>1013</v>
      </c>
      <c r="S31" s="306" t="s">
        <v>1013</v>
      </c>
      <c r="T31" s="306" t="s">
        <v>1036</v>
      </c>
      <c r="U31" s="306" t="s">
        <v>1013</v>
      </c>
      <c r="V31" s="306" t="s">
        <v>1013</v>
      </c>
      <c r="W31" s="306" t="s">
        <v>1013</v>
      </c>
      <c r="X31" s="306" t="s">
        <v>1013</v>
      </c>
      <c r="Y31" s="306" t="s">
        <v>1036</v>
      </c>
      <c r="Z31" s="306" t="s">
        <v>1015</v>
      </c>
      <c r="AA31" s="306" t="s">
        <v>1013</v>
      </c>
    </row>
    <row r="32" spans="1:27" hidden="1">
      <c r="A32" s="306" t="s">
        <v>494</v>
      </c>
      <c r="B32" s="306" t="s">
        <v>1003</v>
      </c>
      <c r="C32" s="306" t="s">
        <v>1004</v>
      </c>
      <c r="D32" s="306" t="s">
        <v>1031</v>
      </c>
      <c r="E32" s="306" t="s">
        <v>1085</v>
      </c>
      <c r="F32" s="306" t="s">
        <v>1007</v>
      </c>
      <c r="G32" s="308">
        <v>46013</v>
      </c>
      <c r="H32" s="308">
        <v>46013</v>
      </c>
      <c r="I32" s="309">
        <v>-130648.96000000001</v>
      </c>
      <c r="J32" s="306" t="s">
        <v>1008</v>
      </c>
      <c r="K32" s="309">
        <v>-130648.96000000001</v>
      </c>
      <c r="L32" s="306" t="s">
        <v>1008</v>
      </c>
      <c r="M32" s="306" t="s">
        <v>1034</v>
      </c>
      <c r="N32" s="306" t="s">
        <v>1034</v>
      </c>
      <c r="O32" s="306" t="s">
        <v>1054</v>
      </c>
      <c r="P32" s="306" t="s">
        <v>1026</v>
      </c>
      <c r="Q32" s="306" t="s">
        <v>1013</v>
      </c>
      <c r="R32" s="306" t="s">
        <v>1013</v>
      </c>
      <c r="S32" s="306" t="s">
        <v>1013</v>
      </c>
      <c r="T32" s="306" t="s">
        <v>1036</v>
      </c>
      <c r="U32" s="306" t="s">
        <v>1013</v>
      </c>
      <c r="V32" s="306" t="s">
        <v>1013</v>
      </c>
      <c r="W32" s="306" t="s">
        <v>1013</v>
      </c>
      <c r="X32" s="306" t="s">
        <v>1013</v>
      </c>
      <c r="Y32" s="306" t="s">
        <v>1036</v>
      </c>
      <c r="Z32" s="306" t="s">
        <v>1015</v>
      </c>
      <c r="AA32" s="306" t="s">
        <v>1013</v>
      </c>
    </row>
    <row r="33" spans="1:27" hidden="1">
      <c r="A33" s="306" t="s">
        <v>494</v>
      </c>
      <c r="B33" s="306" t="s">
        <v>1003</v>
      </c>
      <c r="C33" s="306" t="s">
        <v>1004</v>
      </c>
      <c r="D33" s="306" t="s">
        <v>1005</v>
      </c>
      <c r="E33" s="306" t="s">
        <v>1086</v>
      </c>
      <c r="F33" s="306" t="s">
        <v>1007</v>
      </c>
      <c r="G33" s="308">
        <v>46013</v>
      </c>
      <c r="H33" s="308">
        <v>46013</v>
      </c>
      <c r="I33" s="309">
        <v>-197247.71</v>
      </c>
      <c r="J33" s="306" t="s">
        <v>1008</v>
      </c>
      <c r="K33" s="309">
        <v>-197247.71</v>
      </c>
      <c r="L33" s="306" t="s">
        <v>1008</v>
      </c>
      <c r="M33" s="306" t="s">
        <v>1047</v>
      </c>
      <c r="N33" s="306" t="s">
        <v>1047</v>
      </c>
      <c r="O33" s="306" t="s">
        <v>1056</v>
      </c>
      <c r="P33" s="306" t="s">
        <v>1026</v>
      </c>
      <c r="Q33" s="306" t="s">
        <v>1013</v>
      </c>
      <c r="R33" s="306" t="s">
        <v>1013</v>
      </c>
      <c r="S33" s="306" t="s">
        <v>1013</v>
      </c>
      <c r="T33" s="306" t="s">
        <v>1036</v>
      </c>
      <c r="U33" s="306" t="s">
        <v>1013</v>
      </c>
      <c r="V33" s="306" t="s">
        <v>1013</v>
      </c>
      <c r="W33" s="306" t="s">
        <v>1013</v>
      </c>
      <c r="X33" s="306" t="s">
        <v>1013</v>
      </c>
      <c r="Y33" s="306" t="s">
        <v>1036</v>
      </c>
      <c r="Z33" s="306" t="s">
        <v>1015</v>
      </c>
      <c r="AA33" s="306" t="s">
        <v>1013</v>
      </c>
    </row>
    <row r="34" spans="1:27" hidden="1">
      <c r="A34" s="306" t="s">
        <v>494</v>
      </c>
      <c r="B34" s="306" t="s">
        <v>1003</v>
      </c>
      <c r="C34" s="306" t="s">
        <v>1004</v>
      </c>
      <c r="D34" s="306" t="s">
        <v>1031</v>
      </c>
      <c r="E34" s="306" t="s">
        <v>1087</v>
      </c>
      <c r="F34" s="306" t="s">
        <v>1007</v>
      </c>
      <c r="G34" s="308">
        <v>46013</v>
      </c>
      <c r="H34" s="308">
        <v>46013</v>
      </c>
      <c r="I34" s="309">
        <v>-786430.68</v>
      </c>
      <c r="J34" s="306" t="s">
        <v>1008</v>
      </c>
      <c r="K34" s="309">
        <v>-786430.68</v>
      </c>
      <c r="L34" s="306" t="s">
        <v>1008</v>
      </c>
      <c r="M34" s="306" t="s">
        <v>1034</v>
      </c>
      <c r="N34" s="306" t="s">
        <v>1034</v>
      </c>
      <c r="O34" s="306" t="s">
        <v>1058</v>
      </c>
      <c r="P34" s="306" t="s">
        <v>1026</v>
      </c>
      <c r="Q34" s="306" t="s">
        <v>1013</v>
      </c>
      <c r="R34" s="306" t="s">
        <v>1013</v>
      </c>
      <c r="S34" s="306" t="s">
        <v>1013</v>
      </c>
      <c r="T34" s="306" t="s">
        <v>1036</v>
      </c>
      <c r="U34" s="306" t="s">
        <v>1013</v>
      </c>
      <c r="V34" s="306" t="s">
        <v>1013</v>
      </c>
      <c r="W34" s="306" t="s">
        <v>1013</v>
      </c>
      <c r="X34" s="306" t="s">
        <v>1013</v>
      </c>
      <c r="Y34" s="306" t="s">
        <v>1036</v>
      </c>
      <c r="Z34" s="306" t="s">
        <v>1015</v>
      </c>
      <c r="AA34" s="306" t="s">
        <v>1013</v>
      </c>
    </row>
    <row r="35" spans="1:27" hidden="1">
      <c r="A35" s="306" t="s">
        <v>494</v>
      </c>
      <c r="B35" s="306" t="s">
        <v>1003</v>
      </c>
      <c r="C35" s="306" t="s">
        <v>1004</v>
      </c>
      <c r="D35" s="306" t="s">
        <v>1019</v>
      </c>
      <c r="E35" s="306" t="s">
        <v>1088</v>
      </c>
      <c r="F35" s="306" t="s">
        <v>1007</v>
      </c>
      <c r="G35" s="308">
        <v>46013</v>
      </c>
      <c r="H35" s="308">
        <v>46013</v>
      </c>
      <c r="I35" s="309">
        <v>-132548.54</v>
      </c>
      <c r="J35" s="306" t="s">
        <v>1008</v>
      </c>
      <c r="K35" s="309">
        <v>-132548.54</v>
      </c>
      <c r="L35" s="306" t="s">
        <v>1008</v>
      </c>
      <c r="M35" s="306" t="s">
        <v>1043</v>
      </c>
      <c r="N35" s="306" t="s">
        <v>1043</v>
      </c>
      <c r="O35" s="306" t="s">
        <v>1060</v>
      </c>
      <c r="P35" s="306" t="s">
        <v>1026</v>
      </c>
      <c r="Q35" s="306" t="s">
        <v>1013</v>
      </c>
      <c r="R35" s="306" t="s">
        <v>1013</v>
      </c>
      <c r="S35" s="306" t="s">
        <v>1013</v>
      </c>
      <c r="T35" s="306" t="s">
        <v>1036</v>
      </c>
      <c r="U35" s="306" t="s">
        <v>1013</v>
      </c>
      <c r="V35" s="306" t="s">
        <v>1013</v>
      </c>
      <c r="W35" s="306" t="s">
        <v>1013</v>
      </c>
      <c r="X35" s="306" t="s">
        <v>1013</v>
      </c>
      <c r="Y35" s="306" t="s">
        <v>1036</v>
      </c>
      <c r="Z35" s="306" t="s">
        <v>1015</v>
      </c>
      <c r="AA35" s="306" t="s">
        <v>1013</v>
      </c>
    </row>
    <row r="36" spans="1:27" hidden="1">
      <c r="A36" s="306" t="s">
        <v>494</v>
      </c>
      <c r="B36" s="306" t="s">
        <v>1003</v>
      </c>
      <c r="C36" s="306" t="s">
        <v>1004</v>
      </c>
      <c r="D36" s="306" t="s">
        <v>1031</v>
      </c>
      <c r="E36" s="306" t="s">
        <v>1089</v>
      </c>
      <c r="F36" s="306" t="s">
        <v>1007</v>
      </c>
      <c r="G36" s="308">
        <v>46013</v>
      </c>
      <c r="H36" s="308">
        <v>46013</v>
      </c>
      <c r="I36" s="309">
        <v>-78008.850000000006</v>
      </c>
      <c r="J36" s="306" t="s">
        <v>1008</v>
      </c>
      <c r="K36" s="309">
        <v>-78008.850000000006</v>
      </c>
      <c r="L36" s="306" t="s">
        <v>1008</v>
      </c>
      <c r="M36" s="306" t="s">
        <v>1034</v>
      </c>
      <c r="N36" s="306" t="s">
        <v>1034</v>
      </c>
      <c r="O36" s="306" t="s">
        <v>1062</v>
      </c>
      <c r="P36" s="306" t="s">
        <v>1026</v>
      </c>
      <c r="Q36" s="306" t="s">
        <v>1013</v>
      </c>
      <c r="R36" s="306" t="s">
        <v>1013</v>
      </c>
      <c r="S36" s="306" t="s">
        <v>1013</v>
      </c>
      <c r="T36" s="306" t="s">
        <v>1036</v>
      </c>
      <c r="U36" s="306" t="s">
        <v>1013</v>
      </c>
      <c r="V36" s="306" t="s">
        <v>1013</v>
      </c>
      <c r="W36" s="306" t="s">
        <v>1013</v>
      </c>
      <c r="X36" s="306" t="s">
        <v>1013</v>
      </c>
      <c r="Y36" s="306" t="s">
        <v>1036</v>
      </c>
      <c r="Z36" s="306" t="s">
        <v>1015</v>
      </c>
      <c r="AA36" s="306" t="s">
        <v>1013</v>
      </c>
    </row>
    <row r="37" spans="1:27" hidden="1">
      <c r="A37" s="306" t="s">
        <v>494</v>
      </c>
      <c r="B37" s="306" t="s">
        <v>1003</v>
      </c>
      <c r="C37" s="306" t="s">
        <v>1004</v>
      </c>
      <c r="D37" s="306" t="s">
        <v>1005</v>
      </c>
      <c r="E37" s="306" t="s">
        <v>1090</v>
      </c>
      <c r="F37" s="306" t="s">
        <v>1007</v>
      </c>
      <c r="G37" s="308">
        <v>46013</v>
      </c>
      <c r="H37" s="308">
        <v>46013</v>
      </c>
      <c r="I37" s="309">
        <v>-41422.019999999997</v>
      </c>
      <c r="J37" s="306" t="s">
        <v>1008</v>
      </c>
      <c r="K37" s="309">
        <v>-41422.019999999997</v>
      </c>
      <c r="L37" s="306" t="s">
        <v>1008</v>
      </c>
      <c r="M37" s="306" t="s">
        <v>1047</v>
      </c>
      <c r="N37" s="306" t="s">
        <v>1047</v>
      </c>
      <c r="O37" s="306" t="s">
        <v>1064</v>
      </c>
      <c r="P37" s="306" t="s">
        <v>1026</v>
      </c>
      <c r="Q37" s="306" t="s">
        <v>1013</v>
      </c>
      <c r="R37" s="306" t="s">
        <v>1013</v>
      </c>
      <c r="S37" s="306" t="s">
        <v>1013</v>
      </c>
      <c r="T37" s="306" t="s">
        <v>1036</v>
      </c>
      <c r="U37" s="306" t="s">
        <v>1013</v>
      </c>
      <c r="V37" s="306" t="s">
        <v>1013</v>
      </c>
      <c r="W37" s="306" t="s">
        <v>1013</v>
      </c>
      <c r="X37" s="306" t="s">
        <v>1013</v>
      </c>
      <c r="Y37" s="306" t="s">
        <v>1036</v>
      </c>
      <c r="Z37" s="306" t="s">
        <v>1015</v>
      </c>
      <c r="AA37" s="306" t="s">
        <v>1013</v>
      </c>
    </row>
    <row r="38" spans="1:27" hidden="1">
      <c r="A38" s="306" t="s">
        <v>494</v>
      </c>
      <c r="B38" s="306" t="s">
        <v>1003</v>
      </c>
      <c r="C38" s="306" t="s">
        <v>1004</v>
      </c>
      <c r="D38" s="306" t="s">
        <v>1005</v>
      </c>
      <c r="E38" s="306" t="s">
        <v>1091</v>
      </c>
      <c r="F38" s="306" t="s">
        <v>1007</v>
      </c>
      <c r="G38" s="308">
        <v>46014</v>
      </c>
      <c r="H38" s="308">
        <v>46014</v>
      </c>
      <c r="I38" s="309">
        <v>-417475.73</v>
      </c>
      <c r="J38" s="306" t="s">
        <v>1008</v>
      </c>
      <c r="K38" s="309">
        <v>-417475.73</v>
      </c>
      <c r="L38" s="306" t="s">
        <v>1008</v>
      </c>
      <c r="M38" s="306" t="s">
        <v>1046</v>
      </c>
      <c r="N38" s="306" t="s">
        <v>1047</v>
      </c>
      <c r="O38" s="306" t="s">
        <v>1060</v>
      </c>
      <c r="P38" s="306" t="s">
        <v>1012</v>
      </c>
      <c r="Q38" s="306" t="s">
        <v>1013</v>
      </c>
      <c r="R38" s="306" t="s">
        <v>1013</v>
      </c>
      <c r="S38" s="306" t="s">
        <v>1013</v>
      </c>
      <c r="T38" s="306" t="s">
        <v>1036</v>
      </c>
      <c r="U38" s="306" t="s">
        <v>1013</v>
      </c>
      <c r="V38" s="306" t="s">
        <v>1013</v>
      </c>
      <c r="W38" s="306" t="s">
        <v>1013</v>
      </c>
      <c r="X38" s="306" t="s">
        <v>1013</v>
      </c>
      <c r="Y38" s="306" t="s">
        <v>1036</v>
      </c>
      <c r="Z38" s="306" t="s">
        <v>1015</v>
      </c>
      <c r="AA38" s="306" t="s">
        <v>1013</v>
      </c>
    </row>
    <row r="39" spans="1:27" hidden="1">
      <c r="A39" s="306" t="s">
        <v>494</v>
      </c>
      <c r="B39" s="306" t="s">
        <v>1003</v>
      </c>
      <c r="C39" s="306" t="s">
        <v>1004</v>
      </c>
      <c r="D39" s="306" t="s">
        <v>1019</v>
      </c>
      <c r="E39" s="306" t="s">
        <v>1092</v>
      </c>
      <c r="F39" s="306" t="s">
        <v>1007</v>
      </c>
      <c r="G39" s="308">
        <v>46014</v>
      </c>
      <c r="H39" s="308">
        <v>46014</v>
      </c>
      <c r="I39" s="309">
        <v>-363833.57</v>
      </c>
      <c r="J39" s="306" t="s">
        <v>1008</v>
      </c>
      <c r="K39" s="309">
        <v>-363833.57</v>
      </c>
      <c r="L39" s="306" t="s">
        <v>1008</v>
      </c>
      <c r="M39" s="306" t="s">
        <v>1042</v>
      </c>
      <c r="N39" s="306" t="s">
        <v>1043</v>
      </c>
      <c r="O39" s="306" t="s">
        <v>1093</v>
      </c>
      <c r="P39" s="306" t="s">
        <v>1012</v>
      </c>
      <c r="Q39" s="306" t="s">
        <v>1013</v>
      </c>
      <c r="R39" s="306" t="s">
        <v>1013</v>
      </c>
      <c r="S39" s="306" t="s">
        <v>1013</v>
      </c>
      <c r="T39" s="306" t="s">
        <v>1036</v>
      </c>
      <c r="U39" s="306" t="s">
        <v>1013</v>
      </c>
      <c r="V39" s="306" t="s">
        <v>1013</v>
      </c>
      <c r="W39" s="306" t="s">
        <v>1013</v>
      </c>
      <c r="X39" s="306" t="s">
        <v>1013</v>
      </c>
      <c r="Y39" s="306" t="s">
        <v>1036</v>
      </c>
      <c r="Z39" s="306" t="s">
        <v>1015</v>
      </c>
      <c r="AA39" s="306" t="s">
        <v>1013</v>
      </c>
    </row>
    <row r="40" spans="1:27" hidden="1">
      <c r="A40" s="306" t="s">
        <v>494</v>
      </c>
      <c r="B40" s="306" t="s">
        <v>1003</v>
      </c>
      <c r="C40" s="306" t="s">
        <v>1004</v>
      </c>
      <c r="D40" s="306" t="s">
        <v>1031</v>
      </c>
      <c r="E40" s="306" t="s">
        <v>1094</v>
      </c>
      <c r="F40" s="306" t="s">
        <v>1007</v>
      </c>
      <c r="G40" s="308">
        <v>46014</v>
      </c>
      <c r="H40" s="308">
        <v>46014</v>
      </c>
      <c r="I40" s="309">
        <v>-1868451.79</v>
      </c>
      <c r="J40" s="306" t="s">
        <v>1008</v>
      </c>
      <c r="K40" s="309">
        <v>-1868451.79</v>
      </c>
      <c r="L40" s="306" t="s">
        <v>1008</v>
      </c>
      <c r="M40" s="306" t="s">
        <v>1034</v>
      </c>
      <c r="N40" s="306" t="s">
        <v>1034</v>
      </c>
      <c r="O40" s="306" t="s">
        <v>1035</v>
      </c>
      <c r="P40" s="306" t="s">
        <v>696</v>
      </c>
      <c r="Q40" s="306" t="s">
        <v>1013</v>
      </c>
      <c r="R40" s="306" t="s">
        <v>1013</v>
      </c>
      <c r="S40" s="306" t="s">
        <v>1013</v>
      </c>
      <c r="T40" s="306" t="s">
        <v>1036</v>
      </c>
      <c r="U40" s="306" t="s">
        <v>1013</v>
      </c>
      <c r="V40" s="306" t="s">
        <v>1013</v>
      </c>
      <c r="W40" s="306" t="s">
        <v>1013</v>
      </c>
      <c r="X40" s="306" t="s">
        <v>1013</v>
      </c>
      <c r="Y40" s="306" t="s">
        <v>1036</v>
      </c>
      <c r="Z40" s="306" t="s">
        <v>1015</v>
      </c>
      <c r="AA40" s="306" t="s">
        <v>1013</v>
      </c>
    </row>
    <row r="41" spans="1:27" hidden="1">
      <c r="A41" s="306" t="s">
        <v>494</v>
      </c>
      <c r="B41" s="306" t="s">
        <v>1003</v>
      </c>
      <c r="C41" s="306" t="s">
        <v>1004</v>
      </c>
      <c r="D41" s="306" t="s">
        <v>1031</v>
      </c>
      <c r="E41" s="306" t="s">
        <v>1095</v>
      </c>
      <c r="F41" s="306" t="s">
        <v>1007</v>
      </c>
      <c r="G41" s="308">
        <v>46014</v>
      </c>
      <c r="H41" s="308">
        <v>46014</v>
      </c>
      <c r="I41" s="309">
        <v>-699400.83</v>
      </c>
      <c r="J41" s="306" t="s">
        <v>1008</v>
      </c>
      <c r="K41" s="309">
        <v>-699400.83</v>
      </c>
      <c r="L41" s="306" t="s">
        <v>1008</v>
      </c>
      <c r="M41" s="306" t="s">
        <v>1034</v>
      </c>
      <c r="N41" s="306" t="s">
        <v>1034</v>
      </c>
      <c r="O41" s="306" t="s">
        <v>1038</v>
      </c>
      <c r="P41" s="306" t="s">
        <v>696</v>
      </c>
      <c r="Q41" s="306" t="s">
        <v>1013</v>
      </c>
      <c r="R41" s="306" t="s">
        <v>1013</v>
      </c>
      <c r="S41" s="306" t="s">
        <v>1013</v>
      </c>
      <c r="T41" s="306" t="s">
        <v>1036</v>
      </c>
      <c r="U41" s="306" t="s">
        <v>1013</v>
      </c>
      <c r="V41" s="306" t="s">
        <v>1013</v>
      </c>
      <c r="W41" s="306" t="s">
        <v>1013</v>
      </c>
      <c r="X41" s="306" t="s">
        <v>1013</v>
      </c>
      <c r="Y41" s="306" t="s">
        <v>1036</v>
      </c>
      <c r="Z41" s="306" t="s">
        <v>1015</v>
      </c>
      <c r="AA41" s="306" t="s">
        <v>1013</v>
      </c>
    </row>
    <row r="42" spans="1:27" hidden="1">
      <c r="A42" s="306" t="s">
        <v>494</v>
      </c>
      <c r="B42" s="306" t="s">
        <v>1003</v>
      </c>
      <c r="C42" s="306" t="s">
        <v>1004</v>
      </c>
      <c r="D42" s="306" t="s">
        <v>1031</v>
      </c>
      <c r="E42" s="306" t="s">
        <v>1096</v>
      </c>
      <c r="F42" s="306" t="s">
        <v>1007</v>
      </c>
      <c r="G42" s="308">
        <v>46014</v>
      </c>
      <c r="H42" s="308">
        <v>46014</v>
      </c>
      <c r="I42" s="309">
        <v>-356314.65</v>
      </c>
      <c r="J42" s="306" t="s">
        <v>1008</v>
      </c>
      <c r="K42" s="309">
        <v>-356314.65</v>
      </c>
      <c r="L42" s="306" t="s">
        <v>1008</v>
      </c>
      <c r="M42" s="306" t="s">
        <v>1034</v>
      </c>
      <c r="N42" s="306" t="s">
        <v>1034</v>
      </c>
      <c r="O42" s="306" t="s">
        <v>1040</v>
      </c>
      <c r="P42" s="306" t="s">
        <v>696</v>
      </c>
      <c r="Q42" s="306" t="s">
        <v>1013</v>
      </c>
      <c r="R42" s="306" t="s">
        <v>1013</v>
      </c>
      <c r="S42" s="306" t="s">
        <v>1013</v>
      </c>
      <c r="T42" s="306" t="s">
        <v>1036</v>
      </c>
      <c r="U42" s="306" t="s">
        <v>1013</v>
      </c>
      <c r="V42" s="306" t="s">
        <v>1013</v>
      </c>
      <c r="W42" s="306" t="s">
        <v>1013</v>
      </c>
      <c r="X42" s="306" t="s">
        <v>1013</v>
      </c>
      <c r="Y42" s="306" t="s">
        <v>1036</v>
      </c>
      <c r="Z42" s="306" t="s">
        <v>1015</v>
      </c>
      <c r="AA42" s="306" t="s">
        <v>1013</v>
      </c>
    </row>
    <row r="43" spans="1:27" hidden="1">
      <c r="A43" s="306" t="s">
        <v>494</v>
      </c>
      <c r="B43" s="306" t="s">
        <v>1003</v>
      </c>
      <c r="C43" s="306" t="s">
        <v>1004</v>
      </c>
      <c r="D43" s="306" t="s">
        <v>1019</v>
      </c>
      <c r="E43" s="306" t="s">
        <v>1097</v>
      </c>
      <c r="F43" s="306" t="s">
        <v>1007</v>
      </c>
      <c r="G43" s="308">
        <v>46014</v>
      </c>
      <c r="H43" s="308">
        <v>46014</v>
      </c>
      <c r="I43" s="309">
        <v>-108176.1</v>
      </c>
      <c r="J43" s="306" t="s">
        <v>1008</v>
      </c>
      <c r="K43" s="309">
        <v>-108176.1</v>
      </c>
      <c r="L43" s="306" t="s">
        <v>1008</v>
      </c>
      <c r="M43" s="306" t="s">
        <v>1043</v>
      </c>
      <c r="N43" s="306" t="s">
        <v>1043</v>
      </c>
      <c r="O43" s="306" t="s">
        <v>1044</v>
      </c>
      <c r="P43" s="306" t="s">
        <v>696</v>
      </c>
      <c r="Q43" s="306" t="s">
        <v>1013</v>
      </c>
      <c r="R43" s="306" t="s">
        <v>1013</v>
      </c>
      <c r="S43" s="306" t="s">
        <v>1013</v>
      </c>
      <c r="T43" s="306" t="s">
        <v>1036</v>
      </c>
      <c r="U43" s="306" t="s">
        <v>1013</v>
      </c>
      <c r="V43" s="306" t="s">
        <v>1013</v>
      </c>
      <c r="W43" s="306" t="s">
        <v>1013</v>
      </c>
      <c r="X43" s="306" t="s">
        <v>1013</v>
      </c>
      <c r="Y43" s="306" t="s">
        <v>1036</v>
      </c>
      <c r="Z43" s="306" t="s">
        <v>1015</v>
      </c>
      <c r="AA43" s="306" t="s">
        <v>1013</v>
      </c>
    </row>
    <row r="44" spans="1:27" hidden="1">
      <c r="A44" s="306" t="s">
        <v>494</v>
      </c>
      <c r="B44" s="306" t="s">
        <v>1003</v>
      </c>
      <c r="C44" s="306" t="s">
        <v>1004</v>
      </c>
      <c r="D44" s="306" t="s">
        <v>1005</v>
      </c>
      <c r="E44" s="306" t="s">
        <v>1098</v>
      </c>
      <c r="F44" s="306" t="s">
        <v>1007</v>
      </c>
      <c r="G44" s="308">
        <v>46014</v>
      </c>
      <c r="H44" s="308">
        <v>46014</v>
      </c>
      <c r="I44" s="309">
        <v>-1282110.1000000001</v>
      </c>
      <c r="J44" s="306" t="s">
        <v>1008</v>
      </c>
      <c r="K44" s="309">
        <v>-1282110.1000000001</v>
      </c>
      <c r="L44" s="306" t="s">
        <v>1008</v>
      </c>
      <c r="M44" s="306" t="s">
        <v>1047</v>
      </c>
      <c r="N44" s="306" t="s">
        <v>1047</v>
      </c>
      <c r="O44" s="306" t="s">
        <v>1099</v>
      </c>
      <c r="P44" s="306" t="s">
        <v>696</v>
      </c>
      <c r="Q44" s="306" t="s">
        <v>1013</v>
      </c>
      <c r="R44" s="306" t="s">
        <v>1013</v>
      </c>
      <c r="S44" s="306" t="s">
        <v>1013</v>
      </c>
      <c r="T44" s="306" t="s">
        <v>1036</v>
      </c>
      <c r="U44" s="306" t="s">
        <v>1013</v>
      </c>
      <c r="V44" s="306" t="s">
        <v>1013</v>
      </c>
      <c r="W44" s="306" t="s">
        <v>1013</v>
      </c>
      <c r="X44" s="306" t="s">
        <v>1013</v>
      </c>
      <c r="Y44" s="306" t="s">
        <v>1036</v>
      </c>
      <c r="Z44" s="306" t="s">
        <v>1015</v>
      </c>
      <c r="AA44" s="306" t="s">
        <v>1013</v>
      </c>
    </row>
    <row r="45" spans="1:27" hidden="1">
      <c r="A45" s="306" t="s">
        <v>494</v>
      </c>
      <c r="B45" s="306" t="s">
        <v>1003</v>
      </c>
      <c r="C45" s="306" t="s">
        <v>1004</v>
      </c>
      <c r="D45" s="306" t="s">
        <v>1005</v>
      </c>
      <c r="E45" s="306" t="s">
        <v>1100</v>
      </c>
      <c r="F45" s="306" t="s">
        <v>1007</v>
      </c>
      <c r="G45" s="308">
        <v>46014</v>
      </c>
      <c r="H45" s="308">
        <v>46014</v>
      </c>
      <c r="I45" s="309">
        <v>-1085643.52</v>
      </c>
      <c r="J45" s="306" t="s">
        <v>1008</v>
      </c>
      <c r="K45" s="309">
        <v>-1085643.52</v>
      </c>
      <c r="L45" s="306" t="s">
        <v>1008</v>
      </c>
      <c r="M45" s="306" t="s">
        <v>1047</v>
      </c>
      <c r="N45" s="306" t="s">
        <v>1047</v>
      </c>
      <c r="O45" s="306" t="s">
        <v>1050</v>
      </c>
      <c r="P45" s="306" t="s">
        <v>696</v>
      </c>
      <c r="Q45" s="306" t="s">
        <v>1013</v>
      </c>
      <c r="R45" s="306" t="s">
        <v>1013</v>
      </c>
      <c r="S45" s="306" t="s">
        <v>1013</v>
      </c>
      <c r="T45" s="306" t="s">
        <v>1036</v>
      </c>
      <c r="U45" s="306" t="s">
        <v>1013</v>
      </c>
      <c r="V45" s="306" t="s">
        <v>1013</v>
      </c>
      <c r="W45" s="306" t="s">
        <v>1013</v>
      </c>
      <c r="X45" s="306" t="s">
        <v>1013</v>
      </c>
      <c r="Y45" s="306" t="s">
        <v>1036</v>
      </c>
      <c r="Z45" s="306" t="s">
        <v>1015</v>
      </c>
      <c r="AA45" s="306" t="s">
        <v>1013</v>
      </c>
    </row>
    <row r="46" spans="1:27" hidden="1">
      <c r="A46" s="306" t="s">
        <v>494</v>
      </c>
      <c r="B46" s="306" t="s">
        <v>1003</v>
      </c>
      <c r="C46" s="306" t="s">
        <v>1004</v>
      </c>
      <c r="D46" s="306" t="s">
        <v>1005</v>
      </c>
      <c r="E46" s="306" t="s">
        <v>1101</v>
      </c>
      <c r="F46" s="306" t="s">
        <v>1007</v>
      </c>
      <c r="G46" s="308">
        <v>46014</v>
      </c>
      <c r="H46" s="308">
        <v>46014</v>
      </c>
      <c r="I46" s="309">
        <v>-3308830.27</v>
      </c>
      <c r="J46" s="306" t="s">
        <v>1008</v>
      </c>
      <c r="K46" s="309">
        <v>-3308830.27</v>
      </c>
      <c r="L46" s="306" t="s">
        <v>1008</v>
      </c>
      <c r="M46" s="306" t="s">
        <v>1047</v>
      </c>
      <c r="N46" s="306" t="s">
        <v>1047</v>
      </c>
      <c r="O46" s="306" t="s">
        <v>1102</v>
      </c>
      <c r="P46" s="306" t="s">
        <v>696</v>
      </c>
      <c r="Q46" s="306" t="s">
        <v>1013</v>
      </c>
      <c r="R46" s="306" t="s">
        <v>1013</v>
      </c>
      <c r="S46" s="306" t="s">
        <v>1013</v>
      </c>
      <c r="T46" s="306" t="s">
        <v>1036</v>
      </c>
      <c r="U46" s="306" t="s">
        <v>1013</v>
      </c>
      <c r="V46" s="306" t="s">
        <v>1013</v>
      </c>
      <c r="W46" s="306" t="s">
        <v>1013</v>
      </c>
      <c r="X46" s="306" t="s">
        <v>1013</v>
      </c>
      <c r="Y46" s="306" t="s">
        <v>1036</v>
      </c>
      <c r="Z46" s="306" t="s">
        <v>1015</v>
      </c>
      <c r="AA46" s="306" t="s">
        <v>1013</v>
      </c>
    </row>
    <row r="47" spans="1:27" hidden="1">
      <c r="A47" s="306" t="s">
        <v>494</v>
      </c>
      <c r="B47" s="306" t="s">
        <v>1003</v>
      </c>
      <c r="C47" s="306" t="s">
        <v>1004</v>
      </c>
      <c r="D47" s="306" t="s">
        <v>1031</v>
      </c>
      <c r="E47" s="306" t="s">
        <v>1103</v>
      </c>
      <c r="F47" s="306" t="s">
        <v>1007</v>
      </c>
      <c r="G47" s="308">
        <v>46014</v>
      </c>
      <c r="H47" s="308">
        <v>46014</v>
      </c>
      <c r="I47" s="309">
        <v>-65324.480000000003</v>
      </c>
      <c r="J47" s="306" t="s">
        <v>1008</v>
      </c>
      <c r="K47" s="309">
        <v>-65324.480000000003</v>
      </c>
      <c r="L47" s="306" t="s">
        <v>1008</v>
      </c>
      <c r="M47" s="306" t="s">
        <v>1034</v>
      </c>
      <c r="N47" s="306" t="s">
        <v>1034</v>
      </c>
      <c r="O47" s="306" t="s">
        <v>1054</v>
      </c>
      <c r="P47" s="306" t="s">
        <v>696</v>
      </c>
      <c r="Q47" s="306" t="s">
        <v>1013</v>
      </c>
      <c r="R47" s="306" t="s">
        <v>1013</v>
      </c>
      <c r="S47" s="306" t="s">
        <v>1013</v>
      </c>
      <c r="T47" s="306" t="s">
        <v>1036</v>
      </c>
      <c r="U47" s="306" t="s">
        <v>1013</v>
      </c>
      <c r="V47" s="306" t="s">
        <v>1013</v>
      </c>
      <c r="W47" s="306" t="s">
        <v>1013</v>
      </c>
      <c r="X47" s="306" t="s">
        <v>1013</v>
      </c>
      <c r="Y47" s="306" t="s">
        <v>1036</v>
      </c>
      <c r="Z47" s="306" t="s">
        <v>1015</v>
      </c>
      <c r="AA47" s="306" t="s">
        <v>1013</v>
      </c>
    </row>
    <row r="48" spans="1:27" hidden="1">
      <c r="A48" s="306" t="s">
        <v>494</v>
      </c>
      <c r="B48" s="306" t="s">
        <v>1003</v>
      </c>
      <c r="C48" s="306" t="s">
        <v>1004</v>
      </c>
      <c r="D48" s="306" t="s">
        <v>1031</v>
      </c>
      <c r="E48" s="306" t="s">
        <v>1104</v>
      </c>
      <c r="F48" s="306" t="s">
        <v>1007</v>
      </c>
      <c r="G48" s="308">
        <v>46014</v>
      </c>
      <c r="H48" s="308">
        <v>46014</v>
      </c>
      <c r="I48" s="309">
        <v>-393215.34</v>
      </c>
      <c r="J48" s="306" t="s">
        <v>1008</v>
      </c>
      <c r="K48" s="309">
        <v>-393215.34</v>
      </c>
      <c r="L48" s="306" t="s">
        <v>1008</v>
      </c>
      <c r="M48" s="306" t="s">
        <v>1034</v>
      </c>
      <c r="N48" s="306" t="s">
        <v>1034</v>
      </c>
      <c r="O48" s="306" t="s">
        <v>1058</v>
      </c>
      <c r="P48" s="306" t="s">
        <v>696</v>
      </c>
      <c r="Q48" s="306" t="s">
        <v>1013</v>
      </c>
      <c r="R48" s="306" t="s">
        <v>1013</v>
      </c>
      <c r="S48" s="306" t="s">
        <v>1013</v>
      </c>
      <c r="T48" s="306" t="s">
        <v>1036</v>
      </c>
      <c r="U48" s="306" t="s">
        <v>1013</v>
      </c>
      <c r="V48" s="306" t="s">
        <v>1013</v>
      </c>
      <c r="W48" s="306" t="s">
        <v>1013</v>
      </c>
      <c r="X48" s="306" t="s">
        <v>1013</v>
      </c>
      <c r="Y48" s="306" t="s">
        <v>1036</v>
      </c>
      <c r="Z48" s="306" t="s">
        <v>1015</v>
      </c>
      <c r="AA48" s="306" t="s">
        <v>1013</v>
      </c>
    </row>
    <row r="49" spans="1:27" hidden="1">
      <c r="A49" s="306" t="s">
        <v>494</v>
      </c>
      <c r="B49" s="306" t="s">
        <v>1003</v>
      </c>
      <c r="C49" s="306" t="s">
        <v>1004</v>
      </c>
      <c r="D49" s="306" t="s">
        <v>1031</v>
      </c>
      <c r="E49" s="306" t="s">
        <v>1105</v>
      </c>
      <c r="F49" s="306" t="s">
        <v>1007</v>
      </c>
      <c r="G49" s="308">
        <v>46014</v>
      </c>
      <c r="H49" s="308">
        <v>46014</v>
      </c>
      <c r="I49" s="309">
        <v>-39004.43</v>
      </c>
      <c r="J49" s="306" t="s">
        <v>1008</v>
      </c>
      <c r="K49" s="309">
        <v>-39004.43</v>
      </c>
      <c r="L49" s="306" t="s">
        <v>1008</v>
      </c>
      <c r="M49" s="306" t="s">
        <v>1034</v>
      </c>
      <c r="N49" s="306" t="s">
        <v>1034</v>
      </c>
      <c r="O49" s="306" t="s">
        <v>1062</v>
      </c>
      <c r="P49" s="306" t="s">
        <v>696</v>
      </c>
      <c r="Q49" s="306" t="s">
        <v>1013</v>
      </c>
      <c r="R49" s="306" t="s">
        <v>1013</v>
      </c>
      <c r="S49" s="306" t="s">
        <v>1013</v>
      </c>
      <c r="T49" s="306" t="s">
        <v>1036</v>
      </c>
      <c r="U49" s="306" t="s">
        <v>1013</v>
      </c>
      <c r="V49" s="306" t="s">
        <v>1013</v>
      </c>
      <c r="W49" s="306" t="s">
        <v>1013</v>
      </c>
      <c r="X49" s="306" t="s">
        <v>1013</v>
      </c>
      <c r="Y49" s="306" t="s">
        <v>1036</v>
      </c>
      <c r="Z49" s="306" t="s">
        <v>1015</v>
      </c>
      <c r="AA49" s="306" t="s">
        <v>1013</v>
      </c>
    </row>
    <row r="50" spans="1:27" hidden="1">
      <c r="A50" s="306" t="s">
        <v>494</v>
      </c>
      <c r="B50" s="306" t="s">
        <v>1003</v>
      </c>
      <c r="C50" s="306" t="s">
        <v>1004</v>
      </c>
      <c r="D50" s="306" t="s">
        <v>1005</v>
      </c>
      <c r="E50" s="306" t="s">
        <v>1106</v>
      </c>
      <c r="F50" s="306" t="s">
        <v>1007</v>
      </c>
      <c r="G50" s="308">
        <v>46014</v>
      </c>
      <c r="H50" s="308">
        <v>46014</v>
      </c>
      <c r="I50" s="309">
        <v>-192316.51</v>
      </c>
      <c r="J50" s="306" t="s">
        <v>1008</v>
      </c>
      <c r="K50" s="309">
        <v>-192316.51</v>
      </c>
      <c r="L50" s="306" t="s">
        <v>1008</v>
      </c>
      <c r="M50" s="306" t="s">
        <v>1047</v>
      </c>
      <c r="N50" s="306" t="s">
        <v>1047</v>
      </c>
      <c r="O50" s="306" t="s">
        <v>1107</v>
      </c>
      <c r="P50" s="306" t="s">
        <v>696</v>
      </c>
      <c r="Q50" s="306" t="s">
        <v>1013</v>
      </c>
      <c r="R50" s="306" t="s">
        <v>1013</v>
      </c>
      <c r="S50" s="306" t="s">
        <v>1013</v>
      </c>
      <c r="T50" s="306" t="s">
        <v>1036</v>
      </c>
      <c r="U50" s="306" t="s">
        <v>1013</v>
      </c>
      <c r="V50" s="306" t="s">
        <v>1013</v>
      </c>
      <c r="W50" s="306" t="s">
        <v>1013</v>
      </c>
      <c r="X50" s="306" t="s">
        <v>1013</v>
      </c>
      <c r="Y50" s="306" t="s">
        <v>1036</v>
      </c>
      <c r="Z50" s="306" t="s">
        <v>1015</v>
      </c>
      <c r="AA50" s="306" t="s">
        <v>1013</v>
      </c>
    </row>
    <row r="51" spans="1:27" hidden="1">
      <c r="A51" s="306" t="s">
        <v>494</v>
      </c>
      <c r="B51" s="306" t="s">
        <v>1003</v>
      </c>
      <c r="C51" s="306" t="s">
        <v>1004</v>
      </c>
      <c r="D51" s="306" t="s">
        <v>1019</v>
      </c>
      <c r="E51" s="306" t="s">
        <v>1108</v>
      </c>
      <c r="F51" s="306" t="s">
        <v>1007</v>
      </c>
      <c r="G51" s="308">
        <v>46014</v>
      </c>
      <c r="H51" s="308">
        <v>46014</v>
      </c>
      <c r="I51" s="309">
        <v>-549916.43000000005</v>
      </c>
      <c r="J51" s="306" t="s">
        <v>1008</v>
      </c>
      <c r="K51" s="309">
        <v>-549916.43000000005</v>
      </c>
      <c r="L51" s="306" t="s">
        <v>1008</v>
      </c>
      <c r="M51" s="306" t="s">
        <v>1043</v>
      </c>
      <c r="N51" s="306" t="s">
        <v>1043</v>
      </c>
      <c r="O51" s="306" t="s">
        <v>1093</v>
      </c>
      <c r="P51" s="306" t="s">
        <v>696</v>
      </c>
      <c r="Q51" s="306" t="s">
        <v>1013</v>
      </c>
      <c r="R51" s="306" t="s">
        <v>1013</v>
      </c>
      <c r="S51" s="306" t="s">
        <v>1013</v>
      </c>
      <c r="T51" s="306" t="s">
        <v>1036</v>
      </c>
      <c r="U51" s="306" t="s">
        <v>1013</v>
      </c>
      <c r="V51" s="306" t="s">
        <v>1013</v>
      </c>
      <c r="W51" s="306" t="s">
        <v>1013</v>
      </c>
      <c r="X51" s="306" t="s">
        <v>1013</v>
      </c>
      <c r="Y51" s="306" t="s">
        <v>1036</v>
      </c>
      <c r="Z51" s="306" t="s">
        <v>1015</v>
      </c>
      <c r="AA51" s="306" t="s">
        <v>1013</v>
      </c>
    </row>
    <row r="52" spans="1:27" hidden="1">
      <c r="A52" s="306" t="s">
        <v>494</v>
      </c>
      <c r="B52" s="306" t="s">
        <v>1003</v>
      </c>
      <c r="C52" s="306" t="s">
        <v>1004</v>
      </c>
      <c r="D52" s="306" t="s">
        <v>1005</v>
      </c>
      <c r="E52" s="306" t="s">
        <v>1109</v>
      </c>
      <c r="F52" s="306" t="s">
        <v>1007</v>
      </c>
      <c r="G52" s="308">
        <v>46014</v>
      </c>
      <c r="H52" s="308">
        <v>46014</v>
      </c>
      <c r="I52" s="309">
        <v>-2785336.88</v>
      </c>
      <c r="J52" s="306" t="s">
        <v>1008</v>
      </c>
      <c r="K52" s="309">
        <v>-2785336.88</v>
      </c>
      <c r="L52" s="306" t="s">
        <v>1008</v>
      </c>
      <c r="M52" s="306" t="s">
        <v>1110</v>
      </c>
      <c r="N52" s="306" t="s">
        <v>1110</v>
      </c>
      <c r="O52" s="306" t="s">
        <v>1111</v>
      </c>
      <c r="P52" s="306" t="s">
        <v>212</v>
      </c>
      <c r="Q52" s="306" t="s">
        <v>1013</v>
      </c>
      <c r="R52" s="306" t="s">
        <v>1013</v>
      </c>
      <c r="S52" s="306" t="s">
        <v>1013</v>
      </c>
      <c r="T52" s="306" t="s">
        <v>1112</v>
      </c>
      <c r="U52" s="306" t="s">
        <v>1013</v>
      </c>
      <c r="V52" s="306" t="s">
        <v>1013</v>
      </c>
      <c r="W52" s="306" t="s">
        <v>1013</v>
      </c>
      <c r="X52" s="306" t="s">
        <v>1013</v>
      </c>
      <c r="Y52" s="306" t="s">
        <v>1112</v>
      </c>
      <c r="Z52" s="306" t="s">
        <v>1015</v>
      </c>
      <c r="AA52" s="306" t="s">
        <v>1013</v>
      </c>
    </row>
    <row r="53" spans="1:27" hidden="1">
      <c r="A53" s="306" t="s">
        <v>494</v>
      </c>
      <c r="B53" s="306" t="s">
        <v>1003</v>
      </c>
      <c r="C53" s="306" t="s">
        <v>1004</v>
      </c>
      <c r="D53" s="306" t="s">
        <v>1019</v>
      </c>
      <c r="E53" s="306" t="s">
        <v>1113</v>
      </c>
      <c r="F53" s="306" t="s">
        <v>1007</v>
      </c>
      <c r="G53" s="308">
        <v>46014</v>
      </c>
      <c r="H53" s="308">
        <v>46014</v>
      </c>
      <c r="I53" s="309">
        <v>-14108.61</v>
      </c>
      <c r="J53" s="306" t="s">
        <v>1008</v>
      </c>
      <c r="K53" s="309">
        <v>-14108.61</v>
      </c>
      <c r="L53" s="306" t="s">
        <v>1008</v>
      </c>
      <c r="M53" s="306" t="s">
        <v>1114</v>
      </c>
      <c r="N53" s="306" t="s">
        <v>1114</v>
      </c>
      <c r="O53" s="306" t="s">
        <v>1115</v>
      </c>
      <c r="P53" s="306" t="s">
        <v>212</v>
      </c>
      <c r="Q53" s="306" t="s">
        <v>1013</v>
      </c>
      <c r="R53" s="306" t="s">
        <v>1013</v>
      </c>
      <c r="S53" s="306" t="s">
        <v>1013</v>
      </c>
      <c r="T53" s="306" t="s">
        <v>1112</v>
      </c>
      <c r="U53" s="306" t="s">
        <v>1013</v>
      </c>
      <c r="V53" s="306" t="s">
        <v>1013</v>
      </c>
      <c r="W53" s="306" t="s">
        <v>1013</v>
      </c>
      <c r="X53" s="306" t="s">
        <v>1013</v>
      </c>
      <c r="Y53" s="306" t="s">
        <v>1112</v>
      </c>
      <c r="Z53" s="306" t="s">
        <v>1015</v>
      </c>
      <c r="AA53" s="306" t="s">
        <v>1013</v>
      </c>
    </row>
    <row r="54" spans="1:27" hidden="1">
      <c r="A54" s="306" t="s">
        <v>494</v>
      </c>
      <c r="B54" s="306" t="s">
        <v>1003</v>
      </c>
      <c r="C54" s="306" t="s">
        <v>1004</v>
      </c>
      <c r="D54" s="306" t="s">
        <v>1019</v>
      </c>
      <c r="E54" s="306" t="s">
        <v>1116</v>
      </c>
      <c r="F54" s="306" t="s">
        <v>1007</v>
      </c>
      <c r="G54" s="308">
        <v>46014</v>
      </c>
      <c r="H54" s="308">
        <v>46014</v>
      </c>
      <c r="I54" s="309">
        <v>-80140.47</v>
      </c>
      <c r="J54" s="306" t="s">
        <v>1008</v>
      </c>
      <c r="K54" s="309">
        <v>-80140.47</v>
      </c>
      <c r="L54" s="306" t="s">
        <v>1008</v>
      </c>
      <c r="M54" s="306" t="s">
        <v>1114</v>
      </c>
      <c r="N54" s="306" t="s">
        <v>1114</v>
      </c>
      <c r="O54" s="306" t="s">
        <v>1117</v>
      </c>
      <c r="P54" s="306" t="s">
        <v>212</v>
      </c>
      <c r="Q54" s="306" t="s">
        <v>1013</v>
      </c>
      <c r="R54" s="306" t="s">
        <v>1013</v>
      </c>
      <c r="S54" s="306" t="s">
        <v>1013</v>
      </c>
      <c r="T54" s="306" t="s">
        <v>1112</v>
      </c>
      <c r="U54" s="306" t="s">
        <v>1013</v>
      </c>
      <c r="V54" s="306" t="s">
        <v>1013</v>
      </c>
      <c r="W54" s="306" t="s">
        <v>1013</v>
      </c>
      <c r="X54" s="306" t="s">
        <v>1013</v>
      </c>
      <c r="Y54" s="306" t="s">
        <v>1112</v>
      </c>
      <c r="Z54" s="306" t="s">
        <v>1015</v>
      </c>
      <c r="AA54" s="306" t="s">
        <v>1013</v>
      </c>
    </row>
    <row r="55" spans="1:27" hidden="1">
      <c r="A55" s="306" t="s">
        <v>494</v>
      </c>
      <c r="B55" s="306" t="s">
        <v>1003</v>
      </c>
      <c r="C55" s="306" t="s">
        <v>1004</v>
      </c>
      <c r="D55" s="306" t="s">
        <v>1019</v>
      </c>
      <c r="E55" s="306" t="s">
        <v>1118</v>
      </c>
      <c r="F55" s="306" t="s">
        <v>1007</v>
      </c>
      <c r="G55" s="308">
        <v>46014</v>
      </c>
      <c r="H55" s="308">
        <v>46014</v>
      </c>
      <c r="I55" s="309">
        <v>-13773.09</v>
      </c>
      <c r="J55" s="306" t="s">
        <v>1008</v>
      </c>
      <c r="K55" s="309">
        <v>-13773.09</v>
      </c>
      <c r="L55" s="306" t="s">
        <v>1008</v>
      </c>
      <c r="M55" s="306" t="s">
        <v>1114</v>
      </c>
      <c r="N55" s="306" t="s">
        <v>1114</v>
      </c>
      <c r="O55" s="306" t="s">
        <v>1119</v>
      </c>
      <c r="P55" s="306" t="s">
        <v>212</v>
      </c>
      <c r="Q55" s="306" t="s">
        <v>1013</v>
      </c>
      <c r="R55" s="306" t="s">
        <v>1013</v>
      </c>
      <c r="S55" s="306" t="s">
        <v>1013</v>
      </c>
      <c r="T55" s="306" t="s">
        <v>1112</v>
      </c>
      <c r="U55" s="306" t="s">
        <v>1013</v>
      </c>
      <c r="V55" s="306" t="s">
        <v>1013</v>
      </c>
      <c r="W55" s="306" t="s">
        <v>1013</v>
      </c>
      <c r="X55" s="306" t="s">
        <v>1013</v>
      </c>
      <c r="Y55" s="306" t="s">
        <v>1112</v>
      </c>
      <c r="Z55" s="306" t="s">
        <v>1015</v>
      </c>
      <c r="AA55" s="306" t="s">
        <v>1013</v>
      </c>
    </row>
    <row r="56" spans="1:27" hidden="1">
      <c r="A56" s="306" t="s">
        <v>494</v>
      </c>
      <c r="B56" s="306" t="s">
        <v>1003</v>
      </c>
      <c r="C56" s="306" t="s">
        <v>1004</v>
      </c>
      <c r="D56" s="306" t="s">
        <v>1019</v>
      </c>
      <c r="E56" s="306" t="s">
        <v>1120</v>
      </c>
      <c r="F56" s="306" t="s">
        <v>1007</v>
      </c>
      <c r="G56" s="308">
        <v>46014</v>
      </c>
      <c r="H56" s="308">
        <v>46014</v>
      </c>
      <c r="I56" s="309">
        <v>-74962.289999999994</v>
      </c>
      <c r="J56" s="306" t="s">
        <v>1008</v>
      </c>
      <c r="K56" s="309">
        <v>-74962.289999999994</v>
      </c>
      <c r="L56" s="306" t="s">
        <v>1008</v>
      </c>
      <c r="M56" s="306" t="s">
        <v>1114</v>
      </c>
      <c r="N56" s="306" t="s">
        <v>1114</v>
      </c>
      <c r="O56" s="306" t="s">
        <v>1121</v>
      </c>
      <c r="P56" s="306" t="s">
        <v>212</v>
      </c>
      <c r="Q56" s="306" t="s">
        <v>1013</v>
      </c>
      <c r="R56" s="306" t="s">
        <v>1013</v>
      </c>
      <c r="S56" s="306" t="s">
        <v>1013</v>
      </c>
      <c r="T56" s="306" t="s">
        <v>1112</v>
      </c>
      <c r="U56" s="306" t="s">
        <v>1013</v>
      </c>
      <c r="V56" s="306" t="s">
        <v>1013</v>
      </c>
      <c r="W56" s="306" t="s">
        <v>1013</v>
      </c>
      <c r="X56" s="306" t="s">
        <v>1013</v>
      </c>
      <c r="Y56" s="306" t="s">
        <v>1112</v>
      </c>
      <c r="Z56" s="306" t="s">
        <v>1015</v>
      </c>
      <c r="AA56" s="306" t="s">
        <v>1013</v>
      </c>
    </row>
    <row r="57" spans="1:27" hidden="1">
      <c r="A57" s="306" t="s">
        <v>494</v>
      </c>
      <c r="B57" s="306" t="s">
        <v>1003</v>
      </c>
      <c r="C57" s="306" t="s">
        <v>1004</v>
      </c>
      <c r="D57" s="306" t="s">
        <v>1019</v>
      </c>
      <c r="E57" s="306" t="s">
        <v>1122</v>
      </c>
      <c r="F57" s="306" t="s">
        <v>1007</v>
      </c>
      <c r="G57" s="308">
        <v>46014</v>
      </c>
      <c r="H57" s="308">
        <v>46014</v>
      </c>
      <c r="I57" s="309">
        <v>-33622.050000000003</v>
      </c>
      <c r="J57" s="306" t="s">
        <v>1008</v>
      </c>
      <c r="K57" s="309">
        <v>-33622.050000000003</v>
      </c>
      <c r="L57" s="306" t="s">
        <v>1008</v>
      </c>
      <c r="M57" s="306" t="s">
        <v>1114</v>
      </c>
      <c r="N57" s="306" t="s">
        <v>1114</v>
      </c>
      <c r="O57" s="306" t="s">
        <v>1123</v>
      </c>
      <c r="P57" s="306" t="s">
        <v>212</v>
      </c>
      <c r="Q57" s="306" t="s">
        <v>1013</v>
      </c>
      <c r="R57" s="306" t="s">
        <v>1013</v>
      </c>
      <c r="S57" s="306" t="s">
        <v>1013</v>
      </c>
      <c r="T57" s="306" t="s">
        <v>1112</v>
      </c>
      <c r="U57" s="306" t="s">
        <v>1013</v>
      </c>
      <c r="V57" s="306" t="s">
        <v>1013</v>
      </c>
      <c r="W57" s="306" t="s">
        <v>1013</v>
      </c>
      <c r="X57" s="306" t="s">
        <v>1013</v>
      </c>
      <c r="Y57" s="306" t="s">
        <v>1112</v>
      </c>
      <c r="Z57" s="306" t="s">
        <v>1015</v>
      </c>
      <c r="AA57" s="306" t="s">
        <v>1013</v>
      </c>
    </row>
    <row r="58" spans="1:27" hidden="1">
      <c r="A58" s="306" t="s">
        <v>494</v>
      </c>
      <c r="B58" s="306" t="s">
        <v>1003</v>
      </c>
      <c r="C58" s="306" t="s">
        <v>1004</v>
      </c>
      <c r="D58" s="306" t="s">
        <v>1019</v>
      </c>
      <c r="E58" s="306" t="s">
        <v>1124</v>
      </c>
      <c r="F58" s="306" t="s">
        <v>1007</v>
      </c>
      <c r="G58" s="308">
        <v>46014</v>
      </c>
      <c r="H58" s="308">
        <v>46014</v>
      </c>
      <c r="I58" s="309">
        <v>-11136.63</v>
      </c>
      <c r="J58" s="306" t="s">
        <v>1008</v>
      </c>
      <c r="K58" s="309">
        <v>-11136.63</v>
      </c>
      <c r="L58" s="306" t="s">
        <v>1008</v>
      </c>
      <c r="M58" s="306" t="s">
        <v>1114</v>
      </c>
      <c r="N58" s="306" t="s">
        <v>1114</v>
      </c>
      <c r="O58" s="306" t="s">
        <v>1125</v>
      </c>
      <c r="P58" s="306" t="s">
        <v>212</v>
      </c>
      <c r="Q58" s="306" t="s">
        <v>1013</v>
      </c>
      <c r="R58" s="306" t="s">
        <v>1013</v>
      </c>
      <c r="S58" s="306" t="s">
        <v>1013</v>
      </c>
      <c r="T58" s="306" t="s">
        <v>1112</v>
      </c>
      <c r="U58" s="306" t="s">
        <v>1013</v>
      </c>
      <c r="V58" s="306" t="s">
        <v>1013</v>
      </c>
      <c r="W58" s="306" t="s">
        <v>1013</v>
      </c>
      <c r="X58" s="306" t="s">
        <v>1013</v>
      </c>
      <c r="Y58" s="306" t="s">
        <v>1112</v>
      </c>
      <c r="Z58" s="306" t="s">
        <v>1015</v>
      </c>
      <c r="AA58" s="306" t="s">
        <v>1013</v>
      </c>
    </row>
    <row r="59" spans="1:27" hidden="1">
      <c r="A59" s="306" t="s">
        <v>494</v>
      </c>
      <c r="B59" s="306" t="s">
        <v>1003</v>
      </c>
      <c r="C59" s="306" t="s">
        <v>1004</v>
      </c>
      <c r="D59" s="306" t="s">
        <v>1019</v>
      </c>
      <c r="E59" s="306" t="s">
        <v>1126</v>
      </c>
      <c r="F59" s="306" t="s">
        <v>1007</v>
      </c>
      <c r="G59" s="308">
        <v>46014</v>
      </c>
      <c r="H59" s="308">
        <v>46014</v>
      </c>
      <c r="I59" s="309">
        <v>-22765.25</v>
      </c>
      <c r="J59" s="306" t="s">
        <v>1008</v>
      </c>
      <c r="K59" s="309">
        <v>-22765.25</v>
      </c>
      <c r="L59" s="306" t="s">
        <v>1008</v>
      </c>
      <c r="M59" s="306" t="s">
        <v>1114</v>
      </c>
      <c r="N59" s="306" t="s">
        <v>1114</v>
      </c>
      <c r="O59" s="306" t="s">
        <v>1127</v>
      </c>
      <c r="P59" s="306" t="s">
        <v>212</v>
      </c>
      <c r="Q59" s="306" t="s">
        <v>1013</v>
      </c>
      <c r="R59" s="306" t="s">
        <v>1013</v>
      </c>
      <c r="S59" s="306" t="s">
        <v>1013</v>
      </c>
      <c r="T59" s="306" t="s">
        <v>1112</v>
      </c>
      <c r="U59" s="306" t="s">
        <v>1013</v>
      </c>
      <c r="V59" s="306" t="s">
        <v>1013</v>
      </c>
      <c r="W59" s="306" t="s">
        <v>1013</v>
      </c>
      <c r="X59" s="306" t="s">
        <v>1013</v>
      </c>
      <c r="Y59" s="306" t="s">
        <v>1112</v>
      </c>
      <c r="Z59" s="306" t="s">
        <v>1015</v>
      </c>
      <c r="AA59" s="306" t="s">
        <v>1013</v>
      </c>
    </row>
    <row r="60" spans="1:27" hidden="1">
      <c r="A60" s="306" t="s">
        <v>494</v>
      </c>
      <c r="B60" s="306" t="s">
        <v>1003</v>
      </c>
      <c r="C60" s="306" t="s">
        <v>1004</v>
      </c>
      <c r="D60" s="306" t="s">
        <v>1019</v>
      </c>
      <c r="E60" s="306" t="s">
        <v>1128</v>
      </c>
      <c r="F60" s="306" t="s">
        <v>1007</v>
      </c>
      <c r="G60" s="308">
        <v>46014</v>
      </c>
      <c r="H60" s="308">
        <v>46014</v>
      </c>
      <c r="I60" s="309">
        <v>-48571.17</v>
      </c>
      <c r="J60" s="306" t="s">
        <v>1008</v>
      </c>
      <c r="K60" s="309">
        <v>-48571.17</v>
      </c>
      <c r="L60" s="306" t="s">
        <v>1008</v>
      </c>
      <c r="M60" s="306" t="s">
        <v>1114</v>
      </c>
      <c r="N60" s="306" t="s">
        <v>1114</v>
      </c>
      <c r="O60" s="306" t="s">
        <v>1129</v>
      </c>
      <c r="P60" s="306" t="s">
        <v>212</v>
      </c>
      <c r="Q60" s="306" t="s">
        <v>1013</v>
      </c>
      <c r="R60" s="306" t="s">
        <v>1013</v>
      </c>
      <c r="S60" s="306" t="s">
        <v>1013</v>
      </c>
      <c r="T60" s="306" t="s">
        <v>1112</v>
      </c>
      <c r="U60" s="306" t="s">
        <v>1013</v>
      </c>
      <c r="V60" s="306" t="s">
        <v>1013</v>
      </c>
      <c r="W60" s="306" t="s">
        <v>1013</v>
      </c>
      <c r="X60" s="306" t="s">
        <v>1013</v>
      </c>
      <c r="Y60" s="306" t="s">
        <v>1112</v>
      </c>
      <c r="Z60" s="306" t="s">
        <v>1015</v>
      </c>
      <c r="AA60" s="306" t="s">
        <v>1013</v>
      </c>
    </row>
    <row r="61" spans="1:27" hidden="1">
      <c r="A61" s="306" t="s">
        <v>494</v>
      </c>
      <c r="B61" s="306" t="s">
        <v>1003</v>
      </c>
      <c r="C61" s="306" t="s">
        <v>1004</v>
      </c>
      <c r="D61" s="306" t="s">
        <v>1005</v>
      </c>
      <c r="E61" s="306" t="s">
        <v>1130</v>
      </c>
      <c r="F61" s="306" t="s">
        <v>1007</v>
      </c>
      <c r="G61" s="308">
        <v>46014</v>
      </c>
      <c r="H61" s="308">
        <v>46014</v>
      </c>
      <c r="I61" s="309">
        <v>-6457447.8499999996</v>
      </c>
      <c r="J61" s="306" t="s">
        <v>1008</v>
      </c>
      <c r="K61" s="309">
        <v>-6457447.8499999996</v>
      </c>
      <c r="L61" s="306" t="s">
        <v>1008</v>
      </c>
      <c r="M61" s="306" t="s">
        <v>1110</v>
      </c>
      <c r="N61" s="306" t="s">
        <v>1110</v>
      </c>
      <c r="O61" s="306" t="s">
        <v>1131</v>
      </c>
      <c r="P61" s="306" t="s">
        <v>212</v>
      </c>
      <c r="Q61" s="306" t="s">
        <v>1013</v>
      </c>
      <c r="R61" s="306" t="s">
        <v>1013</v>
      </c>
      <c r="S61" s="306" t="s">
        <v>1013</v>
      </c>
      <c r="T61" s="306" t="s">
        <v>1112</v>
      </c>
      <c r="U61" s="306" t="s">
        <v>1013</v>
      </c>
      <c r="V61" s="306" t="s">
        <v>1013</v>
      </c>
      <c r="W61" s="306" t="s">
        <v>1013</v>
      </c>
      <c r="X61" s="306" t="s">
        <v>1013</v>
      </c>
      <c r="Y61" s="306" t="s">
        <v>1112</v>
      </c>
      <c r="Z61" s="306" t="s">
        <v>1015</v>
      </c>
      <c r="AA61" s="306" t="s">
        <v>1013</v>
      </c>
    </row>
    <row r="62" spans="1:27" hidden="1">
      <c r="A62" s="306" t="s">
        <v>494</v>
      </c>
      <c r="B62" s="306" t="s">
        <v>1003</v>
      </c>
      <c r="C62" s="306" t="s">
        <v>1004</v>
      </c>
      <c r="D62" s="306" t="s">
        <v>1019</v>
      </c>
      <c r="E62" s="306" t="s">
        <v>1132</v>
      </c>
      <c r="F62" s="306" t="s">
        <v>1007</v>
      </c>
      <c r="G62" s="308">
        <v>46014</v>
      </c>
      <c r="H62" s="308">
        <v>46014</v>
      </c>
      <c r="I62" s="309">
        <v>-14818231.289999999</v>
      </c>
      <c r="J62" s="306" t="s">
        <v>1008</v>
      </c>
      <c r="K62" s="309">
        <v>-14818231.289999999</v>
      </c>
      <c r="L62" s="306" t="s">
        <v>1008</v>
      </c>
      <c r="M62" s="306" t="s">
        <v>1114</v>
      </c>
      <c r="N62" s="306" t="s">
        <v>1114</v>
      </c>
      <c r="O62" s="306" t="s">
        <v>1133</v>
      </c>
      <c r="P62" s="306" t="s">
        <v>212</v>
      </c>
      <c r="Q62" s="306" t="s">
        <v>1013</v>
      </c>
      <c r="R62" s="306" t="s">
        <v>1013</v>
      </c>
      <c r="S62" s="306" t="s">
        <v>1013</v>
      </c>
      <c r="T62" s="306" t="s">
        <v>1112</v>
      </c>
      <c r="U62" s="306" t="s">
        <v>1013</v>
      </c>
      <c r="V62" s="306" t="s">
        <v>1013</v>
      </c>
      <c r="W62" s="306" t="s">
        <v>1013</v>
      </c>
      <c r="X62" s="306" t="s">
        <v>1013</v>
      </c>
      <c r="Y62" s="306" t="s">
        <v>1112</v>
      </c>
      <c r="Z62" s="306" t="s">
        <v>1015</v>
      </c>
      <c r="AA62" s="306" t="s">
        <v>1013</v>
      </c>
    </row>
    <row r="63" spans="1:27" hidden="1">
      <c r="A63" s="306" t="s">
        <v>494</v>
      </c>
      <c r="B63" s="306" t="s">
        <v>1003</v>
      </c>
      <c r="C63" s="306" t="s">
        <v>1004</v>
      </c>
      <c r="D63" s="306" t="s">
        <v>1031</v>
      </c>
      <c r="E63" s="306" t="s">
        <v>1134</v>
      </c>
      <c r="F63" s="306" t="s">
        <v>1007</v>
      </c>
      <c r="G63" s="308">
        <v>46014</v>
      </c>
      <c r="H63" s="308">
        <v>46014</v>
      </c>
      <c r="I63" s="309">
        <v>-801056.76</v>
      </c>
      <c r="J63" s="306" t="s">
        <v>1008</v>
      </c>
      <c r="K63" s="309">
        <v>-801056.76</v>
      </c>
      <c r="L63" s="306" t="s">
        <v>1008</v>
      </c>
      <c r="M63" s="306" t="s">
        <v>1135</v>
      </c>
      <c r="N63" s="306" t="s">
        <v>1135</v>
      </c>
      <c r="O63" s="306" t="s">
        <v>1136</v>
      </c>
      <c r="P63" s="306" t="s">
        <v>212</v>
      </c>
      <c r="Q63" s="306" t="s">
        <v>1013</v>
      </c>
      <c r="R63" s="306" t="s">
        <v>1013</v>
      </c>
      <c r="S63" s="306" t="s">
        <v>1013</v>
      </c>
      <c r="T63" s="306" t="s">
        <v>1112</v>
      </c>
      <c r="U63" s="306" t="s">
        <v>1013</v>
      </c>
      <c r="V63" s="306" t="s">
        <v>1013</v>
      </c>
      <c r="W63" s="306" t="s">
        <v>1013</v>
      </c>
      <c r="X63" s="306" t="s">
        <v>1013</v>
      </c>
      <c r="Y63" s="306" t="s">
        <v>1112</v>
      </c>
      <c r="Z63" s="306" t="s">
        <v>1015</v>
      </c>
      <c r="AA63" s="306" t="s">
        <v>1013</v>
      </c>
    </row>
    <row r="64" spans="1:27" hidden="1">
      <c r="A64" s="306" t="s">
        <v>494</v>
      </c>
      <c r="B64" s="306" t="s">
        <v>1003</v>
      </c>
      <c r="C64" s="306" t="s">
        <v>1004</v>
      </c>
      <c r="D64" s="306" t="s">
        <v>1019</v>
      </c>
      <c r="E64" s="306" t="s">
        <v>1137</v>
      </c>
      <c r="F64" s="306" t="s">
        <v>1007</v>
      </c>
      <c r="G64" s="308">
        <v>46014</v>
      </c>
      <c r="H64" s="308">
        <v>46014</v>
      </c>
      <c r="I64" s="309">
        <v>-819516.51</v>
      </c>
      <c r="J64" s="306" t="s">
        <v>1008</v>
      </c>
      <c r="K64" s="309">
        <v>-819516.51</v>
      </c>
      <c r="L64" s="306" t="s">
        <v>1008</v>
      </c>
      <c r="M64" s="306" t="s">
        <v>1114</v>
      </c>
      <c r="N64" s="306" t="s">
        <v>1114</v>
      </c>
      <c r="O64" s="306" t="s">
        <v>1138</v>
      </c>
      <c r="P64" s="306" t="s">
        <v>212</v>
      </c>
      <c r="Q64" s="306" t="s">
        <v>1013</v>
      </c>
      <c r="R64" s="306" t="s">
        <v>1013</v>
      </c>
      <c r="S64" s="306" t="s">
        <v>1013</v>
      </c>
      <c r="T64" s="306" t="s">
        <v>1112</v>
      </c>
      <c r="U64" s="306" t="s">
        <v>1013</v>
      </c>
      <c r="V64" s="306" t="s">
        <v>1013</v>
      </c>
      <c r="W64" s="306" t="s">
        <v>1013</v>
      </c>
      <c r="X64" s="306" t="s">
        <v>1013</v>
      </c>
      <c r="Y64" s="306" t="s">
        <v>1112</v>
      </c>
      <c r="Z64" s="306" t="s">
        <v>1015</v>
      </c>
      <c r="AA64" s="306" t="s">
        <v>1013</v>
      </c>
    </row>
    <row r="65" spans="1:27" hidden="1">
      <c r="A65" s="306" t="s">
        <v>494</v>
      </c>
      <c r="B65" s="306" t="s">
        <v>1003</v>
      </c>
      <c r="C65" s="306" t="s">
        <v>1004</v>
      </c>
      <c r="D65" s="306" t="s">
        <v>1005</v>
      </c>
      <c r="E65" s="306" t="s">
        <v>1139</v>
      </c>
      <c r="F65" s="306" t="s">
        <v>1007</v>
      </c>
      <c r="G65" s="308">
        <v>46014</v>
      </c>
      <c r="H65" s="308">
        <v>46014</v>
      </c>
      <c r="I65" s="309">
        <v>6121788.9699999997</v>
      </c>
      <c r="J65" s="306" t="s">
        <v>1008</v>
      </c>
      <c r="K65" s="309">
        <v>6121788.9699999997</v>
      </c>
      <c r="L65" s="306" t="s">
        <v>1008</v>
      </c>
      <c r="M65" s="306" t="s">
        <v>1110</v>
      </c>
      <c r="N65" s="306" t="s">
        <v>1110</v>
      </c>
      <c r="O65" s="306" t="s">
        <v>1140</v>
      </c>
      <c r="P65" s="306" t="s">
        <v>212</v>
      </c>
      <c r="Q65" s="306" t="s">
        <v>1013</v>
      </c>
      <c r="R65" s="306" t="s">
        <v>1013</v>
      </c>
      <c r="S65" s="306" t="s">
        <v>1013</v>
      </c>
      <c r="T65" s="306" t="s">
        <v>1112</v>
      </c>
      <c r="U65" s="306" t="s">
        <v>1013</v>
      </c>
      <c r="V65" s="306" t="s">
        <v>1013</v>
      </c>
      <c r="W65" s="306" t="s">
        <v>1013</v>
      </c>
      <c r="X65" s="306" t="s">
        <v>1013</v>
      </c>
      <c r="Y65" s="306" t="s">
        <v>1112</v>
      </c>
      <c r="Z65" s="306" t="s">
        <v>1015</v>
      </c>
      <c r="AA65" s="306" t="s">
        <v>1013</v>
      </c>
    </row>
    <row r="66" spans="1:27" hidden="1">
      <c r="A66" s="306" t="s">
        <v>494</v>
      </c>
      <c r="B66" s="306" t="s">
        <v>1003</v>
      </c>
      <c r="C66" s="306" t="s">
        <v>1004</v>
      </c>
      <c r="D66" s="306" t="s">
        <v>1005</v>
      </c>
      <c r="E66" s="306" t="s">
        <v>1141</v>
      </c>
      <c r="F66" s="306" t="s">
        <v>1007</v>
      </c>
      <c r="G66" s="308">
        <v>45991</v>
      </c>
      <c r="H66" s="308">
        <v>46014</v>
      </c>
      <c r="I66" s="309">
        <v>6121788.9900000002</v>
      </c>
      <c r="J66" s="306" t="s">
        <v>1008</v>
      </c>
      <c r="K66" s="309">
        <v>6121788.9900000002</v>
      </c>
      <c r="L66" s="306" t="s">
        <v>1008</v>
      </c>
      <c r="M66" s="306" t="s">
        <v>1142</v>
      </c>
      <c r="N66" s="306" t="s">
        <v>1143</v>
      </c>
      <c r="O66" s="306" t="s">
        <v>1144</v>
      </c>
      <c r="P66" s="306" t="s">
        <v>212</v>
      </c>
      <c r="Q66" s="306" t="s">
        <v>1013</v>
      </c>
      <c r="R66" s="306" t="s">
        <v>1013</v>
      </c>
      <c r="S66" s="306" t="s">
        <v>1013</v>
      </c>
      <c r="T66" s="306" t="s">
        <v>1112</v>
      </c>
      <c r="U66" s="306" t="s">
        <v>1013</v>
      </c>
      <c r="V66" s="306" t="s">
        <v>1013</v>
      </c>
      <c r="W66" s="306" t="s">
        <v>1013</v>
      </c>
      <c r="X66" s="306" t="s">
        <v>1013</v>
      </c>
      <c r="Y66" s="306" t="s">
        <v>1112</v>
      </c>
      <c r="Z66" s="306" t="s">
        <v>1015</v>
      </c>
      <c r="AA66" s="306" t="s">
        <v>1013</v>
      </c>
    </row>
    <row r="67" spans="1:27" hidden="1">
      <c r="A67" s="306" t="s">
        <v>494</v>
      </c>
      <c r="B67" s="306" t="s">
        <v>1003</v>
      </c>
      <c r="C67" s="306" t="s">
        <v>1004</v>
      </c>
      <c r="D67" s="306" t="s">
        <v>1005</v>
      </c>
      <c r="E67" s="306" t="s">
        <v>1145</v>
      </c>
      <c r="F67" s="306" t="s">
        <v>1007</v>
      </c>
      <c r="G67" s="308">
        <v>45991</v>
      </c>
      <c r="H67" s="308">
        <v>46014</v>
      </c>
      <c r="I67" s="309">
        <v>11953944.91</v>
      </c>
      <c r="J67" s="306" t="s">
        <v>1008</v>
      </c>
      <c r="K67" s="309">
        <v>11953944.91</v>
      </c>
      <c r="L67" s="306" t="s">
        <v>1008</v>
      </c>
      <c r="M67" s="306" t="s">
        <v>1142</v>
      </c>
      <c r="N67" s="306" t="s">
        <v>1143</v>
      </c>
      <c r="O67" s="306" t="s">
        <v>1146</v>
      </c>
      <c r="P67" s="306" t="s">
        <v>212</v>
      </c>
      <c r="Q67" s="306" t="s">
        <v>1013</v>
      </c>
      <c r="R67" s="306" t="s">
        <v>1013</v>
      </c>
      <c r="S67" s="306" t="s">
        <v>1013</v>
      </c>
      <c r="T67" s="306" t="s">
        <v>1112</v>
      </c>
      <c r="U67" s="306" t="s">
        <v>1013</v>
      </c>
      <c r="V67" s="306" t="s">
        <v>1013</v>
      </c>
      <c r="W67" s="306" t="s">
        <v>1013</v>
      </c>
      <c r="X67" s="306" t="s">
        <v>1013</v>
      </c>
      <c r="Y67" s="306" t="s">
        <v>1112</v>
      </c>
      <c r="Z67" s="306" t="s">
        <v>1015</v>
      </c>
      <c r="AA67" s="306" t="s">
        <v>1013</v>
      </c>
    </row>
    <row r="68" spans="1:27" hidden="1">
      <c r="A68" s="306" t="s">
        <v>494</v>
      </c>
      <c r="B68" s="306" t="s">
        <v>1003</v>
      </c>
      <c r="C68" s="306" t="s">
        <v>1004</v>
      </c>
      <c r="D68" s="306" t="s">
        <v>1005</v>
      </c>
      <c r="E68" s="306" t="s">
        <v>1147</v>
      </c>
      <c r="F68" s="306" t="s">
        <v>1007</v>
      </c>
      <c r="G68" s="308">
        <v>46014</v>
      </c>
      <c r="H68" s="308">
        <v>46014</v>
      </c>
      <c r="I68" s="309">
        <v>-417475.73</v>
      </c>
      <c r="J68" s="306" t="s">
        <v>1008</v>
      </c>
      <c r="K68" s="309">
        <v>-417475.73</v>
      </c>
      <c r="L68" s="306" t="s">
        <v>1008</v>
      </c>
      <c r="M68" s="306" t="s">
        <v>1047</v>
      </c>
      <c r="N68" s="306" t="s">
        <v>1047</v>
      </c>
      <c r="O68" s="306" t="s">
        <v>1060</v>
      </c>
      <c r="P68" s="306" t="s">
        <v>1026</v>
      </c>
      <c r="Q68" s="306" t="s">
        <v>1013</v>
      </c>
      <c r="R68" s="306" t="s">
        <v>1013</v>
      </c>
      <c r="S68" s="306" t="s">
        <v>1013</v>
      </c>
      <c r="T68" s="306" t="s">
        <v>1036</v>
      </c>
      <c r="U68" s="306" t="s">
        <v>1013</v>
      </c>
      <c r="V68" s="306" t="s">
        <v>1013</v>
      </c>
      <c r="W68" s="306" t="s">
        <v>1013</v>
      </c>
      <c r="X68" s="306" t="s">
        <v>1013</v>
      </c>
      <c r="Y68" s="306" t="s">
        <v>1036</v>
      </c>
      <c r="Z68" s="306" t="s">
        <v>1015</v>
      </c>
      <c r="AA68" s="306" t="s">
        <v>1013</v>
      </c>
    </row>
    <row r="69" spans="1:27" hidden="1">
      <c r="A69" s="306" t="s">
        <v>494</v>
      </c>
      <c r="B69" s="306" t="s">
        <v>1003</v>
      </c>
      <c r="C69" s="306" t="s">
        <v>1004</v>
      </c>
      <c r="D69" s="306" t="s">
        <v>1019</v>
      </c>
      <c r="E69" s="306" t="s">
        <v>1148</v>
      </c>
      <c r="F69" s="306" t="s">
        <v>1007</v>
      </c>
      <c r="G69" s="308">
        <v>46014</v>
      </c>
      <c r="H69" s="308">
        <v>46014</v>
      </c>
      <c r="I69" s="309">
        <v>-363833.57</v>
      </c>
      <c r="J69" s="306" t="s">
        <v>1008</v>
      </c>
      <c r="K69" s="309">
        <v>-363833.57</v>
      </c>
      <c r="L69" s="306" t="s">
        <v>1008</v>
      </c>
      <c r="M69" s="306" t="s">
        <v>1043</v>
      </c>
      <c r="N69" s="306" t="s">
        <v>1043</v>
      </c>
      <c r="O69" s="306" t="s">
        <v>1093</v>
      </c>
      <c r="P69" s="306" t="s">
        <v>1026</v>
      </c>
      <c r="Q69" s="306" t="s">
        <v>1013</v>
      </c>
      <c r="R69" s="306" t="s">
        <v>1013</v>
      </c>
      <c r="S69" s="306" t="s">
        <v>1013</v>
      </c>
      <c r="T69" s="306" t="s">
        <v>1036</v>
      </c>
      <c r="U69" s="306" t="s">
        <v>1013</v>
      </c>
      <c r="V69" s="306" t="s">
        <v>1013</v>
      </c>
      <c r="W69" s="306" t="s">
        <v>1013</v>
      </c>
      <c r="X69" s="306" t="s">
        <v>1013</v>
      </c>
      <c r="Y69" s="306" t="s">
        <v>1036</v>
      </c>
      <c r="Z69" s="306" t="s">
        <v>1015</v>
      </c>
      <c r="AA69" s="306" t="s">
        <v>1013</v>
      </c>
    </row>
    <row r="70" spans="1:27" hidden="1">
      <c r="A70" s="306" t="s">
        <v>494</v>
      </c>
      <c r="B70" s="306" t="s">
        <v>1003</v>
      </c>
      <c r="C70" s="306" t="s">
        <v>1004</v>
      </c>
      <c r="D70" s="306" t="s">
        <v>1031</v>
      </c>
      <c r="E70" s="306" t="s">
        <v>1149</v>
      </c>
      <c r="F70" s="306" t="s">
        <v>1007</v>
      </c>
      <c r="G70" s="308">
        <v>46015</v>
      </c>
      <c r="H70" s="308">
        <v>46015</v>
      </c>
      <c r="I70" s="309">
        <v>-44902.79</v>
      </c>
      <c r="J70" s="306" t="s">
        <v>1008</v>
      </c>
      <c r="K70" s="309">
        <v>-44902.79</v>
      </c>
      <c r="L70" s="306" t="s">
        <v>1008</v>
      </c>
      <c r="M70" s="306" t="s">
        <v>1150</v>
      </c>
      <c r="N70" s="306" t="s">
        <v>1151</v>
      </c>
      <c r="O70" s="306" t="s">
        <v>1152</v>
      </c>
      <c r="P70" s="306" t="s">
        <v>244</v>
      </c>
      <c r="Q70" s="306" t="s">
        <v>1013</v>
      </c>
      <c r="R70" s="306" t="s">
        <v>1013</v>
      </c>
      <c r="S70" s="306" t="s">
        <v>1013</v>
      </c>
      <c r="T70" s="306" t="s">
        <v>1153</v>
      </c>
      <c r="U70" s="306" t="s">
        <v>1013</v>
      </c>
      <c r="V70" s="306" t="s">
        <v>1013</v>
      </c>
      <c r="W70" s="306" t="s">
        <v>1013</v>
      </c>
      <c r="X70" s="306" t="s">
        <v>1013</v>
      </c>
      <c r="Y70" s="306" t="s">
        <v>1153</v>
      </c>
      <c r="Z70" s="306" t="s">
        <v>1015</v>
      </c>
      <c r="AA70" s="306" t="s">
        <v>1013</v>
      </c>
    </row>
    <row r="71" spans="1:27" hidden="1">
      <c r="A71" s="306" t="s">
        <v>494</v>
      </c>
      <c r="B71" s="306" t="s">
        <v>1003</v>
      </c>
      <c r="C71" s="306" t="s">
        <v>1004</v>
      </c>
      <c r="D71" s="306" t="s">
        <v>1031</v>
      </c>
      <c r="E71" s="306" t="s">
        <v>1154</v>
      </c>
      <c r="F71" s="306" t="s">
        <v>1007</v>
      </c>
      <c r="G71" s="308">
        <v>46015</v>
      </c>
      <c r="H71" s="308">
        <v>46015</v>
      </c>
      <c r="I71" s="309">
        <v>-747161.5</v>
      </c>
      <c r="J71" s="306" t="s">
        <v>1008</v>
      </c>
      <c r="K71" s="309">
        <v>-747161.5</v>
      </c>
      <c r="L71" s="306" t="s">
        <v>1008</v>
      </c>
      <c r="M71" s="306" t="s">
        <v>1150</v>
      </c>
      <c r="N71" s="306" t="s">
        <v>1151</v>
      </c>
      <c r="O71" s="306" t="s">
        <v>1155</v>
      </c>
      <c r="P71" s="306" t="s">
        <v>244</v>
      </c>
      <c r="Q71" s="306" t="s">
        <v>1013</v>
      </c>
      <c r="R71" s="306" t="s">
        <v>1013</v>
      </c>
      <c r="S71" s="306" t="s">
        <v>1013</v>
      </c>
      <c r="T71" s="306" t="s">
        <v>1153</v>
      </c>
      <c r="U71" s="306" t="s">
        <v>1013</v>
      </c>
      <c r="V71" s="306" t="s">
        <v>1013</v>
      </c>
      <c r="W71" s="306" t="s">
        <v>1013</v>
      </c>
      <c r="X71" s="306" t="s">
        <v>1013</v>
      </c>
      <c r="Y71" s="306" t="s">
        <v>1153</v>
      </c>
      <c r="Z71" s="306" t="s">
        <v>1015</v>
      </c>
      <c r="AA71" s="306" t="s">
        <v>1013</v>
      </c>
    </row>
    <row r="72" spans="1:27" hidden="1">
      <c r="A72" s="306" t="s">
        <v>494</v>
      </c>
      <c r="B72" s="306" t="s">
        <v>1003</v>
      </c>
      <c r="C72" s="306" t="s">
        <v>1004</v>
      </c>
      <c r="D72" s="306" t="s">
        <v>1005</v>
      </c>
      <c r="E72" s="306" t="s">
        <v>1156</v>
      </c>
      <c r="F72" s="306" t="s">
        <v>1007</v>
      </c>
      <c r="G72" s="308">
        <v>46015</v>
      </c>
      <c r="H72" s="308">
        <v>46015</v>
      </c>
      <c r="I72" s="309">
        <v>-12316636.710000001</v>
      </c>
      <c r="J72" s="306" t="s">
        <v>1008</v>
      </c>
      <c r="K72" s="309">
        <v>-12316636.710000001</v>
      </c>
      <c r="L72" s="306" t="s">
        <v>1008</v>
      </c>
      <c r="M72" s="306" t="s">
        <v>1157</v>
      </c>
      <c r="N72" s="306" t="s">
        <v>1151</v>
      </c>
      <c r="O72" s="306" t="s">
        <v>1158</v>
      </c>
      <c r="P72" s="306" t="s">
        <v>244</v>
      </c>
      <c r="Q72" s="306" t="s">
        <v>1013</v>
      </c>
      <c r="R72" s="306" t="s">
        <v>1013</v>
      </c>
      <c r="S72" s="306" t="s">
        <v>1013</v>
      </c>
      <c r="T72" s="306" t="s">
        <v>1153</v>
      </c>
      <c r="U72" s="306" t="s">
        <v>1013</v>
      </c>
      <c r="V72" s="306" t="s">
        <v>1013</v>
      </c>
      <c r="W72" s="306" t="s">
        <v>1013</v>
      </c>
      <c r="X72" s="306" t="s">
        <v>1013</v>
      </c>
      <c r="Y72" s="306" t="s">
        <v>1153</v>
      </c>
      <c r="Z72" s="306" t="s">
        <v>1015</v>
      </c>
      <c r="AA72" s="306" t="s">
        <v>1013</v>
      </c>
    </row>
    <row r="73" spans="1:27" hidden="1">
      <c r="A73" s="306" t="s">
        <v>494</v>
      </c>
      <c r="B73" s="306" t="s">
        <v>1003</v>
      </c>
      <c r="C73" s="306" t="s">
        <v>1004</v>
      </c>
      <c r="D73" s="306" t="s">
        <v>1031</v>
      </c>
      <c r="E73" s="306" t="s">
        <v>1159</v>
      </c>
      <c r="F73" s="306" t="s">
        <v>1007</v>
      </c>
      <c r="G73" s="308">
        <v>46015</v>
      </c>
      <c r="H73" s="308">
        <v>46015</v>
      </c>
      <c r="I73" s="309">
        <v>-20106932.460000001</v>
      </c>
      <c r="J73" s="306" t="s">
        <v>1008</v>
      </c>
      <c r="K73" s="309">
        <v>-20106932.460000001</v>
      </c>
      <c r="L73" s="306" t="s">
        <v>1008</v>
      </c>
      <c r="M73" s="306" t="s">
        <v>1150</v>
      </c>
      <c r="N73" s="306" t="s">
        <v>1151</v>
      </c>
      <c r="O73" s="306" t="s">
        <v>1160</v>
      </c>
      <c r="P73" s="306" t="s">
        <v>244</v>
      </c>
      <c r="Q73" s="306" t="s">
        <v>1013</v>
      </c>
      <c r="R73" s="306" t="s">
        <v>1013</v>
      </c>
      <c r="S73" s="306" t="s">
        <v>1013</v>
      </c>
      <c r="T73" s="306" t="s">
        <v>1153</v>
      </c>
      <c r="U73" s="306" t="s">
        <v>1013</v>
      </c>
      <c r="V73" s="306" t="s">
        <v>1013</v>
      </c>
      <c r="W73" s="306" t="s">
        <v>1013</v>
      </c>
      <c r="X73" s="306" t="s">
        <v>1013</v>
      </c>
      <c r="Y73" s="306" t="s">
        <v>1153</v>
      </c>
      <c r="Z73" s="306" t="s">
        <v>1015</v>
      </c>
      <c r="AA73" s="306" t="s">
        <v>1013</v>
      </c>
    </row>
    <row r="74" spans="1:27" hidden="1">
      <c r="A74" s="306" t="s">
        <v>494</v>
      </c>
      <c r="B74" s="306" t="s">
        <v>1003</v>
      </c>
      <c r="C74" s="306" t="s">
        <v>1004</v>
      </c>
      <c r="D74" s="306" t="s">
        <v>1031</v>
      </c>
      <c r="E74" s="306" t="s">
        <v>1161</v>
      </c>
      <c r="F74" s="306" t="s">
        <v>1007</v>
      </c>
      <c r="G74" s="308">
        <v>46015</v>
      </c>
      <c r="H74" s="308">
        <v>46015</v>
      </c>
      <c r="I74" s="309">
        <v>-2002566.88</v>
      </c>
      <c r="J74" s="306" t="s">
        <v>1008</v>
      </c>
      <c r="K74" s="309">
        <v>-2002566.88</v>
      </c>
      <c r="L74" s="306" t="s">
        <v>1008</v>
      </c>
      <c r="M74" s="306" t="s">
        <v>1150</v>
      </c>
      <c r="N74" s="306" t="s">
        <v>1151</v>
      </c>
      <c r="O74" s="306" t="s">
        <v>1162</v>
      </c>
      <c r="P74" s="306" t="s">
        <v>244</v>
      </c>
      <c r="Q74" s="306" t="s">
        <v>1013</v>
      </c>
      <c r="R74" s="306" t="s">
        <v>1013</v>
      </c>
      <c r="S74" s="306" t="s">
        <v>1013</v>
      </c>
      <c r="T74" s="306" t="s">
        <v>1153</v>
      </c>
      <c r="U74" s="306" t="s">
        <v>1013</v>
      </c>
      <c r="V74" s="306" t="s">
        <v>1013</v>
      </c>
      <c r="W74" s="306" t="s">
        <v>1013</v>
      </c>
      <c r="X74" s="306" t="s">
        <v>1013</v>
      </c>
      <c r="Y74" s="306" t="s">
        <v>1153</v>
      </c>
      <c r="Z74" s="306" t="s">
        <v>1015</v>
      </c>
      <c r="AA74" s="306" t="s">
        <v>1013</v>
      </c>
    </row>
    <row r="75" spans="1:27" hidden="1">
      <c r="A75" s="306" t="s">
        <v>494</v>
      </c>
      <c r="B75" s="306" t="s">
        <v>1003</v>
      </c>
      <c r="C75" s="306" t="s">
        <v>1004</v>
      </c>
      <c r="D75" s="306" t="s">
        <v>1031</v>
      </c>
      <c r="E75" s="306" t="s">
        <v>1163</v>
      </c>
      <c r="F75" s="306" t="s">
        <v>1007</v>
      </c>
      <c r="G75" s="308">
        <v>46015</v>
      </c>
      <c r="H75" s="308">
        <v>46015</v>
      </c>
      <c r="I75" s="309">
        <v>-1308280.97</v>
      </c>
      <c r="J75" s="306" t="s">
        <v>1008</v>
      </c>
      <c r="K75" s="309">
        <v>-1308280.97</v>
      </c>
      <c r="L75" s="306" t="s">
        <v>1008</v>
      </c>
      <c r="M75" s="306" t="s">
        <v>1150</v>
      </c>
      <c r="N75" s="306" t="s">
        <v>1151</v>
      </c>
      <c r="O75" s="306" t="s">
        <v>1164</v>
      </c>
      <c r="P75" s="306" t="s">
        <v>244</v>
      </c>
      <c r="Q75" s="306" t="s">
        <v>1013</v>
      </c>
      <c r="R75" s="306" t="s">
        <v>1013</v>
      </c>
      <c r="S75" s="306" t="s">
        <v>1013</v>
      </c>
      <c r="T75" s="306" t="s">
        <v>1153</v>
      </c>
      <c r="U75" s="306" t="s">
        <v>1013</v>
      </c>
      <c r="V75" s="306" t="s">
        <v>1013</v>
      </c>
      <c r="W75" s="306" t="s">
        <v>1013</v>
      </c>
      <c r="X75" s="306" t="s">
        <v>1013</v>
      </c>
      <c r="Y75" s="306" t="s">
        <v>1153</v>
      </c>
      <c r="Z75" s="306" t="s">
        <v>1015</v>
      </c>
      <c r="AA75" s="306" t="s">
        <v>1013</v>
      </c>
    </row>
    <row r="76" spans="1:27" hidden="1">
      <c r="A76" s="306" t="s">
        <v>494</v>
      </c>
      <c r="B76" s="306" t="s">
        <v>1003</v>
      </c>
      <c r="C76" s="306" t="s">
        <v>1004</v>
      </c>
      <c r="D76" s="306" t="s">
        <v>1031</v>
      </c>
      <c r="E76" s="306" t="s">
        <v>1165</v>
      </c>
      <c r="F76" s="306" t="s">
        <v>1007</v>
      </c>
      <c r="G76" s="308">
        <v>46015</v>
      </c>
      <c r="H76" s="308">
        <v>46015</v>
      </c>
      <c r="I76" s="309">
        <v>-4898230.09</v>
      </c>
      <c r="J76" s="306" t="s">
        <v>1008</v>
      </c>
      <c r="K76" s="309">
        <v>-4898230.09</v>
      </c>
      <c r="L76" s="306" t="s">
        <v>1008</v>
      </c>
      <c r="M76" s="306" t="s">
        <v>1150</v>
      </c>
      <c r="N76" s="306" t="s">
        <v>1151</v>
      </c>
      <c r="O76" s="306" t="s">
        <v>1166</v>
      </c>
      <c r="P76" s="306" t="s">
        <v>244</v>
      </c>
      <c r="Q76" s="306" t="s">
        <v>1013</v>
      </c>
      <c r="R76" s="306" t="s">
        <v>1013</v>
      </c>
      <c r="S76" s="306" t="s">
        <v>1013</v>
      </c>
      <c r="T76" s="306" t="s">
        <v>1153</v>
      </c>
      <c r="U76" s="306" t="s">
        <v>1013</v>
      </c>
      <c r="V76" s="306" t="s">
        <v>1013</v>
      </c>
      <c r="W76" s="306" t="s">
        <v>1013</v>
      </c>
      <c r="X76" s="306" t="s">
        <v>1013</v>
      </c>
      <c r="Y76" s="306" t="s">
        <v>1153</v>
      </c>
      <c r="Z76" s="306" t="s">
        <v>1015</v>
      </c>
      <c r="AA76" s="306" t="s">
        <v>1013</v>
      </c>
    </row>
    <row r="77" spans="1:27" hidden="1">
      <c r="A77" s="306" t="s">
        <v>494</v>
      </c>
      <c r="B77" s="306" t="s">
        <v>1003</v>
      </c>
      <c r="C77" s="306" t="s">
        <v>1004</v>
      </c>
      <c r="D77" s="306" t="s">
        <v>1019</v>
      </c>
      <c r="E77" s="306" t="s">
        <v>1167</v>
      </c>
      <c r="F77" s="306" t="s">
        <v>1007</v>
      </c>
      <c r="G77" s="308">
        <v>46015</v>
      </c>
      <c r="H77" s="308">
        <v>46015</v>
      </c>
      <c r="I77" s="309">
        <v>-4863.6400000000003</v>
      </c>
      <c r="J77" s="306" t="s">
        <v>1008</v>
      </c>
      <c r="K77" s="309">
        <v>-4863.6400000000003</v>
      </c>
      <c r="L77" s="306" t="s">
        <v>1008</v>
      </c>
      <c r="M77" s="306" t="s">
        <v>1168</v>
      </c>
      <c r="N77" s="306" t="s">
        <v>1151</v>
      </c>
      <c r="O77" s="306" t="s">
        <v>1169</v>
      </c>
      <c r="P77" s="306" t="s">
        <v>244</v>
      </c>
      <c r="Q77" s="306" t="s">
        <v>1013</v>
      </c>
      <c r="R77" s="306" t="s">
        <v>1013</v>
      </c>
      <c r="S77" s="306" t="s">
        <v>1013</v>
      </c>
      <c r="T77" s="306" t="s">
        <v>1153</v>
      </c>
      <c r="U77" s="306" t="s">
        <v>1013</v>
      </c>
      <c r="V77" s="306" t="s">
        <v>1013</v>
      </c>
      <c r="W77" s="306" t="s">
        <v>1013</v>
      </c>
      <c r="X77" s="306" t="s">
        <v>1013</v>
      </c>
      <c r="Y77" s="306" t="s">
        <v>1153</v>
      </c>
      <c r="Z77" s="306" t="s">
        <v>1015</v>
      </c>
      <c r="AA77" s="306" t="s">
        <v>1013</v>
      </c>
    </row>
    <row r="78" spans="1:27" hidden="1">
      <c r="A78" s="306" t="s">
        <v>494</v>
      </c>
      <c r="B78" s="306" t="s">
        <v>1003</v>
      </c>
      <c r="C78" s="306" t="s">
        <v>1004</v>
      </c>
      <c r="D78" s="306" t="s">
        <v>1019</v>
      </c>
      <c r="E78" s="306" t="s">
        <v>1170</v>
      </c>
      <c r="F78" s="306" t="s">
        <v>1007</v>
      </c>
      <c r="G78" s="308">
        <v>46015</v>
      </c>
      <c r="H78" s="308">
        <v>46015</v>
      </c>
      <c r="I78" s="309">
        <v>-4863.6400000000003</v>
      </c>
      <c r="J78" s="306" t="s">
        <v>1008</v>
      </c>
      <c r="K78" s="309">
        <v>-4863.6400000000003</v>
      </c>
      <c r="L78" s="306" t="s">
        <v>1008</v>
      </c>
      <c r="M78" s="306" t="s">
        <v>1168</v>
      </c>
      <c r="N78" s="306" t="s">
        <v>1151</v>
      </c>
      <c r="O78" s="306" t="s">
        <v>1171</v>
      </c>
      <c r="P78" s="306" t="s">
        <v>244</v>
      </c>
      <c r="Q78" s="306" t="s">
        <v>1013</v>
      </c>
      <c r="R78" s="306" t="s">
        <v>1013</v>
      </c>
      <c r="S78" s="306" t="s">
        <v>1013</v>
      </c>
      <c r="T78" s="306" t="s">
        <v>1153</v>
      </c>
      <c r="U78" s="306" t="s">
        <v>1013</v>
      </c>
      <c r="V78" s="306" t="s">
        <v>1013</v>
      </c>
      <c r="W78" s="306" t="s">
        <v>1013</v>
      </c>
      <c r="X78" s="306" t="s">
        <v>1013</v>
      </c>
      <c r="Y78" s="306" t="s">
        <v>1153</v>
      </c>
      <c r="Z78" s="306" t="s">
        <v>1015</v>
      </c>
      <c r="AA78" s="306" t="s">
        <v>1013</v>
      </c>
    </row>
    <row r="79" spans="1:27" hidden="1">
      <c r="A79" s="306" t="s">
        <v>494</v>
      </c>
      <c r="B79" s="306" t="s">
        <v>1003</v>
      </c>
      <c r="C79" s="306" t="s">
        <v>1004</v>
      </c>
      <c r="D79" s="306" t="s">
        <v>1031</v>
      </c>
      <c r="E79" s="306" t="s">
        <v>1172</v>
      </c>
      <c r="F79" s="306" t="s">
        <v>1007</v>
      </c>
      <c r="G79" s="308">
        <v>46015</v>
      </c>
      <c r="H79" s="308">
        <v>46015</v>
      </c>
      <c r="I79" s="309">
        <v>-581851.68000000005</v>
      </c>
      <c r="J79" s="306" t="s">
        <v>1008</v>
      </c>
      <c r="K79" s="309">
        <v>-581851.68000000005</v>
      </c>
      <c r="L79" s="306" t="s">
        <v>1008</v>
      </c>
      <c r="M79" s="306" t="s">
        <v>1150</v>
      </c>
      <c r="N79" s="306" t="s">
        <v>1151</v>
      </c>
      <c r="O79" s="306" t="s">
        <v>1173</v>
      </c>
      <c r="P79" s="306" t="s">
        <v>244</v>
      </c>
      <c r="Q79" s="306" t="s">
        <v>1013</v>
      </c>
      <c r="R79" s="306" t="s">
        <v>1013</v>
      </c>
      <c r="S79" s="306" t="s">
        <v>1013</v>
      </c>
      <c r="T79" s="306" t="s">
        <v>1153</v>
      </c>
      <c r="U79" s="306" t="s">
        <v>1013</v>
      </c>
      <c r="V79" s="306" t="s">
        <v>1013</v>
      </c>
      <c r="W79" s="306" t="s">
        <v>1013</v>
      </c>
      <c r="X79" s="306" t="s">
        <v>1013</v>
      </c>
      <c r="Y79" s="306" t="s">
        <v>1153</v>
      </c>
      <c r="Z79" s="306" t="s">
        <v>1015</v>
      </c>
      <c r="AA79" s="306" t="s">
        <v>1013</v>
      </c>
    </row>
    <row r="80" spans="1:27" hidden="1">
      <c r="A80" s="306" t="s">
        <v>494</v>
      </c>
      <c r="B80" s="306" t="s">
        <v>1003</v>
      </c>
      <c r="C80" s="306" t="s">
        <v>1004</v>
      </c>
      <c r="D80" s="306" t="s">
        <v>1031</v>
      </c>
      <c r="E80" s="306" t="s">
        <v>1174</v>
      </c>
      <c r="F80" s="306" t="s">
        <v>1007</v>
      </c>
      <c r="G80" s="308">
        <v>46015</v>
      </c>
      <c r="H80" s="308">
        <v>46015</v>
      </c>
      <c r="I80" s="309">
        <v>-5355902.84</v>
      </c>
      <c r="J80" s="306" t="s">
        <v>1008</v>
      </c>
      <c r="K80" s="309">
        <v>-5355902.84</v>
      </c>
      <c r="L80" s="306" t="s">
        <v>1008</v>
      </c>
      <c r="M80" s="306" t="s">
        <v>1150</v>
      </c>
      <c r="N80" s="306" t="s">
        <v>1151</v>
      </c>
      <c r="O80" s="306" t="s">
        <v>1175</v>
      </c>
      <c r="P80" s="306" t="s">
        <v>244</v>
      </c>
      <c r="Q80" s="306" t="s">
        <v>1013</v>
      </c>
      <c r="R80" s="306" t="s">
        <v>1013</v>
      </c>
      <c r="S80" s="306" t="s">
        <v>1013</v>
      </c>
      <c r="T80" s="306" t="s">
        <v>1153</v>
      </c>
      <c r="U80" s="306" t="s">
        <v>1013</v>
      </c>
      <c r="V80" s="306" t="s">
        <v>1013</v>
      </c>
      <c r="W80" s="306" t="s">
        <v>1013</v>
      </c>
      <c r="X80" s="306" t="s">
        <v>1013</v>
      </c>
      <c r="Y80" s="306" t="s">
        <v>1153</v>
      </c>
      <c r="Z80" s="306" t="s">
        <v>1015</v>
      </c>
      <c r="AA80" s="306" t="s">
        <v>1013</v>
      </c>
    </row>
    <row r="81" spans="1:27" hidden="1">
      <c r="A81" s="306" t="s">
        <v>494</v>
      </c>
      <c r="B81" s="306" t="s">
        <v>1003</v>
      </c>
      <c r="C81" s="306" t="s">
        <v>1004</v>
      </c>
      <c r="D81" s="306" t="s">
        <v>1005</v>
      </c>
      <c r="E81" s="306" t="s">
        <v>1176</v>
      </c>
      <c r="F81" s="306" t="s">
        <v>1007</v>
      </c>
      <c r="G81" s="308">
        <v>46015</v>
      </c>
      <c r="H81" s="308">
        <v>46015</v>
      </c>
      <c r="I81" s="309">
        <v>-8216137.54</v>
      </c>
      <c r="J81" s="306" t="s">
        <v>1008</v>
      </c>
      <c r="K81" s="309">
        <v>-8216137.54</v>
      </c>
      <c r="L81" s="306" t="s">
        <v>1008</v>
      </c>
      <c r="M81" s="306" t="s">
        <v>1157</v>
      </c>
      <c r="N81" s="306" t="s">
        <v>1151</v>
      </c>
      <c r="O81" s="306" t="s">
        <v>1177</v>
      </c>
      <c r="P81" s="306" t="s">
        <v>244</v>
      </c>
      <c r="Q81" s="306" t="s">
        <v>1013</v>
      </c>
      <c r="R81" s="306" t="s">
        <v>1013</v>
      </c>
      <c r="S81" s="306" t="s">
        <v>1013</v>
      </c>
      <c r="T81" s="306" t="s">
        <v>1153</v>
      </c>
      <c r="U81" s="306" t="s">
        <v>1013</v>
      </c>
      <c r="V81" s="306" t="s">
        <v>1013</v>
      </c>
      <c r="W81" s="306" t="s">
        <v>1013</v>
      </c>
      <c r="X81" s="306" t="s">
        <v>1013</v>
      </c>
      <c r="Y81" s="306" t="s">
        <v>1153</v>
      </c>
      <c r="Z81" s="306" t="s">
        <v>1015</v>
      </c>
      <c r="AA81" s="306" t="s">
        <v>1013</v>
      </c>
    </row>
    <row r="82" spans="1:27" hidden="1">
      <c r="A82" s="306" t="s">
        <v>494</v>
      </c>
      <c r="B82" s="306" t="s">
        <v>1003</v>
      </c>
      <c r="C82" s="306" t="s">
        <v>1004</v>
      </c>
      <c r="D82" s="306" t="s">
        <v>1019</v>
      </c>
      <c r="E82" s="306" t="s">
        <v>1178</v>
      </c>
      <c r="F82" s="306" t="s">
        <v>1007</v>
      </c>
      <c r="G82" s="308">
        <v>46015</v>
      </c>
      <c r="H82" s="308">
        <v>46015</v>
      </c>
      <c r="I82" s="309">
        <v>-3443.27</v>
      </c>
      <c r="J82" s="306" t="s">
        <v>1008</v>
      </c>
      <c r="K82" s="309">
        <v>-3443.27</v>
      </c>
      <c r="L82" s="306" t="s">
        <v>1008</v>
      </c>
      <c r="M82" s="306" t="s">
        <v>1168</v>
      </c>
      <c r="N82" s="306" t="s">
        <v>1151</v>
      </c>
      <c r="O82" s="306" t="s">
        <v>1179</v>
      </c>
      <c r="P82" s="306" t="s">
        <v>244</v>
      </c>
      <c r="Q82" s="306" t="s">
        <v>1013</v>
      </c>
      <c r="R82" s="306" t="s">
        <v>1013</v>
      </c>
      <c r="S82" s="306" t="s">
        <v>1013</v>
      </c>
      <c r="T82" s="306" t="s">
        <v>1153</v>
      </c>
      <c r="U82" s="306" t="s">
        <v>1013</v>
      </c>
      <c r="V82" s="306" t="s">
        <v>1013</v>
      </c>
      <c r="W82" s="306" t="s">
        <v>1013</v>
      </c>
      <c r="X82" s="306" t="s">
        <v>1013</v>
      </c>
      <c r="Y82" s="306" t="s">
        <v>1153</v>
      </c>
      <c r="Z82" s="306" t="s">
        <v>1015</v>
      </c>
      <c r="AA82" s="306" t="s">
        <v>1013</v>
      </c>
    </row>
    <row r="83" spans="1:27" hidden="1">
      <c r="A83" s="306" t="s">
        <v>494</v>
      </c>
      <c r="B83" s="306" t="s">
        <v>1003</v>
      </c>
      <c r="C83" s="306" t="s">
        <v>1004</v>
      </c>
      <c r="D83" s="306" t="s">
        <v>1031</v>
      </c>
      <c r="E83" s="306" t="s">
        <v>1180</v>
      </c>
      <c r="F83" s="306" t="s">
        <v>1007</v>
      </c>
      <c r="G83" s="308">
        <v>46015</v>
      </c>
      <c r="H83" s="308">
        <v>46015</v>
      </c>
      <c r="I83" s="309">
        <v>-470949.78</v>
      </c>
      <c r="J83" s="306" t="s">
        <v>1008</v>
      </c>
      <c r="K83" s="309">
        <v>-470949.78</v>
      </c>
      <c r="L83" s="306" t="s">
        <v>1008</v>
      </c>
      <c r="M83" s="306" t="s">
        <v>1150</v>
      </c>
      <c r="N83" s="306" t="s">
        <v>1151</v>
      </c>
      <c r="O83" s="306" t="s">
        <v>1181</v>
      </c>
      <c r="P83" s="306" t="s">
        <v>244</v>
      </c>
      <c r="Q83" s="306" t="s">
        <v>1013</v>
      </c>
      <c r="R83" s="306" t="s">
        <v>1013</v>
      </c>
      <c r="S83" s="306" t="s">
        <v>1013</v>
      </c>
      <c r="T83" s="306" t="s">
        <v>1153</v>
      </c>
      <c r="U83" s="306" t="s">
        <v>1013</v>
      </c>
      <c r="V83" s="306" t="s">
        <v>1013</v>
      </c>
      <c r="W83" s="306" t="s">
        <v>1013</v>
      </c>
      <c r="X83" s="306" t="s">
        <v>1013</v>
      </c>
      <c r="Y83" s="306" t="s">
        <v>1153</v>
      </c>
      <c r="Z83" s="306" t="s">
        <v>1015</v>
      </c>
      <c r="AA83" s="306" t="s">
        <v>1013</v>
      </c>
    </row>
    <row r="84" spans="1:27" hidden="1">
      <c r="A84" s="306" t="s">
        <v>494</v>
      </c>
      <c r="B84" s="306" t="s">
        <v>1003</v>
      </c>
      <c r="C84" s="306" t="s">
        <v>1004</v>
      </c>
      <c r="D84" s="306" t="s">
        <v>1031</v>
      </c>
      <c r="E84" s="306" t="s">
        <v>1182</v>
      </c>
      <c r="F84" s="306" t="s">
        <v>1007</v>
      </c>
      <c r="G84" s="308">
        <v>46015</v>
      </c>
      <c r="H84" s="308">
        <v>46015</v>
      </c>
      <c r="I84" s="309">
        <v>-2246855.65</v>
      </c>
      <c r="J84" s="306" t="s">
        <v>1008</v>
      </c>
      <c r="K84" s="309">
        <v>-2246855.65</v>
      </c>
      <c r="L84" s="306" t="s">
        <v>1008</v>
      </c>
      <c r="M84" s="306" t="s">
        <v>1150</v>
      </c>
      <c r="N84" s="306" t="s">
        <v>1151</v>
      </c>
      <c r="O84" s="306" t="s">
        <v>1183</v>
      </c>
      <c r="P84" s="306" t="s">
        <v>244</v>
      </c>
      <c r="Q84" s="306" t="s">
        <v>1013</v>
      </c>
      <c r="R84" s="306" t="s">
        <v>1013</v>
      </c>
      <c r="S84" s="306" t="s">
        <v>1013</v>
      </c>
      <c r="T84" s="306" t="s">
        <v>1153</v>
      </c>
      <c r="U84" s="306" t="s">
        <v>1013</v>
      </c>
      <c r="V84" s="306" t="s">
        <v>1013</v>
      </c>
      <c r="W84" s="306" t="s">
        <v>1013</v>
      </c>
      <c r="X84" s="306" t="s">
        <v>1013</v>
      </c>
      <c r="Y84" s="306" t="s">
        <v>1153</v>
      </c>
      <c r="Z84" s="306" t="s">
        <v>1015</v>
      </c>
      <c r="AA84" s="306" t="s">
        <v>1013</v>
      </c>
    </row>
    <row r="85" spans="1:27" hidden="1">
      <c r="A85" s="306" t="s">
        <v>494</v>
      </c>
      <c r="B85" s="306" t="s">
        <v>1003</v>
      </c>
      <c r="C85" s="306" t="s">
        <v>1004</v>
      </c>
      <c r="D85" s="306" t="s">
        <v>1031</v>
      </c>
      <c r="E85" s="306" t="s">
        <v>1184</v>
      </c>
      <c r="F85" s="306" t="s">
        <v>1007</v>
      </c>
      <c r="G85" s="308">
        <v>46015</v>
      </c>
      <c r="H85" s="308">
        <v>46015</v>
      </c>
      <c r="I85" s="309">
        <v>-576137.84</v>
      </c>
      <c r="J85" s="306" t="s">
        <v>1008</v>
      </c>
      <c r="K85" s="309">
        <v>-576137.84</v>
      </c>
      <c r="L85" s="306" t="s">
        <v>1008</v>
      </c>
      <c r="M85" s="306" t="s">
        <v>1150</v>
      </c>
      <c r="N85" s="306" t="s">
        <v>1151</v>
      </c>
      <c r="O85" s="306" t="s">
        <v>1185</v>
      </c>
      <c r="P85" s="306" t="s">
        <v>244</v>
      </c>
      <c r="Q85" s="306" t="s">
        <v>1013</v>
      </c>
      <c r="R85" s="306" t="s">
        <v>1013</v>
      </c>
      <c r="S85" s="306" t="s">
        <v>1013</v>
      </c>
      <c r="T85" s="306" t="s">
        <v>1153</v>
      </c>
      <c r="U85" s="306" t="s">
        <v>1013</v>
      </c>
      <c r="V85" s="306" t="s">
        <v>1013</v>
      </c>
      <c r="W85" s="306" t="s">
        <v>1013</v>
      </c>
      <c r="X85" s="306" t="s">
        <v>1013</v>
      </c>
      <c r="Y85" s="306" t="s">
        <v>1153</v>
      </c>
      <c r="Z85" s="306" t="s">
        <v>1015</v>
      </c>
      <c r="AA85" s="306" t="s">
        <v>1013</v>
      </c>
    </row>
    <row r="86" spans="1:27" hidden="1">
      <c r="A86" s="306" t="s">
        <v>494</v>
      </c>
      <c r="B86" s="306" t="s">
        <v>1003</v>
      </c>
      <c r="C86" s="306" t="s">
        <v>1004</v>
      </c>
      <c r="D86" s="306" t="s">
        <v>1031</v>
      </c>
      <c r="E86" s="306" t="s">
        <v>1186</v>
      </c>
      <c r="F86" s="306" t="s">
        <v>1007</v>
      </c>
      <c r="G86" s="308">
        <v>46015</v>
      </c>
      <c r="H86" s="308">
        <v>46015</v>
      </c>
      <c r="I86" s="309">
        <v>-5359.03</v>
      </c>
      <c r="J86" s="306" t="s">
        <v>1008</v>
      </c>
      <c r="K86" s="309">
        <v>-5359.03</v>
      </c>
      <c r="L86" s="306" t="s">
        <v>1008</v>
      </c>
      <c r="M86" s="306" t="s">
        <v>1150</v>
      </c>
      <c r="N86" s="306" t="s">
        <v>1151</v>
      </c>
      <c r="O86" s="306" t="s">
        <v>1187</v>
      </c>
      <c r="P86" s="306" t="s">
        <v>244</v>
      </c>
      <c r="Q86" s="306" t="s">
        <v>1013</v>
      </c>
      <c r="R86" s="306" t="s">
        <v>1013</v>
      </c>
      <c r="S86" s="306" t="s">
        <v>1013</v>
      </c>
      <c r="T86" s="306" t="s">
        <v>1153</v>
      </c>
      <c r="U86" s="306" t="s">
        <v>1013</v>
      </c>
      <c r="V86" s="306" t="s">
        <v>1013</v>
      </c>
      <c r="W86" s="306" t="s">
        <v>1013</v>
      </c>
      <c r="X86" s="306" t="s">
        <v>1013</v>
      </c>
      <c r="Y86" s="306" t="s">
        <v>1153</v>
      </c>
      <c r="Z86" s="306" t="s">
        <v>1015</v>
      </c>
      <c r="AA86" s="306" t="s">
        <v>1013</v>
      </c>
    </row>
    <row r="87" spans="1:27" hidden="1">
      <c r="A87" s="306" t="s">
        <v>494</v>
      </c>
      <c r="B87" s="306" t="s">
        <v>1003</v>
      </c>
      <c r="C87" s="306" t="s">
        <v>1004</v>
      </c>
      <c r="D87" s="306" t="s">
        <v>1031</v>
      </c>
      <c r="E87" s="306" t="s">
        <v>1188</v>
      </c>
      <c r="F87" s="306" t="s">
        <v>1007</v>
      </c>
      <c r="G87" s="308">
        <v>46015</v>
      </c>
      <c r="H87" s="308">
        <v>46015</v>
      </c>
      <c r="I87" s="309">
        <v>-49687.13</v>
      </c>
      <c r="J87" s="306" t="s">
        <v>1008</v>
      </c>
      <c r="K87" s="309">
        <v>-49687.13</v>
      </c>
      <c r="L87" s="306" t="s">
        <v>1008</v>
      </c>
      <c r="M87" s="306" t="s">
        <v>1150</v>
      </c>
      <c r="N87" s="306" t="s">
        <v>1151</v>
      </c>
      <c r="O87" s="306" t="s">
        <v>1189</v>
      </c>
      <c r="P87" s="306" t="s">
        <v>244</v>
      </c>
      <c r="Q87" s="306" t="s">
        <v>1013</v>
      </c>
      <c r="R87" s="306" t="s">
        <v>1013</v>
      </c>
      <c r="S87" s="306" t="s">
        <v>1013</v>
      </c>
      <c r="T87" s="306" t="s">
        <v>1153</v>
      </c>
      <c r="U87" s="306" t="s">
        <v>1013</v>
      </c>
      <c r="V87" s="306" t="s">
        <v>1013</v>
      </c>
      <c r="W87" s="306" t="s">
        <v>1013</v>
      </c>
      <c r="X87" s="306" t="s">
        <v>1013</v>
      </c>
      <c r="Y87" s="306" t="s">
        <v>1153</v>
      </c>
      <c r="Z87" s="306" t="s">
        <v>1015</v>
      </c>
      <c r="AA87" s="306" t="s">
        <v>1013</v>
      </c>
    </row>
    <row r="88" spans="1:27" hidden="1">
      <c r="A88" s="306" t="s">
        <v>494</v>
      </c>
      <c r="B88" s="306" t="s">
        <v>1003</v>
      </c>
      <c r="C88" s="306" t="s">
        <v>1004</v>
      </c>
      <c r="D88" s="306" t="s">
        <v>1019</v>
      </c>
      <c r="E88" s="306" t="s">
        <v>1190</v>
      </c>
      <c r="F88" s="306" t="s">
        <v>1007</v>
      </c>
      <c r="G88" s="308">
        <v>46015</v>
      </c>
      <c r="H88" s="308">
        <v>46015</v>
      </c>
      <c r="I88" s="309">
        <v>-111058.25</v>
      </c>
      <c r="J88" s="306" t="s">
        <v>1008</v>
      </c>
      <c r="K88" s="309">
        <v>-111058.25</v>
      </c>
      <c r="L88" s="306" t="s">
        <v>1008</v>
      </c>
      <c r="M88" s="306" t="s">
        <v>1168</v>
      </c>
      <c r="N88" s="306" t="s">
        <v>1151</v>
      </c>
      <c r="O88" s="306" t="s">
        <v>1191</v>
      </c>
      <c r="P88" s="306" t="s">
        <v>244</v>
      </c>
      <c r="Q88" s="306" t="s">
        <v>1013</v>
      </c>
      <c r="R88" s="306" t="s">
        <v>1013</v>
      </c>
      <c r="S88" s="306" t="s">
        <v>1013</v>
      </c>
      <c r="T88" s="306" t="s">
        <v>1153</v>
      </c>
      <c r="U88" s="306" t="s">
        <v>1013</v>
      </c>
      <c r="V88" s="306" t="s">
        <v>1013</v>
      </c>
      <c r="W88" s="306" t="s">
        <v>1013</v>
      </c>
      <c r="X88" s="306" t="s">
        <v>1013</v>
      </c>
      <c r="Y88" s="306" t="s">
        <v>1153</v>
      </c>
      <c r="Z88" s="306" t="s">
        <v>1015</v>
      </c>
      <c r="AA88" s="306" t="s">
        <v>1013</v>
      </c>
    </row>
    <row r="89" spans="1:27" hidden="1">
      <c r="A89" s="306" t="s">
        <v>494</v>
      </c>
      <c r="B89" s="306" t="s">
        <v>1003</v>
      </c>
      <c r="C89" s="306" t="s">
        <v>1004</v>
      </c>
      <c r="D89" s="306" t="s">
        <v>1031</v>
      </c>
      <c r="E89" s="306" t="s">
        <v>1192</v>
      </c>
      <c r="F89" s="306" t="s">
        <v>1007</v>
      </c>
      <c r="G89" s="308">
        <v>46015</v>
      </c>
      <c r="H89" s="308">
        <v>46015</v>
      </c>
      <c r="I89" s="309">
        <v>-1385896.41</v>
      </c>
      <c r="J89" s="306" t="s">
        <v>1008</v>
      </c>
      <c r="K89" s="309">
        <v>-1385896.41</v>
      </c>
      <c r="L89" s="306" t="s">
        <v>1008</v>
      </c>
      <c r="M89" s="306" t="s">
        <v>1150</v>
      </c>
      <c r="N89" s="306" t="s">
        <v>1151</v>
      </c>
      <c r="O89" s="306" t="s">
        <v>1193</v>
      </c>
      <c r="P89" s="306" t="s">
        <v>244</v>
      </c>
      <c r="Q89" s="306" t="s">
        <v>1013</v>
      </c>
      <c r="R89" s="306" t="s">
        <v>1013</v>
      </c>
      <c r="S89" s="306" t="s">
        <v>1013</v>
      </c>
      <c r="T89" s="306" t="s">
        <v>1153</v>
      </c>
      <c r="U89" s="306" t="s">
        <v>1013</v>
      </c>
      <c r="V89" s="306" t="s">
        <v>1013</v>
      </c>
      <c r="W89" s="306" t="s">
        <v>1013</v>
      </c>
      <c r="X89" s="306" t="s">
        <v>1013</v>
      </c>
      <c r="Y89" s="306" t="s">
        <v>1153</v>
      </c>
      <c r="Z89" s="306" t="s">
        <v>1015</v>
      </c>
      <c r="AA89" s="306" t="s">
        <v>1013</v>
      </c>
    </row>
    <row r="90" spans="1:27" hidden="1">
      <c r="A90" s="306" t="s">
        <v>494</v>
      </c>
      <c r="B90" s="306" t="s">
        <v>1003</v>
      </c>
      <c r="C90" s="306" t="s">
        <v>1004</v>
      </c>
      <c r="D90" s="306" t="s">
        <v>1019</v>
      </c>
      <c r="E90" s="306" t="s">
        <v>1194</v>
      </c>
      <c r="F90" s="306" t="s">
        <v>1007</v>
      </c>
      <c r="G90" s="308">
        <v>46015</v>
      </c>
      <c r="H90" s="308">
        <v>46015</v>
      </c>
      <c r="I90" s="309">
        <v>-92548.54</v>
      </c>
      <c r="J90" s="306" t="s">
        <v>1008</v>
      </c>
      <c r="K90" s="309">
        <v>-92548.54</v>
      </c>
      <c r="L90" s="306" t="s">
        <v>1008</v>
      </c>
      <c r="M90" s="306" t="s">
        <v>1168</v>
      </c>
      <c r="N90" s="306" t="s">
        <v>1151</v>
      </c>
      <c r="O90" s="306" t="s">
        <v>1195</v>
      </c>
      <c r="P90" s="306" t="s">
        <v>244</v>
      </c>
      <c r="Q90" s="306" t="s">
        <v>1013</v>
      </c>
      <c r="R90" s="306" t="s">
        <v>1013</v>
      </c>
      <c r="S90" s="306" t="s">
        <v>1013</v>
      </c>
      <c r="T90" s="306" t="s">
        <v>1153</v>
      </c>
      <c r="U90" s="306" t="s">
        <v>1013</v>
      </c>
      <c r="V90" s="306" t="s">
        <v>1013</v>
      </c>
      <c r="W90" s="306" t="s">
        <v>1013</v>
      </c>
      <c r="X90" s="306" t="s">
        <v>1013</v>
      </c>
      <c r="Y90" s="306" t="s">
        <v>1153</v>
      </c>
      <c r="Z90" s="306" t="s">
        <v>1015</v>
      </c>
      <c r="AA90" s="306" t="s">
        <v>1013</v>
      </c>
    </row>
    <row r="91" spans="1:27" hidden="1">
      <c r="A91" s="306" t="s">
        <v>494</v>
      </c>
      <c r="B91" s="306" t="s">
        <v>1003</v>
      </c>
      <c r="C91" s="306" t="s">
        <v>1004</v>
      </c>
      <c r="D91" s="306" t="s">
        <v>1005</v>
      </c>
      <c r="E91" s="306" t="s">
        <v>1196</v>
      </c>
      <c r="F91" s="306" t="s">
        <v>1007</v>
      </c>
      <c r="G91" s="308">
        <v>46015</v>
      </c>
      <c r="H91" s="308">
        <v>46015</v>
      </c>
      <c r="I91" s="309">
        <v>-120683.5</v>
      </c>
      <c r="J91" s="306" t="s">
        <v>1008</v>
      </c>
      <c r="K91" s="309">
        <v>-120683.5</v>
      </c>
      <c r="L91" s="306" t="s">
        <v>1008</v>
      </c>
      <c r="M91" s="306" t="s">
        <v>1157</v>
      </c>
      <c r="N91" s="306" t="s">
        <v>1151</v>
      </c>
      <c r="O91" s="306" t="s">
        <v>1197</v>
      </c>
      <c r="P91" s="306" t="s">
        <v>244</v>
      </c>
      <c r="Q91" s="306" t="s">
        <v>1013</v>
      </c>
      <c r="R91" s="306" t="s">
        <v>1013</v>
      </c>
      <c r="S91" s="306" t="s">
        <v>1013</v>
      </c>
      <c r="T91" s="306" t="s">
        <v>1153</v>
      </c>
      <c r="U91" s="306" t="s">
        <v>1013</v>
      </c>
      <c r="V91" s="306" t="s">
        <v>1013</v>
      </c>
      <c r="W91" s="306" t="s">
        <v>1013</v>
      </c>
      <c r="X91" s="306" t="s">
        <v>1013</v>
      </c>
      <c r="Y91" s="306" t="s">
        <v>1153</v>
      </c>
      <c r="Z91" s="306" t="s">
        <v>1015</v>
      </c>
      <c r="AA91" s="306" t="s">
        <v>1013</v>
      </c>
    </row>
    <row r="92" spans="1:27" hidden="1">
      <c r="A92" s="306" t="s">
        <v>494</v>
      </c>
      <c r="B92" s="306" t="s">
        <v>1003</v>
      </c>
      <c r="C92" s="306" t="s">
        <v>1004</v>
      </c>
      <c r="D92" s="306" t="s">
        <v>1031</v>
      </c>
      <c r="E92" s="306" t="s">
        <v>1198</v>
      </c>
      <c r="F92" s="306" t="s">
        <v>1007</v>
      </c>
      <c r="G92" s="308">
        <v>46015</v>
      </c>
      <c r="H92" s="308">
        <v>46015</v>
      </c>
      <c r="I92" s="309">
        <v>-780422.52</v>
      </c>
      <c r="J92" s="306" t="s">
        <v>1008</v>
      </c>
      <c r="K92" s="309">
        <v>-780422.52</v>
      </c>
      <c r="L92" s="306" t="s">
        <v>1008</v>
      </c>
      <c r="M92" s="306" t="s">
        <v>1150</v>
      </c>
      <c r="N92" s="306" t="s">
        <v>1151</v>
      </c>
      <c r="O92" s="306" t="s">
        <v>1199</v>
      </c>
      <c r="P92" s="306" t="s">
        <v>244</v>
      </c>
      <c r="Q92" s="306" t="s">
        <v>1013</v>
      </c>
      <c r="R92" s="306" t="s">
        <v>1013</v>
      </c>
      <c r="S92" s="306" t="s">
        <v>1013</v>
      </c>
      <c r="T92" s="306" t="s">
        <v>1153</v>
      </c>
      <c r="U92" s="306" t="s">
        <v>1013</v>
      </c>
      <c r="V92" s="306" t="s">
        <v>1013</v>
      </c>
      <c r="W92" s="306" t="s">
        <v>1013</v>
      </c>
      <c r="X92" s="306" t="s">
        <v>1013</v>
      </c>
      <c r="Y92" s="306" t="s">
        <v>1153</v>
      </c>
      <c r="Z92" s="306" t="s">
        <v>1015</v>
      </c>
      <c r="AA92" s="306" t="s">
        <v>1013</v>
      </c>
    </row>
    <row r="93" spans="1:27" hidden="1">
      <c r="A93" s="306" t="s">
        <v>494</v>
      </c>
      <c r="B93" s="306" t="s">
        <v>1003</v>
      </c>
      <c r="C93" s="306" t="s">
        <v>1004</v>
      </c>
      <c r="D93" s="306" t="s">
        <v>1019</v>
      </c>
      <c r="E93" s="306" t="s">
        <v>1200</v>
      </c>
      <c r="F93" s="306" t="s">
        <v>1007</v>
      </c>
      <c r="G93" s="308">
        <v>46015</v>
      </c>
      <c r="H93" s="308">
        <v>46015</v>
      </c>
      <c r="I93" s="309">
        <v>-41615</v>
      </c>
      <c r="J93" s="306" t="s">
        <v>1008</v>
      </c>
      <c r="K93" s="309">
        <v>-41615</v>
      </c>
      <c r="L93" s="306" t="s">
        <v>1008</v>
      </c>
      <c r="M93" s="306" t="s">
        <v>1168</v>
      </c>
      <c r="N93" s="306" t="s">
        <v>1151</v>
      </c>
      <c r="O93" s="306" t="s">
        <v>1201</v>
      </c>
      <c r="P93" s="306" t="s">
        <v>244</v>
      </c>
      <c r="Q93" s="306" t="s">
        <v>1013</v>
      </c>
      <c r="R93" s="306" t="s">
        <v>1013</v>
      </c>
      <c r="S93" s="306" t="s">
        <v>1013</v>
      </c>
      <c r="T93" s="306" t="s">
        <v>1153</v>
      </c>
      <c r="U93" s="306" t="s">
        <v>1013</v>
      </c>
      <c r="V93" s="306" t="s">
        <v>1013</v>
      </c>
      <c r="W93" s="306" t="s">
        <v>1013</v>
      </c>
      <c r="X93" s="306" t="s">
        <v>1013</v>
      </c>
      <c r="Y93" s="306" t="s">
        <v>1153</v>
      </c>
      <c r="Z93" s="306" t="s">
        <v>1015</v>
      </c>
      <c r="AA93" s="306" t="s">
        <v>1013</v>
      </c>
    </row>
    <row r="94" spans="1:27" hidden="1">
      <c r="A94" s="306" t="s">
        <v>494</v>
      </c>
      <c r="B94" s="306" t="s">
        <v>1003</v>
      </c>
      <c r="C94" s="306" t="s">
        <v>1004</v>
      </c>
      <c r="D94" s="306" t="s">
        <v>1005</v>
      </c>
      <c r="E94" s="306" t="s">
        <v>1202</v>
      </c>
      <c r="F94" s="306" t="s">
        <v>1007</v>
      </c>
      <c r="G94" s="308">
        <v>46015</v>
      </c>
      <c r="H94" s="308">
        <v>46015</v>
      </c>
      <c r="I94" s="309">
        <v>-5056412.93</v>
      </c>
      <c r="J94" s="306" t="s">
        <v>1008</v>
      </c>
      <c r="K94" s="309">
        <v>-5056412.93</v>
      </c>
      <c r="L94" s="306" t="s">
        <v>1008</v>
      </c>
      <c r="M94" s="306" t="s">
        <v>1157</v>
      </c>
      <c r="N94" s="306" t="s">
        <v>1151</v>
      </c>
      <c r="O94" s="306" t="s">
        <v>1203</v>
      </c>
      <c r="P94" s="306" t="s">
        <v>244</v>
      </c>
      <c r="Q94" s="306" t="s">
        <v>1013</v>
      </c>
      <c r="R94" s="306" t="s">
        <v>1013</v>
      </c>
      <c r="S94" s="306" t="s">
        <v>1013</v>
      </c>
      <c r="T94" s="306" t="s">
        <v>1153</v>
      </c>
      <c r="U94" s="306" t="s">
        <v>1013</v>
      </c>
      <c r="V94" s="306" t="s">
        <v>1013</v>
      </c>
      <c r="W94" s="306" t="s">
        <v>1013</v>
      </c>
      <c r="X94" s="306" t="s">
        <v>1013</v>
      </c>
      <c r="Y94" s="306" t="s">
        <v>1153</v>
      </c>
      <c r="Z94" s="306" t="s">
        <v>1015</v>
      </c>
      <c r="AA94" s="306" t="s">
        <v>1013</v>
      </c>
    </row>
    <row r="95" spans="1:27" hidden="1">
      <c r="A95" s="306" t="s">
        <v>494</v>
      </c>
      <c r="B95" s="306" t="s">
        <v>1003</v>
      </c>
      <c r="C95" s="306" t="s">
        <v>1004</v>
      </c>
      <c r="D95" s="306" t="s">
        <v>1019</v>
      </c>
      <c r="E95" s="306" t="s">
        <v>1204</v>
      </c>
      <c r="F95" s="306" t="s">
        <v>1007</v>
      </c>
      <c r="G95" s="308">
        <v>46015</v>
      </c>
      <c r="H95" s="308">
        <v>46015</v>
      </c>
      <c r="I95" s="309">
        <v>-146604.01</v>
      </c>
      <c r="J95" s="306" t="s">
        <v>1008</v>
      </c>
      <c r="K95" s="309">
        <v>-146604.01</v>
      </c>
      <c r="L95" s="306" t="s">
        <v>1008</v>
      </c>
      <c r="M95" s="306" t="s">
        <v>1168</v>
      </c>
      <c r="N95" s="306" t="s">
        <v>1151</v>
      </c>
      <c r="O95" s="306" t="s">
        <v>1205</v>
      </c>
      <c r="P95" s="306" t="s">
        <v>244</v>
      </c>
      <c r="Q95" s="306" t="s">
        <v>1013</v>
      </c>
      <c r="R95" s="306" t="s">
        <v>1013</v>
      </c>
      <c r="S95" s="306" t="s">
        <v>1013</v>
      </c>
      <c r="T95" s="306" t="s">
        <v>1153</v>
      </c>
      <c r="U95" s="306" t="s">
        <v>1013</v>
      </c>
      <c r="V95" s="306" t="s">
        <v>1013</v>
      </c>
      <c r="W95" s="306" t="s">
        <v>1013</v>
      </c>
      <c r="X95" s="306" t="s">
        <v>1013</v>
      </c>
      <c r="Y95" s="306" t="s">
        <v>1153</v>
      </c>
      <c r="Z95" s="306" t="s">
        <v>1015</v>
      </c>
      <c r="AA95" s="306" t="s">
        <v>1013</v>
      </c>
    </row>
    <row r="96" spans="1:27" hidden="1">
      <c r="A96" s="306" t="s">
        <v>494</v>
      </c>
      <c r="B96" s="306" t="s">
        <v>1003</v>
      </c>
      <c r="C96" s="306" t="s">
        <v>1004</v>
      </c>
      <c r="D96" s="306" t="s">
        <v>1019</v>
      </c>
      <c r="E96" s="306" t="s">
        <v>1206</v>
      </c>
      <c r="F96" s="306" t="s">
        <v>1007</v>
      </c>
      <c r="G96" s="308">
        <v>46015</v>
      </c>
      <c r="H96" s="308">
        <v>46015</v>
      </c>
      <c r="I96" s="309">
        <v>-13773.1</v>
      </c>
      <c r="J96" s="306" t="s">
        <v>1008</v>
      </c>
      <c r="K96" s="309">
        <v>-13773.1</v>
      </c>
      <c r="L96" s="306" t="s">
        <v>1008</v>
      </c>
      <c r="M96" s="306" t="s">
        <v>1168</v>
      </c>
      <c r="N96" s="306" t="s">
        <v>1151</v>
      </c>
      <c r="O96" s="306" t="s">
        <v>1207</v>
      </c>
      <c r="P96" s="306" t="s">
        <v>244</v>
      </c>
      <c r="Q96" s="306" t="s">
        <v>1013</v>
      </c>
      <c r="R96" s="306" t="s">
        <v>1013</v>
      </c>
      <c r="S96" s="306" t="s">
        <v>1013</v>
      </c>
      <c r="T96" s="306" t="s">
        <v>1153</v>
      </c>
      <c r="U96" s="306" t="s">
        <v>1013</v>
      </c>
      <c r="V96" s="306" t="s">
        <v>1013</v>
      </c>
      <c r="W96" s="306" t="s">
        <v>1013</v>
      </c>
      <c r="X96" s="306" t="s">
        <v>1013</v>
      </c>
      <c r="Y96" s="306" t="s">
        <v>1153</v>
      </c>
      <c r="Z96" s="306" t="s">
        <v>1015</v>
      </c>
      <c r="AA96" s="306" t="s">
        <v>1013</v>
      </c>
    </row>
    <row r="97" spans="1:27" hidden="1">
      <c r="A97" s="306" t="s">
        <v>494</v>
      </c>
      <c r="B97" s="306" t="s">
        <v>1003</v>
      </c>
      <c r="C97" s="306" t="s">
        <v>1004</v>
      </c>
      <c r="D97" s="306" t="s">
        <v>1019</v>
      </c>
      <c r="E97" s="306" t="s">
        <v>1208</v>
      </c>
      <c r="F97" s="306" t="s">
        <v>1007</v>
      </c>
      <c r="G97" s="308">
        <v>46015</v>
      </c>
      <c r="H97" s="308">
        <v>46015</v>
      </c>
      <c r="I97" s="309">
        <v>-17908.8</v>
      </c>
      <c r="J97" s="306" t="s">
        <v>1008</v>
      </c>
      <c r="K97" s="309">
        <v>-17908.8</v>
      </c>
      <c r="L97" s="306" t="s">
        <v>1008</v>
      </c>
      <c r="M97" s="306" t="s">
        <v>1168</v>
      </c>
      <c r="N97" s="306" t="s">
        <v>1151</v>
      </c>
      <c r="O97" s="306" t="s">
        <v>1209</v>
      </c>
      <c r="P97" s="306" t="s">
        <v>244</v>
      </c>
      <c r="Q97" s="306" t="s">
        <v>1013</v>
      </c>
      <c r="R97" s="306" t="s">
        <v>1013</v>
      </c>
      <c r="S97" s="306" t="s">
        <v>1013</v>
      </c>
      <c r="T97" s="306" t="s">
        <v>1153</v>
      </c>
      <c r="U97" s="306" t="s">
        <v>1013</v>
      </c>
      <c r="V97" s="306" t="s">
        <v>1013</v>
      </c>
      <c r="W97" s="306" t="s">
        <v>1013</v>
      </c>
      <c r="X97" s="306" t="s">
        <v>1013</v>
      </c>
      <c r="Y97" s="306" t="s">
        <v>1153</v>
      </c>
      <c r="Z97" s="306" t="s">
        <v>1015</v>
      </c>
      <c r="AA97" s="306" t="s">
        <v>1013</v>
      </c>
    </row>
    <row r="98" spans="1:27" hidden="1">
      <c r="A98" s="306" t="s">
        <v>494</v>
      </c>
      <c r="B98" s="306" t="s">
        <v>1003</v>
      </c>
      <c r="C98" s="306" t="s">
        <v>1004</v>
      </c>
      <c r="D98" s="306" t="s">
        <v>1019</v>
      </c>
      <c r="E98" s="306" t="s">
        <v>1210</v>
      </c>
      <c r="F98" s="306" t="s">
        <v>1007</v>
      </c>
      <c r="G98" s="308">
        <v>46015</v>
      </c>
      <c r="H98" s="308">
        <v>46015</v>
      </c>
      <c r="I98" s="309">
        <v>-10283.56</v>
      </c>
      <c r="J98" s="306" t="s">
        <v>1008</v>
      </c>
      <c r="K98" s="309">
        <v>-10283.56</v>
      </c>
      <c r="L98" s="306" t="s">
        <v>1008</v>
      </c>
      <c r="M98" s="306" t="s">
        <v>1168</v>
      </c>
      <c r="N98" s="306" t="s">
        <v>1151</v>
      </c>
      <c r="O98" s="306" t="s">
        <v>1211</v>
      </c>
      <c r="P98" s="306" t="s">
        <v>244</v>
      </c>
      <c r="Q98" s="306" t="s">
        <v>1013</v>
      </c>
      <c r="R98" s="306" t="s">
        <v>1013</v>
      </c>
      <c r="S98" s="306" t="s">
        <v>1013</v>
      </c>
      <c r="T98" s="306" t="s">
        <v>1153</v>
      </c>
      <c r="U98" s="306" t="s">
        <v>1013</v>
      </c>
      <c r="V98" s="306" t="s">
        <v>1013</v>
      </c>
      <c r="W98" s="306" t="s">
        <v>1013</v>
      </c>
      <c r="X98" s="306" t="s">
        <v>1013</v>
      </c>
      <c r="Y98" s="306" t="s">
        <v>1153</v>
      </c>
      <c r="Z98" s="306" t="s">
        <v>1015</v>
      </c>
      <c r="AA98" s="306" t="s">
        <v>1013</v>
      </c>
    </row>
    <row r="99" spans="1:27" hidden="1">
      <c r="A99" s="306" t="s">
        <v>494</v>
      </c>
      <c r="B99" s="306" t="s">
        <v>1003</v>
      </c>
      <c r="C99" s="306" t="s">
        <v>1004</v>
      </c>
      <c r="D99" s="306" t="s">
        <v>1019</v>
      </c>
      <c r="E99" s="306" t="s">
        <v>1212</v>
      </c>
      <c r="F99" s="306" t="s">
        <v>1007</v>
      </c>
      <c r="G99" s="308">
        <v>46015</v>
      </c>
      <c r="H99" s="308">
        <v>46015</v>
      </c>
      <c r="I99" s="309">
        <v>-6863.58</v>
      </c>
      <c r="J99" s="306" t="s">
        <v>1008</v>
      </c>
      <c r="K99" s="309">
        <v>-6863.58</v>
      </c>
      <c r="L99" s="306" t="s">
        <v>1008</v>
      </c>
      <c r="M99" s="306" t="s">
        <v>1168</v>
      </c>
      <c r="N99" s="306" t="s">
        <v>1151</v>
      </c>
      <c r="O99" s="306" t="s">
        <v>1213</v>
      </c>
      <c r="P99" s="306" t="s">
        <v>244</v>
      </c>
      <c r="Q99" s="306" t="s">
        <v>1013</v>
      </c>
      <c r="R99" s="306" t="s">
        <v>1013</v>
      </c>
      <c r="S99" s="306" t="s">
        <v>1013</v>
      </c>
      <c r="T99" s="306" t="s">
        <v>1153</v>
      </c>
      <c r="U99" s="306" t="s">
        <v>1013</v>
      </c>
      <c r="V99" s="306" t="s">
        <v>1013</v>
      </c>
      <c r="W99" s="306" t="s">
        <v>1013</v>
      </c>
      <c r="X99" s="306" t="s">
        <v>1013</v>
      </c>
      <c r="Y99" s="306" t="s">
        <v>1153</v>
      </c>
      <c r="Z99" s="306" t="s">
        <v>1015</v>
      </c>
      <c r="AA99" s="306" t="s">
        <v>1013</v>
      </c>
    </row>
    <row r="100" spans="1:27" hidden="1">
      <c r="A100" s="306" t="s">
        <v>494</v>
      </c>
      <c r="B100" s="306" t="s">
        <v>1003</v>
      </c>
      <c r="C100" s="306" t="s">
        <v>1004</v>
      </c>
      <c r="D100" s="306" t="s">
        <v>1019</v>
      </c>
      <c r="E100" s="306" t="s">
        <v>1214</v>
      </c>
      <c r="F100" s="306" t="s">
        <v>1007</v>
      </c>
      <c r="G100" s="308">
        <v>46015</v>
      </c>
      <c r="H100" s="308">
        <v>46015</v>
      </c>
      <c r="I100" s="309">
        <v>-127673.44</v>
      </c>
      <c r="J100" s="306" t="s">
        <v>1008</v>
      </c>
      <c r="K100" s="309">
        <v>-127673.44</v>
      </c>
      <c r="L100" s="306" t="s">
        <v>1008</v>
      </c>
      <c r="M100" s="306" t="s">
        <v>1168</v>
      </c>
      <c r="N100" s="306" t="s">
        <v>1151</v>
      </c>
      <c r="O100" s="306" t="s">
        <v>1215</v>
      </c>
      <c r="P100" s="306" t="s">
        <v>244</v>
      </c>
      <c r="Q100" s="306" t="s">
        <v>1013</v>
      </c>
      <c r="R100" s="306" t="s">
        <v>1013</v>
      </c>
      <c r="S100" s="306" t="s">
        <v>1013</v>
      </c>
      <c r="T100" s="306" t="s">
        <v>1153</v>
      </c>
      <c r="U100" s="306" t="s">
        <v>1013</v>
      </c>
      <c r="V100" s="306" t="s">
        <v>1013</v>
      </c>
      <c r="W100" s="306" t="s">
        <v>1013</v>
      </c>
      <c r="X100" s="306" t="s">
        <v>1013</v>
      </c>
      <c r="Y100" s="306" t="s">
        <v>1153</v>
      </c>
      <c r="Z100" s="306" t="s">
        <v>1015</v>
      </c>
      <c r="AA100" s="306" t="s">
        <v>1013</v>
      </c>
    </row>
    <row r="101" spans="1:27" hidden="1">
      <c r="A101" s="306" t="s">
        <v>494</v>
      </c>
      <c r="B101" s="306" t="s">
        <v>1003</v>
      </c>
      <c r="C101" s="306" t="s">
        <v>1004</v>
      </c>
      <c r="D101" s="306" t="s">
        <v>1019</v>
      </c>
      <c r="E101" s="306" t="s">
        <v>1216</v>
      </c>
      <c r="F101" s="306" t="s">
        <v>1007</v>
      </c>
      <c r="G101" s="308">
        <v>46015</v>
      </c>
      <c r="H101" s="308">
        <v>46015</v>
      </c>
      <c r="I101" s="309">
        <v>-14229.17</v>
      </c>
      <c r="J101" s="306" t="s">
        <v>1008</v>
      </c>
      <c r="K101" s="309">
        <v>-14229.17</v>
      </c>
      <c r="L101" s="306" t="s">
        <v>1008</v>
      </c>
      <c r="M101" s="306" t="s">
        <v>1168</v>
      </c>
      <c r="N101" s="306" t="s">
        <v>1151</v>
      </c>
      <c r="O101" s="306" t="s">
        <v>1217</v>
      </c>
      <c r="P101" s="306" t="s">
        <v>244</v>
      </c>
      <c r="Q101" s="306" t="s">
        <v>1013</v>
      </c>
      <c r="R101" s="306" t="s">
        <v>1013</v>
      </c>
      <c r="S101" s="306" t="s">
        <v>1013</v>
      </c>
      <c r="T101" s="306" t="s">
        <v>1153</v>
      </c>
      <c r="U101" s="306" t="s">
        <v>1013</v>
      </c>
      <c r="V101" s="306" t="s">
        <v>1013</v>
      </c>
      <c r="W101" s="306" t="s">
        <v>1013</v>
      </c>
      <c r="X101" s="306" t="s">
        <v>1013</v>
      </c>
      <c r="Y101" s="306" t="s">
        <v>1153</v>
      </c>
      <c r="Z101" s="306" t="s">
        <v>1015</v>
      </c>
      <c r="AA101" s="306" t="s">
        <v>1013</v>
      </c>
    </row>
    <row r="102" spans="1:27" hidden="1">
      <c r="A102" s="306" t="s">
        <v>494</v>
      </c>
      <c r="B102" s="306" t="s">
        <v>1003</v>
      </c>
      <c r="C102" s="306" t="s">
        <v>1004</v>
      </c>
      <c r="D102" s="306" t="s">
        <v>1019</v>
      </c>
      <c r="E102" s="306" t="s">
        <v>1218</v>
      </c>
      <c r="F102" s="306" t="s">
        <v>1007</v>
      </c>
      <c r="G102" s="308">
        <v>46015</v>
      </c>
      <c r="H102" s="308">
        <v>46015</v>
      </c>
      <c r="I102" s="309">
        <v>-4042.73</v>
      </c>
      <c r="J102" s="306" t="s">
        <v>1008</v>
      </c>
      <c r="K102" s="309">
        <v>-4042.73</v>
      </c>
      <c r="L102" s="306" t="s">
        <v>1008</v>
      </c>
      <c r="M102" s="306" t="s">
        <v>1168</v>
      </c>
      <c r="N102" s="306" t="s">
        <v>1151</v>
      </c>
      <c r="O102" s="306" t="s">
        <v>1219</v>
      </c>
      <c r="P102" s="306" t="s">
        <v>244</v>
      </c>
      <c r="Q102" s="306" t="s">
        <v>1013</v>
      </c>
      <c r="R102" s="306" t="s">
        <v>1013</v>
      </c>
      <c r="S102" s="306" t="s">
        <v>1013</v>
      </c>
      <c r="T102" s="306" t="s">
        <v>1153</v>
      </c>
      <c r="U102" s="306" t="s">
        <v>1013</v>
      </c>
      <c r="V102" s="306" t="s">
        <v>1013</v>
      </c>
      <c r="W102" s="306" t="s">
        <v>1013</v>
      </c>
      <c r="X102" s="306" t="s">
        <v>1013</v>
      </c>
      <c r="Y102" s="306" t="s">
        <v>1153</v>
      </c>
      <c r="Z102" s="306" t="s">
        <v>1015</v>
      </c>
      <c r="AA102" s="306" t="s">
        <v>1013</v>
      </c>
    </row>
    <row r="103" spans="1:27" hidden="1">
      <c r="A103" s="306" t="s">
        <v>494</v>
      </c>
      <c r="B103" s="306" t="s">
        <v>1003</v>
      </c>
      <c r="C103" s="306" t="s">
        <v>1004</v>
      </c>
      <c r="D103" s="306" t="s">
        <v>1019</v>
      </c>
      <c r="E103" s="306" t="s">
        <v>1220</v>
      </c>
      <c r="F103" s="306" t="s">
        <v>1007</v>
      </c>
      <c r="G103" s="308">
        <v>46015</v>
      </c>
      <c r="H103" s="308">
        <v>46015</v>
      </c>
      <c r="I103" s="309">
        <v>-12416690.93</v>
      </c>
      <c r="J103" s="306" t="s">
        <v>1008</v>
      </c>
      <c r="K103" s="309">
        <v>-12416690.93</v>
      </c>
      <c r="L103" s="306" t="s">
        <v>1008</v>
      </c>
      <c r="M103" s="306" t="s">
        <v>1168</v>
      </c>
      <c r="N103" s="306" t="s">
        <v>1151</v>
      </c>
      <c r="O103" s="306" t="s">
        <v>1221</v>
      </c>
      <c r="P103" s="306" t="s">
        <v>244</v>
      </c>
      <c r="Q103" s="306" t="s">
        <v>1013</v>
      </c>
      <c r="R103" s="306" t="s">
        <v>1013</v>
      </c>
      <c r="S103" s="306" t="s">
        <v>1013</v>
      </c>
      <c r="T103" s="306" t="s">
        <v>1153</v>
      </c>
      <c r="U103" s="306" t="s">
        <v>1013</v>
      </c>
      <c r="V103" s="306" t="s">
        <v>1013</v>
      </c>
      <c r="W103" s="306" t="s">
        <v>1013</v>
      </c>
      <c r="X103" s="306" t="s">
        <v>1013</v>
      </c>
      <c r="Y103" s="306" t="s">
        <v>1153</v>
      </c>
      <c r="Z103" s="306" t="s">
        <v>1015</v>
      </c>
      <c r="AA103" s="306" t="s">
        <v>1013</v>
      </c>
    </row>
    <row r="104" spans="1:27" hidden="1">
      <c r="A104" s="306" t="s">
        <v>494</v>
      </c>
      <c r="B104" s="306" t="s">
        <v>1003</v>
      </c>
      <c r="C104" s="306" t="s">
        <v>1004</v>
      </c>
      <c r="D104" s="306" t="s">
        <v>1019</v>
      </c>
      <c r="E104" s="306" t="s">
        <v>1222</v>
      </c>
      <c r="F104" s="306" t="s">
        <v>1007</v>
      </c>
      <c r="G104" s="308">
        <v>46015</v>
      </c>
      <c r="H104" s="308">
        <v>46015</v>
      </c>
      <c r="I104" s="309">
        <v>-1537.5</v>
      </c>
      <c r="J104" s="306" t="s">
        <v>1008</v>
      </c>
      <c r="K104" s="309">
        <v>-1537.5</v>
      </c>
      <c r="L104" s="306" t="s">
        <v>1008</v>
      </c>
      <c r="M104" s="306" t="s">
        <v>1168</v>
      </c>
      <c r="N104" s="306" t="s">
        <v>1151</v>
      </c>
      <c r="O104" s="306" t="s">
        <v>1129</v>
      </c>
      <c r="P104" s="306" t="s">
        <v>244</v>
      </c>
      <c r="Q104" s="306" t="s">
        <v>1013</v>
      </c>
      <c r="R104" s="306" t="s">
        <v>1013</v>
      </c>
      <c r="S104" s="306" t="s">
        <v>1013</v>
      </c>
      <c r="T104" s="306" t="s">
        <v>1153</v>
      </c>
      <c r="U104" s="306" t="s">
        <v>1013</v>
      </c>
      <c r="V104" s="306" t="s">
        <v>1013</v>
      </c>
      <c r="W104" s="306" t="s">
        <v>1013</v>
      </c>
      <c r="X104" s="306" t="s">
        <v>1013</v>
      </c>
      <c r="Y104" s="306" t="s">
        <v>1153</v>
      </c>
      <c r="Z104" s="306" t="s">
        <v>1015</v>
      </c>
      <c r="AA104" s="306" t="s">
        <v>1013</v>
      </c>
    </row>
    <row r="105" spans="1:27" hidden="1">
      <c r="A105" s="306" t="s">
        <v>494</v>
      </c>
      <c r="B105" s="306" t="s">
        <v>1003</v>
      </c>
      <c r="C105" s="306" t="s">
        <v>1004</v>
      </c>
      <c r="D105" s="306" t="s">
        <v>1019</v>
      </c>
      <c r="E105" s="306" t="s">
        <v>1223</v>
      </c>
      <c r="F105" s="306" t="s">
        <v>1007</v>
      </c>
      <c r="G105" s="308">
        <v>46015</v>
      </c>
      <c r="H105" s="308">
        <v>46015</v>
      </c>
      <c r="I105" s="309">
        <v>-6576.39</v>
      </c>
      <c r="J105" s="306" t="s">
        <v>1008</v>
      </c>
      <c r="K105" s="309">
        <v>-6576.39</v>
      </c>
      <c r="L105" s="306" t="s">
        <v>1008</v>
      </c>
      <c r="M105" s="306" t="s">
        <v>1168</v>
      </c>
      <c r="N105" s="306" t="s">
        <v>1151</v>
      </c>
      <c r="O105" s="306" t="s">
        <v>1224</v>
      </c>
      <c r="P105" s="306" t="s">
        <v>244</v>
      </c>
      <c r="Q105" s="306" t="s">
        <v>1013</v>
      </c>
      <c r="R105" s="306" t="s">
        <v>1013</v>
      </c>
      <c r="S105" s="306" t="s">
        <v>1013</v>
      </c>
      <c r="T105" s="306" t="s">
        <v>1153</v>
      </c>
      <c r="U105" s="306" t="s">
        <v>1013</v>
      </c>
      <c r="V105" s="306" t="s">
        <v>1013</v>
      </c>
      <c r="W105" s="306" t="s">
        <v>1013</v>
      </c>
      <c r="X105" s="306" t="s">
        <v>1013</v>
      </c>
      <c r="Y105" s="306" t="s">
        <v>1153</v>
      </c>
      <c r="Z105" s="306" t="s">
        <v>1015</v>
      </c>
      <c r="AA105" s="306" t="s">
        <v>1013</v>
      </c>
    </row>
    <row r="106" spans="1:27" hidden="1">
      <c r="A106" s="306" t="s">
        <v>494</v>
      </c>
      <c r="B106" s="306" t="s">
        <v>1003</v>
      </c>
      <c r="C106" s="306" t="s">
        <v>1004</v>
      </c>
      <c r="D106" s="306" t="s">
        <v>1019</v>
      </c>
      <c r="E106" s="306" t="s">
        <v>1225</v>
      </c>
      <c r="F106" s="306" t="s">
        <v>1007</v>
      </c>
      <c r="G106" s="308">
        <v>46015</v>
      </c>
      <c r="H106" s="308">
        <v>46015</v>
      </c>
      <c r="I106" s="309">
        <v>-2040330.19</v>
      </c>
      <c r="J106" s="306" t="s">
        <v>1008</v>
      </c>
      <c r="K106" s="309">
        <v>-2040330.19</v>
      </c>
      <c r="L106" s="306" t="s">
        <v>1008</v>
      </c>
      <c r="M106" s="306" t="s">
        <v>1168</v>
      </c>
      <c r="N106" s="306" t="s">
        <v>1151</v>
      </c>
      <c r="O106" s="306" t="s">
        <v>1226</v>
      </c>
      <c r="P106" s="306" t="s">
        <v>244</v>
      </c>
      <c r="Q106" s="306" t="s">
        <v>1013</v>
      </c>
      <c r="R106" s="306" t="s">
        <v>1013</v>
      </c>
      <c r="S106" s="306" t="s">
        <v>1013</v>
      </c>
      <c r="T106" s="306" t="s">
        <v>1153</v>
      </c>
      <c r="U106" s="306" t="s">
        <v>1013</v>
      </c>
      <c r="V106" s="306" t="s">
        <v>1013</v>
      </c>
      <c r="W106" s="306" t="s">
        <v>1013</v>
      </c>
      <c r="X106" s="306" t="s">
        <v>1013</v>
      </c>
      <c r="Y106" s="306" t="s">
        <v>1153</v>
      </c>
      <c r="Z106" s="306" t="s">
        <v>1015</v>
      </c>
      <c r="AA106" s="306" t="s">
        <v>1013</v>
      </c>
    </row>
    <row r="107" spans="1:27" hidden="1">
      <c r="A107" s="306" t="s">
        <v>494</v>
      </c>
      <c r="B107" s="306" t="s">
        <v>1003</v>
      </c>
      <c r="C107" s="306" t="s">
        <v>1004</v>
      </c>
      <c r="D107" s="306" t="s">
        <v>1019</v>
      </c>
      <c r="E107" s="306" t="s">
        <v>1227</v>
      </c>
      <c r="F107" s="306" t="s">
        <v>1007</v>
      </c>
      <c r="G107" s="308">
        <v>46015</v>
      </c>
      <c r="H107" s="308">
        <v>46015</v>
      </c>
      <c r="I107" s="309">
        <v>-20094.060000000001</v>
      </c>
      <c r="J107" s="306" t="s">
        <v>1008</v>
      </c>
      <c r="K107" s="309">
        <v>-20094.060000000001</v>
      </c>
      <c r="L107" s="306" t="s">
        <v>1008</v>
      </c>
      <c r="M107" s="306" t="s">
        <v>1168</v>
      </c>
      <c r="N107" s="306" t="s">
        <v>1151</v>
      </c>
      <c r="O107" s="306" t="s">
        <v>1228</v>
      </c>
      <c r="P107" s="306" t="s">
        <v>244</v>
      </c>
      <c r="Q107" s="306" t="s">
        <v>1013</v>
      </c>
      <c r="R107" s="306" t="s">
        <v>1013</v>
      </c>
      <c r="S107" s="306" t="s">
        <v>1013</v>
      </c>
      <c r="T107" s="306" t="s">
        <v>1153</v>
      </c>
      <c r="U107" s="306" t="s">
        <v>1013</v>
      </c>
      <c r="V107" s="306" t="s">
        <v>1013</v>
      </c>
      <c r="W107" s="306" t="s">
        <v>1013</v>
      </c>
      <c r="X107" s="306" t="s">
        <v>1013</v>
      </c>
      <c r="Y107" s="306" t="s">
        <v>1153</v>
      </c>
      <c r="Z107" s="306" t="s">
        <v>1015</v>
      </c>
      <c r="AA107" s="306" t="s">
        <v>1013</v>
      </c>
    </row>
    <row r="108" spans="1:27" hidden="1">
      <c r="A108" s="306" t="s">
        <v>494</v>
      </c>
      <c r="B108" s="306" t="s">
        <v>1003</v>
      </c>
      <c r="C108" s="306" t="s">
        <v>1004</v>
      </c>
      <c r="D108" s="306" t="s">
        <v>1019</v>
      </c>
      <c r="E108" s="306" t="s">
        <v>1229</v>
      </c>
      <c r="F108" s="306" t="s">
        <v>1007</v>
      </c>
      <c r="G108" s="308">
        <v>46015</v>
      </c>
      <c r="H108" s="308">
        <v>46015</v>
      </c>
      <c r="I108" s="309">
        <v>-87028.3</v>
      </c>
      <c r="J108" s="306" t="s">
        <v>1008</v>
      </c>
      <c r="K108" s="309">
        <v>-87028.3</v>
      </c>
      <c r="L108" s="306" t="s">
        <v>1008</v>
      </c>
      <c r="M108" s="306" t="s">
        <v>1168</v>
      </c>
      <c r="N108" s="306" t="s">
        <v>1151</v>
      </c>
      <c r="O108" s="306" t="s">
        <v>1230</v>
      </c>
      <c r="P108" s="306" t="s">
        <v>244</v>
      </c>
      <c r="Q108" s="306" t="s">
        <v>1013</v>
      </c>
      <c r="R108" s="306" t="s">
        <v>1013</v>
      </c>
      <c r="S108" s="306" t="s">
        <v>1013</v>
      </c>
      <c r="T108" s="306" t="s">
        <v>1153</v>
      </c>
      <c r="U108" s="306" t="s">
        <v>1013</v>
      </c>
      <c r="V108" s="306" t="s">
        <v>1013</v>
      </c>
      <c r="W108" s="306" t="s">
        <v>1013</v>
      </c>
      <c r="X108" s="306" t="s">
        <v>1013</v>
      </c>
      <c r="Y108" s="306" t="s">
        <v>1153</v>
      </c>
      <c r="Z108" s="306" t="s">
        <v>1015</v>
      </c>
      <c r="AA108" s="306" t="s">
        <v>1013</v>
      </c>
    </row>
    <row r="109" spans="1:27" hidden="1">
      <c r="A109" s="306" t="s">
        <v>494</v>
      </c>
      <c r="B109" s="306" t="s">
        <v>1003</v>
      </c>
      <c r="C109" s="306" t="s">
        <v>1004</v>
      </c>
      <c r="D109" s="306" t="s">
        <v>1019</v>
      </c>
      <c r="E109" s="306" t="s">
        <v>1231</v>
      </c>
      <c r="F109" s="306" t="s">
        <v>1007</v>
      </c>
      <c r="G109" s="308">
        <v>46015</v>
      </c>
      <c r="H109" s="308">
        <v>46015</v>
      </c>
      <c r="I109" s="309">
        <v>-55601.41</v>
      </c>
      <c r="J109" s="306" t="s">
        <v>1008</v>
      </c>
      <c r="K109" s="309">
        <v>-55601.41</v>
      </c>
      <c r="L109" s="306" t="s">
        <v>1008</v>
      </c>
      <c r="M109" s="306" t="s">
        <v>1168</v>
      </c>
      <c r="N109" s="306" t="s">
        <v>1151</v>
      </c>
      <c r="O109" s="306" t="s">
        <v>1232</v>
      </c>
      <c r="P109" s="306" t="s">
        <v>244</v>
      </c>
      <c r="Q109" s="306" t="s">
        <v>1013</v>
      </c>
      <c r="R109" s="306" t="s">
        <v>1013</v>
      </c>
      <c r="S109" s="306" t="s">
        <v>1013</v>
      </c>
      <c r="T109" s="306" t="s">
        <v>1153</v>
      </c>
      <c r="U109" s="306" t="s">
        <v>1013</v>
      </c>
      <c r="V109" s="306" t="s">
        <v>1013</v>
      </c>
      <c r="W109" s="306" t="s">
        <v>1013</v>
      </c>
      <c r="X109" s="306" t="s">
        <v>1013</v>
      </c>
      <c r="Y109" s="306" t="s">
        <v>1153</v>
      </c>
      <c r="Z109" s="306" t="s">
        <v>1015</v>
      </c>
      <c r="AA109" s="306" t="s">
        <v>1013</v>
      </c>
    </row>
    <row r="110" spans="1:27" hidden="1">
      <c r="A110" s="306" t="s">
        <v>494</v>
      </c>
      <c r="B110" s="306" t="s">
        <v>1003</v>
      </c>
      <c r="C110" s="306" t="s">
        <v>1004</v>
      </c>
      <c r="D110" s="306" t="s">
        <v>1031</v>
      </c>
      <c r="E110" s="306" t="s">
        <v>1233</v>
      </c>
      <c r="F110" s="306" t="s">
        <v>1007</v>
      </c>
      <c r="G110" s="308">
        <v>46015</v>
      </c>
      <c r="H110" s="308">
        <v>46015</v>
      </c>
      <c r="I110" s="309">
        <v>-5775806.9699999997</v>
      </c>
      <c r="J110" s="306" t="s">
        <v>1008</v>
      </c>
      <c r="K110" s="309">
        <v>-5775806.9699999997</v>
      </c>
      <c r="L110" s="306" t="s">
        <v>1008</v>
      </c>
      <c r="M110" s="306" t="s">
        <v>1150</v>
      </c>
      <c r="N110" s="306" t="s">
        <v>1151</v>
      </c>
      <c r="O110" s="306" t="s">
        <v>1234</v>
      </c>
      <c r="P110" s="306" t="s">
        <v>244</v>
      </c>
      <c r="Q110" s="306" t="s">
        <v>1013</v>
      </c>
      <c r="R110" s="306" t="s">
        <v>1013</v>
      </c>
      <c r="S110" s="306" t="s">
        <v>1013</v>
      </c>
      <c r="T110" s="306" t="s">
        <v>1153</v>
      </c>
      <c r="U110" s="306" t="s">
        <v>1013</v>
      </c>
      <c r="V110" s="306" t="s">
        <v>1013</v>
      </c>
      <c r="W110" s="306" t="s">
        <v>1013</v>
      </c>
      <c r="X110" s="306" t="s">
        <v>1013</v>
      </c>
      <c r="Y110" s="306" t="s">
        <v>1153</v>
      </c>
      <c r="Z110" s="306" t="s">
        <v>1015</v>
      </c>
      <c r="AA110" s="306" t="s">
        <v>1013</v>
      </c>
    </row>
    <row r="111" spans="1:27" hidden="1">
      <c r="A111" s="306" t="s">
        <v>494</v>
      </c>
      <c r="B111" s="306" t="s">
        <v>1003</v>
      </c>
      <c r="C111" s="306" t="s">
        <v>1004</v>
      </c>
      <c r="D111" s="306" t="s">
        <v>1031</v>
      </c>
      <c r="E111" s="306" t="s">
        <v>1235</v>
      </c>
      <c r="F111" s="306" t="s">
        <v>1007</v>
      </c>
      <c r="G111" s="308">
        <v>46015</v>
      </c>
      <c r="H111" s="308">
        <v>46015</v>
      </c>
      <c r="I111" s="309">
        <v>-3211424.78</v>
      </c>
      <c r="J111" s="306" t="s">
        <v>1008</v>
      </c>
      <c r="K111" s="309">
        <v>-3211424.78</v>
      </c>
      <c r="L111" s="306" t="s">
        <v>1008</v>
      </c>
      <c r="M111" s="306" t="s">
        <v>1150</v>
      </c>
      <c r="N111" s="306" t="s">
        <v>1151</v>
      </c>
      <c r="O111" s="306" t="s">
        <v>1236</v>
      </c>
      <c r="P111" s="306" t="s">
        <v>244</v>
      </c>
      <c r="Q111" s="306" t="s">
        <v>1013</v>
      </c>
      <c r="R111" s="306" t="s">
        <v>1013</v>
      </c>
      <c r="S111" s="306" t="s">
        <v>1013</v>
      </c>
      <c r="T111" s="306" t="s">
        <v>1153</v>
      </c>
      <c r="U111" s="306" t="s">
        <v>1013</v>
      </c>
      <c r="V111" s="306" t="s">
        <v>1013</v>
      </c>
      <c r="W111" s="306" t="s">
        <v>1013</v>
      </c>
      <c r="X111" s="306" t="s">
        <v>1013</v>
      </c>
      <c r="Y111" s="306" t="s">
        <v>1153</v>
      </c>
      <c r="Z111" s="306" t="s">
        <v>1015</v>
      </c>
      <c r="AA111" s="306" t="s">
        <v>1013</v>
      </c>
    </row>
    <row r="112" spans="1:27" hidden="1">
      <c r="A112" s="306" t="s">
        <v>494</v>
      </c>
      <c r="B112" s="306" t="s">
        <v>1003</v>
      </c>
      <c r="C112" s="306" t="s">
        <v>1004</v>
      </c>
      <c r="D112" s="306" t="s">
        <v>1005</v>
      </c>
      <c r="E112" s="306" t="s">
        <v>1237</v>
      </c>
      <c r="F112" s="306" t="s">
        <v>1007</v>
      </c>
      <c r="G112" s="308">
        <v>46015</v>
      </c>
      <c r="H112" s="308">
        <v>46015</v>
      </c>
      <c r="I112" s="309">
        <v>-22633959.75</v>
      </c>
      <c r="J112" s="306" t="s">
        <v>1008</v>
      </c>
      <c r="K112" s="309">
        <v>-22633959.75</v>
      </c>
      <c r="L112" s="306" t="s">
        <v>1008</v>
      </c>
      <c r="M112" s="306" t="s">
        <v>1157</v>
      </c>
      <c r="N112" s="306" t="s">
        <v>1151</v>
      </c>
      <c r="O112" s="306" t="s">
        <v>1158</v>
      </c>
      <c r="P112" s="306" t="s">
        <v>244</v>
      </c>
      <c r="Q112" s="306" t="s">
        <v>1013</v>
      </c>
      <c r="R112" s="306" t="s">
        <v>1013</v>
      </c>
      <c r="S112" s="306" t="s">
        <v>1013</v>
      </c>
      <c r="T112" s="306" t="s">
        <v>1153</v>
      </c>
      <c r="U112" s="306" t="s">
        <v>1013</v>
      </c>
      <c r="V112" s="306" t="s">
        <v>1013</v>
      </c>
      <c r="W112" s="306" t="s">
        <v>1013</v>
      </c>
      <c r="X112" s="306" t="s">
        <v>1013</v>
      </c>
      <c r="Y112" s="306" t="s">
        <v>1153</v>
      </c>
      <c r="Z112" s="306" t="s">
        <v>1015</v>
      </c>
      <c r="AA112" s="306" t="s">
        <v>1013</v>
      </c>
    </row>
    <row r="113" spans="1:27" hidden="1">
      <c r="A113" s="306" t="s">
        <v>494</v>
      </c>
      <c r="B113" s="306" t="s">
        <v>1003</v>
      </c>
      <c r="C113" s="306" t="s">
        <v>1004</v>
      </c>
      <c r="D113" s="306" t="s">
        <v>1031</v>
      </c>
      <c r="E113" s="306" t="s">
        <v>1238</v>
      </c>
      <c r="F113" s="306" t="s">
        <v>1007</v>
      </c>
      <c r="G113" s="308">
        <v>46015</v>
      </c>
      <c r="H113" s="308">
        <v>46015</v>
      </c>
      <c r="I113" s="309">
        <v>-3432999.84</v>
      </c>
      <c r="J113" s="306" t="s">
        <v>1008</v>
      </c>
      <c r="K113" s="309">
        <v>-3432999.84</v>
      </c>
      <c r="L113" s="306" t="s">
        <v>1008</v>
      </c>
      <c r="M113" s="306" t="s">
        <v>1150</v>
      </c>
      <c r="N113" s="306" t="s">
        <v>1151</v>
      </c>
      <c r="O113" s="306" t="s">
        <v>1239</v>
      </c>
      <c r="P113" s="306" t="s">
        <v>244</v>
      </c>
      <c r="Q113" s="306" t="s">
        <v>1013</v>
      </c>
      <c r="R113" s="306" t="s">
        <v>1013</v>
      </c>
      <c r="S113" s="306" t="s">
        <v>1013</v>
      </c>
      <c r="T113" s="306" t="s">
        <v>1153</v>
      </c>
      <c r="U113" s="306" t="s">
        <v>1013</v>
      </c>
      <c r="V113" s="306" t="s">
        <v>1013</v>
      </c>
      <c r="W113" s="306" t="s">
        <v>1013</v>
      </c>
      <c r="X113" s="306" t="s">
        <v>1013</v>
      </c>
      <c r="Y113" s="306" t="s">
        <v>1153</v>
      </c>
      <c r="Z113" s="306" t="s">
        <v>1015</v>
      </c>
      <c r="AA113" s="306" t="s">
        <v>1013</v>
      </c>
    </row>
    <row r="114" spans="1:27" hidden="1">
      <c r="A114" s="306" t="s">
        <v>494</v>
      </c>
      <c r="B114" s="306" t="s">
        <v>1003</v>
      </c>
      <c r="C114" s="306" t="s">
        <v>1004</v>
      </c>
      <c r="D114" s="306" t="s">
        <v>1031</v>
      </c>
      <c r="E114" s="306" t="s">
        <v>1240</v>
      </c>
      <c r="F114" s="306" t="s">
        <v>1007</v>
      </c>
      <c r="G114" s="308">
        <v>46015</v>
      </c>
      <c r="H114" s="308">
        <v>46015</v>
      </c>
      <c r="I114" s="309">
        <v>-41930.120000000003</v>
      </c>
      <c r="J114" s="306" t="s">
        <v>1008</v>
      </c>
      <c r="K114" s="309">
        <v>-41930.120000000003</v>
      </c>
      <c r="L114" s="306" t="s">
        <v>1008</v>
      </c>
      <c r="M114" s="306" t="s">
        <v>1150</v>
      </c>
      <c r="N114" s="306" t="s">
        <v>1151</v>
      </c>
      <c r="O114" s="306" t="s">
        <v>1241</v>
      </c>
      <c r="P114" s="306" t="s">
        <v>244</v>
      </c>
      <c r="Q114" s="306" t="s">
        <v>1013</v>
      </c>
      <c r="R114" s="306" t="s">
        <v>1013</v>
      </c>
      <c r="S114" s="306" t="s">
        <v>1013</v>
      </c>
      <c r="T114" s="306" t="s">
        <v>1153</v>
      </c>
      <c r="U114" s="306" t="s">
        <v>1013</v>
      </c>
      <c r="V114" s="306" t="s">
        <v>1013</v>
      </c>
      <c r="W114" s="306" t="s">
        <v>1013</v>
      </c>
      <c r="X114" s="306" t="s">
        <v>1013</v>
      </c>
      <c r="Y114" s="306" t="s">
        <v>1153</v>
      </c>
      <c r="Z114" s="306" t="s">
        <v>1015</v>
      </c>
      <c r="AA114" s="306" t="s">
        <v>1013</v>
      </c>
    </row>
    <row r="115" spans="1:27" hidden="1">
      <c r="A115" s="306" t="s">
        <v>494</v>
      </c>
      <c r="B115" s="306" t="s">
        <v>1003</v>
      </c>
      <c r="C115" s="306" t="s">
        <v>1004</v>
      </c>
      <c r="D115" s="306" t="s">
        <v>1019</v>
      </c>
      <c r="E115" s="306" t="s">
        <v>1242</v>
      </c>
      <c r="F115" s="306" t="s">
        <v>1007</v>
      </c>
      <c r="G115" s="308">
        <v>46015</v>
      </c>
      <c r="H115" s="308">
        <v>46015</v>
      </c>
      <c r="I115" s="309">
        <v>-5902.25</v>
      </c>
      <c r="J115" s="306" t="s">
        <v>1008</v>
      </c>
      <c r="K115" s="309">
        <v>-5902.25</v>
      </c>
      <c r="L115" s="306" t="s">
        <v>1008</v>
      </c>
      <c r="M115" s="306" t="s">
        <v>1168</v>
      </c>
      <c r="N115" s="306" t="s">
        <v>1151</v>
      </c>
      <c r="O115" s="306" t="s">
        <v>1169</v>
      </c>
      <c r="P115" s="306" t="s">
        <v>244</v>
      </c>
      <c r="Q115" s="306" t="s">
        <v>1013</v>
      </c>
      <c r="R115" s="306" t="s">
        <v>1013</v>
      </c>
      <c r="S115" s="306" t="s">
        <v>1013</v>
      </c>
      <c r="T115" s="306" t="s">
        <v>1153</v>
      </c>
      <c r="U115" s="306" t="s">
        <v>1013</v>
      </c>
      <c r="V115" s="306" t="s">
        <v>1013</v>
      </c>
      <c r="W115" s="306" t="s">
        <v>1013</v>
      </c>
      <c r="X115" s="306" t="s">
        <v>1013</v>
      </c>
      <c r="Y115" s="306" t="s">
        <v>1153</v>
      </c>
      <c r="Z115" s="306" t="s">
        <v>1015</v>
      </c>
      <c r="AA115" s="306" t="s">
        <v>1013</v>
      </c>
    </row>
    <row r="116" spans="1:27" hidden="1">
      <c r="A116" s="306" t="s">
        <v>494</v>
      </c>
      <c r="B116" s="306" t="s">
        <v>1003</v>
      </c>
      <c r="C116" s="306" t="s">
        <v>1004</v>
      </c>
      <c r="D116" s="306" t="s">
        <v>1019</v>
      </c>
      <c r="E116" s="306" t="s">
        <v>1243</v>
      </c>
      <c r="F116" s="306" t="s">
        <v>1007</v>
      </c>
      <c r="G116" s="308">
        <v>46015</v>
      </c>
      <c r="H116" s="308">
        <v>46015</v>
      </c>
      <c r="I116" s="309">
        <v>-10656.63</v>
      </c>
      <c r="J116" s="306" t="s">
        <v>1008</v>
      </c>
      <c r="K116" s="309">
        <v>-10656.63</v>
      </c>
      <c r="L116" s="306" t="s">
        <v>1008</v>
      </c>
      <c r="M116" s="306" t="s">
        <v>1168</v>
      </c>
      <c r="N116" s="306" t="s">
        <v>1151</v>
      </c>
      <c r="O116" s="306" t="s">
        <v>1171</v>
      </c>
      <c r="P116" s="306" t="s">
        <v>244</v>
      </c>
      <c r="Q116" s="306" t="s">
        <v>1013</v>
      </c>
      <c r="R116" s="306" t="s">
        <v>1013</v>
      </c>
      <c r="S116" s="306" t="s">
        <v>1013</v>
      </c>
      <c r="T116" s="306" t="s">
        <v>1153</v>
      </c>
      <c r="U116" s="306" t="s">
        <v>1013</v>
      </c>
      <c r="V116" s="306" t="s">
        <v>1013</v>
      </c>
      <c r="W116" s="306" t="s">
        <v>1013</v>
      </c>
      <c r="X116" s="306" t="s">
        <v>1013</v>
      </c>
      <c r="Y116" s="306" t="s">
        <v>1153</v>
      </c>
      <c r="Z116" s="306" t="s">
        <v>1015</v>
      </c>
      <c r="AA116" s="306" t="s">
        <v>1013</v>
      </c>
    </row>
    <row r="117" spans="1:27" hidden="1">
      <c r="A117" s="306" t="s">
        <v>494</v>
      </c>
      <c r="B117" s="306" t="s">
        <v>1003</v>
      </c>
      <c r="C117" s="306" t="s">
        <v>1004</v>
      </c>
      <c r="D117" s="306" t="s">
        <v>1031</v>
      </c>
      <c r="E117" s="306" t="s">
        <v>1244</v>
      </c>
      <c r="F117" s="306" t="s">
        <v>1007</v>
      </c>
      <c r="G117" s="308">
        <v>46015</v>
      </c>
      <c r="H117" s="308">
        <v>46015</v>
      </c>
      <c r="I117" s="309">
        <v>-2144817.0299999998</v>
      </c>
      <c r="J117" s="306" t="s">
        <v>1008</v>
      </c>
      <c r="K117" s="309">
        <v>-2144817.0299999998</v>
      </c>
      <c r="L117" s="306" t="s">
        <v>1008</v>
      </c>
      <c r="M117" s="306" t="s">
        <v>1150</v>
      </c>
      <c r="N117" s="306" t="s">
        <v>1151</v>
      </c>
      <c r="O117" s="306" t="s">
        <v>1245</v>
      </c>
      <c r="P117" s="306" t="s">
        <v>244</v>
      </c>
      <c r="Q117" s="306" t="s">
        <v>1013</v>
      </c>
      <c r="R117" s="306" t="s">
        <v>1013</v>
      </c>
      <c r="S117" s="306" t="s">
        <v>1013</v>
      </c>
      <c r="T117" s="306" t="s">
        <v>1153</v>
      </c>
      <c r="U117" s="306" t="s">
        <v>1013</v>
      </c>
      <c r="V117" s="306" t="s">
        <v>1013</v>
      </c>
      <c r="W117" s="306" t="s">
        <v>1013</v>
      </c>
      <c r="X117" s="306" t="s">
        <v>1013</v>
      </c>
      <c r="Y117" s="306" t="s">
        <v>1153</v>
      </c>
      <c r="Z117" s="306" t="s">
        <v>1015</v>
      </c>
      <c r="AA117" s="306" t="s">
        <v>1013</v>
      </c>
    </row>
    <row r="118" spans="1:27" hidden="1">
      <c r="A118" s="306" t="s">
        <v>494</v>
      </c>
      <c r="B118" s="306" t="s">
        <v>1003</v>
      </c>
      <c r="C118" s="306" t="s">
        <v>1004</v>
      </c>
      <c r="D118" s="306" t="s">
        <v>1019</v>
      </c>
      <c r="E118" s="306" t="s">
        <v>1246</v>
      </c>
      <c r="F118" s="306" t="s">
        <v>1007</v>
      </c>
      <c r="G118" s="308">
        <v>46015</v>
      </c>
      <c r="H118" s="308">
        <v>46015</v>
      </c>
      <c r="I118" s="309">
        <v>-11557.98</v>
      </c>
      <c r="J118" s="306" t="s">
        <v>1008</v>
      </c>
      <c r="K118" s="309">
        <v>-11557.98</v>
      </c>
      <c r="L118" s="306" t="s">
        <v>1008</v>
      </c>
      <c r="M118" s="306" t="s">
        <v>1168</v>
      </c>
      <c r="N118" s="306" t="s">
        <v>1151</v>
      </c>
      <c r="O118" s="306" t="s">
        <v>1247</v>
      </c>
      <c r="P118" s="306" t="s">
        <v>244</v>
      </c>
      <c r="Q118" s="306" t="s">
        <v>1013</v>
      </c>
      <c r="R118" s="306" t="s">
        <v>1013</v>
      </c>
      <c r="S118" s="306" t="s">
        <v>1013</v>
      </c>
      <c r="T118" s="306" t="s">
        <v>1153</v>
      </c>
      <c r="U118" s="306" t="s">
        <v>1013</v>
      </c>
      <c r="V118" s="306" t="s">
        <v>1013</v>
      </c>
      <c r="W118" s="306" t="s">
        <v>1013</v>
      </c>
      <c r="X118" s="306" t="s">
        <v>1013</v>
      </c>
      <c r="Y118" s="306" t="s">
        <v>1153</v>
      </c>
      <c r="Z118" s="306" t="s">
        <v>1015</v>
      </c>
      <c r="AA118" s="306" t="s">
        <v>1013</v>
      </c>
    </row>
    <row r="119" spans="1:27" hidden="1">
      <c r="A119" s="306" t="s">
        <v>494</v>
      </c>
      <c r="B119" s="306" t="s">
        <v>1003</v>
      </c>
      <c r="C119" s="306" t="s">
        <v>1004</v>
      </c>
      <c r="D119" s="306" t="s">
        <v>1031</v>
      </c>
      <c r="E119" s="306" t="s">
        <v>1248</v>
      </c>
      <c r="F119" s="306" t="s">
        <v>1007</v>
      </c>
      <c r="G119" s="308">
        <v>46015</v>
      </c>
      <c r="H119" s="308">
        <v>46015</v>
      </c>
      <c r="I119" s="309">
        <v>-499488592.94999999</v>
      </c>
      <c r="J119" s="306" t="s">
        <v>1008</v>
      </c>
      <c r="K119" s="309">
        <v>-499488592.94999999</v>
      </c>
      <c r="L119" s="306" t="s">
        <v>1008</v>
      </c>
      <c r="M119" s="306" t="s">
        <v>1150</v>
      </c>
      <c r="N119" s="306" t="s">
        <v>1151</v>
      </c>
      <c r="O119" s="306" t="s">
        <v>1249</v>
      </c>
      <c r="P119" s="306" t="s">
        <v>244</v>
      </c>
      <c r="Q119" s="306" t="s">
        <v>1013</v>
      </c>
      <c r="R119" s="306" t="s">
        <v>1013</v>
      </c>
      <c r="S119" s="306" t="s">
        <v>1013</v>
      </c>
      <c r="T119" s="306" t="s">
        <v>1153</v>
      </c>
      <c r="U119" s="306" t="s">
        <v>1013</v>
      </c>
      <c r="V119" s="306" t="s">
        <v>1013</v>
      </c>
      <c r="W119" s="306" t="s">
        <v>1013</v>
      </c>
      <c r="X119" s="306" t="s">
        <v>1013</v>
      </c>
      <c r="Y119" s="306" t="s">
        <v>1153</v>
      </c>
      <c r="Z119" s="306" t="s">
        <v>1015</v>
      </c>
      <c r="AA119" s="306" t="s">
        <v>1013</v>
      </c>
    </row>
    <row r="120" spans="1:27" hidden="1">
      <c r="A120" s="306" t="s">
        <v>494</v>
      </c>
      <c r="B120" s="306" t="s">
        <v>1003</v>
      </c>
      <c r="C120" s="306" t="s">
        <v>1004</v>
      </c>
      <c r="D120" s="306" t="s">
        <v>1031</v>
      </c>
      <c r="E120" s="306" t="s">
        <v>1250</v>
      </c>
      <c r="F120" s="306" t="s">
        <v>1007</v>
      </c>
      <c r="G120" s="308">
        <v>46015</v>
      </c>
      <c r="H120" s="308">
        <v>46015</v>
      </c>
      <c r="I120" s="309">
        <v>-500688.91</v>
      </c>
      <c r="J120" s="306" t="s">
        <v>1008</v>
      </c>
      <c r="K120" s="309">
        <v>-500688.91</v>
      </c>
      <c r="L120" s="306" t="s">
        <v>1008</v>
      </c>
      <c r="M120" s="306" t="s">
        <v>1150</v>
      </c>
      <c r="N120" s="306" t="s">
        <v>1151</v>
      </c>
      <c r="O120" s="306" t="s">
        <v>1251</v>
      </c>
      <c r="P120" s="306" t="s">
        <v>244</v>
      </c>
      <c r="Q120" s="306" t="s">
        <v>1013</v>
      </c>
      <c r="R120" s="306" t="s">
        <v>1013</v>
      </c>
      <c r="S120" s="306" t="s">
        <v>1013</v>
      </c>
      <c r="T120" s="306" t="s">
        <v>1153</v>
      </c>
      <c r="U120" s="306" t="s">
        <v>1013</v>
      </c>
      <c r="V120" s="306" t="s">
        <v>1013</v>
      </c>
      <c r="W120" s="306" t="s">
        <v>1013</v>
      </c>
      <c r="X120" s="306" t="s">
        <v>1013</v>
      </c>
      <c r="Y120" s="306" t="s">
        <v>1153</v>
      </c>
      <c r="Z120" s="306" t="s">
        <v>1015</v>
      </c>
      <c r="AA120" s="306" t="s">
        <v>1013</v>
      </c>
    </row>
    <row r="121" spans="1:27" hidden="1">
      <c r="A121" s="306" t="s">
        <v>494</v>
      </c>
      <c r="B121" s="306" t="s">
        <v>1003</v>
      </c>
      <c r="C121" s="306" t="s">
        <v>1004</v>
      </c>
      <c r="D121" s="306" t="s">
        <v>1019</v>
      </c>
      <c r="E121" s="306" t="s">
        <v>1252</v>
      </c>
      <c r="F121" s="306" t="s">
        <v>1007</v>
      </c>
      <c r="G121" s="308">
        <v>46015</v>
      </c>
      <c r="H121" s="308">
        <v>46015</v>
      </c>
      <c r="I121" s="309">
        <v>-502742</v>
      </c>
      <c r="J121" s="306" t="s">
        <v>1008</v>
      </c>
      <c r="K121" s="309">
        <v>-502742</v>
      </c>
      <c r="L121" s="306" t="s">
        <v>1008</v>
      </c>
      <c r="M121" s="306" t="s">
        <v>1168</v>
      </c>
      <c r="N121" s="306" t="s">
        <v>1151</v>
      </c>
      <c r="O121" s="306" t="s">
        <v>1253</v>
      </c>
      <c r="P121" s="306" t="s">
        <v>244</v>
      </c>
      <c r="Q121" s="306" t="s">
        <v>1013</v>
      </c>
      <c r="R121" s="306" t="s">
        <v>1013</v>
      </c>
      <c r="S121" s="306" t="s">
        <v>1013</v>
      </c>
      <c r="T121" s="306" t="s">
        <v>1153</v>
      </c>
      <c r="U121" s="306" t="s">
        <v>1013</v>
      </c>
      <c r="V121" s="306" t="s">
        <v>1013</v>
      </c>
      <c r="W121" s="306" t="s">
        <v>1013</v>
      </c>
      <c r="X121" s="306" t="s">
        <v>1013</v>
      </c>
      <c r="Y121" s="306" t="s">
        <v>1153</v>
      </c>
      <c r="Z121" s="306" t="s">
        <v>1015</v>
      </c>
      <c r="AA121" s="306" t="s">
        <v>1013</v>
      </c>
    </row>
    <row r="122" spans="1:27" hidden="1">
      <c r="A122" s="306" t="s">
        <v>494</v>
      </c>
      <c r="B122" s="306" t="s">
        <v>1003</v>
      </c>
      <c r="C122" s="306" t="s">
        <v>1004</v>
      </c>
      <c r="D122" s="306" t="s">
        <v>1031</v>
      </c>
      <c r="E122" s="306" t="s">
        <v>1254</v>
      </c>
      <c r="F122" s="306" t="s">
        <v>1007</v>
      </c>
      <c r="G122" s="308">
        <v>46015</v>
      </c>
      <c r="H122" s="308">
        <v>46015</v>
      </c>
      <c r="I122" s="309">
        <v>-25987.83</v>
      </c>
      <c r="J122" s="306" t="s">
        <v>1008</v>
      </c>
      <c r="K122" s="309">
        <v>-25987.83</v>
      </c>
      <c r="L122" s="306" t="s">
        <v>1008</v>
      </c>
      <c r="M122" s="306" t="s">
        <v>1150</v>
      </c>
      <c r="N122" s="306" t="s">
        <v>1151</v>
      </c>
      <c r="O122" s="306" t="s">
        <v>1255</v>
      </c>
      <c r="P122" s="306" t="s">
        <v>244</v>
      </c>
      <c r="Q122" s="306" t="s">
        <v>1013</v>
      </c>
      <c r="R122" s="306" t="s">
        <v>1013</v>
      </c>
      <c r="S122" s="306" t="s">
        <v>1013</v>
      </c>
      <c r="T122" s="306" t="s">
        <v>1153</v>
      </c>
      <c r="U122" s="306" t="s">
        <v>1013</v>
      </c>
      <c r="V122" s="306" t="s">
        <v>1013</v>
      </c>
      <c r="W122" s="306" t="s">
        <v>1013</v>
      </c>
      <c r="X122" s="306" t="s">
        <v>1013</v>
      </c>
      <c r="Y122" s="306" t="s">
        <v>1153</v>
      </c>
      <c r="Z122" s="306" t="s">
        <v>1015</v>
      </c>
      <c r="AA122" s="306" t="s">
        <v>1013</v>
      </c>
    </row>
    <row r="123" spans="1:27" hidden="1">
      <c r="A123" s="306" t="s">
        <v>494</v>
      </c>
      <c r="B123" s="306" t="s">
        <v>1003</v>
      </c>
      <c r="C123" s="306" t="s">
        <v>1004</v>
      </c>
      <c r="D123" s="306" t="s">
        <v>1005</v>
      </c>
      <c r="E123" s="306" t="s">
        <v>1256</v>
      </c>
      <c r="F123" s="306" t="s">
        <v>1007</v>
      </c>
      <c r="G123" s="308">
        <v>46015</v>
      </c>
      <c r="H123" s="308">
        <v>46015</v>
      </c>
      <c r="I123" s="309">
        <v>-11300035.92</v>
      </c>
      <c r="J123" s="306" t="s">
        <v>1008</v>
      </c>
      <c r="K123" s="309">
        <v>-11300035.92</v>
      </c>
      <c r="L123" s="306" t="s">
        <v>1008</v>
      </c>
      <c r="M123" s="306" t="s">
        <v>1157</v>
      </c>
      <c r="N123" s="306" t="s">
        <v>1151</v>
      </c>
      <c r="O123" s="306" t="s">
        <v>1177</v>
      </c>
      <c r="P123" s="306" t="s">
        <v>244</v>
      </c>
      <c r="Q123" s="306" t="s">
        <v>1013</v>
      </c>
      <c r="R123" s="306" t="s">
        <v>1013</v>
      </c>
      <c r="S123" s="306" t="s">
        <v>1013</v>
      </c>
      <c r="T123" s="306" t="s">
        <v>1153</v>
      </c>
      <c r="U123" s="306" t="s">
        <v>1013</v>
      </c>
      <c r="V123" s="306" t="s">
        <v>1013</v>
      </c>
      <c r="W123" s="306" t="s">
        <v>1013</v>
      </c>
      <c r="X123" s="306" t="s">
        <v>1013</v>
      </c>
      <c r="Y123" s="306" t="s">
        <v>1153</v>
      </c>
      <c r="Z123" s="306" t="s">
        <v>1015</v>
      </c>
      <c r="AA123" s="306" t="s">
        <v>1013</v>
      </c>
    </row>
    <row r="124" spans="1:27" hidden="1">
      <c r="A124" s="306" t="s">
        <v>494</v>
      </c>
      <c r="B124" s="306" t="s">
        <v>1003</v>
      </c>
      <c r="C124" s="306" t="s">
        <v>1004</v>
      </c>
      <c r="D124" s="306" t="s">
        <v>1031</v>
      </c>
      <c r="E124" s="306" t="s">
        <v>1257</v>
      </c>
      <c r="F124" s="306" t="s">
        <v>1007</v>
      </c>
      <c r="G124" s="308">
        <v>46015</v>
      </c>
      <c r="H124" s="308">
        <v>46015</v>
      </c>
      <c r="I124" s="309">
        <v>-2162202.54</v>
      </c>
      <c r="J124" s="306" t="s">
        <v>1008</v>
      </c>
      <c r="K124" s="309">
        <v>-2162202.54</v>
      </c>
      <c r="L124" s="306" t="s">
        <v>1008</v>
      </c>
      <c r="M124" s="306" t="s">
        <v>1150</v>
      </c>
      <c r="N124" s="306" t="s">
        <v>1151</v>
      </c>
      <c r="O124" s="306" t="s">
        <v>1258</v>
      </c>
      <c r="P124" s="306" t="s">
        <v>244</v>
      </c>
      <c r="Q124" s="306" t="s">
        <v>1013</v>
      </c>
      <c r="R124" s="306" t="s">
        <v>1013</v>
      </c>
      <c r="S124" s="306" t="s">
        <v>1013</v>
      </c>
      <c r="T124" s="306" t="s">
        <v>1153</v>
      </c>
      <c r="U124" s="306" t="s">
        <v>1013</v>
      </c>
      <c r="V124" s="306" t="s">
        <v>1013</v>
      </c>
      <c r="W124" s="306" t="s">
        <v>1013</v>
      </c>
      <c r="X124" s="306" t="s">
        <v>1013</v>
      </c>
      <c r="Y124" s="306" t="s">
        <v>1153</v>
      </c>
      <c r="Z124" s="306" t="s">
        <v>1015</v>
      </c>
      <c r="AA124" s="306" t="s">
        <v>1013</v>
      </c>
    </row>
    <row r="125" spans="1:27" hidden="1">
      <c r="A125" s="306" t="s">
        <v>494</v>
      </c>
      <c r="B125" s="306" t="s">
        <v>1003</v>
      </c>
      <c r="C125" s="306" t="s">
        <v>1004</v>
      </c>
      <c r="D125" s="306" t="s">
        <v>1031</v>
      </c>
      <c r="E125" s="306" t="s">
        <v>1259</v>
      </c>
      <c r="F125" s="306" t="s">
        <v>1007</v>
      </c>
      <c r="G125" s="308">
        <v>46015</v>
      </c>
      <c r="H125" s="308">
        <v>46015</v>
      </c>
      <c r="I125" s="309">
        <v>-71966.28</v>
      </c>
      <c r="J125" s="306" t="s">
        <v>1008</v>
      </c>
      <c r="K125" s="309">
        <v>-71966.28</v>
      </c>
      <c r="L125" s="306" t="s">
        <v>1008</v>
      </c>
      <c r="M125" s="306" t="s">
        <v>1150</v>
      </c>
      <c r="N125" s="306" t="s">
        <v>1151</v>
      </c>
      <c r="O125" s="306" t="s">
        <v>1260</v>
      </c>
      <c r="P125" s="306" t="s">
        <v>244</v>
      </c>
      <c r="Q125" s="306" t="s">
        <v>1013</v>
      </c>
      <c r="R125" s="306" t="s">
        <v>1013</v>
      </c>
      <c r="S125" s="306" t="s">
        <v>1013</v>
      </c>
      <c r="T125" s="306" t="s">
        <v>1153</v>
      </c>
      <c r="U125" s="306" t="s">
        <v>1013</v>
      </c>
      <c r="V125" s="306" t="s">
        <v>1013</v>
      </c>
      <c r="W125" s="306" t="s">
        <v>1013</v>
      </c>
      <c r="X125" s="306" t="s">
        <v>1013</v>
      </c>
      <c r="Y125" s="306" t="s">
        <v>1153</v>
      </c>
      <c r="Z125" s="306" t="s">
        <v>1015</v>
      </c>
      <c r="AA125" s="306" t="s">
        <v>1013</v>
      </c>
    </row>
    <row r="126" spans="1:27" hidden="1">
      <c r="A126" s="306" t="s">
        <v>494</v>
      </c>
      <c r="B126" s="306" t="s">
        <v>1003</v>
      </c>
      <c r="C126" s="306" t="s">
        <v>1004</v>
      </c>
      <c r="D126" s="306" t="s">
        <v>1031</v>
      </c>
      <c r="E126" s="306" t="s">
        <v>1261</v>
      </c>
      <c r="F126" s="306" t="s">
        <v>1007</v>
      </c>
      <c r="G126" s="308">
        <v>46015</v>
      </c>
      <c r="H126" s="308">
        <v>46015</v>
      </c>
      <c r="I126" s="309">
        <v>-18486.900000000001</v>
      </c>
      <c r="J126" s="306" t="s">
        <v>1008</v>
      </c>
      <c r="K126" s="309">
        <v>-18486.900000000001</v>
      </c>
      <c r="L126" s="306" t="s">
        <v>1008</v>
      </c>
      <c r="M126" s="306" t="s">
        <v>1150</v>
      </c>
      <c r="N126" s="306" t="s">
        <v>1151</v>
      </c>
      <c r="O126" s="306" t="s">
        <v>1262</v>
      </c>
      <c r="P126" s="306" t="s">
        <v>244</v>
      </c>
      <c r="Q126" s="306" t="s">
        <v>1013</v>
      </c>
      <c r="R126" s="306" t="s">
        <v>1013</v>
      </c>
      <c r="S126" s="306" t="s">
        <v>1013</v>
      </c>
      <c r="T126" s="306" t="s">
        <v>1153</v>
      </c>
      <c r="U126" s="306" t="s">
        <v>1013</v>
      </c>
      <c r="V126" s="306" t="s">
        <v>1013</v>
      </c>
      <c r="W126" s="306" t="s">
        <v>1013</v>
      </c>
      <c r="X126" s="306" t="s">
        <v>1013</v>
      </c>
      <c r="Y126" s="306" t="s">
        <v>1153</v>
      </c>
      <c r="Z126" s="306" t="s">
        <v>1015</v>
      </c>
      <c r="AA126" s="306" t="s">
        <v>1013</v>
      </c>
    </row>
    <row r="127" spans="1:27" hidden="1">
      <c r="A127" s="306" t="s">
        <v>494</v>
      </c>
      <c r="B127" s="306" t="s">
        <v>1003</v>
      </c>
      <c r="C127" s="306" t="s">
        <v>1004</v>
      </c>
      <c r="D127" s="306" t="s">
        <v>1019</v>
      </c>
      <c r="E127" s="306" t="s">
        <v>1263</v>
      </c>
      <c r="F127" s="306" t="s">
        <v>1007</v>
      </c>
      <c r="G127" s="308">
        <v>46015</v>
      </c>
      <c r="H127" s="308">
        <v>46015</v>
      </c>
      <c r="I127" s="309">
        <v>-15375</v>
      </c>
      <c r="J127" s="306" t="s">
        <v>1008</v>
      </c>
      <c r="K127" s="309">
        <v>-15375</v>
      </c>
      <c r="L127" s="306" t="s">
        <v>1008</v>
      </c>
      <c r="M127" s="306" t="s">
        <v>1168</v>
      </c>
      <c r="N127" s="306" t="s">
        <v>1151</v>
      </c>
      <c r="O127" s="306" t="s">
        <v>1264</v>
      </c>
      <c r="P127" s="306" t="s">
        <v>244</v>
      </c>
      <c r="Q127" s="306" t="s">
        <v>1013</v>
      </c>
      <c r="R127" s="306" t="s">
        <v>1013</v>
      </c>
      <c r="S127" s="306" t="s">
        <v>1013</v>
      </c>
      <c r="T127" s="306" t="s">
        <v>1153</v>
      </c>
      <c r="U127" s="306" t="s">
        <v>1013</v>
      </c>
      <c r="V127" s="306" t="s">
        <v>1013</v>
      </c>
      <c r="W127" s="306" t="s">
        <v>1013</v>
      </c>
      <c r="X127" s="306" t="s">
        <v>1013</v>
      </c>
      <c r="Y127" s="306" t="s">
        <v>1153</v>
      </c>
      <c r="Z127" s="306" t="s">
        <v>1015</v>
      </c>
      <c r="AA127" s="306" t="s">
        <v>1013</v>
      </c>
    </row>
    <row r="128" spans="1:27" hidden="1">
      <c r="A128" s="306" t="s">
        <v>494</v>
      </c>
      <c r="B128" s="306" t="s">
        <v>1003</v>
      </c>
      <c r="C128" s="306" t="s">
        <v>1004</v>
      </c>
      <c r="D128" s="306" t="s">
        <v>1031</v>
      </c>
      <c r="E128" s="306" t="s">
        <v>1265</v>
      </c>
      <c r="F128" s="306" t="s">
        <v>1007</v>
      </c>
      <c r="G128" s="308">
        <v>46015</v>
      </c>
      <c r="H128" s="308">
        <v>46015</v>
      </c>
      <c r="I128" s="309">
        <v>-419484.43</v>
      </c>
      <c r="J128" s="306" t="s">
        <v>1008</v>
      </c>
      <c r="K128" s="309">
        <v>-419484.43</v>
      </c>
      <c r="L128" s="306" t="s">
        <v>1008</v>
      </c>
      <c r="M128" s="306" t="s">
        <v>1150</v>
      </c>
      <c r="N128" s="306" t="s">
        <v>1151</v>
      </c>
      <c r="O128" s="306" t="s">
        <v>1266</v>
      </c>
      <c r="P128" s="306" t="s">
        <v>244</v>
      </c>
      <c r="Q128" s="306" t="s">
        <v>1013</v>
      </c>
      <c r="R128" s="306" t="s">
        <v>1013</v>
      </c>
      <c r="S128" s="306" t="s">
        <v>1013</v>
      </c>
      <c r="T128" s="306" t="s">
        <v>1153</v>
      </c>
      <c r="U128" s="306" t="s">
        <v>1013</v>
      </c>
      <c r="V128" s="306" t="s">
        <v>1013</v>
      </c>
      <c r="W128" s="306" t="s">
        <v>1013</v>
      </c>
      <c r="X128" s="306" t="s">
        <v>1013</v>
      </c>
      <c r="Y128" s="306" t="s">
        <v>1153</v>
      </c>
      <c r="Z128" s="306" t="s">
        <v>1015</v>
      </c>
      <c r="AA128" s="306" t="s">
        <v>1013</v>
      </c>
    </row>
    <row r="129" spans="1:27" hidden="1">
      <c r="A129" s="306" t="s">
        <v>494</v>
      </c>
      <c r="B129" s="306" t="s">
        <v>1003</v>
      </c>
      <c r="C129" s="306" t="s">
        <v>1004</v>
      </c>
      <c r="D129" s="306" t="s">
        <v>1031</v>
      </c>
      <c r="E129" s="306" t="s">
        <v>1267</v>
      </c>
      <c r="F129" s="306" t="s">
        <v>1007</v>
      </c>
      <c r="G129" s="308">
        <v>46015</v>
      </c>
      <c r="H129" s="308">
        <v>46015</v>
      </c>
      <c r="I129" s="309">
        <v>-730183.7</v>
      </c>
      <c r="J129" s="306" t="s">
        <v>1008</v>
      </c>
      <c r="K129" s="309">
        <v>-730183.7</v>
      </c>
      <c r="L129" s="306" t="s">
        <v>1008</v>
      </c>
      <c r="M129" s="306" t="s">
        <v>1150</v>
      </c>
      <c r="N129" s="306" t="s">
        <v>1151</v>
      </c>
      <c r="O129" s="306" t="s">
        <v>1268</v>
      </c>
      <c r="P129" s="306" t="s">
        <v>244</v>
      </c>
      <c r="Q129" s="306" t="s">
        <v>1013</v>
      </c>
      <c r="R129" s="306" t="s">
        <v>1013</v>
      </c>
      <c r="S129" s="306" t="s">
        <v>1013</v>
      </c>
      <c r="T129" s="306" t="s">
        <v>1153</v>
      </c>
      <c r="U129" s="306" t="s">
        <v>1013</v>
      </c>
      <c r="V129" s="306" t="s">
        <v>1013</v>
      </c>
      <c r="W129" s="306" t="s">
        <v>1013</v>
      </c>
      <c r="X129" s="306" t="s">
        <v>1013</v>
      </c>
      <c r="Y129" s="306" t="s">
        <v>1153</v>
      </c>
      <c r="Z129" s="306" t="s">
        <v>1015</v>
      </c>
      <c r="AA129" s="306" t="s">
        <v>1013</v>
      </c>
    </row>
    <row r="130" spans="1:27" hidden="1">
      <c r="A130" s="306" t="s">
        <v>494</v>
      </c>
      <c r="B130" s="306" t="s">
        <v>1003</v>
      </c>
      <c r="C130" s="306" t="s">
        <v>1004</v>
      </c>
      <c r="D130" s="306" t="s">
        <v>1019</v>
      </c>
      <c r="E130" s="306" t="s">
        <v>1269</v>
      </c>
      <c r="F130" s="306" t="s">
        <v>1007</v>
      </c>
      <c r="G130" s="308">
        <v>46015</v>
      </c>
      <c r="H130" s="308">
        <v>46015</v>
      </c>
      <c r="I130" s="309">
        <v>-6886.54</v>
      </c>
      <c r="J130" s="306" t="s">
        <v>1008</v>
      </c>
      <c r="K130" s="309">
        <v>-6886.54</v>
      </c>
      <c r="L130" s="306" t="s">
        <v>1008</v>
      </c>
      <c r="M130" s="306" t="s">
        <v>1168</v>
      </c>
      <c r="N130" s="306" t="s">
        <v>1151</v>
      </c>
      <c r="O130" s="306" t="s">
        <v>1179</v>
      </c>
      <c r="P130" s="306" t="s">
        <v>244</v>
      </c>
      <c r="Q130" s="306" t="s">
        <v>1013</v>
      </c>
      <c r="R130" s="306" t="s">
        <v>1013</v>
      </c>
      <c r="S130" s="306" t="s">
        <v>1013</v>
      </c>
      <c r="T130" s="306" t="s">
        <v>1153</v>
      </c>
      <c r="U130" s="306" t="s">
        <v>1013</v>
      </c>
      <c r="V130" s="306" t="s">
        <v>1013</v>
      </c>
      <c r="W130" s="306" t="s">
        <v>1013</v>
      </c>
      <c r="X130" s="306" t="s">
        <v>1013</v>
      </c>
      <c r="Y130" s="306" t="s">
        <v>1153</v>
      </c>
      <c r="Z130" s="306" t="s">
        <v>1015</v>
      </c>
      <c r="AA130" s="306" t="s">
        <v>1013</v>
      </c>
    </row>
    <row r="131" spans="1:27" hidden="1">
      <c r="A131" s="306" t="s">
        <v>494</v>
      </c>
      <c r="B131" s="306" t="s">
        <v>1003</v>
      </c>
      <c r="C131" s="306" t="s">
        <v>1004</v>
      </c>
      <c r="D131" s="306" t="s">
        <v>1031</v>
      </c>
      <c r="E131" s="306" t="s">
        <v>1270</v>
      </c>
      <c r="F131" s="306" t="s">
        <v>1007</v>
      </c>
      <c r="G131" s="308">
        <v>46015</v>
      </c>
      <c r="H131" s="308">
        <v>46015</v>
      </c>
      <c r="I131" s="309">
        <v>-52507.43</v>
      </c>
      <c r="J131" s="306" t="s">
        <v>1008</v>
      </c>
      <c r="K131" s="309">
        <v>-52507.43</v>
      </c>
      <c r="L131" s="306" t="s">
        <v>1008</v>
      </c>
      <c r="M131" s="306" t="s">
        <v>1150</v>
      </c>
      <c r="N131" s="306" t="s">
        <v>1151</v>
      </c>
      <c r="O131" s="306" t="s">
        <v>1271</v>
      </c>
      <c r="P131" s="306" t="s">
        <v>244</v>
      </c>
      <c r="Q131" s="306" t="s">
        <v>1013</v>
      </c>
      <c r="R131" s="306" t="s">
        <v>1013</v>
      </c>
      <c r="S131" s="306" t="s">
        <v>1013</v>
      </c>
      <c r="T131" s="306" t="s">
        <v>1153</v>
      </c>
      <c r="U131" s="306" t="s">
        <v>1013</v>
      </c>
      <c r="V131" s="306" t="s">
        <v>1013</v>
      </c>
      <c r="W131" s="306" t="s">
        <v>1013</v>
      </c>
      <c r="X131" s="306" t="s">
        <v>1013</v>
      </c>
      <c r="Y131" s="306" t="s">
        <v>1153</v>
      </c>
      <c r="Z131" s="306" t="s">
        <v>1015</v>
      </c>
      <c r="AA131" s="306" t="s">
        <v>1013</v>
      </c>
    </row>
    <row r="132" spans="1:27" hidden="1">
      <c r="A132" s="306" t="s">
        <v>494</v>
      </c>
      <c r="B132" s="306" t="s">
        <v>1003</v>
      </c>
      <c r="C132" s="306" t="s">
        <v>1004</v>
      </c>
      <c r="D132" s="306" t="s">
        <v>1031</v>
      </c>
      <c r="E132" s="306" t="s">
        <v>1272</v>
      </c>
      <c r="F132" s="306" t="s">
        <v>1007</v>
      </c>
      <c r="G132" s="308">
        <v>46015</v>
      </c>
      <c r="H132" s="308">
        <v>46015</v>
      </c>
      <c r="I132" s="309">
        <v>-292523.40999999997</v>
      </c>
      <c r="J132" s="306" t="s">
        <v>1008</v>
      </c>
      <c r="K132" s="309">
        <v>-292523.40999999997</v>
      </c>
      <c r="L132" s="306" t="s">
        <v>1008</v>
      </c>
      <c r="M132" s="306" t="s">
        <v>1150</v>
      </c>
      <c r="N132" s="306" t="s">
        <v>1151</v>
      </c>
      <c r="O132" s="306" t="s">
        <v>1273</v>
      </c>
      <c r="P132" s="306" t="s">
        <v>244</v>
      </c>
      <c r="Q132" s="306" t="s">
        <v>1013</v>
      </c>
      <c r="R132" s="306" t="s">
        <v>1013</v>
      </c>
      <c r="S132" s="306" t="s">
        <v>1013</v>
      </c>
      <c r="T132" s="306" t="s">
        <v>1153</v>
      </c>
      <c r="U132" s="306" t="s">
        <v>1013</v>
      </c>
      <c r="V132" s="306" t="s">
        <v>1013</v>
      </c>
      <c r="W132" s="306" t="s">
        <v>1013</v>
      </c>
      <c r="X132" s="306" t="s">
        <v>1013</v>
      </c>
      <c r="Y132" s="306" t="s">
        <v>1153</v>
      </c>
      <c r="Z132" s="306" t="s">
        <v>1015</v>
      </c>
      <c r="AA132" s="306" t="s">
        <v>1013</v>
      </c>
    </row>
    <row r="133" spans="1:27" hidden="1">
      <c r="A133" s="306" t="s">
        <v>494</v>
      </c>
      <c r="B133" s="306" t="s">
        <v>1003</v>
      </c>
      <c r="C133" s="306" t="s">
        <v>1004</v>
      </c>
      <c r="D133" s="306" t="s">
        <v>1019</v>
      </c>
      <c r="E133" s="306" t="s">
        <v>1274</v>
      </c>
      <c r="F133" s="306" t="s">
        <v>1007</v>
      </c>
      <c r="G133" s="308">
        <v>46015</v>
      </c>
      <c r="H133" s="308">
        <v>46015</v>
      </c>
      <c r="I133" s="309">
        <v>-77358.490000000005</v>
      </c>
      <c r="J133" s="306" t="s">
        <v>1008</v>
      </c>
      <c r="K133" s="309">
        <v>-77358.490000000005</v>
      </c>
      <c r="L133" s="306" t="s">
        <v>1008</v>
      </c>
      <c r="M133" s="306" t="s">
        <v>1168</v>
      </c>
      <c r="N133" s="306" t="s">
        <v>1151</v>
      </c>
      <c r="O133" s="306" t="s">
        <v>1275</v>
      </c>
      <c r="P133" s="306" t="s">
        <v>244</v>
      </c>
      <c r="Q133" s="306" t="s">
        <v>1013</v>
      </c>
      <c r="R133" s="306" t="s">
        <v>1013</v>
      </c>
      <c r="S133" s="306" t="s">
        <v>1013</v>
      </c>
      <c r="T133" s="306" t="s">
        <v>1153</v>
      </c>
      <c r="U133" s="306" t="s">
        <v>1013</v>
      </c>
      <c r="V133" s="306" t="s">
        <v>1013</v>
      </c>
      <c r="W133" s="306" t="s">
        <v>1013</v>
      </c>
      <c r="X133" s="306" t="s">
        <v>1013</v>
      </c>
      <c r="Y133" s="306" t="s">
        <v>1153</v>
      </c>
      <c r="Z133" s="306" t="s">
        <v>1015</v>
      </c>
      <c r="AA133" s="306" t="s">
        <v>1013</v>
      </c>
    </row>
    <row r="134" spans="1:27" hidden="1">
      <c r="A134" s="306" t="s">
        <v>494</v>
      </c>
      <c r="B134" s="306" t="s">
        <v>1003</v>
      </c>
      <c r="C134" s="306" t="s">
        <v>1004</v>
      </c>
      <c r="D134" s="306" t="s">
        <v>1019</v>
      </c>
      <c r="E134" s="306" t="s">
        <v>1276</v>
      </c>
      <c r="F134" s="306" t="s">
        <v>1007</v>
      </c>
      <c r="G134" s="308">
        <v>46015</v>
      </c>
      <c r="H134" s="308">
        <v>46015</v>
      </c>
      <c r="I134" s="309">
        <v>-96410.9</v>
      </c>
      <c r="J134" s="306" t="s">
        <v>1008</v>
      </c>
      <c r="K134" s="309">
        <v>-96410.9</v>
      </c>
      <c r="L134" s="306" t="s">
        <v>1008</v>
      </c>
      <c r="M134" s="306" t="s">
        <v>1168</v>
      </c>
      <c r="N134" s="306" t="s">
        <v>1151</v>
      </c>
      <c r="O134" s="306" t="s">
        <v>1277</v>
      </c>
      <c r="P134" s="306" t="s">
        <v>244</v>
      </c>
      <c r="Q134" s="306" t="s">
        <v>1013</v>
      </c>
      <c r="R134" s="306" t="s">
        <v>1013</v>
      </c>
      <c r="S134" s="306" t="s">
        <v>1013</v>
      </c>
      <c r="T134" s="306" t="s">
        <v>1153</v>
      </c>
      <c r="U134" s="306" t="s">
        <v>1013</v>
      </c>
      <c r="V134" s="306" t="s">
        <v>1013</v>
      </c>
      <c r="W134" s="306" t="s">
        <v>1013</v>
      </c>
      <c r="X134" s="306" t="s">
        <v>1013</v>
      </c>
      <c r="Y134" s="306" t="s">
        <v>1153</v>
      </c>
      <c r="Z134" s="306" t="s">
        <v>1015</v>
      </c>
      <c r="AA134" s="306" t="s">
        <v>1013</v>
      </c>
    </row>
    <row r="135" spans="1:27" hidden="1">
      <c r="A135" s="306" t="s">
        <v>494</v>
      </c>
      <c r="B135" s="306" t="s">
        <v>1003</v>
      </c>
      <c r="C135" s="306" t="s">
        <v>1004</v>
      </c>
      <c r="D135" s="306" t="s">
        <v>1019</v>
      </c>
      <c r="E135" s="306" t="s">
        <v>1278</v>
      </c>
      <c r="F135" s="306" t="s">
        <v>1007</v>
      </c>
      <c r="G135" s="308">
        <v>46015</v>
      </c>
      <c r="H135" s="308">
        <v>46015</v>
      </c>
      <c r="I135" s="309">
        <v>-55816.84</v>
      </c>
      <c r="J135" s="306" t="s">
        <v>1008</v>
      </c>
      <c r="K135" s="309">
        <v>-55816.84</v>
      </c>
      <c r="L135" s="306" t="s">
        <v>1008</v>
      </c>
      <c r="M135" s="306" t="s">
        <v>1168</v>
      </c>
      <c r="N135" s="306" t="s">
        <v>1151</v>
      </c>
      <c r="O135" s="306" t="s">
        <v>1279</v>
      </c>
      <c r="P135" s="306" t="s">
        <v>244</v>
      </c>
      <c r="Q135" s="306" t="s">
        <v>1013</v>
      </c>
      <c r="R135" s="306" t="s">
        <v>1013</v>
      </c>
      <c r="S135" s="306" t="s">
        <v>1013</v>
      </c>
      <c r="T135" s="306" t="s">
        <v>1153</v>
      </c>
      <c r="U135" s="306" t="s">
        <v>1013</v>
      </c>
      <c r="V135" s="306" t="s">
        <v>1013</v>
      </c>
      <c r="W135" s="306" t="s">
        <v>1013</v>
      </c>
      <c r="X135" s="306" t="s">
        <v>1013</v>
      </c>
      <c r="Y135" s="306" t="s">
        <v>1153</v>
      </c>
      <c r="Z135" s="306" t="s">
        <v>1015</v>
      </c>
      <c r="AA135" s="306" t="s">
        <v>1013</v>
      </c>
    </row>
    <row r="136" spans="1:27" hidden="1">
      <c r="A136" s="306" t="s">
        <v>494</v>
      </c>
      <c r="B136" s="306" t="s">
        <v>1003</v>
      </c>
      <c r="C136" s="306" t="s">
        <v>1004</v>
      </c>
      <c r="D136" s="306" t="s">
        <v>1019</v>
      </c>
      <c r="E136" s="306" t="s">
        <v>1280</v>
      </c>
      <c r="F136" s="306" t="s">
        <v>1007</v>
      </c>
      <c r="G136" s="308">
        <v>46015</v>
      </c>
      <c r="H136" s="308">
        <v>46015</v>
      </c>
      <c r="I136" s="309">
        <v>-15375</v>
      </c>
      <c r="J136" s="306" t="s">
        <v>1008</v>
      </c>
      <c r="K136" s="309">
        <v>-15375</v>
      </c>
      <c r="L136" s="306" t="s">
        <v>1008</v>
      </c>
      <c r="M136" s="306" t="s">
        <v>1168</v>
      </c>
      <c r="N136" s="306" t="s">
        <v>1151</v>
      </c>
      <c r="O136" s="306" t="s">
        <v>1281</v>
      </c>
      <c r="P136" s="306" t="s">
        <v>244</v>
      </c>
      <c r="Q136" s="306" t="s">
        <v>1013</v>
      </c>
      <c r="R136" s="306" t="s">
        <v>1013</v>
      </c>
      <c r="S136" s="306" t="s">
        <v>1013</v>
      </c>
      <c r="T136" s="306" t="s">
        <v>1153</v>
      </c>
      <c r="U136" s="306" t="s">
        <v>1013</v>
      </c>
      <c r="V136" s="306" t="s">
        <v>1013</v>
      </c>
      <c r="W136" s="306" t="s">
        <v>1013</v>
      </c>
      <c r="X136" s="306" t="s">
        <v>1013</v>
      </c>
      <c r="Y136" s="306" t="s">
        <v>1153</v>
      </c>
      <c r="Z136" s="306" t="s">
        <v>1015</v>
      </c>
      <c r="AA136" s="306" t="s">
        <v>1013</v>
      </c>
    </row>
    <row r="137" spans="1:27" hidden="1">
      <c r="A137" s="306" t="s">
        <v>494</v>
      </c>
      <c r="B137" s="306" t="s">
        <v>1003</v>
      </c>
      <c r="C137" s="306" t="s">
        <v>1004</v>
      </c>
      <c r="D137" s="306" t="s">
        <v>1031</v>
      </c>
      <c r="E137" s="306" t="s">
        <v>1282</v>
      </c>
      <c r="F137" s="306" t="s">
        <v>1007</v>
      </c>
      <c r="G137" s="308">
        <v>46015</v>
      </c>
      <c r="H137" s="308">
        <v>46015</v>
      </c>
      <c r="I137" s="309">
        <v>-346474.11</v>
      </c>
      <c r="J137" s="306" t="s">
        <v>1008</v>
      </c>
      <c r="K137" s="309">
        <v>-346474.11</v>
      </c>
      <c r="L137" s="306" t="s">
        <v>1008</v>
      </c>
      <c r="M137" s="306" t="s">
        <v>1150</v>
      </c>
      <c r="N137" s="306" t="s">
        <v>1151</v>
      </c>
      <c r="O137" s="306" t="s">
        <v>1193</v>
      </c>
      <c r="P137" s="306" t="s">
        <v>244</v>
      </c>
      <c r="Q137" s="306" t="s">
        <v>1013</v>
      </c>
      <c r="R137" s="306" t="s">
        <v>1013</v>
      </c>
      <c r="S137" s="306" t="s">
        <v>1013</v>
      </c>
      <c r="T137" s="306" t="s">
        <v>1153</v>
      </c>
      <c r="U137" s="306" t="s">
        <v>1013</v>
      </c>
      <c r="V137" s="306" t="s">
        <v>1013</v>
      </c>
      <c r="W137" s="306" t="s">
        <v>1013</v>
      </c>
      <c r="X137" s="306" t="s">
        <v>1013</v>
      </c>
      <c r="Y137" s="306" t="s">
        <v>1153</v>
      </c>
      <c r="Z137" s="306" t="s">
        <v>1015</v>
      </c>
      <c r="AA137" s="306" t="s">
        <v>1013</v>
      </c>
    </row>
    <row r="138" spans="1:27" hidden="1">
      <c r="A138" s="306" t="s">
        <v>494</v>
      </c>
      <c r="B138" s="306" t="s">
        <v>1003</v>
      </c>
      <c r="C138" s="306" t="s">
        <v>1004</v>
      </c>
      <c r="D138" s="306" t="s">
        <v>1031</v>
      </c>
      <c r="E138" s="306" t="s">
        <v>1283</v>
      </c>
      <c r="F138" s="306" t="s">
        <v>1007</v>
      </c>
      <c r="G138" s="308">
        <v>46015</v>
      </c>
      <c r="H138" s="308">
        <v>46015</v>
      </c>
      <c r="I138" s="309">
        <v>-830163.6</v>
      </c>
      <c r="J138" s="306" t="s">
        <v>1008</v>
      </c>
      <c r="K138" s="309">
        <v>-830163.6</v>
      </c>
      <c r="L138" s="306" t="s">
        <v>1008</v>
      </c>
      <c r="M138" s="306" t="s">
        <v>1150</v>
      </c>
      <c r="N138" s="306" t="s">
        <v>1151</v>
      </c>
      <c r="O138" s="306" t="s">
        <v>1284</v>
      </c>
      <c r="P138" s="306" t="s">
        <v>244</v>
      </c>
      <c r="Q138" s="306" t="s">
        <v>1013</v>
      </c>
      <c r="R138" s="306" t="s">
        <v>1013</v>
      </c>
      <c r="S138" s="306" t="s">
        <v>1013</v>
      </c>
      <c r="T138" s="306" t="s">
        <v>1153</v>
      </c>
      <c r="U138" s="306" t="s">
        <v>1013</v>
      </c>
      <c r="V138" s="306" t="s">
        <v>1013</v>
      </c>
      <c r="W138" s="306" t="s">
        <v>1013</v>
      </c>
      <c r="X138" s="306" t="s">
        <v>1013</v>
      </c>
      <c r="Y138" s="306" t="s">
        <v>1153</v>
      </c>
      <c r="Z138" s="306" t="s">
        <v>1015</v>
      </c>
      <c r="AA138" s="306" t="s">
        <v>1013</v>
      </c>
    </row>
    <row r="139" spans="1:27" hidden="1">
      <c r="A139" s="306" t="s">
        <v>494</v>
      </c>
      <c r="B139" s="306" t="s">
        <v>1003</v>
      </c>
      <c r="C139" s="306" t="s">
        <v>1004</v>
      </c>
      <c r="D139" s="306" t="s">
        <v>1031</v>
      </c>
      <c r="E139" s="306" t="s">
        <v>1285</v>
      </c>
      <c r="F139" s="306" t="s">
        <v>1007</v>
      </c>
      <c r="G139" s="308">
        <v>46015</v>
      </c>
      <c r="H139" s="308">
        <v>46015</v>
      </c>
      <c r="I139" s="309">
        <v>-334466.81</v>
      </c>
      <c r="J139" s="306" t="s">
        <v>1008</v>
      </c>
      <c r="K139" s="309">
        <v>-334466.81</v>
      </c>
      <c r="L139" s="306" t="s">
        <v>1008</v>
      </c>
      <c r="M139" s="306" t="s">
        <v>1150</v>
      </c>
      <c r="N139" s="306" t="s">
        <v>1151</v>
      </c>
      <c r="O139" s="306" t="s">
        <v>1199</v>
      </c>
      <c r="P139" s="306" t="s">
        <v>244</v>
      </c>
      <c r="Q139" s="306" t="s">
        <v>1013</v>
      </c>
      <c r="R139" s="306" t="s">
        <v>1013</v>
      </c>
      <c r="S139" s="306" t="s">
        <v>1013</v>
      </c>
      <c r="T139" s="306" t="s">
        <v>1153</v>
      </c>
      <c r="U139" s="306" t="s">
        <v>1013</v>
      </c>
      <c r="V139" s="306" t="s">
        <v>1013</v>
      </c>
      <c r="W139" s="306" t="s">
        <v>1013</v>
      </c>
      <c r="X139" s="306" t="s">
        <v>1013</v>
      </c>
      <c r="Y139" s="306" t="s">
        <v>1153</v>
      </c>
      <c r="Z139" s="306" t="s">
        <v>1015</v>
      </c>
      <c r="AA139" s="306" t="s">
        <v>1013</v>
      </c>
    </row>
    <row r="140" spans="1:27" hidden="1">
      <c r="A140" s="306" t="s">
        <v>494</v>
      </c>
      <c r="B140" s="306" t="s">
        <v>1003</v>
      </c>
      <c r="C140" s="306" t="s">
        <v>1004</v>
      </c>
      <c r="D140" s="306" t="s">
        <v>1019</v>
      </c>
      <c r="E140" s="306" t="s">
        <v>1286</v>
      </c>
      <c r="F140" s="306" t="s">
        <v>1007</v>
      </c>
      <c r="G140" s="308">
        <v>46015</v>
      </c>
      <c r="H140" s="308">
        <v>46015</v>
      </c>
      <c r="I140" s="309">
        <v>-30459.9</v>
      </c>
      <c r="J140" s="306" t="s">
        <v>1008</v>
      </c>
      <c r="K140" s="309">
        <v>-30459.9</v>
      </c>
      <c r="L140" s="306" t="s">
        <v>1008</v>
      </c>
      <c r="M140" s="306" t="s">
        <v>1168</v>
      </c>
      <c r="N140" s="306" t="s">
        <v>1151</v>
      </c>
      <c r="O140" s="306" t="s">
        <v>1287</v>
      </c>
      <c r="P140" s="306" t="s">
        <v>244</v>
      </c>
      <c r="Q140" s="306" t="s">
        <v>1013</v>
      </c>
      <c r="R140" s="306" t="s">
        <v>1013</v>
      </c>
      <c r="S140" s="306" t="s">
        <v>1013</v>
      </c>
      <c r="T140" s="306" t="s">
        <v>1153</v>
      </c>
      <c r="U140" s="306" t="s">
        <v>1013</v>
      </c>
      <c r="V140" s="306" t="s">
        <v>1013</v>
      </c>
      <c r="W140" s="306" t="s">
        <v>1013</v>
      </c>
      <c r="X140" s="306" t="s">
        <v>1013</v>
      </c>
      <c r="Y140" s="306" t="s">
        <v>1153</v>
      </c>
      <c r="Z140" s="306" t="s">
        <v>1015</v>
      </c>
      <c r="AA140" s="306" t="s">
        <v>1013</v>
      </c>
    </row>
    <row r="141" spans="1:27" hidden="1">
      <c r="A141" s="306" t="s">
        <v>494</v>
      </c>
      <c r="B141" s="306" t="s">
        <v>1003</v>
      </c>
      <c r="C141" s="306" t="s">
        <v>1004</v>
      </c>
      <c r="D141" s="306" t="s">
        <v>1019</v>
      </c>
      <c r="E141" s="306" t="s">
        <v>1288</v>
      </c>
      <c r="F141" s="306" t="s">
        <v>1007</v>
      </c>
      <c r="G141" s="308">
        <v>46015</v>
      </c>
      <c r="H141" s="308">
        <v>46015</v>
      </c>
      <c r="I141" s="309">
        <v>-207900.94</v>
      </c>
      <c r="J141" s="306" t="s">
        <v>1008</v>
      </c>
      <c r="K141" s="309">
        <v>-207900.94</v>
      </c>
      <c r="L141" s="306" t="s">
        <v>1008</v>
      </c>
      <c r="M141" s="306" t="s">
        <v>1168</v>
      </c>
      <c r="N141" s="306" t="s">
        <v>1151</v>
      </c>
      <c r="O141" s="306" t="s">
        <v>1289</v>
      </c>
      <c r="P141" s="306" t="s">
        <v>244</v>
      </c>
      <c r="Q141" s="306" t="s">
        <v>1013</v>
      </c>
      <c r="R141" s="306" t="s">
        <v>1013</v>
      </c>
      <c r="S141" s="306" t="s">
        <v>1013</v>
      </c>
      <c r="T141" s="306" t="s">
        <v>1153</v>
      </c>
      <c r="U141" s="306" t="s">
        <v>1013</v>
      </c>
      <c r="V141" s="306" t="s">
        <v>1013</v>
      </c>
      <c r="W141" s="306" t="s">
        <v>1013</v>
      </c>
      <c r="X141" s="306" t="s">
        <v>1013</v>
      </c>
      <c r="Y141" s="306" t="s">
        <v>1153</v>
      </c>
      <c r="Z141" s="306" t="s">
        <v>1015</v>
      </c>
      <c r="AA141" s="306" t="s">
        <v>1013</v>
      </c>
    </row>
    <row r="142" spans="1:27" hidden="1">
      <c r="A142" s="306" t="s">
        <v>494</v>
      </c>
      <c r="B142" s="306" t="s">
        <v>1003</v>
      </c>
      <c r="C142" s="306" t="s">
        <v>1004</v>
      </c>
      <c r="D142" s="306" t="s">
        <v>1019</v>
      </c>
      <c r="E142" s="306" t="s">
        <v>1290</v>
      </c>
      <c r="F142" s="306" t="s">
        <v>1007</v>
      </c>
      <c r="G142" s="308">
        <v>46015</v>
      </c>
      <c r="H142" s="308">
        <v>46015</v>
      </c>
      <c r="I142" s="309">
        <v>-34030</v>
      </c>
      <c r="J142" s="306" t="s">
        <v>1008</v>
      </c>
      <c r="K142" s="309">
        <v>-34030</v>
      </c>
      <c r="L142" s="306" t="s">
        <v>1008</v>
      </c>
      <c r="M142" s="306" t="s">
        <v>1168</v>
      </c>
      <c r="N142" s="306" t="s">
        <v>1151</v>
      </c>
      <c r="O142" s="306" t="s">
        <v>1291</v>
      </c>
      <c r="P142" s="306" t="s">
        <v>244</v>
      </c>
      <c r="Q142" s="306" t="s">
        <v>1013</v>
      </c>
      <c r="R142" s="306" t="s">
        <v>1013</v>
      </c>
      <c r="S142" s="306" t="s">
        <v>1013</v>
      </c>
      <c r="T142" s="306" t="s">
        <v>1153</v>
      </c>
      <c r="U142" s="306" t="s">
        <v>1013</v>
      </c>
      <c r="V142" s="306" t="s">
        <v>1013</v>
      </c>
      <c r="W142" s="306" t="s">
        <v>1013</v>
      </c>
      <c r="X142" s="306" t="s">
        <v>1013</v>
      </c>
      <c r="Y142" s="306" t="s">
        <v>1153</v>
      </c>
      <c r="Z142" s="306" t="s">
        <v>1015</v>
      </c>
      <c r="AA142" s="306" t="s">
        <v>1013</v>
      </c>
    </row>
    <row r="143" spans="1:27" hidden="1">
      <c r="A143" s="306" t="s">
        <v>494</v>
      </c>
      <c r="B143" s="306" t="s">
        <v>1003</v>
      </c>
      <c r="C143" s="306" t="s">
        <v>1004</v>
      </c>
      <c r="D143" s="306" t="s">
        <v>1031</v>
      </c>
      <c r="E143" s="306" t="s">
        <v>1292</v>
      </c>
      <c r="F143" s="306" t="s">
        <v>1007</v>
      </c>
      <c r="G143" s="308">
        <v>46015</v>
      </c>
      <c r="H143" s="308">
        <v>46015</v>
      </c>
      <c r="I143" s="309">
        <v>-1401982.17</v>
      </c>
      <c r="J143" s="306" t="s">
        <v>1008</v>
      </c>
      <c r="K143" s="309">
        <v>-1401982.17</v>
      </c>
      <c r="L143" s="306" t="s">
        <v>1008</v>
      </c>
      <c r="M143" s="306" t="s">
        <v>1150</v>
      </c>
      <c r="N143" s="306" t="s">
        <v>1151</v>
      </c>
      <c r="O143" s="306" t="s">
        <v>1293</v>
      </c>
      <c r="P143" s="306" t="s">
        <v>244</v>
      </c>
      <c r="Q143" s="306" t="s">
        <v>1013</v>
      </c>
      <c r="R143" s="306" t="s">
        <v>1013</v>
      </c>
      <c r="S143" s="306" t="s">
        <v>1013</v>
      </c>
      <c r="T143" s="306" t="s">
        <v>1153</v>
      </c>
      <c r="U143" s="306" t="s">
        <v>1013</v>
      </c>
      <c r="V143" s="306" t="s">
        <v>1013</v>
      </c>
      <c r="W143" s="306" t="s">
        <v>1013</v>
      </c>
      <c r="X143" s="306" t="s">
        <v>1013</v>
      </c>
      <c r="Y143" s="306" t="s">
        <v>1153</v>
      </c>
      <c r="Z143" s="306" t="s">
        <v>1015</v>
      </c>
      <c r="AA143" s="306" t="s">
        <v>1013</v>
      </c>
    </row>
    <row r="144" spans="1:27" hidden="1">
      <c r="A144" s="306" t="s">
        <v>494</v>
      </c>
      <c r="B144" s="306" t="s">
        <v>1003</v>
      </c>
      <c r="C144" s="306" t="s">
        <v>1004</v>
      </c>
      <c r="D144" s="306" t="s">
        <v>1031</v>
      </c>
      <c r="E144" s="306" t="s">
        <v>1294</v>
      </c>
      <c r="F144" s="306" t="s">
        <v>1007</v>
      </c>
      <c r="G144" s="308">
        <v>46015</v>
      </c>
      <c r="H144" s="308">
        <v>46015</v>
      </c>
      <c r="I144" s="309">
        <v>-571247.92000000004</v>
      </c>
      <c r="J144" s="306" t="s">
        <v>1008</v>
      </c>
      <c r="K144" s="309">
        <v>-571247.92000000004</v>
      </c>
      <c r="L144" s="306" t="s">
        <v>1008</v>
      </c>
      <c r="M144" s="306" t="s">
        <v>1150</v>
      </c>
      <c r="N144" s="306" t="s">
        <v>1151</v>
      </c>
      <c r="O144" s="306" t="s">
        <v>1295</v>
      </c>
      <c r="P144" s="306" t="s">
        <v>244</v>
      </c>
      <c r="Q144" s="306" t="s">
        <v>1013</v>
      </c>
      <c r="R144" s="306" t="s">
        <v>1013</v>
      </c>
      <c r="S144" s="306" t="s">
        <v>1013</v>
      </c>
      <c r="T144" s="306" t="s">
        <v>1153</v>
      </c>
      <c r="U144" s="306" t="s">
        <v>1013</v>
      </c>
      <c r="V144" s="306" t="s">
        <v>1013</v>
      </c>
      <c r="W144" s="306" t="s">
        <v>1013</v>
      </c>
      <c r="X144" s="306" t="s">
        <v>1013</v>
      </c>
      <c r="Y144" s="306" t="s">
        <v>1153</v>
      </c>
      <c r="Z144" s="306" t="s">
        <v>1015</v>
      </c>
      <c r="AA144" s="306" t="s">
        <v>1013</v>
      </c>
    </row>
    <row r="145" spans="1:27" hidden="1">
      <c r="A145" s="306" t="s">
        <v>494</v>
      </c>
      <c r="B145" s="306" t="s">
        <v>1003</v>
      </c>
      <c r="C145" s="306" t="s">
        <v>1004</v>
      </c>
      <c r="D145" s="306" t="s">
        <v>1019</v>
      </c>
      <c r="E145" s="306" t="s">
        <v>1296</v>
      </c>
      <c r="F145" s="306" t="s">
        <v>1007</v>
      </c>
      <c r="G145" s="308">
        <v>46015</v>
      </c>
      <c r="H145" s="308">
        <v>46015</v>
      </c>
      <c r="I145" s="309">
        <v>-106367.93</v>
      </c>
      <c r="J145" s="306" t="s">
        <v>1008</v>
      </c>
      <c r="K145" s="309">
        <v>-106367.93</v>
      </c>
      <c r="L145" s="306" t="s">
        <v>1008</v>
      </c>
      <c r="M145" s="306" t="s">
        <v>1168</v>
      </c>
      <c r="N145" s="306" t="s">
        <v>1151</v>
      </c>
      <c r="O145" s="306" t="s">
        <v>1297</v>
      </c>
      <c r="P145" s="306" t="s">
        <v>244</v>
      </c>
      <c r="Q145" s="306" t="s">
        <v>1013</v>
      </c>
      <c r="R145" s="306" t="s">
        <v>1013</v>
      </c>
      <c r="S145" s="306" t="s">
        <v>1013</v>
      </c>
      <c r="T145" s="306" t="s">
        <v>1153</v>
      </c>
      <c r="U145" s="306" t="s">
        <v>1013</v>
      </c>
      <c r="V145" s="306" t="s">
        <v>1013</v>
      </c>
      <c r="W145" s="306" t="s">
        <v>1013</v>
      </c>
      <c r="X145" s="306" t="s">
        <v>1013</v>
      </c>
      <c r="Y145" s="306" t="s">
        <v>1153</v>
      </c>
      <c r="Z145" s="306" t="s">
        <v>1015</v>
      </c>
      <c r="AA145" s="306" t="s">
        <v>1013</v>
      </c>
    </row>
    <row r="146" spans="1:27" hidden="1">
      <c r="A146" s="306" t="s">
        <v>494</v>
      </c>
      <c r="B146" s="306" t="s">
        <v>1003</v>
      </c>
      <c r="C146" s="306" t="s">
        <v>1004</v>
      </c>
      <c r="D146" s="306" t="s">
        <v>1031</v>
      </c>
      <c r="E146" s="306" t="s">
        <v>1298</v>
      </c>
      <c r="F146" s="306" t="s">
        <v>1007</v>
      </c>
      <c r="G146" s="308">
        <v>46015</v>
      </c>
      <c r="H146" s="308">
        <v>46015</v>
      </c>
      <c r="I146" s="309">
        <v>-98030.73</v>
      </c>
      <c r="J146" s="306" t="s">
        <v>1008</v>
      </c>
      <c r="K146" s="309">
        <v>-98030.73</v>
      </c>
      <c r="L146" s="306" t="s">
        <v>1008</v>
      </c>
      <c r="M146" s="306" t="s">
        <v>1150</v>
      </c>
      <c r="N146" s="306" t="s">
        <v>1151</v>
      </c>
      <c r="O146" s="306" t="s">
        <v>1299</v>
      </c>
      <c r="P146" s="306" t="s">
        <v>244</v>
      </c>
      <c r="Q146" s="306" t="s">
        <v>1013</v>
      </c>
      <c r="R146" s="306" t="s">
        <v>1013</v>
      </c>
      <c r="S146" s="306" t="s">
        <v>1013</v>
      </c>
      <c r="T146" s="306" t="s">
        <v>1153</v>
      </c>
      <c r="U146" s="306" t="s">
        <v>1013</v>
      </c>
      <c r="V146" s="306" t="s">
        <v>1013</v>
      </c>
      <c r="W146" s="306" t="s">
        <v>1013</v>
      </c>
      <c r="X146" s="306" t="s">
        <v>1013</v>
      </c>
      <c r="Y146" s="306" t="s">
        <v>1153</v>
      </c>
      <c r="Z146" s="306" t="s">
        <v>1015</v>
      </c>
      <c r="AA146" s="306" t="s">
        <v>1013</v>
      </c>
    </row>
    <row r="147" spans="1:27" hidden="1">
      <c r="A147" s="306" t="s">
        <v>494</v>
      </c>
      <c r="B147" s="306" t="s">
        <v>1003</v>
      </c>
      <c r="C147" s="306" t="s">
        <v>1004</v>
      </c>
      <c r="D147" s="306" t="s">
        <v>1019</v>
      </c>
      <c r="E147" s="306" t="s">
        <v>1300</v>
      </c>
      <c r="F147" s="306" t="s">
        <v>1007</v>
      </c>
      <c r="G147" s="308">
        <v>46015</v>
      </c>
      <c r="H147" s="308">
        <v>46015</v>
      </c>
      <c r="I147" s="309">
        <v>-5853.39</v>
      </c>
      <c r="J147" s="306" t="s">
        <v>1008</v>
      </c>
      <c r="K147" s="309">
        <v>-5853.39</v>
      </c>
      <c r="L147" s="306" t="s">
        <v>1008</v>
      </c>
      <c r="M147" s="306" t="s">
        <v>1168</v>
      </c>
      <c r="N147" s="306" t="s">
        <v>1151</v>
      </c>
      <c r="O147" s="306" t="s">
        <v>1207</v>
      </c>
      <c r="P147" s="306" t="s">
        <v>244</v>
      </c>
      <c r="Q147" s="306" t="s">
        <v>1013</v>
      </c>
      <c r="R147" s="306" t="s">
        <v>1013</v>
      </c>
      <c r="S147" s="306" t="s">
        <v>1013</v>
      </c>
      <c r="T147" s="306" t="s">
        <v>1153</v>
      </c>
      <c r="U147" s="306" t="s">
        <v>1013</v>
      </c>
      <c r="V147" s="306" t="s">
        <v>1013</v>
      </c>
      <c r="W147" s="306" t="s">
        <v>1013</v>
      </c>
      <c r="X147" s="306" t="s">
        <v>1013</v>
      </c>
      <c r="Y147" s="306" t="s">
        <v>1153</v>
      </c>
      <c r="Z147" s="306" t="s">
        <v>1015</v>
      </c>
      <c r="AA147" s="306" t="s">
        <v>1013</v>
      </c>
    </row>
    <row r="148" spans="1:27" hidden="1">
      <c r="A148" s="306" t="s">
        <v>494</v>
      </c>
      <c r="B148" s="306" t="s">
        <v>1003</v>
      </c>
      <c r="C148" s="306" t="s">
        <v>1004</v>
      </c>
      <c r="D148" s="306" t="s">
        <v>1019</v>
      </c>
      <c r="E148" s="306" t="s">
        <v>1301</v>
      </c>
      <c r="F148" s="306" t="s">
        <v>1007</v>
      </c>
      <c r="G148" s="308">
        <v>46015</v>
      </c>
      <c r="H148" s="308">
        <v>46015</v>
      </c>
      <c r="I148" s="309">
        <v>-5713.7</v>
      </c>
      <c r="J148" s="306" t="s">
        <v>1008</v>
      </c>
      <c r="K148" s="309">
        <v>-5713.7</v>
      </c>
      <c r="L148" s="306" t="s">
        <v>1008</v>
      </c>
      <c r="M148" s="306" t="s">
        <v>1168</v>
      </c>
      <c r="N148" s="306" t="s">
        <v>1151</v>
      </c>
      <c r="O148" s="306" t="s">
        <v>1211</v>
      </c>
      <c r="P148" s="306" t="s">
        <v>244</v>
      </c>
      <c r="Q148" s="306" t="s">
        <v>1013</v>
      </c>
      <c r="R148" s="306" t="s">
        <v>1013</v>
      </c>
      <c r="S148" s="306" t="s">
        <v>1013</v>
      </c>
      <c r="T148" s="306" t="s">
        <v>1153</v>
      </c>
      <c r="U148" s="306" t="s">
        <v>1013</v>
      </c>
      <c r="V148" s="306" t="s">
        <v>1013</v>
      </c>
      <c r="W148" s="306" t="s">
        <v>1013</v>
      </c>
      <c r="X148" s="306" t="s">
        <v>1013</v>
      </c>
      <c r="Y148" s="306" t="s">
        <v>1153</v>
      </c>
      <c r="Z148" s="306" t="s">
        <v>1015</v>
      </c>
      <c r="AA148" s="306" t="s">
        <v>1013</v>
      </c>
    </row>
    <row r="149" spans="1:27" hidden="1">
      <c r="A149" s="306" t="s">
        <v>494</v>
      </c>
      <c r="B149" s="306" t="s">
        <v>1003</v>
      </c>
      <c r="C149" s="306" t="s">
        <v>1004</v>
      </c>
      <c r="D149" s="306" t="s">
        <v>1019</v>
      </c>
      <c r="E149" s="306" t="s">
        <v>1302</v>
      </c>
      <c r="F149" s="306" t="s">
        <v>1007</v>
      </c>
      <c r="G149" s="308">
        <v>46015</v>
      </c>
      <c r="H149" s="308">
        <v>46015</v>
      </c>
      <c r="I149" s="309">
        <v>-104550</v>
      </c>
      <c r="J149" s="306" t="s">
        <v>1008</v>
      </c>
      <c r="K149" s="309">
        <v>-104550</v>
      </c>
      <c r="L149" s="306" t="s">
        <v>1008</v>
      </c>
      <c r="M149" s="306" t="s">
        <v>1168</v>
      </c>
      <c r="N149" s="306" t="s">
        <v>1151</v>
      </c>
      <c r="O149" s="306" t="s">
        <v>1303</v>
      </c>
      <c r="P149" s="306" t="s">
        <v>244</v>
      </c>
      <c r="Q149" s="306" t="s">
        <v>1013</v>
      </c>
      <c r="R149" s="306" t="s">
        <v>1013</v>
      </c>
      <c r="S149" s="306" t="s">
        <v>1013</v>
      </c>
      <c r="T149" s="306" t="s">
        <v>1153</v>
      </c>
      <c r="U149" s="306" t="s">
        <v>1013</v>
      </c>
      <c r="V149" s="306" t="s">
        <v>1013</v>
      </c>
      <c r="W149" s="306" t="s">
        <v>1013</v>
      </c>
      <c r="X149" s="306" t="s">
        <v>1013</v>
      </c>
      <c r="Y149" s="306" t="s">
        <v>1153</v>
      </c>
      <c r="Z149" s="306" t="s">
        <v>1015</v>
      </c>
      <c r="AA149" s="306" t="s">
        <v>1013</v>
      </c>
    </row>
    <row r="150" spans="1:27" hidden="1">
      <c r="A150" s="306" t="s">
        <v>494</v>
      </c>
      <c r="B150" s="306" t="s">
        <v>1003</v>
      </c>
      <c r="C150" s="306" t="s">
        <v>1004</v>
      </c>
      <c r="D150" s="306" t="s">
        <v>1019</v>
      </c>
      <c r="E150" s="306" t="s">
        <v>1304</v>
      </c>
      <c r="F150" s="306" t="s">
        <v>1007</v>
      </c>
      <c r="G150" s="308">
        <v>46015</v>
      </c>
      <c r="H150" s="308">
        <v>46015</v>
      </c>
      <c r="I150" s="309">
        <v>-188190</v>
      </c>
      <c r="J150" s="306" t="s">
        <v>1008</v>
      </c>
      <c r="K150" s="309">
        <v>-188190</v>
      </c>
      <c r="L150" s="306" t="s">
        <v>1008</v>
      </c>
      <c r="M150" s="306" t="s">
        <v>1168</v>
      </c>
      <c r="N150" s="306" t="s">
        <v>1151</v>
      </c>
      <c r="O150" s="306" t="s">
        <v>1305</v>
      </c>
      <c r="P150" s="306" t="s">
        <v>244</v>
      </c>
      <c r="Q150" s="306" t="s">
        <v>1013</v>
      </c>
      <c r="R150" s="306" t="s">
        <v>1013</v>
      </c>
      <c r="S150" s="306" t="s">
        <v>1013</v>
      </c>
      <c r="T150" s="306" t="s">
        <v>1153</v>
      </c>
      <c r="U150" s="306" t="s">
        <v>1013</v>
      </c>
      <c r="V150" s="306" t="s">
        <v>1013</v>
      </c>
      <c r="W150" s="306" t="s">
        <v>1013</v>
      </c>
      <c r="X150" s="306" t="s">
        <v>1013</v>
      </c>
      <c r="Y150" s="306" t="s">
        <v>1153</v>
      </c>
      <c r="Z150" s="306" t="s">
        <v>1015</v>
      </c>
      <c r="AA150" s="306" t="s">
        <v>1013</v>
      </c>
    </row>
    <row r="151" spans="1:27" hidden="1">
      <c r="A151" s="306" t="s">
        <v>494</v>
      </c>
      <c r="B151" s="306" t="s">
        <v>1003</v>
      </c>
      <c r="C151" s="306" t="s">
        <v>1004</v>
      </c>
      <c r="D151" s="306" t="s">
        <v>1019</v>
      </c>
      <c r="E151" s="306" t="s">
        <v>1306</v>
      </c>
      <c r="F151" s="306" t="s">
        <v>1007</v>
      </c>
      <c r="G151" s="308">
        <v>46015</v>
      </c>
      <c r="H151" s="308">
        <v>46015</v>
      </c>
      <c r="I151" s="309">
        <v>-673018.86</v>
      </c>
      <c r="J151" s="306" t="s">
        <v>1008</v>
      </c>
      <c r="K151" s="309">
        <v>-673018.86</v>
      </c>
      <c r="L151" s="306" t="s">
        <v>1008</v>
      </c>
      <c r="M151" s="306" t="s">
        <v>1168</v>
      </c>
      <c r="N151" s="306" t="s">
        <v>1151</v>
      </c>
      <c r="O151" s="306" t="s">
        <v>1307</v>
      </c>
      <c r="P151" s="306" t="s">
        <v>244</v>
      </c>
      <c r="Q151" s="306" t="s">
        <v>1013</v>
      </c>
      <c r="R151" s="306" t="s">
        <v>1013</v>
      </c>
      <c r="S151" s="306" t="s">
        <v>1013</v>
      </c>
      <c r="T151" s="306" t="s">
        <v>1153</v>
      </c>
      <c r="U151" s="306" t="s">
        <v>1013</v>
      </c>
      <c r="V151" s="306" t="s">
        <v>1013</v>
      </c>
      <c r="W151" s="306" t="s">
        <v>1013</v>
      </c>
      <c r="X151" s="306" t="s">
        <v>1013</v>
      </c>
      <c r="Y151" s="306" t="s">
        <v>1153</v>
      </c>
      <c r="Z151" s="306" t="s">
        <v>1015</v>
      </c>
      <c r="AA151" s="306" t="s">
        <v>1013</v>
      </c>
    </row>
    <row r="152" spans="1:27" hidden="1">
      <c r="A152" s="306" t="s">
        <v>494</v>
      </c>
      <c r="B152" s="306" t="s">
        <v>1003</v>
      </c>
      <c r="C152" s="306" t="s">
        <v>1004</v>
      </c>
      <c r="D152" s="306" t="s">
        <v>1019</v>
      </c>
      <c r="E152" s="306" t="s">
        <v>1308</v>
      </c>
      <c r="F152" s="306" t="s">
        <v>1007</v>
      </c>
      <c r="G152" s="308">
        <v>46015</v>
      </c>
      <c r="H152" s="308">
        <v>46015</v>
      </c>
      <c r="I152" s="309">
        <v>-35778.300000000003</v>
      </c>
      <c r="J152" s="306" t="s">
        <v>1008</v>
      </c>
      <c r="K152" s="309">
        <v>-35778.300000000003</v>
      </c>
      <c r="L152" s="306" t="s">
        <v>1008</v>
      </c>
      <c r="M152" s="306" t="s">
        <v>1309</v>
      </c>
      <c r="N152" s="306" t="s">
        <v>1309</v>
      </c>
      <c r="O152" s="306" t="s">
        <v>1310</v>
      </c>
      <c r="P152" s="306" t="s">
        <v>212</v>
      </c>
      <c r="Q152" s="306" t="s">
        <v>1013</v>
      </c>
      <c r="R152" s="306" t="s">
        <v>1013</v>
      </c>
      <c r="S152" s="306" t="s">
        <v>1013</v>
      </c>
      <c r="T152" s="306" t="s">
        <v>1112</v>
      </c>
      <c r="U152" s="306" t="s">
        <v>1013</v>
      </c>
      <c r="V152" s="306" t="s">
        <v>1013</v>
      </c>
      <c r="W152" s="306" t="s">
        <v>1013</v>
      </c>
      <c r="X152" s="306" t="s">
        <v>1013</v>
      </c>
      <c r="Y152" s="306" t="s">
        <v>1112</v>
      </c>
      <c r="Z152" s="306" t="s">
        <v>1071</v>
      </c>
      <c r="AA152" s="306" t="s">
        <v>1013</v>
      </c>
    </row>
    <row r="153" spans="1:27" hidden="1">
      <c r="A153" s="306" t="s">
        <v>494</v>
      </c>
      <c r="B153" s="306" t="s">
        <v>1003</v>
      </c>
      <c r="C153" s="306" t="s">
        <v>1004</v>
      </c>
      <c r="D153" s="306" t="s">
        <v>1019</v>
      </c>
      <c r="E153" s="306" t="s">
        <v>1311</v>
      </c>
      <c r="F153" s="306" t="s">
        <v>1007</v>
      </c>
      <c r="G153" s="308">
        <v>46015</v>
      </c>
      <c r="H153" s="308">
        <v>46015</v>
      </c>
      <c r="I153" s="309">
        <v>-33844.33</v>
      </c>
      <c r="J153" s="306" t="s">
        <v>1008</v>
      </c>
      <c r="K153" s="309">
        <v>-33844.33</v>
      </c>
      <c r="L153" s="306" t="s">
        <v>1008</v>
      </c>
      <c r="M153" s="306" t="s">
        <v>1309</v>
      </c>
      <c r="N153" s="306" t="s">
        <v>1309</v>
      </c>
      <c r="O153" s="306" t="s">
        <v>1312</v>
      </c>
      <c r="P153" s="306" t="s">
        <v>212</v>
      </c>
      <c r="Q153" s="306" t="s">
        <v>1013</v>
      </c>
      <c r="R153" s="306" t="s">
        <v>1013</v>
      </c>
      <c r="S153" s="306" t="s">
        <v>1013</v>
      </c>
      <c r="T153" s="306" t="s">
        <v>1112</v>
      </c>
      <c r="U153" s="306" t="s">
        <v>1013</v>
      </c>
      <c r="V153" s="306" t="s">
        <v>1013</v>
      </c>
      <c r="W153" s="306" t="s">
        <v>1013</v>
      </c>
      <c r="X153" s="306" t="s">
        <v>1013</v>
      </c>
      <c r="Y153" s="306" t="s">
        <v>1112</v>
      </c>
      <c r="Z153" s="306" t="s">
        <v>1071</v>
      </c>
      <c r="AA153" s="306" t="s">
        <v>1013</v>
      </c>
    </row>
    <row r="154" spans="1:27" hidden="1">
      <c r="A154" s="306" t="s">
        <v>494</v>
      </c>
      <c r="B154" s="306" t="s">
        <v>1003</v>
      </c>
      <c r="C154" s="306" t="s">
        <v>1004</v>
      </c>
      <c r="D154" s="306" t="s">
        <v>1005</v>
      </c>
      <c r="E154" s="306" t="s">
        <v>1313</v>
      </c>
      <c r="F154" s="306" t="s">
        <v>1007</v>
      </c>
      <c r="G154" s="308">
        <v>46015</v>
      </c>
      <c r="H154" s="308">
        <v>46015</v>
      </c>
      <c r="I154" s="309">
        <v>-611924.19999999995</v>
      </c>
      <c r="J154" s="306" t="s">
        <v>1008</v>
      </c>
      <c r="K154" s="309">
        <v>-611924.19999999995</v>
      </c>
      <c r="L154" s="306" t="s">
        <v>1008</v>
      </c>
      <c r="M154" s="306" t="s">
        <v>1314</v>
      </c>
      <c r="N154" s="306" t="s">
        <v>1314</v>
      </c>
      <c r="O154" s="306" t="s">
        <v>1315</v>
      </c>
      <c r="P154" s="306" t="s">
        <v>212</v>
      </c>
      <c r="Q154" s="306" t="s">
        <v>1013</v>
      </c>
      <c r="R154" s="306" t="s">
        <v>1013</v>
      </c>
      <c r="S154" s="306" t="s">
        <v>1013</v>
      </c>
      <c r="T154" s="306" t="s">
        <v>1112</v>
      </c>
      <c r="U154" s="306" t="s">
        <v>1013</v>
      </c>
      <c r="V154" s="306" t="s">
        <v>1013</v>
      </c>
      <c r="W154" s="306" t="s">
        <v>1013</v>
      </c>
      <c r="X154" s="306" t="s">
        <v>1013</v>
      </c>
      <c r="Y154" s="306" t="s">
        <v>1112</v>
      </c>
      <c r="Z154" s="306" t="s">
        <v>1071</v>
      </c>
      <c r="AA154" s="306" t="s">
        <v>1013</v>
      </c>
    </row>
    <row r="155" spans="1:27" hidden="1">
      <c r="A155" s="306" t="s">
        <v>494</v>
      </c>
      <c r="B155" s="306" t="s">
        <v>1003</v>
      </c>
      <c r="C155" s="306" t="s">
        <v>1004</v>
      </c>
      <c r="D155" s="306" t="s">
        <v>1005</v>
      </c>
      <c r="E155" s="306" t="s">
        <v>1316</v>
      </c>
      <c r="F155" s="306" t="s">
        <v>1007</v>
      </c>
      <c r="G155" s="308">
        <v>46015</v>
      </c>
      <c r="H155" s="308">
        <v>46015</v>
      </c>
      <c r="I155" s="309">
        <v>-648504.65</v>
      </c>
      <c r="J155" s="306" t="s">
        <v>1008</v>
      </c>
      <c r="K155" s="309">
        <v>-648504.65</v>
      </c>
      <c r="L155" s="306" t="s">
        <v>1008</v>
      </c>
      <c r="M155" s="306" t="s">
        <v>1314</v>
      </c>
      <c r="N155" s="306" t="s">
        <v>1314</v>
      </c>
      <c r="O155" s="306" t="s">
        <v>1317</v>
      </c>
      <c r="P155" s="306" t="s">
        <v>212</v>
      </c>
      <c r="Q155" s="306" t="s">
        <v>1013</v>
      </c>
      <c r="R155" s="306" t="s">
        <v>1013</v>
      </c>
      <c r="S155" s="306" t="s">
        <v>1013</v>
      </c>
      <c r="T155" s="306" t="s">
        <v>1112</v>
      </c>
      <c r="U155" s="306" t="s">
        <v>1013</v>
      </c>
      <c r="V155" s="306" t="s">
        <v>1013</v>
      </c>
      <c r="W155" s="306" t="s">
        <v>1013</v>
      </c>
      <c r="X155" s="306" t="s">
        <v>1013</v>
      </c>
      <c r="Y155" s="306" t="s">
        <v>1112</v>
      </c>
      <c r="Z155" s="306" t="s">
        <v>1071</v>
      </c>
      <c r="AA155" s="306" t="s">
        <v>1013</v>
      </c>
    </row>
    <row r="156" spans="1:27" hidden="1">
      <c r="A156" s="306" t="s">
        <v>494</v>
      </c>
      <c r="B156" s="306" t="s">
        <v>1003</v>
      </c>
      <c r="C156" s="306" t="s">
        <v>1004</v>
      </c>
      <c r="D156" s="306" t="s">
        <v>1005</v>
      </c>
      <c r="E156" s="306" t="s">
        <v>1318</v>
      </c>
      <c r="F156" s="306" t="s">
        <v>1007</v>
      </c>
      <c r="G156" s="308">
        <v>46015</v>
      </c>
      <c r="H156" s="308">
        <v>46015</v>
      </c>
      <c r="I156" s="309">
        <v>-966189.46</v>
      </c>
      <c r="J156" s="306" t="s">
        <v>1008</v>
      </c>
      <c r="K156" s="309">
        <v>-966189.46</v>
      </c>
      <c r="L156" s="306" t="s">
        <v>1008</v>
      </c>
      <c r="M156" s="306" t="s">
        <v>1314</v>
      </c>
      <c r="N156" s="306" t="s">
        <v>1314</v>
      </c>
      <c r="O156" s="306" t="s">
        <v>1319</v>
      </c>
      <c r="P156" s="306" t="s">
        <v>212</v>
      </c>
      <c r="Q156" s="306" t="s">
        <v>1013</v>
      </c>
      <c r="R156" s="306" t="s">
        <v>1013</v>
      </c>
      <c r="S156" s="306" t="s">
        <v>1013</v>
      </c>
      <c r="T156" s="306" t="s">
        <v>1112</v>
      </c>
      <c r="U156" s="306" t="s">
        <v>1013</v>
      </c>
      <c r="V156" s="306" t="s">
        <v>1013</v>
      </c>
      <c r="W156" s="306" t="s">
        <v>1013</v>
      </c>
      <c r="X156" s="306" t="s">
        <v>1013</v>
      </c>
      <c r="Y156" s="306" t="s">
        <v>1112</v>
      </c>
      <c r="Z156" s="306" t="s">
        <v>1071</v>
      </c>
      <c r="AA156" s="306" t="s">
        <v>1013</v>
      </c>
    </row>
    <row r="157" spans="1:27" hidden="1">
      <c r="A157" s="306" t="s">
        <v>494</v>
      </c>
      <c r="B157" s="306" t="s">
        <v>1003</v>
      </c>
      <c r="C157" s="306" t="s">
        <v>1004</v>
      </c>
      <c r="D157" s="306" t="s">
        <v>1005</v>
      </c>
      <c r="E157" s="306" t="s">
        <v>1320</v>
      </c>
      <c r="F157" s="306" t="s">
        <v>1007</v>
      </c>
      <c r="G157" s="308">
        <v>46015</v>
      </c>
      <c r="H157" s="308">
        <v>46015</v>
      </c>
      <c r="I157" s="309">
        <v>-1653874.93</v>
      </c>
      <c r="J157" s="306" t="s">
        <v>1008</v>
      </c>
      <c r="K157" s="309">
        <v>-1653874.93</v>
      </c>
      <c r="L157" s="306" t="s">
        <v>1008</v>
      </c>
      <c r="M157" s="306" t="s">
        <v>1314</v>
      </c>
      <c r="N157" s="306" t="s">
        <v>1314</v>
      </c>
      <c r="O157" s="306" t="s">
        <v>1321</v>
      </c>
      <c r="P157" s="306" t="s">
        <v>212</v>
      </c>
      <c r="Q157" s="306" t="s">
        <v>1013</v>
      </c>
      <c r="R157" s="306" t="s">
        <v>1013</v>
      </c>
      <c r="S157" s="306" t="s">
        <v>1013</v>
      </c>
      <c r="T157" s="306" t="s">
        <v>1112</v>
      </c>
      <c r="U157" s="306" t="s">
        <v>1013</v>
      </c>
      <c r="V157" s="306" t="s">
        <v>1013</v>
      </c>
      <c r="W157" s="306" t="s">
        <v>1013</v>
      </c>
      <c r="X157" s="306" t="s">
        <v>1013</v>
      </c>
      <c r="Y157" s="306" t="s">
        <v>1112</v>
      </c>
      <c r="Z157" s="306" t="s">
        <v>1071</v>
      </c>
      <c r="AA157" s="306" t="s">
        <v>1013</v>
      </c>
    </row>
    <row r="158" spans="1:27" hidden="1">
      <c r="A158" s="306" t="s">
        <v>494</v>
      </c>
      <c r="B158" s="306" t="s">
        <v>1003</v>
      </c>
      <c r="C158" s="306" t="s">
        <v>1004</v>
      </c>
      <c r="D158" s="306" t="s">
        <v>1005</v>
      </c>
      <c r="E158" s="306" t="s">
        <v>1322</v>
      </c>
      <c r="F158" s="306" t="s">
        <v>1007</v>
      </c>
      <c r="G158" s="308">
        <v>46015</v>
      </c>
      <c r="H158" s="308">
        <v>46015</v>
      </c>
      <c r="I158" s="309">
        <v>-874002.66</v>
      </c>
      <c r="J158" s="306" t="s">
        <v>1008</v>
      </c>
      <c r="K158" s="309">
        <v>-874002.66</v>
      </c>
      <c r="L158" s="306" t="s">
        <v>1008</v>
      </c>
      <c r="M158" s="306" t="s">
        <v>1314</v>
      </c>
      <c r="N158" s="306" t="s">
        <v>1314</v>
      </c>
      <c r="O158" s="306" t="s">
        <v>1323</v>
      </c>
      <c r="P158" s="306" t="s">
        <v>212</v>
      </c>
      <c r="Q158" s="306" t="s">
        <v>1013</v>
      </c>
      <c r="R158" s="306" t="s">
        <v>1013</v>
      </c>
      <c r="S158" s="306" t="s">
        <v>1013</v>
      </c>
      <c r="T158" s="306" t="s">
        <v>1112</v>
      </c>
      <c r="U158" s="306" t="s">
        <v>1013</v>
      </c>
      <c r="V158" s="306" t="s">
        <v>1013</v>
      </c>
      <c r="W158" s="306" t="s">
        <v>1013</v>
      </c>
      <c r="X158" s="306" t="s">
        <v>1013</v>
      </c>
      <c r="Y158" s="306" t="s">
        <v>1112</v>
      </c>
      <c r="Z158" s="306" t="s">
        <v>1071</v>
      </c>
      <c r="AA158" s="306" t="s">
        <v>1013</v>
      </c>
    </row>
    <row r="159" spans="1:27" hidden="1">
      <c r="A159" s="306" t="s">
        <v>494</v>
      </c>
      <c r="B159" s="306" t="s">
        <v>1003</v>
      </c>
      <c r="C159" s="306" t="s">
        <v>1004</v>
      </c>
      <c r="D159" s="306" t="s">
        <v>1019</v>
      </c>
      <c r="E159" s="306" t="s">
        <v>1324</v>
      </c>
      <c r="F159" s="306" t="s">
        <v>1007</v>
      </c>
      <c r="G159" s="308">
        <v>46015</v>
      </c>
      <c r="H159" s="308">
        <v>46015</v>
      </c>
      <c r="I159" s="309">
        <v>-186949.69</v>
      </c>
      <c r="J159" s="306" t="s">
        <v>1008</v>
      </c>
      <c r="K159" s="309">
        <v>-186949.69</v>
      </c>
      <c r="L159" s="306" t="s">
        <v>1008</v>
      </c>
      <c r="M159" s="306" t="s">
        <v>1309</v>
      </c>
      <c r="N159" s="306" t="s">
        <v>1309</v>
      </c>
      <c r="O159" s="306" t="s">
        <v>1325</v>
      </c>
      <c r="P159" s="306" t="s">
        <v>212</v>
      </c>
      <c r="Q159" s="306" t="s">
        <v>1013</v>
      </c>
      <c r="R159" s="306" t="s">
        <v>1013</v>
      </c>
      <c r="S159" s="306" t="s">
        <v>1013</v>
      </c>
      <c r="T159" s="306" t="s">
        <v>1112</v>
      </c>
      <c r="U159" s="306" t="s">
        <v>1013</v>
      </c>
      <c r="V159" s="306" t="s">
        <v>1013</v>
      </c>
      <c r="W159" s="306" t="s">
        <v>1013</v>
      </c>
      <c r="X159" s="306" t="s">
        <v>1013</v>
      </c>
      <c r="Y159" s="306" t="s">
        <v>1112</v>
      </c>
      <c r="Z159" s="306" t="s">
        <v>1071</v>
      </c>
      <c r="AA159" s="306" t="s">
        <v>1013</v>
      </c>
    </row>
    <row r="160" spans="1:27" hidden="1">
      <c r="A160" s="306" t="s">
        <v>494</v>
      </c>
      <c r="B160" s="306" t="s">
        <v>1003</v>
      </c>
      <c r="C160" s="306" t="s">
        <v>1004</v>
      </c>
      <c r="D160" s="306" t="s">
        <v>1031</v>
      </c>
      <c r="E160" s="306" t="s">
        <v>1326</v>
      </c>
      <c r="F160" s="306" t="s">
        <v>1007</v>
      </c>
      <c r="G160" s="308">
        <v>46015</v>
      </c>
      <c r="H160" s="308">
        <v>46015</v>
      </c>
      <c r="I160" s="309">
        <v>-985340.82</v>
      </c>
      <c r="J160" s="306" t="s">
        <v>1008</v>
      </c>
      <c r="K160" s="309">
        <v>-985340.82</v>
      </c>
      <c r="L160" s="306" t="s">
        <v>1008</v>
      </c>
      <c r="M160" s="306" t="s">
        <v>1327</v>
      </c>
      <c r="N160" s="306" t="s">
        <v>1327</v>
      </c>
      <c r="O160" s="306" t="s">
        <v>1328</v>
      </c>
      <c r="P160" s="306" t="s">
        <v>212</v>
      </c>
      <c r="Q160" s="306" t="s">
        <v>1013</v>
      </c>
      <c r="R160" s="306" t="s">
        <v>1013</v>
      </c>
      <c r="S160" s="306" t="s">
        <v>1013</v>
      </c>
      <c r="T160" s="306" t="s">
        <v>1112</v>
      </c>
      <c r="U160" s="306" t="s">
        <v>1013</v>
      </c>
      <c r="V160" s="306" t="s">
        <v>1013</v>
      </c>
      <c r="W160" s="306" t="s">
        <v>1013</v>
      </c>
      <c r="X160" s="306" t="s">
        <v>1013</v>
      </c>
      <c r="Y160" s="306" t="s">
        <v>1112</v>
      </c>
      <c r="Z160" s="306" t="s">
        <v>1071</v>
      </c>
      <c r="AA160" s="306" t="s">
        <v>1013</v>
      </c>
    </row>
    <row r="161" spans="1:27" hidden="1">
      <c r="A161" s="306" t="s">
        <v>494</v>
      </c>
      <c r="B161" s="306" t="s">
        <v>1003</v>
      </c>
      <c r="C161" s="306" t="s">
        <v>1004</v>
      </c>
      <c r="D161" s="306" t="s">
        <v>1031</v>
      </c>
      <c r="E161" s="306" t="s">
        <v>1329</v>
      </c>
      <c r="F161" s="306" t="s">
        <v>1007</v>
      </c>
      <c r="G161" s="308">
        <v>46015</v>
      </c>
      <c r="H161" s="308">
        <v>46015</v>
      </c>
      <c r="I161" s="309">
        <v>-14563163.76</v>
      </c>
      <c r="J161" s="306" t="s">
        <v>1008</v>
      </c>
      <c r="K161" s="309">
        <v>-14563163.76</v>
      </c>
      <c r="L161" s="306" t="s">
        <v>1008</v>
      </c>
      <c r="M161" s="306" t="s">
        <v>1327</v>
      </c>
      <c r="N161" s="306" t="s">
        <v>1327</v>
      </c>
      <c r="O161" s="306" t="s">
        <v>1330</v>
      </c>
      <c r="P161" s="306" t="s">
        <v>212</v>
      </c>
      <c r="Q161" s="306" t="s">
        <v>1013</v>
      </c>
      <c r="R161" s="306" t="s">
        <v>1013</v>
      </c>
      <c r="S161" s="306" t="s">
        <v>1013</v>
      </c>
      <c r="T161" s="306" t="s">
        <v>1112</v>
      </c>
      <c r="U161" s="306" t="s">
        <v>1013</v>
      </c>
      <c r="V161" s="306" t="s">
        <v>1013</v>
      </c>
      <c r="W161" s="306" t="s">
        <v>1013</v>
      </c>
      <c r="X161" s="306" t="s">
        <v>1013</v>
      </c>
      <c r="Y161" s="306" t="s">
        <v>1112</v>
      </c>
      <c r="Z161" s="306" t="s">
        <v>1071</v>
      </c>
      <c r="AA161" s="306" t="s">
        <v>1013</v>
      </c>
    </row>
    <row r="162" spans="1:27" hidden="1">
      <c r="A162" s="306" t="s">
        <v>494</v>
      </c>
      <c r="B162" s="306" t="s">
        <v>1003</v>
      </c>
      <c r="C162" s="306" t="s">
        <v>1004</v>
      </c>
      <c r="D162" s="306" t="s">
        <v>1005</v>
      </c>
      <c r="E162" s="306" t="s">
        <v>1331</v>
      </c>
      <c r="F162" s="306" t="s">
        <v>1007</v>
      </c>
      <c r="G162" s="308">
        <v>46015</v>
      </c>
      <c r="H162" s="308">
        <v>46015</v>
      </c>
      <c r="I162" s="309">
        <v>-468933.95</v>
      </c>
      <c r="J162" s="306" t="s">
        <v>1008</v>
      </c>
      <c r="K162" s="309">
        <v>-468933.95</v>
      </c>
      <c r="L162" s="306" t="s">
        <v>1008</v>
      </c>
      <c r="M162" s="306" t="s">
        <v>1314</v>
      </c>
      <c r="N162" s="306" t="s">
        <v>1314</v>
      </c>
      <c r="O162" s="306" t="s">
        <v>1332</v>
      </c>
      <c r="P162" s="306" t="s">
        <v>212</v>
      </c>
      <c r="Q162" s="306" t="s">
        <v>1013</v>
      </c>
      <c r="R162" s="306" t="s">
        <v>1013</v>
      </c>
      <c r="S162" s="306" t="s">
        <v>1013</v>
      </c>
      <c r="T162" s="306" t="s">
        <v>1112</v>
      </c>
      <c r="U162" s="306" t="s">
        <v>1013</v>
      </c>
      <c r="V162" s="306" t="s">
        <v>1013</v>
      </c>
      <c r="W162" s="306" t="s">
        <v>1013</v>
      </c>
      <c r="X162" s="306" t="s">
        <v>1013</v>
      </c>
      <c r="Y162" s="306" t="s">
        <v>1112</v>
      </c>
      <c r="Z162" s="306" t="s">
        <v>1071</v>
      </c>
      <c r="AA162" s="306" t="s">
        <v>1013</v>
      </c>
    </row>
    <row r="163" spans="1:27" hidden="1">
      <c r="A163" s="306" t="s">
        <v>494</v>
      </c>
      <c r="B163" s="306" t="s">
        <v>1003</v>
      </c>
      <c r="C163" s="306" t="s">
        <v>1004</v>
      </c>
      <c r="D163" s="306" t="s">
        <v>1019</v>
      </c>
      <c r="E163" s="306" t="s">
        <v>1333</v>
      </c>
      <c r="F163" s="306" t="s">
        <v>1007</v>
      </c>
      <c r="G163" s="308">
        <v>46015</v>
      </c>
      <c r="H163" s="308">
        <v>46015</v>
      </c>
      <c r="I163" s="309">
        <v>-135377.37</v>
      </c>
      <c r="J163" s="306" t="s">
        <v>1008</v>
      </c>
      <c r="K163" s="309">
        <v>-135377.37</v>
      </c>
      <c r="L163" s="306" t="s">
        <v>1008</v>
      </c>
      <c r="M163" s="306" t="s">
        <v>1309</v>
      </c>
      <c r="N163" s="306" t="s">
        <v>1309</v>
      </c>
      <c r="O163" s="306" t="s">
        <v>1334</v>
      </c>
      <c r="P163" s="306" t="s">
        <v>212</v>
      </c>
      <c r="Q163" s="306" t="s">
        <v>1013</v>
      </c>
      <c r="R163" s="306" t="s">
        <v>1013</v>
      </c>
      <c r="S163" s="306" t="s">
        <v>1013</v>
      </c>
      <c r="T163" s="306" t="s">
        <v>1112</v>
      </c>
      <c r="U163" s="306" t="s">
        <v>1013</v>
      </c>
      <c r="V163" s="306" t="s">
        <v>1013</v>
      </c>
      <c r="W163" s="306" t="s">
        <v>1013</v>
      </c>
      <c r="X163" s="306" t="s">
        <v>1013</v>
      </c>
      <c r="Y163" s="306" t="s">
        <v>1112</v>
      </c>
      <c r="Z163" s="306" t="s">
        <v>1071</v>
      </c>
      <c r="AA163" s="306" t="s">
        <v>1013</v>
      </c>
    </row>
    <row r="164" spans="1:27" hidden="1">
      <c r="A164" s="306" t="s">
        <v>494</v>
      </c>
      <c r="B164" s="306" t="s">
        <v>1003</v>
      </c>
      <c r="C164" s="306" t="s">
        <v>1004</v>
      </c>
      <c r="D164" s="306" t="s">
        <v>1019</v>
      </c>
      <c r="E164" s="306" t="s">
        <v>1335</v>
      </c>
      <c r="F164" s="306" t="s">
        <v>1007</v>
      </c>
      <c r="G164" s="308">
        <v>46015</v>
      </c>
      <c r="H164" s="308">
        <v>46015</v>
      </c>
      <c r="I164" s="309">
        <v>-186949.69</v>
      </c>
      <c r="J164" s="306" t="s">
        <v>1008</v>
      </c>
      <c r="K164" s="309">
        <v>-186949.69</v>
      </c>
      <c r="L164" s="306" t="s">
        <v>1008</v>
      </c>
      <c r="M164" s="306" t="s">
        <v>1309</v>
      </c>
      <c r="N164" s="306" t="s">
        <v>1309</v>
      </c>
      <c r="O164" s="306" t="s">
        <v>1325</v>
      </c>
      <c r="P164" s="306" t="s">
        <v>212</v>
      </c>
      <c r="Q164" s="306" t="s">
        <v>1013</v>
      </c>
      <c r="R164" s="306" t="s">
        <v>1013</v>
      </c>
      <c r="S164" s="306" t="s">
        <v>1013</v>
      </c>
      <c r="T164" s="306" t="s">
        <v>1112</v>
      </c>
      <c r="U164" s="306" t="s">
        <v>1013</v>
      </c>
      <c r="V164" s="306" t="s">
        <v>1013</v>
      </c>
      <c r="W164" s="306" t="s">
        <v>1013</v>
      </c>
      <c r="X164" s="306" t="s">
        <v>1013</v>
      </c>
      <c r="Y164" s="306" t="s">
        <v>1112</v>
      </c>
      <c r="Z164" s="306" t="s">
        <v>1071</v>
      </c>
      <c r="AA164" s="306" t="s">
        <v>1013</v>
      </c>
    </row>
    <row r="165" spans="1:27" hidden="1">
      <c r="A165" s="306" t="s">
        <v>494</v>
      </c>
      <c r="B165" s="306" t="s">
        <v>1003</v>
      </c>
      <c r="C165" s="306" t="s">
        <v>1004</v>
      </c>
      <c r="D165" s="306" t="s">
        <v>1031</v>
      </c>
      <c r="E165" s="306" t="s">
        <v>1336</v>
      </c>
      <c r="F165" s="306" t="s">
        <v>1007</v>
      </c>
      <c r="G165" s="308">
        <v>46015</v>
      </c>
      <c r="H165" s="308">
        <v>46015</v>
      </c>
      <c r="I165" s="309">
        <v>-25485536.57</v>
      </c>
      <c r="J165" s="306" t="s">
        <v>1008</v>
      </c>
      <c r="K165" s="309">
        <v>-25485536.57</v>
      </c>
      <c r="L165" s="306" t="s">
        <v>1008</v>
      </c>
      <c r="M165" s="306" t="s">
        <v>1327</v>
      </c>
      <c r="N165" s="306" t="s">
        <v>1327</v>
      </c>
      <c r="O165" s="306" t="s">
        <v>1330</v>
      </c>
      <c r="P165" s="306" t="s">
        <v>212</v>
      </c>
      <c r="Q165" s="306" t="s">
        <v>1013</v>
      </c>
      <c r="R165" s="306" t="s">
        <v>1013</v>
      </c>
      <c r="S165" s="306" t="s">
        <v>1013</v>
      </c>
      <c r="T165" s="306" t="s">
        <v>1112</v>
      </c>
      <c r="U165" s="306" t="s">
        <v>1013</v>
      </c>
      <c r="V165" s="306" t="s">
        <v>1013</v>
      </c>
      <c r="W165" s="306" t="s">
        <v>1013</v>
      </c>
      <c r="X165" s="306" t="s">
        <v>1013</v>
      </c>
      <c r="Y165" s="306" t="s">
        <v>1112</v>
      </c>
      <c r="Z165" s="306" t="s">
        <v>1071</v>
      </c>
      <c r="AA165" s="306" t="s">
        <v>1013</v>
      </c>
    </row>
    <row r="166" spans="1:27" hidden="1">
      <c r="A166" s="306" t="s">
        <v>494</v>
      </c>
      <c r="B166" s="306" t="s">
        <v>1003</v>
      </c>
      <c r="C166" s="306" t="s">
        <v>1004</v>
      </c>
      <c r="D166" s="306" t="s">
        <v>1019</v>
      </c>
      <c r="E166" s="306" t="s">
        <v>1337</v>
      </c>
      <c r="F166" s="306" t="s">
        <v>1007</v>
      </c>
      <c r="G166" s="308">
        <v>46015</v>
      </c>
      <c r="H166" s="308">
        <v>46015</v>
      </c>
      <c r="I166" s="309">
        <v>-216410.38</v>
      </c>
      <c r="J166" s="306" t="s">
        <v>1008</v>
      </c>
      <c r="K166" s="309">
        <v>-216410.38</v>
      </c>
      <c r="L166" s="306" t="s">
        <v>1008</v>
      </c>
      <c r="M166" s="306" t="s">
        <v>1309</v>
      </c>
      <c r="N166" s="306" t="s">
        <v>1309</v>
      </c>
      <c r="O166" s="306" t="s">
        <v>1338</v>
      </c>
      <c r="P166" s="306" t="s">
        <v>212</v>
      </c>
      <c r="Q166" s="306" t="s">
        <v>1013</v>
      </c>
      <c r="R166" s="306" t="s">
        <v>1013</v>
      </c>
      <c r="S166" s="306" t="s">
        <v>1013</v>
      </c>
      <c r="T166" s="306" t="s">
        <v>1112</v>
      </c>
      <c r="U166" s="306" t="s">
        <v>1013</v>
      </c>
      <c r="V166" s="306" t="s">
        <v>1013</v>
      </c>
      <c r="W166" s="306" t="s">
        <v>1013</v>
      </c>
      <c r="X166" s="306" t="s">
        <v>1013</v>
      </c>
      <c r="Y166" s="306" t="s">
        <v>1112</v>
      </c>
      <c r="Z166" s="306" t="s">
        <v>1071</v>
      </c>
      <c r="AA166" s="306" t="s">
        <v>1013</v>
      </c>
    </row>
    <row r="167" spans="1:27" hidden="1">
      <c r="A167" s="306" t="s">
        <v>494</v>
      </c>
      <c r="B167" s="306" t="s">
        <v>1003</v>
      </c>
      <c r="C167" s="306" t="s">
        <v>1004</v>
      </c>
      <c r="D167" s="306" t="s">
        <v>1005</v>
      </c>
      <c r="E167" s="306" t="s">
        <v>1339</v>
      </c>
      <c r="F167" s="306" t="s">
        <v>1007</v>
      </c>
      <c r="G167" s="308">
        <v>46015</v>
      </c>
      <c r="H167" s="308">
        <v>46015</v>
      </c>
      <c r="I167" s="309">
        <v>-1478918.15</v>
      </c>
      <c r="J167" s="306" t="s">
        <v>1008</v>
      </c>
      <c r="K167" s="309">
        <v>-1478918.15</v>
      </c>
      <c r="L167" s="306" t="s">
        <v>1008</v>
      </c>
      <c r="M167" s="306" t="s">
        <v>1314</v>
      </c>
      <c r="N167" s="306" t="s">
        <v>1314</v>
      </c>
      <c r="O167" s="306" t="s">
        <v>1319</v>
      </c>
      <c r="P167" s="306" t="s">
        <v>212</v>
      </c>
      <c r="Q167" s="306" t="s">
        <v>1013</v>
      </c>
      <c r="R167" s="306" t="s">
        <v>1013</v>
      </c>
      <c r="S167" s="306" t="s">
        <v>1013</v>
      </c>
      <c r="T167" s="306" t="s">
        <v>1112</v>
      </c>
      <c r="U167" s="306" t="s">
        <v>1013</v>
      </c>
      <c r="V167" s="306" t="s">
        <v>1013</v>
      </c>
      <c r="W167" s="306" t="s">
        <v>1013</v>
      </c>
      <c r="X167" s="306" t="s">
        <v>1013</v>
      </c>
      <c r="Y167" s="306" t="s">
        <v>1112</v>
      </c>
      <c r="Z167" s="306" t="s">
        <v>1071</v>
      </c>
      <c r="AA167" s="306" t="s">
        <v>1013</v>
      </c>
    </row>
    <row r="168" spans="1:27" hidden="1">
      <c r="A168" s="306" t="s">
        <v>494</v>
      </c>
      <c r="B168" s="306" t="s">
        <v>1003</v>
      </c>
      <c r="C168" s="306" t="s">
        <v>1004</v>
      </c>
      <c r="D168" s="306" t="s">
        <v>1005</v>
      </c>
      <c r="E168" s="306" t="s">
        <v>1340</v>
      </c>
      <c r="F168" s="306" t="s">
        <v>1007</v>
      </c>
      <c r="G168" s="308">
        <v>46015</v>
      </c>
      <c r="H168" s="308">
        <v>46015</v>
      </c>
      <c r="I168" s="309">
        <v>-8190504.8300000001</v>
      </c>
      <c r="J168" s="306" t="s">
        <v>1008</v>
      </c>
      <c r="K168" s="309">
        <v>-8190504.8300000001</v>
      </c>
      <c r="L168" s="306" t="s">
        <v>1008</v>
      </c>
      <c r="M168" s="306" t="s">
        <v>1314</v>
      </c>
      <c r="N168" s="306" t="s">
        <v>1314</v>
      </c>
      <c r="O168" s="306" t="s">
        <v>1321</v>
      </c>
      <c r="P168" s="306" t="s">
        <v>212</v>
      </c>
      <c r="Q168" s="306" t="s">
        <v>1013</v>
      </c>
      <c r="R168" s="306" t="s">
        <v>1013</v>
      </c>
      <c r="S168" s="306" t="s">
        <v>1013</v>
      </c>
      <c r="T168" s="306" t="s">
        <v>1112</v>
      </c>
      <c r="U168" s="306" t="s">
        <v>1013</v>
      </c>
      <c r="V168" s="306" t="s">
        <v>1013</v>
      </c>
      <c r="W168" s="306" t="s">
        <v>1013</v>
      </c>
      <c r="X168" s="306" t="s">
        <v>1013</v>
      </c>
      <c r="Y168" s="306" t="s">
        <v>1112</v>
      </c>
      <c r="Z168" s="306" t="s">
        <v>1071</v>
      </c>
      <c r="AA168" s="306" t="s">
        <v>1013</v>
      </c>
    </row>
    <row r="169" spans="1:27" hidden="1">
      <c r="A169" s="306" t="s">
        <v>494</v>
      </c>
      <c r="B169" s="306" t="s">
        <v>1003</v>
      </c>
      <c r="C169" s="306" t="s">
        <v>1004</v>
      </c>
      <c r="D169" s="306" t="s">
        <v>1005</v>
      </c>
      <c r="E169" s="306" t="s">
        <v>1341</v>
      </c>
      <c r="F169" s="306" t="s">
        <v>1007</v>
      </c>
      <c r="G169" s="308">
        <v>46015</v>
      </c>
      <c r="H169" s="308">
        <v>46015</v>
      </c>
      <c r="I169" s="309">
        <v>-31741566.449999999</v>
      </c>
      <c r="J169" s="306" t="s">
        <v>1008</v>
      </c>
      <c r="K169" s="309">
        <v>-31741566.449999999</v>
      </c>
      <c r="L169" s="306" t="s">
        <v>1008</v>
      </c>
      <c r="M169" s="306" t="s">
        <v>1314</v>
      </c>
      <c r="N169" s="306" t="s">
        <v>1314</v>
      </c>
      <c r="O169" s="306" t="s">
        <v>1323</v>
      </c>
      <c r="P169" s="306" t="s">
        <v>212</v>
      </c>
      <c r="Q169" s="306" t="s">
        <v>1013</v>
      </c>
      <c r="R169" s="306" t="s">
        <v>1013</v>
      </c>
      <c r="S169" s="306" t="s">
        <v>1013</v>
      </c>
      <c r="T169" s="306" t="s">
        <v>1112</v>
      </c>
      <c r="U169" s="306" t="s">
        <v>1013</v>
      </c>
      <c r="V169" s="306" t="s">
        <v>1013</v>
      </c>
      <c r="W169" s="306" t="s">
        <v>1013</v>
      </c>
      <c r="X169" s="306" t="s">
        <v>1013</v>
      </c>
      <c r="Y169" s="306" t="s">
        <v>1112</v>
      </c>
      <c r="Z169" s="306" t="s">
        <v>1071</v>
      </c>
      <c r="AA169" s="306" t="s">
        <v>1013</v>
      </c>
    </row>
    <row r="170" spans="1:27" hidden="1">
      <c r="A170" s="306" t="s">
        <v>494</v>
      </c>
      <c r="B170" s="306" t="s">
        <v>1003</v>
      </c>
      <c r="C170" s="306" t="s">
        <v>1004</v>
      </c>
      <c r="D170" s="306" t="s">
        <v>1005</v>
      </c>
      <c r="E170" s="306" t="s">
        <v>1342</v>
      </c>
      <c r="F170" s="306" t="s">
        <v>1007</v>
      </c>
      <c r="G170" s="308">
        <v>46015</v>
      </c>
      <c r="H170" s="308">
        <v>46015</v>
      </c>
      <c r="I170" s="309">
        <v>-468933.93</v>
      </c>
      <c r="J170" s="306" t="s">
        <v>1008</v>
      </c>
      <c r="K170" s="309">
        <v>-468933.93</v>
      </c>
      <c r="L170" s="306" t="s">
        <v>1008</v>
      </c>
      <c r="M170" s="306" t="s">
        <v>1314</v>
      </c>
      <c r="N170" s="306" t="s">
        <v>1314</v>
      </c>
      <c r="O170" s="306" t="s">
        <v>1332</v>
      </c>
      <c r="P170" s="306" t="s">
        <v>212</v>
      </c>
      <c r="Q170" s="306" t="s">
        <v>1013</v>
      </c>
      <c r="R170" s="306" t="s">
        <v>1013</v>
      </c>
      <c r="S170" s="306" t="s">
        <v>1013</v>
      </c>
      <c r="T170" s="306" t="s">
        <v>1112</v>
      </c>
      <c r="U170" s="306" t="s">
        <v>1013</v>
      </c>
      <c r="V170" s="306" t="s">
        <v>1013</v>
      </c>
      <c r="W170" s="306" t="s">
        <v>1013</v>
      </c>
      <c r="X170" s="306" t="s">
        <v>1013</v>
      </c>
      <c r="Y170" s="306" t="s">
        <v>1112</v>
      </c>
      <c r="Z170" s="306" t="s">
        <v>1071</v>
      </c>
      <c r="AA170" s="306" t="s">
        <v>1013</v>
      </c>
    </row>
    <row r="171" spans="1:27" hidden="1">
      <c r="A171" s="306" t="s">
        <v>494</v>
      </c>
      <c r="B171" s="306" t="s">
        <v>1003</v>
      </c>
      <c r="C171" s="306" t="s">
        <v>1004</v>
      </c>
      <c r="D171" s="306" t="s">
        <v>1005</v>
      </c>
      <c r="E171" s="306" t="s">
        <v>1343</v>
      </c>
      <c r="F171" s="306" t="s">
        <v>1007</v>
      </c>
      <c r="G171" s="308">
        <v>46015</v>
      </c>
      <c r="H171" s="308">
        <v>46015</v>
      </c>
      <c r="I171" s="309">
        <v>-3731458.11</v>
      </c>
      <c r="J171" s="306" t="s">
        <v>1008</v>
      </c>
      <c r="K171" s="309">
        <v>-3731458.11</v>
      </c>
      <c r="L171" s="306" t="s">
        <v>1008</v>
      </c>
      <c r="M171" s="306" t="s">
        <v>1314</v>
      </c>
      <c r="N171" s="306" t="s">
        <v>1314</v>
      </c>
      <c r="O171" s="306" t="s">
        <v>1344</v>
      </c>
      <c r="P171" s="306" t="s">
        <v>212</v>
      </c>
      <c r="Q171" s="306" t="s">
        <v>1013</v>
      </c>
      <c r="R171" s="306" t="s">
        <v>1013</v>
      </c>
      <c r="S171" s="306" t="s">
        <v>1013</v>
      </c>
      <c r="T171" s="306" t="s">
        <v>1112</v>
      </c>
      <c r="U171" s="306" t="s">
        <v>1013</v>
      </c>
      <c r="V171" s="306" t="s">
        <v>1013</v>
      </c>
      <c r="W171" s="306" t="s">
        <v>1013</v>
      </c>
      <c r="X171" s="306" t="s">
        <v>1013</v>
      </c>
      <c r="Y171" s="306" t="s">
        <v>1112</v>
      </c>
      <c r="Z171" s="306" t="s">
        <v>1071</v>
      </c>
      <c r="AA171" s="306" t="s">
        <v>1013</v>
      </c>
    </row>
    <row r="172" spans="1:27" hidden="1">
      <c r="A172" s="306" t="s">
        <v>494</v>
      </c>
      <c r="B172" s="306" t="s">
        <v>1003</v>
      </c>
      <c r="C172" s="306" t="s">
        <v>1004</v>
      </c>
      <c r="D172" s="306" t="s">
        <v>1005</v>
      </c>
      <c r="E172" s="306" t="s">
        <v>1345</v>
      </c>
      <c r="F172" s="306" t="s">
        <v>1007</v>
      </c>
      <c r="G172" s="308">
        <v>46015</v>
      </c>
      <c r="H172" s="308">
        <v>46015</v>
      </c>
      <c r="I172" s="309">
        <v>-18396307.239999998</v>
      </c>
      <c r="J172" s="306" t="s">
        <v>1008</v>
      </c>
      <c r="K172" s="309">
        <v>-18396307.239999998</v>
      </c>
      <c r="L172" s="306" t="s">
        <v>1008</v>
      </c>
      <c r="M172" s="306" t="s">
        <v>1314</v>
      </c>
      <c r="N172" s="306" t="s">
        <v>1314</v>
      </c>
      <c r="O172" s="306" t="s">
        <v>1317</v>
      </c>
      <c r="P172" s="306" t="s">
        <v>212</v>
      </c>
      <c r="Q172" s="306" t="s">
        <v>1013</v>
      </c>
      <c r="R172" s="306" t="s">
        <v>1013</v>
      </c>
      <c r="S172" s="306" t="s">
        <v>1013</v>
      </c>
      <c r="T172" s="306" t="s">
        <v>1112</v>
      </c>
      <c r="U172" s="306" t="s">
        <v>1013</v>
      </c>
      <c r="V172" s="306" t="s">
        <v>1013</v>
      </c>
      <c r="W172" s="306" t="s">
        <v>1013</v>
      </c>
      <c r="X172" s="306" t="s">
        <v>1013</v>
      </c>
      <c r="Y172" s="306" t="s">
        <v>1112</v>
      </c>
      <c r="Z172" s="306" t="s">
        <v>1071</v>
      </c>
      <c r="AA172" s="306" t="s">
        <v>1013</v>
      </c>
    </row>
    <row r="173" spans="1:27" hidden="1">
      <c r="A173" s="306" t="s">
        <v>494</v>
      </c>
      <c r="B173" s="306" t="s">
        <v>1003</v>
      </c>
      <c r="C173" s="306" t="s">
        <v>1004</v>
      </c>
      <c r="D173" s="306" t="s">
        <v>1005</v>
      </c>
      <c r="E173" s="306" t="s">
        <v>1346</v>
      </c>
      <c r="F173" s="306" t="s">
        <v>1007</v>
      </c>
      <c r="G173" s="308">
        <v>46015</v>
      </c>
      <c r="H173" s="308">
        <v>46015</v>
      </c>
      <c r="I173" s="309">
        <v>-3385321.11</v>
      </c>
      <c r="J173" s="306" t="s">
        <v>1008</v>
      </c>
      <c r="K173" s="309">
        <v>-3385321.11</v>
      </c>
      <c r="L173" s="306" t="s">
        <v>1008</v>
      </c>
      <c r="M173" s="306" t="s">
        <v>1314</v>
      </c>
      <c r="N173" s="306" t="s">
        <v>1314</v>
      </c>
      <c r="O173" s="306" t="s">
        <v>1347</v>
      </c>
      <c r="P173" s="306" t="s">
        <v>212</v>
      </c>
      <c r="Q173" s="306" t="s">
        <v>1013</v>
      </c>
      <c r="R173" s="306" t="s">
        <v>1013</v>
      </c>
      <c r="S173" s="306" t="s">
        <v>1013</v>
      </c>
      <c r="T173" s="306" t="s">
        <v>1112</v>
      </c>
      <c r="U173" s="306" t="s">
        <v>1013</v>
      </c>
      <c r="V173" s="306" t="s">
        <v>1013</v>
      </c>
      <c r="W173" s="306" t="s">
        <v>1013</v>
      </c>
      <c r="X173" s="306" t="s">
        <v>1013</v>
      </c>
      <c r="Y173" s="306" t="s">
        <v>1112</v>
      </c>
      <c r="Z173" s="306" t="s">
        <v>1071</v>
      </c>
      <c r="AA173" s="306" t="s">
        <v>1013</v>
      </c>
    </row>
    <row r="174" spans="1:27" hidden="1">
      <c r="A174" s="306" t="s">
        <v>494</v>
      </c>
      <c r="B174" s="306" t="s">
        <v>1003</v>
      </c>
      <c r="C174" s="306" t="s">
        <v>1004</v>
      </c>
      <c r="D174" s="306" t="s">
        <v>1005</v>
      </c>
      <c r="E174" s="306" t="s">
        <v>1348</v>
      </c>
      <c r="F174" s="306" t="s">
        <v>1007</v>
      </c>
      <c r="G174" s="308">
        <v>46015</v>
      </c>
      <c r="H174" s="308">
        <v>46015</v>
      </c>
      <c r="I174" s="309">
        <v>-12221075.41</v>
      </c>
      <c r="J174" s="306" t="s">
        <v>1008</v>
      </c>
      <c r="K174" s="309">
        <v>-12221075.41</v>
      </c>
      <c r="L174" s="306" t="s">
        <v>1008</v>
      </c>
      <c r="M174" s="306" t="s">
        <v>1314</v>
      </c>
      <c r="N174" s="306" t="s">
        <v>1314</v>
      </c>
      <c r="O174" s="306" t="s">
        <v>1315</v>
      </c>
      <c r="P174" s="306" t="s">
        <v>212</v>
      </c>
      <c r="Q174" s="306" t="s">
        <v>1013</v>
      </c>
      <c r="R174" s="306" t="s">
        <v>1013</v>
      </c>
      <c r="S174" s="306" t="s">
        <v>1013</v>
      </c>
      <c r="T174" s="306" t="s">
        <v>1112</v>
      </c>
      <c r="U174" s="306" t="s">
        <v>1013</v>
      </c>
      <c r="V174" s="306" t="s">
        <v>1013</v>
      </c>
      <c r="W174" s="306" t="s">
        <v>1013</v>
      </c>
      <c r="X174" s="306" t="s">
        <v>1013</v>
      </c>
      <c r="Y174" s="306" t="s">
        <v>1112</v>
      </c>
      <c r="Z174" s="306" t="s">
        <v>1071</v>
      </c>
      <c r="AA174" s="306" t="s">
        <v>1013</v>
      </c>
    </row>
    <row r="175" spans="1:27" hidden="1">
      <c r="A175" s="306" t="s">
        <v>494</v>
      </c>
      <c r="B175" s="306" t="s">
        <v>1003</v>
      </c>
      <c r="C175" s="306" t="s">
        <v>1004</v>
      </c>
      <c r="D175" s="306" t="s">
        <v>1031</v>
      </c>
      <c r="E175" s="306" t="s">
        <v>1349</v>
      </c>
      <c r="F175" s="306" t="s">
        <v>1007</v>
      </c>
      <c r="G175" s="308">
        <v>46015</v>
      </c>
      <c r="H175" s="308">
        <v>46015</v>
      </c>
      <c r="I175" s="309">
        <v>-13783992.949999999</v>
      </c>
      <c r="J175" s="306" t="s">
        <v>1008</v>
      </c>
      <c r="K175" s="309">
        <v>-13783992.949999999</v>
      </c>
      <c r="L175" s="306" t="s">
        <v>1008</v>
      </c>
      <c r="M175" s="306" t="s">
        <v>1327</v>
      </c>
      <c r="N175" s="306" t="s">
        <v>1327</v>
      </c>
      <c r="O175" s="306" t="s">
        <v>1350</v>
      </c>
      <c r="P175" s="306" t="s">
        <v>212</v>
      </c>
      <c r="Q175" s="306" t="s">
        <v>1013</v>
      </c>
      <c r="R175" s="306" t="s">
        <v>1013</v>
      </c>
      <c r="S175" s="306" t="s">
        <v>1013</v>
      </c>
      <c r="T175" s="306" t="s">
        <v>1112</v>
      </c>
      <c r="U175" s="306" t="s">
        <v>1013</v>
      </c>
      <c r="V175" s="306" t="s">
        <v>1013</v>
      </c>
      <c r="W175" s="306" t="s">
        <v>1013</v>
      </c>
      <c r="X175" s="306" t="s">
        <v>1013</v>
      </c>
      <c r="Y175" s="306" t="s">
        <v>1112</v>
      </c>
      <c r="Z175" s="306" t="s">
        <v>1071</v>
      </c>
      <c r="AA175" s="306" t="s">
        <v>1013</v>
      </c>
    </row>
    <row r="176" spans="1:27" hidden="1">
      <c r="A176" s="306" t="s">
        <v>494</v>
      </c>
      <c r="B176" s="306" t="s">
        <v>1003</v>
      </c>
      <c r="C176" s="306" t="s">
        <v>1004</v>
      </c>
      <c r="D176" s="306" t="s">
        <v>1005</v>
      </c>
      <c r="E176" s="306" t="s">
        <v>1351</v>
      </c>
      <c r="F176" s="306" t="s">
        <v>1007</v>
      </c>
      <c r="G176" s="308">
        <v>46015</v>
      </c>
      <c r="H176" s="308">
        <v>46015</v>
      </c>
      <c r="I176" s="309">
        <v>-298543.69</v>
      </c>
      <c r="J176" s="306" t="s">
        <v>1008</v>
      </c>
      <c r="K176" s="309">
        <v>-298543.69</v>
      </c>
      <c r="L176" s="306" t="s">
        <v>1008</v>
      </c>
      <c r="M176" s="306" t="s">
        <v>1314</v>
      </c>
      <c r="N176" s="306" t="s">
        <v>1314</v>
      </c>
      <c r="O176" s="306" t="s">
        <v>1352</v>
      </c>
      <c r="P176" s="306" t="s">
        <v>212</v>
      </c>
      <c r="Q176" s="306" t="s">
        <v>1013</v>
      </c>
      <c r="R176" s="306" t="s">
        <v>1013</v>
      </c>
      <c r="S176" s="306" t="s">
        <v>1013</v>
      </c>
      <c r="T176" s="306" t="s">
        <v>1112</v>
      </c>
      <c r="U176" s="306" t="s">
        <v>1013</v>
      </c>
      <c r="V176" s="306" t="s">
        <v>1013</v>
      </c>
      <c r="W176" s="306" t="s">
        <v>1013</v>
      </c>
      <c r="X176" s="306" t="s">
        <v>1013</v>
      </c>
      <c r="Y176" s="306" t="s">
        <v>1112</v>
      </c>
      <c r="Z176" s="306" t="s">
        <v>1071</v>
      </c>
      <c r="AA176" s="306" t="s">
        <v>1013</v>
      </c>
    </row>
    <row r="177" spans="1:27" hidden="1">
      <c r="A177" s="306" t="s">
        <v>494</v>
      </c>
      <c r="B177" s="306" t="s">
        <v>1003</v>
      </c>
      <c r="C177" s="306" t="s">
        <v>1004</v>
      </c>
      <c r="D177" s="306" t="s">
        <v>1019</v>
      </c>
      <c r="E177" s="306" t="s">
        <v>1353</v>
      </c>
      <c r="F177" s="306" t="s">
        <v>1007</v>
      </c>
      <c r="G177" s="308">
        <v>46015</v>
      </c>
      <c r="H177" s="308">
        <v>46015</v>
      </c>
      <c r="I177" s="309">
        <v>-483490.57</v>
      </c>
      <c r="J177" s="306" t="s">
        <v>1008</v>
      </c>
      <c r="K177" s="309">
        <v>-483490.57</v>
      </c>
      <c r="L177" s="306" t="s">
        <v>1008</v>
      </c>
      <c r="M177" s="306" t="s">
        <v>1309</v>
      </c>
      <c r="N177" s="306" t="s">
        <v>1309</v>
      </c>
      <c r="O177" s="306" t="s">
        <v>1354</v>
      </c>
      <c r="P177" s="306" t="s">
        <v>212</v>
      </c>
      <c r="Q177" s="306" t="s">
        <v>1013</v>
      </c>
      <c r="R177" s="306" t="s">
        <v>1013</v>
      </c>
      <c r="S177" s="306" t="s">
        <v>1013</v>
      </c>
      <c r="T177" s="306" t="s">
        <v>1112</v>
      </c>
      <c r="U177" s="306" t="s">
        <v>1013</v>
      </c>
      <c r="V177" s="306" t="s">
        <v>1013</v>
      </c>
      <c r="W177" s="306" t="s">
        <v>1013</v>
      </c>
      <c r="X177" s="306" t="s">
        <v>1013</v>
      </c>
      <c r="Y177" s="306" t="s">
        <v>1112</v>
      </c>
      <c r="Z177" s="306" t="s">
        <v>1071</v>
      </c>
      <c r="AA177" s="306" t="s">
        <v>1013</v>
      </c>
    </row>
    <row r="178" spans="1:27" hidden="1">
      <c r="A178" s="306" t="s">
        <v>494</v>
      </c>
      <c r="B178" s="306" t="s">
        <v>1003</v>
      </c>
      <c r="C178" s="306" t="s">
        <v>1004</v>
      </c>
      <c r="D178" s="306" t="s">
        <v>1019</v>
      </c>
      <c r="E178" s="306" t="s">
        <v>1355</v>
      </c>
      <c r="F178" s="306" t="s">
        <v>1007</v>
      </c>
      <c r="G178" s="308">
        <v>46015</v>
      </c>
      <c r="H178" s="308">
        <v>46015</v>
      </c>
      <c r="I178" s="309">
        <v>-284158.40999999997</v>
      </c>
      <c r="J178" s="306" t="s">
        <v>1008</v>
      </c>
      <c r="K178" s="309">
        <v>-284158.40999999997</v>
      </c>
      <c r="L178" s="306" t="s">
        <v>1008</v>
      </c>
      <c r="M178" s="306" t="s">
        <v>1309</v>
      </c>
      <c r="N178" s="306" t="s">
        <v>1309</v>
      </c>
      <c r="O178" s="306" t="s">
        <v>1356</v>
      </c>
      <c r="P178" s="306" t="s">
        <v>212</v>
      </c>
      <c r="Q178" s="306" t="s">
        <v>1013</v>
      </c>
      <c r="R178" s="306" t="s">
        <v>1013</v>
      </c>
      <c r="S178" s="306" t="s">
        <v>1013</v>
      </c>
      <c r="T178" s="306" t="s">
        <v>1112</v>
      </c>
      <c r="U178" s="306" t="s">
        <v>1013</v>
      </c>
      <c r="V178" s="306" t="s">
        <v>1013</v>
      </c>
      <c r="W178" s="306" t="s">
        <v>1013</v>
      </c>
      <c r="X178" s="306" t="s">
        <v>1013</v>
      </c>
      <c r="Y178" s="306" t="s">
        <v>1112</v>
      </c>
      <c r="Z178" s="306" t="s">
        <v>1071</v>
      </c>
      <c r="AA178" s="306" t="s">
        <v>1013</v>
      </c>
    </row>
    <row r="179" spans="1:27" hidden="1">
      <c r="A179" s="306" t="s">
        <v>494</v>
      </c>
      <c r="B179" s="306" t="s">
        <v>1003</v>
      </c>
      <c r="C179" s="306" t="s">
        <v>1004</v>
      </c>
      <c r="D179" s="306" t="s">
        <v>1019</v>
      </c>
      <c r="E179" s="306" t="s">
        <v>1357</v>
      </c>
      <c r="F179" s="306" t="s">
        <v>1007</v>
      </c>
      <c r="G179" s="308">
        <v>46015</v>
      </c>
      <c r="H179" s="308">
        <v>46015</v>
      </c>
      <c r="I179" s="309">
        <v>-257772.27</v>
      </c>
      <c r="J179" s="306" t="s">
        <v>1008</v>
      </c>
      <c r="K179" s="309">
        <v>-257772.27</v>
      </c>
      <c r="L179" s="306" t="s">
        <v>1008</v>
      </c>
      <c r="M179" s="306" t="s">
        <v>1309</v>
      </c>
      <c r="N179" s="306" t="s">
        <v>1309</v>
      </c>
      <c r="O179" s="306" t="s">
        <v>1358</v>
      </c>
      <c r="P179" s="306" t="s">
        <v>212</v>
      </c>
      <c r="Q179" s="306" t="s">
        <v>1013</v>
      </c>
      <c r="R179" s="306" t="s">
        <v>1013</v>
      </c>
      <c r="S179" s="306" t="s">
        <v>1013</v>
      </c>
      <c r="T179" s="306" t="s">
        <v>1112</v>
      </c>
      <c r="U179" s="306" t="s">
        <v>1013</v>
      </c>
      <c r="V179" s="306" t="s">
        <v>1013</v>
      </c>
      <c r="W179" s="306" t="s">
        <v>1013</v>
      </c>
      <c r="X179" s="306" t="s">
        <v>1013</v>
      </c>
      <c r="Y179" s="306" t="s">
        <v>1112</v>
      </c>
      <c r="Z179" s="306" t="s">
        <v>1071</v>
      </c>
      <c r="AA179" s="306" t="s">
        <v>1013</v>
      </c>
    </row>
    <row r="180" spans="1:27" hidden="1">
      <c r="A180" s="306" t="s">
        <v>494</v>
      </c>
      <c r="B180" s="306" t="s">
        <v>1003</v>
      </c>
      <c r="C180" s="306" t="s">
        <v>1004</v>
      </c>
      <c r="D180" s="306" t="s">
        <v>1019</v>
      </c>
      <c r="E180" s="306" t="s">
        <v>1359</v>
      </c>
      <c r="F180" s="306" t="s">
        <v>1007</v>
      </c>
      <c r="G180" s="308">
        <v>46015</v>
      </c>
      <c r="H180" s="308">
        <v>46015</v>
      </c>
      <c r="I180" s="309">
        <v>-348113.21</v>
      </c>
      <c r="J180" s="306" t="s">
        <v>1008</v>
      </c>
      <c r="K180" s="309">
        <v>-348113.21</v>
      </c>
      <c r="L180" s="306" t="s">
        <v>1008</v>
      </c>
      <c r="M180" s="306" t="s">
        <v>1309</v>
      </c>
      <c r="N180" s="306" t="s">
        <v>1309</v>
      </c>
      <c r="O180" s="306" t="s">
        <v>1360</v>
      </c>
      <c r="P180" s="306" t="s">
        <v>212</v>
      </c>
      <c r="Q180" s="306" t="s">
        <v>1013</v>
      </c>
      <c r="R180" s="306" t="s">
        <v>1013</v>
      </c>
      <c r="S180" s="306" t="s">
        <v>1013</v>
      </c>
      <c r="T180" s="306" t="s">
        <v>1112</v>
      </c>
      <c r="U180" s="306" t="s">
        <v>1013</v>
      </c>
      <c r="V180" s="306" t="s">
        <v>1013</v>
      </c>
      <c r="W180" s="306" t="s">
        <v>1013</v>
      </c>
      <c r="X180" s="306" t="s">
        <v>1013</v>
      </c>
      <c r="Y180" s="306" t="s">
        <v>1112</v>
      </c>
      <c r="Z180" s="306" t="s">
        <v>1071</v>
      </c>
      <c r="AA180" s="306" t="s">
        <v>1013</v>
      </c>
    </row>
    <row r="181" spans="1:27" hidden="1">
      <c r="A181" s="306" t="s">
        <v>494</v>
      </c>
      <c r="B181" s="306" t="s">
        <v>1003</v>
      </c>
      <c r="C181" s="306" t="s">
        <v>1004</v>
      </c>
      <c r="D181" s="306" t="s">
        <v>1019</v>
      </c>
      <c r="E181" s="306" t="s">
        <v>1361</v>
      </c>
      <c r="F181" s="306" t="s">
        <v>1007</v>
      </c>
      <c r="G181" s="308">
        <v>46015</v>
      </c>
      <c r="H181" s="308">
        <v>46015</v>
      </c>
      <c r="I181" s="309">
        <v>-232075.48</v>
      </c>
      <c r="J181" s="306" t="s">
        <v>1008</v>
      </c>
      <c r="K181" s="309">
        <v>-232075.48</v>
      </c>
      <c r="L181" s="306" t="s">
        <v>1008</v>
      </c>
      <c r="M181" s="306" t="s">
        <v>1309</v>
      </c>
      <c r="N181" s="306" t="s">
        <v>1309</v>
      </c>
      <c r="O181" s="306" t="s">
        <v>1362</v>
      </c>
      <c r="P181" s="306" t="s">
        <v>212</v>
      </c>
      <c r="Q181" s="306" t="s">
        <v>1013</v>
      </c>
      <c r="R181" s="306" t="s">
        <v>1013</v>
      </c>
      <c r="S181" s="306" t="s">
        <v>1013</v>
      </c>
      <c r="T181" s="306" t="s">
        <v>1112</v>
      </c>
      <c r="U181" s="306" t="s">
        <v>1013</v>
      </c>
      <c r="V181" s="306" t="s">
        <v>1013</v>
      </c>
      <c r="W181" s="306" t="s">
        <v>1013</v>
      </c>
      <c r="X181" s="306" t="s">
        <v>1013</v>
      </c>
      <c r="Y181" s="306" t="s">
        <v>1112</v>
      </c>
      <c r="Z181" s="306" t="s">
        <v>1071</v>
      </c>
      <c r="AA181" s="306" t="s">
        <v>1013</v>
      </c>
    </row>
    <row r="182" spans="1:27" hidden="1">
      <c r="A182" s="306" t="s">
        <v>494</v>
      </c>
      <c r="B182" s="306" t="s">
        <v>1003</v>
      </c>
      <c r="C182" s="306" t="s">
        <v>1004</v>
      </c>
      <c r="D182" s="306" t="s">
        <v>1019</v>
      </c>
      <c r="E182" s="306" t="s">
        <v>1363</v>
      </c>
      <c r="F182" s="306" t="s">
        <v>1007</v>
      </c>
      <c r="G182" s="308">
        <v>46015</v>
      </c>
      <c r="H182" s="308">
        <v>46015</v>
      </c>
      <c r="I182" s="309">
        <v>-251415.1</v>
      </c>
      <c r="J182" s="306" t="s">
        <v>1008</v>
      </c>
      <c r="K182" s="309">
        <v>-251415.1</v>
      </c>
      <c r="L182" s="306" t="s">
        <v>1008</v>
      </c>
      <c r="M182" s="306" t="s">
        <v>1309</v>
      </c>
      <c r="N182" s="306" t="s">
        <v>1309</v>
      </c>
      <c r="O182" s="306" t="s">
        <v>1364</v>
      </c>
      <c r="P182" s="306" t="s">
        <v>212</v>
      </c>
      <c r="Q182" s="306" t="s">
        <v>1013</v>
      </c>
      <c r="R182" s="306" t="s">
        <v>1013</v>
      </c>
      <c r="S182" s="306" t="s">
        <v>1013</v>
      </c>
      <c r="T182" s="306" t="s">
        <v>1112</v>
      </c>
      <c r="U182" s="306" t="s">
        <v>1013</v>
      </c>
      <c r="V182" s="306" t="s">
        <v>1013</v>
      </c>
      <c r="W182" s="306" t="s">
        <v>1013</v>
      </c>
      <c r="X182" s="306" t="s">
        <v>1013</v>
      </c>
      <c r="Y182" s="306" t="s">
        <v>1112</v>
      </c>
      <c r="Z182" s="306" t="s">
        <v>1071</v>
      </c>
      <c r="AA182" s="306" t="s">
        <v>1013</v>
      </c>
    </row>
    <row r="183" spans="1:27" hidden="1">
      <c r="A183" s="306" t="s">
        <v>494</v>
      </c>
      <c r="B183" s="306" t="s">
        <v>1003</v>
      </c>
      <c r="C183" s="306" t="s">
        <v>1004</v>
      </c>
      <c r="D183" s="306" t="s">
        <v>1019</v>
      </c>
      <c r="E183" s="306" t="s">
        <v>1365</v>
      </c>
      <c r="F183" s="306" t="s">
        <v>1007</v>
      </c>
      <c r="G183" s="308">
        <v>46015</v>
      </c>
      <c r="H183" s="308">
        <v>46015</v>
      </c>
      <c r="I183" s="309">
        <v>-202970.3</v>
      </c>
      <c r="J183" s="306" t="s">
        <v>1008</v>
      </c>
      <c r="K183" s="309">
        <v>-202970.3</v>
      </c>
      <c r="L183" s="306" t="s">
        <v>1008</v>
      </c>
      <c r="M183" s="306" t="s">
        <v>1309</v>
      </c>
      <c r="N183" s="306" t="s">
        <v>1309</v>
      </c>
      <c r="O183" s="306" t="s">
        <v>1366</v>
      </c>
      <c r="P183" s="306" t="s">
        <v>212</v>
      </c>
      <c r="Q183" s="306" t="s">
        <v>1013</v>
      </c>
      <c r="R183" s="306" t="s">
        <v>1013</v>
      </c>
      <c r="S183" s="306" t="s">
        <v>1013</v>
      </c>
      <c r="T183" s="306" t="s">
        <v>1112</v>
      </c>
      <c r="U183" s="306" t="s">
        <v>1013</v>
      </c>
      <c r="V183" s="306" t="s">
        <v>1013</v>
      </c>
      <c r="W183" s="306" t="s">
        <v>1013</v>
      </c>
      <c r="X183" s="306" t="s">
        <v>1013</v>
      </c>
      <c r="Y183" s="306" t="s">
        <v>1112</v>
      </c>
      <c r="Z183" s="306" t="s">
        <v>1071</v>
      </c>
      <c r="AA183" s="306" t="s">
        <v>1013</v>
      </c>
    </row>
    <row r="184" spans="1:27" hidden="1">
      <c r="A184" s="306" t="s">
        <v>494</v>
      </c>
      <c r="B184" s="306" t="s">
        <v>1003</v>
      </c>
      <c r="C184" s="306" t="s">
        <v>1004</v>
      </c>
      <c r="D184" s="306" t="s">
        <v>1019</v>
      </c>
      <c r="E184" s="306" t="s">
        <v>1367</v>
      </c>
      <c r="F184" s="306" t="s">
        <v>1007</v>
      </c>
      <c r="G184" s="308">
        <v>46015</v>
      </c>
      <c r="H184" s="308">
        <v>46015</v>
      </c>
      <c r="I184" s="309">
        <v>-464150.93</v>
      </c>
      <c r="J184" s="306" t="s">
        <v>1008</v>
      </c>
      <c r="K184" s="309">
        <v>-464150.93</v>
      </c>
      <c r="L184" s="306" t="s">
        <v>1008</v>
      </c>
      <c r="M184" s="306" t="s">
        <v>1309</v>
      </c>
      <c r="N184" s="306" t="s">
        <v>1309</v>
      </c>
      <c r="O184" s="306" t="s">
        <v>1368</v>
      </c>
      <c r="P184" s="306" t="s">
        <v>212</v>
      </c>
      <c r="Q184" s="306" t="s">
        <v>1013</v>
      </c>
      <c r="R184" s="306" t="s">
        <v>1013</v>
      </c>
      <c r="S184" s="306" t="s">
        <v>1013</v>
      </c>
      <c r="T184" s="306" t="s">
        <v>1112</v>
      </c>
      <c r="U184" s="306" t="s">
        <v>1013</v>
      </c>
      <c r="V184" s="306" t="s">
        <v>1013</v>
      </c>
      <c r="W184" s="306" t="s">
        <v>1013</v>
      </c>
      <c r="X184" s="306" t="s">
        <v>1013</v>
      </c>
      <c r="Y184" s="306" t="s">
        <v>1112</v>
      </c>
      <c r="Z184" s="306" t="s">
        <v>1071</v>
      </c>
      <c r="AA184" s="306" t="s">
        <v>1013</v>
      </c>
    </row>
    <row r="185" spans="1:27" hidden="1">
      <c r="A185" s="306" t="s">
        <v>494</v>
      </c>
      <c r="B185" s="306" t="s">
        <v>1003</v>
      </c>
      <c r="C185" s="306" t="s">
        <v>1004</v>
      </c>
      <c r="D185" s="306" t="s">
        <v>1019</v>
      </c>
      <c r="E185" s="306" t="s">
        <v>1369</v>
      </c>
      <c r="F185" s="306" t="s">
        <v>1007</v>
      </c>
      <c r="G185" s="308">
        <v>46015</v>
      </c>
      <c r="H185" s="308">
        <v>46015</v>
      </c>
      <c r="I185" s="309">
        <v>-243564.35</v>
      </c>
      <c r="J185" s="306" t="s">
        <v>1008</v>
      </c>
      <c r="K185" s="309">
        <v>-243564.35</v>
      </c>
      <c r="L185" s="306" t="s">
        <v>1008</v>
      </c>
      <c r="M185" s="306" t="s">
        <v>1309</v>
      </c>
      <c r="N185" s="306" t="s">
        <v>1309</v>
      </c>
      <c r="O185" s="306" t="s">
        <v>1370</v>
      </c>
      <c r="P185" s="306" t="s">
        <v>212</v>
      </c>
      <c r="Q185" s="306" t="s">
        <v>1013</v>
      </c>
      <c r="R185" s="306" t="s">
        <v>1013</v>
      </c>
      <c r="S185" s="306" t="s">
        <v>1013</v>
      </c>
      <c r="T185" s="306" t="s">
        <v>1112</v>
      </c>
      <c r="U185" s="306" t="s">
        <v>1013</v>
      </c>
      <c r="V185" s="306" t="s">
        <v>1013</v>
      </c>
      <c r="W185" s="306" t="s">
        <v>1013</v>
      </c>
      <c r="X185" s="306" t="s">
        <v>1013</v>
      </c>
      <c r="Y185" s="306" t="s">
        <v>1112</v>
      </c>
      <c r="Z185" s="306" t="s">
        <v>1071</v>
      </c>
      <c r="AA185" s="306" t="s">
        <v>1013</v>
      </c>
    </row>
    <row r="186" spans="1:27" hidden="1">
      <c r="A186" s="306" t="s">
        <v>494</v>
      </c>
      <c r="B186" s="306" t="s">
        <v>1003</v>
      </c>
      <c r="C186" s="306" t="s">
        <v>1004</v>
      </c>
      <c r="D186" s="306" t="s">
        <v>1019</v>
      </c>
      <c r="E186" s="306" t="s">
        <v>1371</v>
      </c>
      <c r="F186" s="306" t="s">
        <v>1007</v>
      </c>
      <c r="G186" s="308">
        <v>46015</v>
      </c>
      <c r="H186" s="308">
        <v>46015</v>
      </c>
      <c r="I186" s="309">
        <v>-416089.12</v>
      </c>
      <c r="J186" s="306" t="s">
        <v>1008</v>
      </c>
      <c r="K186" s="309">
        <v>-416089.12</v>
      </c>
      <c r="L186" s="306" t="s">
        <v>1008</v>
      </c>
      <c r="M186" s="306" t="s">
        <v>1309</v>
      </c>
      <c r="N186" s="306" t="s">
        <v>1309</v>
      </c>
      <c r="O186" s="306" t="s">
        <v>1372</v>
      </c>
      <c r="P186" s="306" t="s">
        <v>212</v>
      </c>
      <c r="Q186" s="306" t="s">
        <v>1013</v>
      </c>
      <c r="R186" s="306" t="s">
        <v>1013</v>
      </c>
      <c r="S186" s="306" t="s">
        <v>1013</v>
      </c>
      <c r="T186" s="306" t="s">
        <v>1112</v>
      </c>
      <c r="U186" s="306" t="s">
        <v>1013</v>
      </c>
      <c r="V186" s="306" t="s">
        <v>1013</v>
      </c>
      <c r="W186" s="306" t="s">
        <v>1013</v>
      </c>
      <c r="X186" s="306" t="s">
        <v>1013</v>
      </c>
      <c r="Y186" s="306" t="s">
        <v>1112</v>
      </c>
      <c r="Z186" s="306" t="s">
        <v>1071</v>
      </c>
      <c r="AA186" s="306" t="s">
        <v>1013</v>
      </c>
    </row>
    <row r="187" spans="1:27" hidden="1">
      <c r="A187" s="306" t="s">
        <v>494</v>
      </c>
      <c r="B187" s="306" t="s">
        <v>1003</v>
      </c>
      <c r="C187" s="306" t="s">
        <v>1004</v>
      </c>
      <c r="D187" s="306" t="s">
        <v>1019</v>
      </c>
      <c r="E187" s="306" t="s">
        <v>1373</v>
      </c>
      <c r="F187" s="306" t="s">
        <v>1007</v>
      </c>
      <c r="G187" s="308">
        <v>46015</v>
      </c>
      <c r="H187" s="308">
        <v>46015</v>
      </c>
      <c r="I187" s="309">
        <v>-212735.84</v>
      </c>
      <c r="J187" s="306" t="s">
        <v>1008</v>
      </c>
      <c r="K187" s="309">
        <v>-212735.84</v>
      </c>
      <c r="L187" s="306" t="s">
        <v>1008</v>
      </c>
      <c r="M187" s="306" t="s">
        <v>1309</v>
      </c>
      <c r="N187" s="306" t="s">
        <v>1309</v>
      </c>
      <c r="O187" s="306" t="s">
        <v>1334</v>
      </c>
      <c r="P187" s="306" t="s">
        <v>212</v>
      </c>
      <c r="Q187" s="306" t="s">
        <v>1013</v>
      </c>
      <c r="R187" s="306" t="s">
        <v>1013</v>
      </c>
      <c r="S187" s="306" t="s">
        <v>1013</v>
      </c>
      <c r="T187" s="306" t="s">
        <v>1112</v>
      </c>
      <c r="U187" s="306" t="s">
        <v>1013</v>
      </c>
      <c r="V187" s="306" t="s">
        <v>1013</v>
      </c>
      <c r="W187" s="306" t="s">
        <v>1013</v>
      </c>
      <c r="X187" s="306" t="s">
        <v>1013</v>
      </c>
      <c r="Y187" s="306" t="s">
        <v>1112</v>
      </c>
      <c r="Z187" s="306" t="s">
        <v>1071</v>
      </c>
      <c r="AA187" s="306" t="s">
        <v>1013</v>
      </c>
    </row>
    <row r="188" spans="1:27" hidden="1">
      <c r="A188" s="306" t="s">
        <v>494</v>
      </c>
      <c r="B188" s="306" t="s">
        <v>1003</v>
      </c>
      <c r="C188" s="306" t="s">
        <v>1004</v>
      </c>
      <c r="D188" s="306" t="s">
        <v>1031</v>
      </c>
      <c r="E188" s="306" t="s">
        <v>1374</v>
      </c>
      <c r="F188" s="306" t="s">
        <v>1007</v>
      </c>
      <c r="G188" s="308">
        <v>46015</v>
      </c>
      <c r="H188" s="308">
        <v>46015</v>
      </c>
      <c r="I188" s="309">
        <v>-3612916.35</v>
      </c>
      <c r="J188" s="306" t="s">
        <v>1008</v>
      </c>
      <c r="K188" s="309">
        <v>-3612916.35</v>
      </c>
      <c r="L188" s="306" t="s">
        <v>1008</v>
      </c>
      <c r="M188" s="306" t="s">
        <v>1327</v>
      </c>
      <c r="N188" s="306" t="s">
        <v>1327</v>
      </c>
      <c r="O188" s="306" t="s">
        <v>1328</v>
      </c>
      <c r="P188" s="306" t="s">
        <v>212</v>
      </c>
      <c r="Q188" s="306" t="s">
        <v>1013</v>
      </c>
      <c r="R188" s="306" t="s">
        <v>1013</v>
      </c>
      <c r="S188" s="306" t="s">
        <v>1013</v>
      </c>
      <c r="T188" s="306" t="s">
        <v>1112</v>
      </c>
      <c r="U188" s="306" t="s">
        <v>1013</v>
      </c>
      <c r="V188" s="306" t="s">
        <v>1013</v>
      </c>
      <c r="W188" s="306" t="s">
        <v>1013</v>
      </c>
      <c r="X188" s="306" t="s">
        <v>1013</v>
      </c>
      <c r="Y188" s="306" t="s">
        <v>1112</v>
      </c>
      <c r="Z188" s="306" t="s">
        <v>1071</v>
      </c>
      <c r="AA188" s="306" t="s">
        <v>1013</v>
      </c>
    </row>
    <row r="189" spans="1:27" hidden="1">
      <c r="A189" s="306" t="s">
        <v>494</v>
      </c>
      <c r="B189" s="306" t="s">
        <v>1003</v>
      </c>
      <c r="C189" s="306" t="s">
        <v>1004</v>
      </c>
      <c r="D189" s="306" t="s">
        <v>1031</v>
      </c>
      <c r="E189" s="306" t="s">
        <v>1375</v>
      </c>
      <c r="F189" s="306" t="s">
        <v>1007</v>
      </c>
      <c r="G189" s="308">
        <v>46015</v>
      </c>
      <c r="H189" s="308">
        <v>46015</v>
      </c>
      <c r="I189" s="309">
        <v>-25412.74</v>
      </c>
      <c r="J189" s="306" t="s">
        <v>1008</v>
      </c>
      <c r="K189" s="309">
        <v>-25412.74</v>
      </c>
      <c r="L189" s="306" t="s">
        <v>1008</v>
      </c>
      <c r="M189" s="306" t="s">
        <v>1327</v>
      </c>
      <c r="N189" s="306" t="s">
        <v>1327</v>
      </c>
      <c r="O189" s="306" t="s">
        <v>1376</v>
      </c>
      <c r="P189" s="306" t="s">
        <v>212</v>
      </c>
      <c r="Q189" s="306" t="s">
        <v>1013</v>
      </c>
      <c r="R189" s="306" t="s">
        <v>1013</v>
      </c>
      <c r="S189" s="306" t="s">
        <v>1013</v>
      </c>
      <c r="T189" s="306" t="s">
        <v>1112</v>
      </c>
      <c r="U189" s="306" t="s">
        <v>1013</v>
      </c>
      <c r="V189" s="306" t="s">
        <v>1013</v>
      </c>
      <c r="W189" s="306" t="s">
        <v>1013</v>
      </c>
      <c r="X189" s="306" t="s">
        <v>1013</v>
      </c>
      <c r="Y189" s="306" t="s">
        <v>1112</v>
      </c>
      <c r="Z189" s="306" t="s">
        <v>1071</v>
      </c>
      <c r="AA189" s="306" t="s">
        <v>1013</v>
      </c>
    </row>
    <row r="190" spans="1:27" hidden="1">
      <c r="A190" s="306" t="s">
        <v>494</v>
      </c>
      <c r="B190" s="306" t="s">
        <v>1003</v>
      </c>
      <c r="C190" s="306" t="s">
        <v>1004</v>
      </c>
      <c r="D190" s="306" t="s">
        <v>1031</v>
      </c>
      <c r="E190" s="306" t="s">
        <v>1377</v>
      </c>
      <c r="F190" s="306" t="s">
        <v>1007</v>
      </c>
      <c r="G190" s="308">
        <v>46015</v>
      </c>
      <c r="H190" s="308">
        <v>46015</v>
      </c>
      <c r="I190" s="309">
        <v>-5153754.43</v>
      </c>
      <c r="J190" s="306" t="s">
        <v>1008</v>
      </c>
      <c r="K190" s="309">
        <v>-5153754.43</v>
      </c>
      <c r="L190" s="306" t="s">
        <v>1008</v>
      </c>
      <c r="M190" s="306" t="s">
        <v>1327</v>
      </c>
      <c r="N190" s="306" t="s">
        <v>1327</v>
      </c>
      <c r="O190" s="306" t="s">
        <v>1378</v>
      </c>
      <c r="P190" s="306" t="s">
        <v>212</v>
      </c>
      <c r="Q190" s="306" t="s">
        <v>1013</v>
      </c>
      <c r="R190" s="306" t="s">
        <v>1013</v>
      </c>
      <c r="S190" s="306" t="s">
        <v>1013</v>
      </c>
      <c r="T190" s="306" t="s">
        <v>1112</v>
      </c>
      <c r="U190" s="306" t="s">
        <v>1013</v>
      </c>
      <c r="V190" s="306" t="s">
        <v>1013</v>
      </c>
      <c r="W190" s="306" t="s">
        <v>1013</v>
      </c>
      <c r="X190" s="306" t="s">
        <v>1013</v>
      </c>
      <c r="Y190" s="306" t="s">
        <v>1112</v>
      </c>
      <c r="Z190" s="306" t="s">
        <v>1071</v>
      </c>
      <c r="AA190" s="306" t="s">
        <v>1013</v>
      </c>
    </row>
    <row r="191" spans="1:27" hidden="1">
      <c r="A191" s="306" t="s">
        <v>494</v>
      </c>
      <c r="B191" s="306" t="s">
        <v>1003</v>
      </c>
      <c r="C191" s="306" t="s">
        <v>1004</v>
      </c>
      <c r="D191" s="306" t="s">
        <v>1031</v>
      </c>
      <c r="E191" s="306" t="s">
        <v>1379</v>
      </c>
      <c r="F191" s="306" t="s">
        <v>1007</v>
      </c>
      <c r="G191" s="308">
        <v>46015</v>
      </c>
      <c r="H191" s="308">
        <v>46015</v>
      </c>
      <c r="I191" s="309">
        <v>-1162302.83</v>
      </c>
      <c r="J191" s="306" t="s">
        <v>1008</v>
      </c>
      <c r="K191" s="309">
        <v>-1162302.83</v>
      </c>
      <c r="L191" s="306" t="s">
        <v>1008</v>
      </c>
      <c r="M191" s="306" t="s">
        <v>1327</v>
      </c>
      <c r="N191" s="306" t="s">
        <v>1327</v>
      </c>
      <c r="O191" s="306" t="s">
        <v>1380</v>
      </c>
      <c r="P191" s="306" t="s">
        <v>212</v>
      </c>
      <c r="Q191" s="306" t="s">
        <v>1013</v>
      </c>
      <c r="R191" s="306" t="s">
        <v>1013</v>
      </c>
      <c r="S191" s="306" t="s">
        <v>1013</v>
      </c>
      <c r="T191" s="306" t="s">
        <v>1112</v>
      </c>
      <c r="U191" s="306" t="s">
        <v>1013</v>
      </c>
      <c r="V191" s="306" t="s">
        <v>1013</v>
      </c>
      <c r="W191" s="306" t="s">
        <v>1013</v>
      </c>
      <c r="X191" s="306" t="s">
        <v>1013</v>
      </c>
      <c r="Y191" s="306" t="s">
        <v>1112</v>
      </c>
      <c r="Z191" s="306" t="s">
        <v>1071</v>
      </c>
      <c r="AA191" s="306" t="s">
        <v>1013</v>
      </c>
    </row>
    <row r="192" spans="1:27" hidden="1">
      <c r="A192" s="306" t="s">
        <v>494</v>
      </c>
      <c r="B192" s="306" t="s">
        <v>1003</v>
      </c>
      <c r="C192" s="306" t="s">
        <v>1004</v>
      </c>
      <c r="D192" s="306" t="s">
        <v>1019</v>
      </c>
      <c r="E192" s="306" t="s">
        <v>1381</v>
      </c>
      <c r="F192" s="306" t="s">
        <v>1007</v>
      </c>
      <c r="G192" s="308">
        <v>46015</v>
      </c>
      <c r="H192" s="308">
        <v>46015</v>
      </c>
      <c r="I192" s="309">
        <v>-235824.46</v>
      </c>
      <c r="J192" s="306" t="s">
        <v>1008</v>
      </c>
      <c r="K192" s="309">
        <v>-235824.46</v>
      </c>
      <c r="L192" s="306" t="s">
        <v>1008</v>
      </c>
      <c r="M192" s="306" t="s">
        <v>1309</v>
      </c>
      <c r="N192" s="306" t="s">
        <v>1309</v>
      </c>
      <c r="O192" s="306" t="s">
        <v>1382</v>
      </c>
      <c r="P192" s="306" t="s">
        <v>212</v>
      </c>
      <c r="Q192" s="306" t="s">
        <v>1013</v>
      </c>
      <c r="R192" s="306" t="s">
        <v>1013</v>
      </c>
      <c r="S192" s="306" t="s">
        <v>1013</v>
      </c>
      <c r="T192" s="306" t="s">
        <v>1112</v>
      </c>
      <c r="U192" s="306" t="s">
        <v>1013</v>
      </c>
      <c r="V192" s="306" t="s">
        <v>1013</v>
      </c>
      <c r="W192" s="306" t="s">
        <v>1013</v>
      </c>
      <c r="X192" s="306" t="s">
        <v>1013</v>
      </c>
      <c r="Y192" s="306" t="s">
        <v>1112</v>
      </c>
      <c r="Z192" s="306" t="s">
        <v>1071</v>
      </c>
      <c r="AA192" s="306" t="s">
        <v>1013</v>
      </c>
    </row>
    <row r="193" spans="1:27" hidden="1">
      <c r="A193" s="306" t="s">
        <v>494</v>
      </c>
      <c r="B193" s="306" t="s">
        <v>1003</v>
      </c>
      <c r="C193" s="306" t="s">
        <v>1004</v>
      </c>
      <c r="D193" s="306" t="s">
        <v>1019</v>
      </c>
      <c r="E193" s="306" t="s">
        <v>1383</v>
      </c>
      <c r="F193" s="306" t="s">
        <v>1007</v>
      </c>
      <c r="G193" s="308">
        <v>46015</v>
      </c>
      <c r="H193" s="308">
        <v>46015</v>
      </c>
      <c r="I193" s="309">
        <v>-67688.679999999993</v>
      </c>
      <c r="J193" s="306" t="s">
        <v>1008</v>
      </c>
      <c r="K193" s="309">
        <v>-67688.679999999993</v>
      </c>
      <c r="L193" s="306" t="s">
        <v>1008</v>
      </c>
      <c r="M193" s="306" t="s">
        <v>1309</v>
      </c>
      <c r="N193" s="306" t="s">
        <v>1309</v>
      </c>
      <c r="O193" s="306" t="s">
        <v>1310</v>
      </c>
      <c r="P193" s="306" t="s">
        <v>212</v>
      </c>
      <c r="Q193" s="306" t="s">
        <v>1013</v>
      </c>
      <c r="R193" s="306" t="s">
        <v>1013</v>
      </c>
      <c r="S193" s="306" t="s">
        <v>1013</v>
      </c>
      <c r="T193" s="306" t="s">
        <v>1112</v>
      </c>
      <c r="U193" s="306" t="s">
        <v>1013</v>
      </c>
      <c r="V193" s="306" t="s">
        <v>1013</v>
      </c>
      <c r="W193" s="306" t="s">
        <v>1013</v>
      </c>
      <c r="X193" s="306" t="s">
        <v>1013</v>
      </c>
      <c r="Y193" s="306" t="s">
        <v>1112</v>
      </c>
      <c r="Z193" s="306" t="s">
        <v>1071</v>
      </c>
      <c r="AA193" s="306" t="s">
        <v>1013</v>
      </c>
    </row>
    <row r="194" spans="1:27" hidden="1">
      <c r="A194" s="306" t="s">
        <v>494</v>
      </c>
      <c r="B194" s="306" t="s">
        <v>1003</v>
      </c>
      <c r="C194" s="306" t="s">
        <v>1004</v>
      </c>
      <c r="D194" s="306" t="s">
        <v>1019</v>
      </c>
      <c r="E194" s="306" t="s">
        <v>1384</v>
      </c>
      <c r="F194" s="306" t="s">
        <v>1007</v>
      </c>
      <c r="G194" s="308">
        <v>46015</v>
      </c>
      <c r="H194" s="308">
        <v>46015</v>
      </c>
      <c r="I194" s="309">
        <v>-45448.13</v>
      </c>
      <c r="J194" s="306" t="s">
        <v>1008</v>
      </c>
      <c r="K194" s="309">
        <v>-45448.13</v>
      </c>
      <c r="L194" s="306" t="s">
        <v>1008</v>
      </c>
      <c r="M194" s="306" t="s">
        <v>1309</v>
      </c>
      <c r="N194" s="306" t="s">
        <v>1309</v>
      </c>
      <c r="O194" s="306" t="s">
        <v>1312</v>
      </c>
      <c r="P194" s="306" t="s">
        <v>212</v>
      </c>
      <c r="Q194" s="306" t="s">
        <v>1013</v>
      </c>
      <c r="R194" s="306" t="s">
        <v>1013</v>
      </c>
      <c r="S194" s="306" t="s">
        <v>1013</v>
      </c>
      <c r="T194" s="306" t="s">
        <v>1112</v>
      </c>
      <c r="U194" s="306" t="s">
        <v>1013</v>
      </c>
      <c r="V194" s="306" t="s">
        <v>1013</v>
      </c>
      <c r="W194" s="306" t="s">
        <v>1013</v>
      </c>
      <c r="X194" s="306" t="s">
        <v>1013</v>
      </c>
      <c r="Y194" s="306" t="s">
        <v>1112</v>
      </c>
      <c r="Z194" s="306" t="s">
        <v>1071</v>
      </c>
      <c r="AA194" s="306" t="s">
        <v>1013</v>
      </c>
    </row>
    <row r="195" spans="1:27" hidden="1">
      <c r="A195" s="306" t="s">
        <v>494</v>
      </c>
      <c r="B195" s="306" t="s">
        <v>1003</v>
      </c>
      <c r="C195" s="306" t="s">
        <v>1004</v>
      </c>
      <c r="D195" s="306" t="s">
        <v>1019</v>
      </c>
      <c r="E195" s="306" t="s">
        <v>1385</v>
      </c>
      <c r="F195" s="306" t="s">
        <v>1007</v>
      </c>
      <c r="G195" s="308">
        <v>46015</v>
      </c>
      <c r="H195" s="308">
        <v>46015</v>
      </c>
      <c r="I195" s="309">
        <v>-895631.06</v>
      </c>
      <c r="J195" s="306" t="s">
        <v>1008</v>
      </c>
      <c r="K195" s="309">
        <v>-895631.06</v>
      </c>
      <c r="L195" s="306" t="s">
        <v>1008</v>
      </c>
      <c r="M195" s="306" t="s">
        <v>1309</v>
      </c>
      <c r="N195" s="306" t="s">
        <v>1309</v>
      </c>
      <c r="O195" s="306" t="s">
        <v>1386</v>
      </c>
      <c r="P195" s="306" t="s">
        <v>212</v>
      </c>
      <c r="Q195" s="306" t="s">
        <v>1013</v>
      </c>
      <c r="R195" s="306" t="s">
        <v>1013</v>
      </c>
      <c r="S195" s="306" t="s">
        <v>1013</v>
      </c>
      <c r="T195" s="306" t="s">
        <v>1112</v>
      </c>
      <c r="U195" s="306" t="s">
        <v>1013</v>
      </c>
      <c r="V195" s="306" t="s">
        <v>1013</v>
      </c>
      <c r="W195" s="306" t="s">
        <v>1013</v>
      </c>
      <c r="X195" s="306" t="s">
        <v>1013</v>
      </c>
      <c r="Y195" s="306" t="s">
        <v>1112</v>
      </c>
      <c r="Z195" s="306" t="s">
        <v>1071</v>
      </c>
      <c r="AA195" s="306" t="s">
        <v>1013</v>
      </c>
    </row>
    <row r="196" spans="1:27" hidden="1">
      <c r="A196" s="306" t="s">
        <v>494</v>
      </c>
      <c r="B196" s="306" t="s">
        <v>1003</v>
      </c>
      <c r="C196" s="306" t="s">
        <v>1004</v>
      </c>
      <c r="D196" s="306" t="s">
        <v>1031</v>
      </c>
      <c r="E196" s="306" t="s">
        <v>1387</v>
      </c>
      <c r="F196" s="306" t="s">
        <v>1007</v>
      </c>
      <c r="G196" s="308">
        <v>46015</v>
      </c>
      <c r="H196" s="308">
        <v>46015</v>
      </c>
      <c r="I196" s="309">
        <v>-206814.17</v>
      </c>
      <c r="J196" s="306" t="s">
        <v>1008</v>
      </c>
      <c r="K196" s="309">
        <v>-206814.17</v>
      </c>
      <c r="L196" s="306" t="s">
        <v>1008</v>
      </c>
      <c r="M196" s="306" t="s">
        <v>1327</v>
      </c>
      <c r="N196" s="306" t="s">
        <v>1327</v>
      </c>
      <c r="O196" s="306" t="s">
        <v>1388</v>
      </c>
      <c r="P196" s="306" t="s">
        <v>212</v>
      </c>
      <c r="Q196" s="306" t="s">
        <v>1013</v>
      </c>
      <c r="R196" s="306" t="s">
        <v>1013</v>
      </c>
      <c r="S196" s="306" t="s">
        <v>1013</v>
      </c>
      <c r="T196" s="306" t="s">
        <v>1112</v>
      </c>
      <c r="U196" s="306" t="s">
        <v>1013</v>
      </c>
      <c r="V196" s="306" t="s">
        <v>1013</v>
      </c>
      <c r="W196" s="306" t="s">
        <v>1013</v>
      </c>
      <c r="X196" s="306" t="s">
        <v>1013</v>
      </c>
      <c r="Y196" s="306" t="s">
        <v>1112</v>
      </c>
      <c r="Z196" s="306" t="s">
        <v>1071</v>
      </c>
      <c r="AA196" s="306" t="s">
        <v>1013</v>
      </c>
    </row>
    <row r="197" spans="1:27" hidden="1">
      <c r="A197" s="306" t="s">
        <v>494</v>
      </c>
      <c r="B197" s="306" t="s">
        <v>1003</v>
      </c>
      <c r="C197" s="306" t="s">
        <v>1004</v>
      </c>
      <c r="D197" s="306" t="s">
        <v>1031</v>
      </c>
      <c r="E197" s="306" t="s">
        <v>1389</v>
      </c>
      <c r="F197" s="306" t="s">
        <v>1007</v>
      </c>
      <c r="G197" s="308">
        <v>46015</v>
      </c>
      <c r="H197" s="308">
        <v>46015</v>
      </c>
      <c r="I197" s="309">
        <v>-1012300.89</v>
      </c>
      <c r="J197" s="306" t="s">
        <v>1008</v>
      </c>
      <c r="K197" s="309">
        <v>-1012300.89</v>
      </c>
      <c r="L197" s="306" t="s">
        <v>1008</v>
      </c>
      <c r="M197" s="306" t="s">
        <v>1327</v>
      </c>
      <c r="N197" s="306" t="s">
        <v>1327</v>
      </c>
      <c r="O197" s="306" t="s">
        <v>1390</v>
      </c>
      <c r="P197" s="306" t="s">
        <v>212</v>
      </c>
      <c r="Q197" s="306" t="s">
        <v>1013</v>
      </c>
      <c r="R197" s="306" t="s">
        <v>1013</v>
      </c>
      <c r="S197" s="306" t="s">
        <v>1013</v>
      </c>
      <c r="T197" s="306" t="s">
        <v>1112</v>
      </c>
      <c r="U197" s="306" t="s">
        <v>1013</v>
      </c>
      <c r="V197" s="306" t="s">
        <v>1013</v>
      </c>
      <c r="W197" s="306" t="s">
        <v>1013</v>
      </c>
      <c r="X197" s="306" t="s">
        <v>1013</v>
      </c>
      <c r="Y197" s="306" t="s">
        <v>1112</v>
      </c>
      <c r="Z197" s="306" t="s">
        <v>1071</v>
      </c>
      <c r="AA197" s="306" t="s">
        <v>1013</v>
      </c>
    </row>
    <row r="198" spans="1:27" hidden="1">
      <c r="A198" s="306" t="s">
        <v>494</v>
      </c>
      <c r="B198" s="306" t="s">
        <v>1003</v>
      </c>
      <c r="C198" s="306" t="s">
        <v>1004</v>
      </c>
      <c r="D198" s="306" t="s">
        <v>1031</v>
      </c>
      <c r="E198" s="306" t="s">
        <v>1391</v>
      </c>
      <c r="F198" s="306" t="s">
        <v>1007</v>
      </c>
      <c r="G198" s="308">
        <v>46015</v>
      </c>
      <c r="H198" s="308">
        <v>46015</v>
      </c>
      <c r="I198" s="309">
        <v>-190828.15</v>
      </c>
      <c r="J198" s="306" t="s">
        <v>1008</v>
      </c>
      <c r="K198" s="309">
        <v>-190828.15</v>
      </c>
      <c r="L198" s="306" t="s">
        <v>1008</v>
      </c>
      <c r="M198" s="306" t="s">
        <v>1327</v>
      </c>
      <c r="N198" s="306" t="s">
        <v>1327</v>
      </c>
      <c r="O198" s="306" t="s">
        <v>1392</v>
      </c>
      <c r="P198" s="306" t="s">
        <v>212</v>
      </c>
      <c r="Q198" s="306" t="s">
        <v>1013</v>
      </c>
      <c r="R198" s="306" t="s">
        <v>1013</v>
      </c>
      <c r="S198" s="306" t="s">
        <v>1013</v>
      </c>
      <c r="T198" s="306" t="s">
        <v>1112</v>
      </c>
      <c r="U198" s="306" t="s">
        <v>1013</v>
      </c>
      <c r="V198" s="306" t="s">
        <v>1013</v>
      </c>
      <c r="W198" s="306" t="s">
        <v>1013</v>
      </c>
      <c r="X198" s="306" t="s">
        <v>1013</v>
      </c>
      <c r="Y198" s="306" t="s">
        <v>1112</v>
      </c>
      <c r="Z198" s="306" t="s">
        <v>1071</v>
      </c>
      <c r="AA198" s="306" t="s">
        <v>1013</v>
      </c>
    </row>
    <row r="199" spans="1:27" hidden="1">
      <c r="A199" s="306" t="s">
        <v>494</v>
      </c>
      <c r="B199" s="306" t="s">
        <v>1003</v>
      </c>
      <c r="C199" s="306" t="s">
        <v>1004</v>
      </c>
      <c r="D199" s="306" t="s">
        <v>1031</v>
      </c>
      <c r="E199" s="306" t="s">
        <v>1393</v>
      </c>
      <c r="F199" s="306" t="s">
        <v>1007</v>
      </c>
      <c r="G199" s="308">
        <v>46015</v>
      </c>
      <c r="H199" s="308">
        <v>46015</v>
      </c>
      <c r="I199" s="309">
        <v>-2445290.5099999998</v>
      </c>
      <c r="J199" s="306" t="s">
        <v>1008</v>
      </c>
      <c r="K199" s="309">
        <v>-2445290.5099999998</v>
      </c>
      <c r="L199" s="306" t="s">
        <v>1008</v>
      </c>
      <c r="M199" s="306" t="s">
        <v>1327</v>
      </c>
      <c r="N199" s="306" t="s">
        <v>1327</v>
      </c>
      <c r="O199" s="306" t="s">
        <v>1394</v>
      </c>
      <c r="P199" s="306" t="s">
        <v>212</v>
      </c>
      <c r="Q199" s="306" t="s">
        <v>1013</v>
      </c>
      <c r="R199" s="306" t="s">
        <v>1013</v>
      </c>
      <c r="S199" s="306" t="s">
        <v>1013</v>
      </c>
      <c r="T199" s="306" t="s">
        <v>1112</v>
      </c>
      <c r="U199" s="306" t="s">
        <v>1013</v>
      </c>
      <c r="V199" s="306" t="s">
        <v>1013</v>
      </c>
      <c r="W199" s="306" t="s">
        <v>1013</v>
      </c>
      <c r="X199" s="306" t="s">
        <v>1013</v>
      </c>
      <c r="Y199" s="306" t="s">
        <v>1112</v>
      </c>
      <c r="Z199" s="306" t="s">
        <v>1071</v>
      </c>
      <c r="AA199" s="306" t="s">
        <v>1013</v>
      </c>
    </row>
    <row r="200" spans="1:27" hidden="1">
      <c r="A200" s="306" t="s">
        <v>494</v>
      </c>
      <c r="B200" s="306" t="s">
        <v>1003</v>
      </c>
      <c r="C200" s="306" t="s">
        <v>1004</v>
      </c>
      <c r="D200" s="306" t="s">
        <v>1031</v>
      </c>
      <c r="E200" s="306" t="s">
        <v>1395</v>
      </c>
      <c r="F200" s="306" t="s">
        <v>1007</v>
      </c>
      <c r="G200" s="308">
        <v>46015</v>
      </c>
      <c r="H200" s="308">
        <v>46015</v>
      </c>
      <c r="I200" s="309">
        <v>-296615.05</v>
      </c>
      <c r="J200" s="306" t="s">
        <v>1008</v>
      </c>
      <c r="K200" s="309">
        <v>-296615.05</v>
      </c>
      <c r="L200" s="306" t="s">
        <v>1008</v>
      </c>
      <c r="M200" s="306" t="s">
        <v>1327</v>
      </c>
      <c r="N200" s="306" t="s">
        <v>1327</v>
      </c>
      <c r="O200" s="306" t="s">
        <v>1396</v>
      </c>
      <c r="P200" s="306" t="s">
        <v>212</v>
      </c>
      <c r="Q200" s="306" t="s">
        <v>1013</v>
      </c>
      <c r="R200" s="306" t="s">
        <v>1013</v>
      </c>
      <c r="S200" s="306" t="s">
        <v>1013</v>
      </c>
      <c r="T200" s="306" t="s">
        <v>1112</v>
      </c>
      <c r="U200" s="306" t="s">
        <v>1013</v>
      </c>
      <c r="V200" s="306" t="s">
        <v>1013</v>
      </c>
      <c r="W200" s="306" t="s">
        <v>1013</v>
      </c>
      <c r="X200" s="306" t="s">
        <v>1013</v>
      </c>
      <c r="Y200" s="306" t="s">
        <v>1112</v>
      </c>
      <c r="Z200" s="306" t="s">
        <v>1071</v>
      </c>
      <c r="AA200" s="306" t="s">
        <v>1013</v>
      </c>
    </row>
    <row r="201" spans="1:27" hidden="1">
      <c r="A201" s="306" t="s">
        <v>494</v>
      </c>
      <c r="B201" s="306" t="s">
        <v>1003</v>
      </c>
      <c r="C201" s="306" t="s">
        <v>1004</v>
      </c>
      <c r="D201" s="306" t="s">
        <v>1019</v>
      </c>
      <c r="E201" s="306" t="s">
        <v>1397</v>
      </c>
      <c r="F201" s="306" t="s">
        <v>1007</v>
      </c>
      <c r="G201" s="308">
        <v>46015</v>
      </c>
      <c r="H201" s="308">
        <v>46015</v>
      </c>
      <c r="I201" s="309">
        <v>-58018.87</v>
      </c>
      <c r="J201" s="306" t="s">
        <v>1008</v>
      </c>
      <c r="K201" s="309">
        <v>-58018.87</v>
      </c>
      <c r="L201" s="306" t="s">
        <v>1008</v>
      </c>
      <c r="M201" s="306" t="s">
        <v>1309</v>
      </c>
      <c r="N201" s="306" t="s">
        <v>1309</v>
      </c>
      <c r="O201" s="306" t="s">
        <v>1398</v>
      </c>
      <c r="P201" s="306" t="s">
        <v>212</v>
      </c>
      <c r="Q201" s="306" t="s">
        <v>1013</v>
      </c>
      <c r="R201" s="306" t="s">
        <v>1013</v>
      </c>
      <c r="S201" s="306" t="s">
        <v>1013</v>
      </c>
      <c r="T201" s="306" t="s">
        <v>1112</v>
      </c>
      <c r="U201" s="306" t="s">
        <v>1013</v>
      </c>
      <c r="V201" s="306" t="s">
        <v>1013</v>
      </c>
      <c r="W201" s="306" t="s">
        <v>1013</v>
      </c>
      <c r="X201" s="306" t="s">
        <v>1013</v>
      </c>
      <c r="Y201" s="306" t="s">
        <v>1112</v>
      </c>
      <c r="Z201" s="306" t="s">
        <v>1071</v>
      </c>
      <c r="AA201" s="306" t="s">
        <v>1013</v>
      </c>
    </row>
    <row r="202" spans="1:27" hidden="1">
      <c r="A202" s="306" t="s">
        <v>494</v>
      </c>
      <c r="B202" s="306" t="s">
        <v>1003</v>
      </c>
      <c r="C202" s="306" t="s">
        <v>1004</v>
      </c>
      <c r="D202" s="306" t="s">
        <v>1005</v>
      </c>
      <c r="E202" s="306" t="s">
        <v>1399</v>
      </c>
      <c r="F202" s="306" t="s">
        <v>1007</v>
      </c>
      <c r="G202" s="308">
        <v>46015</v>
      </c>
      <c r="H202" s="308">
        <v>46015</v>
      </c>
      <c r="I202" s="309">
        <v>-369816.37</v>
      </c>
      <c r="J202" s="306" t="s">
        <v>1008</v>
      </c>
      <c r="K202" s="309">
        <v>-369816.37</v>
      </c>
      <c r="L202" s="306" t="s">
        <v>1008</v>
      </c>
      <c r="M202" s="306" t="s">
        <v>1314</v>
      </c>
      <c r="N202" s="306" t="s">
        <v>1314</v>
      </c>
      <c r="O202" s="306" t="s">
        <v>1400</v>
      </c>
      <c r="P202" s="306" t="s">
        <v>212</v>
      </c>
      <c r="Q202" s="306" t="s">
        <v>1013</v>
      </c>
      <c r="R202" s="306" t="s">
        <v>1013</v>
      </c>
      <c r="S202" s="306" t="s">
        <v>1013</v>
      </c>
      <c r="T202" s="306" t="s">
        <v>1112</v>
      </c>
      <c r="U202" s="306" t="s">
        <v>1013</v>
      </c>
      <c r="V202" s="306" t="s">
        <v>1013</v>
      </c>
      <c r="W202" s="306" t="s">
        <v>1013</v>
      </c>
      <c r="X202" s="306" t="s">
        <v>1013</v>
      </c>
      <c r="Y202" s="306" t="s">
        <v>1112</v>
      </c>
      <c r="Z202" s="306" t="s">
        <v>1071</v>
      </c>
      <c r="AA202" s="306" t="s">
        <v>1013</v>
      </c>
    </row>
    <row r="203" spans="1:27" hidden="1">
      <c r="A203" s="306" t="s">
        <v>494</v>
      </c>
      <c r="B203" s="306" t="s">
        <v>1003</v>
      </c>
      <c r="C203" s="306" t="s">
        <v>1004</v>
      </c>
      <c r="D203" s="306" t="s">
        <v>1005</v>
      </c>
      <c r="E203" s="306" t="s">
        <v>1401</v>
      </c>
      <c r="F203" s="306" t="s">
        <v>1007</v>
      </c>
      <c r="G203" s="308">
        <v>46016</v>
      </c>
      <c r="H203" s="308">
        <v>46016</v>
      </c>
      <c r="I203" s="309">
        <v>-37019.410000000003</v>
      </c>
      <c r="J203" s="306" t="s">
        <v>1008</v>
      </c>
      <c r="K203" s="309">
        <v>-37019.410000000003</v>
      </c>
      <c r="L203" s="306" t="s">
        <v>1008</v>
      </c>
      <c r="M203" s="306" t="s">
        <v>1402</v>
      </c>
      <c r="N203" s="306" t="s">
        <v>1403</v>
      </c>
      <c r="O203" s="306" t="s">
        <v>1404</v>
      </c>
      <c r="P203" s="306" t="s">
        <v>1405</v>
      </c>
      <c r="Q203" s="306" t="s">
        <v>1013</v>
      </c>
      <c r="R203" s="306" t="s">
        <v>1013</v>
      </c>
      <c r="S203" s="306" t="s">
        <v>1013</v>
      </c>
      <c r="T203" s="306" t="s">
        <v>1406</v>
      </c>
      <c r="U203" s="306" t="s">
        <v>1013</v>
      </c>
      <c r="V203" s="306" t="s">
        <v>1013</v>
      </c>
      <c r="W203" s="306" t="s">
        <v>1013</v>
      </c>
      <c r="X203" s="306" t="s">
        <v>1013</v>
      </c>
      <c r="Y203" s="306" t="s">
        <v>1406</v>
      </c>
      <c r="Z203" s="306" t="s">
        <v>1015</v>
      </c>
      <c r="AA203" s="306" t="s">
        <v>1013</v>
      </c>
    </row>
    <row r="204" spans="1:27" hidden="1">
      <c r="A204" s="306" t="s">
        <v>494</v>
      </c>
      <c r="B204" s="306" t="s">
        <v>1003</v>
      </c>
      <c r="C204" s="306" t="s">
        <v>1004</v>
      </c>
      <c r="D204" s="306" t="s">
        <v>1005</v>
      </c>
      <c r="E204" s="306" t="s">
        <v>1407</v>
      </c>
      <c r="F204" s="306" t="s">
        <v>1007</v>
      </c>
      <c r="G204" s="308">
        <v>46016</v>
      </c>
      <c r="H204" s="308">
        <v>46016</v>
      </c>
      <c r="I204" s="309">
        <v>-138822.81</v>
      </c>
      <c r="J204" s="306" t="s">
        <v>1008</v>
      </c>
      <c r="K204" s="309">
        <v>-138822.81</v>
      </c>
      <c r="L204" s="306" t="s">
        <v>1008</v>
      </c>
      <c r="M204" s="306" t="s">
        <v>1402</v>
      </c>
      <c r="N204" s="306" t="s">
        <v>1403</v>
      </c>
      <c r="O204" s="306" t="s">
        <v>1408</v>
      </c>
      <c r="P204" s="306" t="s">
        <v>1405</v>
      </c>
      <c r="Q204" s="306" t="s">
        <v>1013</v>
      </c>
      <c r="R204" s="306" t="s">
        <v>1013</v>
      </c>
      <c r="S204" s="306" t="s">
        <v>1013</v>
      </c>
      <c r="T204" s="306" t="s">
        <v>1406</v>
      </c>
      <c r="U204" s="306" t="s">
        <v>1013</v>
      </c>
      <c r="V204" s="306" t="s">
        <v>1013</v>
      </c>
      <c r="W204" s="306" t="s">
        <v>1013</v>
      </c>
      <c r="X204" s="306" t="s">
        <v>1013</v>
      </c>
      <c r="Y204" s="306" t="s">
        <v>1406</v>
      </c>
      <c r="Z204" s="306" t="s">
        <v>1015</v>
      </c>
      <c r="AA204" s="306" t="s">
        <v>1013</v>
      </c>
    </row>
    <row r="205" spans="1:27" hidden="1">
      <c r="A205" s="306" t="s">
        <v>494</v>
      </c>
      <c r="B205" s="306" t="s">
        <v>1003</v>
      </c>
      <c r="C205" s="306" t="s">
        <v>1004</v>
      </c>
      <c r="D205" s="306" t="s">
        <v>1031</v>
      </c>
      <c r="E205" s="306" t="s">
        <v>1409</v>
      </c>
      <c r="F205" s="306" t="s">
        <v>1007</v>
      </c>
      <c r="G205" s="308">
        <v>46016</v>
      </c>
      <c r="H205" s="308">
        <v>46016</v>
      </c>
      <c r="I205" s="309">
        <v>-26222.27</v>
      </c>
      <c r="J205" s="306" t="s">
        <v>1008</v>
      </c>
      <c r="K205" s="309">
        <v>-26222.27</v>
      </c>
      <c r="L205" s="306" t="s">
        <v>1008</v>
      </c>
      <c r="M205" s="306" t="s">
        <v>1410</v>
      </c>
      <c r="N205" s="306" t="s">
        <v>1403</v>
      </c>
      <c r="O205" s="306" t="s">
        <v>1411</v>
      </c>
      <c r="P205" s="306" t="s">
        <v>1405</v>
      </c>
      <c r="Q205" s="306" t="s">
        <v>1013</v>
      </c>
      <c r="R205" s="306" t="s">
        <v>1013</v>
      </c>
      <c r="S205" s="306" t="s">
        <v>1013</v>
      </c>
      <c r="T205" s="306" t="s">
        <v>1406</v>
      </c>
      <c r="U205" s="306" t="s">
        <v>1013</v>
      </c>
      <c r="V205" s="306" t="s">
        <v>1013</v>
      </c>
      <c r="W205" s="306" t="s">
        <v>1013</v>
      </c>
      <c r="X205" s="306" t="s">
        <v>1013</v>
      </c>
      <c r="Y205" s="306" t="s">
        <v>1406</v>
      </c>
      <c r="Z205" s="306" t="s">
        <v>1015</v>
      </c>
      <c r="AA205" s="306" t="s">
        <v>1013</v>
      </c>
    </row>
    <row r="206" spans="1:27" hidden="1">
      <c r="A206" s="306" t="s">
        <v>494</v>
      </c>
      <c r="B206" s="306" t="s">
        <v>1003</v>
      </c>
      <c r="C206" s="306" t="s">
        <v>1004</v>
      </c>
      <c r="D206" s="306" t="s">
        <v>1005</v>
      </c>
      <c r="E206" s="306" t="s">
        <v>1412</v>
      </c>
      <c r="F206" s="306" t="s">
        <v>1007</v>
      </c>
      <c r="G206" s="308">
        <v>46016</v>
      </c>
      <c r="H206" s="308">
        <v>46016</v>
      </c>
      <c r="I206" s="309">
        <v>-3362052.55</v>
      </c>
      <c r="J206" s="306" t="s">
        <v>1008</v>
      </c>
      <c r="K206" s="309">
        <v>-3362052.55</v>
      </c>
      <c r="L206" s="306" t="s">
        <v>1008</v>
      </c>
      <c r="M206" s="306" t="s">
        <v>1402</v>
      </c>
      <c r="N206" s="306" t="s">
        <v>1403</v>
      </c>
      <c r="O206" s="306" t="s">
        <v>1413</v>
      </c>
      <c r="P206" s="306" t="s">
        <v>1405</v>
      </c>
      <c r="Q206" s="306" t="s">
        <v>1013</v>
      </c>
      <c r="R206" s="306" t="s">
        <v>1013</v>
      </c>
      <c r="S206" s="306" t="s">
        <v>1013</v>
      </c>
      <c r="T206" s="306" t="s">
        <v>1406</v>
      </c>
      <c r="U206" s="306" t="s">
        <v>1013</v>
      </c>
      <c r="V206" s="306" t="s">
        <v>1013</v>
      </c>
      <c r="W206" s="306" t="s">
        <v>1013</v>
      </c>
      <c r="X206" s="306" t="s">
        <v>1013</v>
      </c>
      <c r="Y206" s="306" t="s">
        <v>1406</v>
      </c>
      <c r="Z206" s="306" t="s">
        <v>1015</v>
      </c>
      <c r="AA206" s="306" t="s">
        <v>1013</v>
      </c>
    </row>
    <row r="207" spans="1:27" hidden="1">
      <c r="A207" s="306" t="s">
        <v>494</v>
      </c>
      <c r="B207" s="306" t="s">
        <v>1003</v>
      </c>
      <c r="C207" s="306" t="s">
        <v>1004</v>
      </c>
      <c r="D207" s="306" t="s">
        <v>1031</v>
      </c>
      <c r="E207" s="306" t="s">
        <v>1414</v>
      </c>
      <c r="F207" s="306" t="s">
        <v>1007</v>
      </c>
      <c r="G207" s="308">
        <v>46016</v>
      </c>
      <c r="H207" s="308">
        <v>46016</v>
      </c>
      <c r="I207" s="309">
        <v>-1751417.59</v>
      </c>
      <c r="J207" s="306" t="s">
        <v>1008</v>
      </c>
      <c r="K207" s="309">
        <v>-1751417.59</v>
      </c>
      <c r="L207" s="306" t="s">
        <v>1008</v>
      </c>
      <c r="M207" s="306" t="s">
        <v>1410</v>
      </c>
      <c r="N207" s="306" t="s">
        <v>1403</v>
      </c>
      <c r="O207" s="306" t="s">
        <v>1415</v>
      </c>
      <c r="P207" s="306" t="s">
        <v>1405</v>
      </c>
      <c r="Q207" s="306" t="s">
        <v>1013</v>
      </c>
      <c r="R207" s="306" t="s">
        <v>1013</v>
      </c>
      <c r="S207" s="306" t="s">
        <v>1013</v>
      </c>
      <c r="T207" s="306" t="s">
        <v>1406</v>
      </c>
      <c r="U207" s="306" t="s">
        <v>1013</v>
      </c>
      <c r="V207" s="306" t="s">
        <v>1013</v>
      </c>
      <c r="W207" s="306" t="s">
        <v>1013</v>
      </c>
      <c r="X207" s="306" t="s">
        <v>1013</v>
      </c>
      <c r="Y207" s="306" t="s">
        <v>1406</v>
      </c>
      <c r="Z207" s="306" t="s">
        <v>1015</v>
      </c>
      <c r="AA207" s="306" t="s">
        <v>1013</v>
      </c>
    </row>
    <row r="208" spans="1:27" hidden="1">
      <c r="A208" s="306" t="s">
        <v>494</v>
      </c>
      <c r="B208" s="306" t="s">
        <v>1003</v>
      </c>
      <c r="C208" s="306" t="s">
        <v>1004</v>
      </c>
      <c r="D208" s="306" t="s">
        <v>1031</v>
      </c>
      <c r="E208" s="306" t="s">
        <v>1416</v>
      </c>
      <c r="F208" s="306" t="s">
        <v>1007</v>
      </c>
      <c r="G208" s="308">
        <v>46016</v>
      </c>
      <c r="H208" s="308">
        <v>46016</v>
      </c>
      <c r="I208" s="309">
        <v>-582977.54</v>
      </c>
      <c r="J208" s="306" t="s">
        <v>1008</v>
      </c>
      <c r="K208" s="309">
        <v>-582977.54</v>
      </c>
      <c r="L208" s="306" t="s">
        <v>1008</v>
      </c>
      <c r="M208" s="306" t="s">
        <v>1410</v>
      </c>
      <c r="N208" s="306" t="s">
        <v>1403</v>
      </c>
      <c r="O208" s="306" t="s">
        <v>1417</v>
      </c>
      <c r="P208" s="306" t="s">
        <v>1405</v>
      </c>
      <c r="Q208" s="306" t="s">
        <v>1013</v>
      </c>
      <c r="R208" s="306" t="s">
        <v>1013</v>
      </c>
      <c r="S208" s="306" t="s">
        <v>1013</v>
      </c>
      <c r="T208" s="306" t="s">
        <v>1406</v>
      </c>
      <c r="U208" s="306" t="s">
        <v>1013</v>
      </c>
      <c r="V208" s="306" t="s">
        <v>1013</v>
      </c>
      <c r="W208" s="306" t="s">
        <v>1013</v>
      </c>
      <c r="X208" s="306" t="s">
        <v>1013</v>
      </c>
      <c r="Y208" s="306" t="s">
        <v>1406</v>
      </c>
      <c r="Z208" s="306" t="s">
        <v>1015</v>
      </c>
      <c r="AA208" s="306" t="s">
        <v>1013</v>
      </c>
    </row>
    <row r="209" spans="1:27" hidden="1">
      <c r="A209" s="306" t="s">
        <v>494</v>
      </c>
      <c r="B209" s="306" t="s">
        <v>1003</v>
      </c>
      <c r="C209" s="306" t="s">
        <v>1004</v>
      </c>
      <c r="D209" s="306" t="s">
        <v>1031</v>
      </c>
      <c r="E209" s="306" t="s">
        <v>1418</v>
      </c>
      <c r="F209" s="306" t="s">
        <v>1007</v>
      </c>
      <c r="G209" s="308">
        <v>46016</v>
      </c>
      <c r="H209" s="308">
        <v>46016</v>
      </c>
      <c r="I209" s="309">
        <v>-2177596</v>
      </c>
      <c r="J209" s="306" t="s">
        <v>1008</v>
      </c>
      <c r="K209" s="309">
        <v>-2177596</v>
      </c>
      <c r="L209" s="306" t="s">
        <v>1008</v>
      </c>
      <c r="M209" s="306" t="s">
        <v>1410</v>
      </c>
      <c r="N209" s="306" t="s">
        <v>1403</v>
      </c>
      <c r="O209" s="306" t="s">
        <v>1419</v>
      </c>
      <c r="P209" s="306" t="s">
        <v>1405</v>
      </c>
      <c r="Q209" s="306" t="s">
        <v>1013</v>
      </c>
      <c r="R209" s="306" t="s">
        <v>1013</v>
      </c>
      <c r="S209" s="306" t="s">
        <v>1013</v>
      </c>
      <c r="T209" s="306" t="s">
        <v>1406</v>
      </c>
      <c r="U209" s="306" t="s">
        <v>1013</v>
      </c>
      <c r="V209" s="306" t="s">
        <v>1013</v>
      </c>
      <c r="W209" s="306" t="s">
        <v>1013</v>
      </c>
      <c r="X209" s="306" t="s">
        <v>1013</v>
      </c>
      <c r="Y209" s="306" t="s">
        <v>1406</v>
      </c>
      <c r="Z209" s="306" t="s">
        <v>1015</v>
      </c>
      <c r="AA209" s="306" t="s">
        <v>1013</v>
      </c>
    </row>
    <row r="210" spans="1:27" hidden="1">
      <c r="A210" s="306" t="s">
        <v>494</v>
      </c>
      <c r="B210" s="306" t="s">
        <v>1003</v>
      </c>
      <c r="C210" s="306" t="s">
        <v>1004</v>
      </c>
      <c r="D210" s="306" t="s">
        <v>1019</v>
      </c>
      <c r="E210" s="306" t="s">
        <v>1420</v>
      </c>
      <c r="F210" s="306" t="s">
        <v>1007</v>
      </c>
      <c r="G210" s="308">
        <v>46016</v>
      </c>
      <c r="H210" s="308">
        <v>46016</v>
      </c>
      <c r="I210" s="309">
        <v>-6863.99</v>
      </c>
      <c r="J210" s="306" t="s">
        <v>1008</v>
      </c>
      <c r="K210" s="309">
        <v>-6863.99</v>
      </c>
      <c r="L210" s="306" t="s">
        <v>1008</v>
      </c>
      <c r="M210" s="306" t="s">
        <v>1421</v>
      </c>
      <c r="N210" s="306" t="s">
        <v>1403</v>
      </c>
      <c r="O210" s="306" t="s">
        <v>1422</v>
      </c>
      <c r="P210" s="306" t="s">
        <v>1405</v>
      </c>
      <c r="Q210" s="306" t="s">
        <v>1013</v>
      </c>
      <c r="R210" s="306" t="s">
        <v>1013</v>
      </c>
      <c r="S210" s="306" t="s">
        <v>1013</v>
      </c>
      <c r="T210" s="306" t="s">
        <v>1406</v>
      </c>
      <c r="U210" s="306" t="s">
        <v>1013</v>
      </c>
      <c r="V210" s="306" t="s">
        <v>1013</v>
      </c>
      <c r="W210" s="306" t="s">
        <v>1013</v>
      </c>
      <c r="X210" s="306" t="s">
        <v>1013</v>
      </c>
      <c r="Y210" s="306" t="s">
        <v>1406</v>
      </c>
      <c r="Z210" s="306" t="s">
        <v>1015</v>
      </c>
      <c r="AA210" s="306" t="s">
        <v>1013</v>
      </c>
    </row>
    <row r="211" spans="1:27" hidden="1">
      <c r="A211" s="306" t="s">
        <v>494</v>
      </c>
      <c r="B211" s="306" t="s">
        <v>1003</v>
      </c>
      <c r="C211" s="306" t="s">
        <v>1004</v>
      </c>
      <c r="D211" s="306" t="s">
        <v>1031</v>
      </c>
      <c r="E211" s="306" t="s">
        <v>1423</v>
      </c>
      <c r="F211" s="306" t="s">
        <v>1007</v>
      </c>
      <c r="G211" s="308">
        <v>46016</v>
      </c>
      <c r="H211" s="308">
        <v>46016</v>
      </c>
      <c r="I211" s="309">
        <v>-18486.900000000001</v>
      </c>
      <c r="J211" s="306" t="s">
        <v>1008</v>
      </c>
      <c r="K211" s="309">
        <v>-18486.900000000001</v>
      </c>
      <c r="L211" s="306" t="s">
        <v>1008</v>
      </c>
      <c r="M211" s="306" t="s">
        <v>1410</v>
      </c>
      <c r="N211" s="306" t="s">
        <v>1403</v>
      </c>
      <c r="O211" s="306" t="s">
        <v>1424</v>
      </c>
      <c r="P211" s="306" t="s">
        <v>1405</v>
      </c>
      <c r="Q211" s="306" t="s">
        <v>1013</v>
      </c>
      <c r="R211" s="306" t="s">
        <v>1013</v>
      </c>
      <c r="S211" s="306" t="s">
        <v>1013</v>
      </c>
      <c r="T211" s="306" t="s">
        <v>1406</v>
      </c>
      <c r="U211" s="306" t="s">
        <v>1013</v>
      </c>
      <c r="V211" s="306" t="s">
        <v>1013</v>
      </c>
      <c r="W211" s="306" t="s">
        <v>1013</v>
      </c>
      <c r="X211" s="306" t="s">
        <v>1013</v>
      </c>
      <c r="Y211" s="306" t="s">
        <v>1406</v>
      </c>
      <c r="Z211" s="306" t="s">
        <v>1015</v>
      </c>
      <c r="AA211" s="306" t="s">
        <v>1013</v>
      </c>
    </row>
    <row r="212" spans="1:27" hidden="1">
      <c r="A212" s="306" t="s">
        <v>494</v>
      </c>
      <c r="B212" s="306" t="s">
        <v>1003</v>
      </c>
      <c r="C212" s="306" t="s">
        <v>1004</v>
      </c>
      <c r="D212" s="306" t="s">
        <v>1031</v>
      </c>
      <c r="E212" s="306" t="s">
        <v>1425</v>
      </c>
      <c r="F212" s="306" t="s">
        <v>1007</v>
      </c>
      <c r="G212" s="308">
        <v>46016</v>
      </c>
      <c r="H212" s="308">
        <v>46016</v>
      </c>
      <c r="I212" s="309">
        <v>-78118.33</v>
      </c>
      <c r="J212" s="306" t="s">
        <v>1008</v>
      </c>
      <c r="K212" s="309">
        <v>-78118.33</v>
      </c>
      <c r="L212" s="306" t="s">
        <v>1008</v>
      </c>
      <c r="M212" s="306" t="s">
        <v>1410</v>
      </c>
      <c r="N212" s="306" t="s">
        <v>1403</v>
      </c>
      <c r="O212" s="306" t="s">
        <v>1426</v>
      </c>
      <c r="P212" s="306" t="s">
        <v>1405</v>
      </c>
      <c r="Q212" s="306" t="s">
        <v>1013</v>
      </c>
      <c r="R212" s="306" t="s">
        <v>1013</v>
      </c>
      <c r="S212" s="306" t="s">
        <v>1013</v>
      </c>
      <c r="T212" s="306" t="s">
        <v>1406</v>
      </c>
      <c r="U212" s="306" t="s">
        <v>1013</v>
      </c>
      <c r="V212" s="306" t="s">
        <v>1013</v>
      </c>
      <c r="W212" s="306" t="s">
        <v>1013</v>
      </c>
      <c r="X212" s="306" t="s">
        <v>1013</v>
      </c>
      <c r="Y212" s="306" t="s">
        <v>1406</v>
      </c>
      <c r="Z212" s="306" t="s">
        <v>1015</v>
      </c>
      <c r="AA212" s="306" t="s">
        <v>1013</v>
      </c>
    </row>
    <row r="213" spans="1:27" hidden="1">
      <c r="A213" s="306" t="s">
        <v>494</v>
      </c>
      <c r="B213" s="306" t="s">
        <v>1003</v>
      </c>
      <c r="C213" s="306" t="s">
        <v>1004</v>
      </c>
      <c r="D213" s="306" t="s">
        <v>1019</v>
      </c>
      <c r="E213" s="306" t="s">
        <v>1427</v>
      </c>
      <c r="F213" s="306" t="s">
        <v>1007</v>
      </c>
      <c r="G213" s="308">
        <v>46016</v>
      </c>
      <c r="H213" s="308">
        <v>46016</v>
      </c>
      <c r="I213" s="309">
        <v>-4578.03</v>
      </c>
      <c r="J213" s="306" t="s">
        <v>1008</v>
      </c>
      <c r="K213" s="309">
        <v>-4578.03</v>
      </c>
      <c r="L213" s="306" t="s">
        <v>1008</v>
      </c>
      <c r="M213" s="306" t="s">
        <v>1421</v>
      </c>
      <c r="N213" s="306" t="s">
        <v>1403</v>
      </c>
      <c r="O213" s="306" t="s">
        <v>1428</v>
      </c>
      <c r="P213" s="306" t="s">
        <v>1405</v>
      </c>
      <c r="Q213" s="306" t="s">
        <v>1013</v>
      </c>
      <c r="R213" s="306" t="s">
        <v>1013</v>
      </c>
      <c r="S213" s="306" t="s">
        <v>1013</v>
      </c>
      <c r="T213" s="306" t="s">
        <v>1406</v>
      </c>
      <c r="U213" s="306" t="s">
        <v>1013</v>
      </c>
      <c r="V213" s="306" t="s">
        <v>1013</v>
      </c>
      <c r="W213" s="306" t="s">
        <v>1013</v>
      </c>
      <c r="X213" s="306" t="s">
        <v>1013</v>
      </c>
      <c r="Y213" s="306" t="s">
        <v>1406</v>
      </c>
      <c r="Z213" s="306" t="s">
        <v>1015</v>
      </c>
      <c r="AA213" s="306" t="s">
        <v>1013</v>
      </c>
    </row>
    <row r="214" spans="1:27" hidden="1">
      <c r="A214" s="306" t="s">
        <v>494</v>
      </c>
      <c r="B214" s="306" t="s">
        <v>1003</v>
      </c>
      <c r="C214" s="306" t="s">
        <v>1004</v>
      </c>
      <c r="D214" s="306" t="s">
        <v>1019</v>
      </c>
      <c r="E214" s="306" t="s">
        <v>1429</v>
      </c>
      <c r="F214" s="306" t="s">
        <v>1007</v>
      </c>
      <c r="G214" s="308">
        <v>46016</v>
      </c>
      <c r="H214" s="308">
        <v>46016</v>
      </c>
      <c r="I214" s="309">
        <v>-20094.060000000001</v>
      </c>
      <c r="J214" s="306" t="s">
        <v>1008</v>
      </c>
      <c r="K214" s="309">
        <v>-20094.060000000001</v>
      </c>
      <c r="L214" s="306" t="s">
        <v>1008</v>
      </c>
      <c r="M214" s="306" t="s">
        <v>1421</v>
      </c>
      <c r="N214" s="306" t="s">
        <v>1403</v>
      </c>
      <c r="O214" s="306" t="s">
        <v>1430</v>
      </c>
      <c r="P214" s="306" t="s">
        <v>1405</v>
      </c>
      <c r="Q214" s="306" t="s">
        <v>1013</v>
      </c>
      <c r="R214" s="306" t="s">
        <v>1013</v>
      </c>
      <c r="S214" s="306" t="s">
        <v>1013</v>
      </c>
      <c r="T214" s="306" t="s">
        <v>1406</v>
      </c>
      <c r="U214" s="306" t="s">
        <v>1013</v>
      </c>
      <c r="V214" s="306" t="s">
        <v>1013</v>
      </c>
      <c r="W214" s="306" t="s">
        <v>1013</v>
      </c>
      <c r="X214" s="306" t="s">
        <v>1013</v>
      </c>
      <c r="Y214" s="306" t="s">
        <v>1406</v>
      </c>
      <c r="Z214" s="306" t="s">
        <v>1015</v>
      </c>
      <c r="AA214" s="306" t="s">
        <v>1013</v>
      </c>
    </row>
    <row r="215" spans="1:27" hidden="1">
      <c r="A215" s="306" t="s">
        <v>494</v>
      </c>
      <c r="B215" s="306" t="s">
        <v>1003</v>
      </c>
      <c r="C215" s="306" t="s">
        <v>1004</v>
      </c>
      <c r="D215" s="306" t="s">
        <v>1019</v>
      </c>
      <c r="E215" s="306" t="s">
        <v>1431</v>
      </c>
      <c r="F215" s="306" t="s">
        <v>1007</v>
      </c>
      <c r="G215" s="308">
        <v>46016</v>
      </c>
      <c r="H215" s="308">
        <v>46016</v>
      </c>
      <c r="I215" s="309">
        <v>-31078.81</v>
      </c>
      <c r="J215" s="306" t="s">
        <v>1008</v>
      </c>
      <c r="K215" s="309">
        <v>-31078.81</v>
      </c>
      <c r="L215" s="306" t="s">
        <v>1008</v>
      </c>
      <c r="M215" s="306" t="s">
        <v>1421</v>
      </c>
      <c r="N215" s="306" t="s">
        <v>1403</v>
      </c>
      <c r="O215" s="306" t="s">
        <v>1432</v>
      </c>
      <c r="P215" s="306" t="s">
        <v>1405</v>
      </c>
      <c r="Q215" s="306" t="s">
        <v>1013</v>
      </c>
      <c r="R215" s="306" t="s">
        <v>1013</v>
      </c>
      <c r="S215" s="306" t="s">
        <v>1013</v>
      </c>
      <c r="T215" s="306" t="s">
        <v>1406</v>
      </c>
      <c r="U215" s="306" t="s">
        <v>1013</v>
      </c>
      <c r="V215" s="306" t="s">
        <v>1013</v>
      </c>
      <c r="W215" s="306" t="s">
        <v>1013</v>
      </c>
      <c r="X215" s="306" t="s">
        <v>1013</v>
      </c>
      <c r="Y215" s="306" t="s">
        <v>1406</v>
      </c>
      <c r="Z215" s="306" t="s">
        <v>1015</v>
      </c>
      <c r="AA215" s="306" t="s">
        <v>1013</v>
      </c>
    </row>
    <row r="216" spans="1:27" hidden="1">
      <c r="A216" s="306" t="s">
        <v>494</v>
      </c>
      <c r="B216" s="306" t="s">
        <v>1003</v>
      </c>
      <c r="C216" s="306" t="s">
        <v>1004</v>
      </c>
      <c r="D216" s="306" t="s">
        <v>1019</v>
      </c>
      <c r="E216" s="306" t="s">
        <v>1433</v>
      </c>
      <c r="F216" s="306" t="s">
        <v>1007</v>
      </c>
      <c r="G216" s="308">
        <v>46016</v>
      </c>
      <c r="H216" s="308">
        <v>46016</v>
      </c>
      <c r="I216" s="309">
        <v>-108273.21</v>
      </c>
      <c r="J216" s="306" t="s">
        <v>1008</v>
      </c>
      <c r="K216" s="309">
        <v>-108273.21</v>
      </c>
      <c r="L216" s="306" t="s">
        <v>1008</v>
      </c>
      <c r="M216" s="306" t="s">
        <v>1421</v>
      </c>
      <c r="N216" s="306" t="s">
        <v>1403</v>
      </c>
      <c r="O216" s="306" t="s">
        <v>1434</v>
      </c>
      <c r="P216" s="306" t="s">
        <v>1405</v>
      </c>
      <c r="Q216" s="306" t="s">
        <v>1013</v>
      </c>
      <c r="R216" s="306" t="s">
        <v>1013</v>
      </c>
      <c r="S216" s="306" t="s">
        <v>1013</v>
      </c>
      <c r="T216" s="306" t="s">
        <v>1406</v>
      </c>
      <c r="U216" s="306" t="s">
        <v>1013</v>
      </c>
      <c r="V216" s="306" t="s">
        <v>1013</v>
      </c>
      <c r="W216" s="306" t="s">
        <v>1013</v>
      </c>
      <c r="X216" s="306" t="s">
        <v>1013</v>
      </c>
      <c r="Y216" s="306" t="s">
        <v>1406</v>
      </c>
      <c r="Z216" s="306" t="s">
        <v>1015</v>
      </c>
      <c r="AA216" s="306" t="s">
        <v>1013</v>
      </c>
    </row>
    <row r="217" spans="1:27" hidden="1">
      <c r="A217" s="306" t="s">
        <v>494</v>
      </c>
      <c r="B217" s="306" t="s">
        <v>1003</v>
      </c>
      <c r="C217" s="306" t="s">
        <v>1004</v>
      </c>
      <c r="D217" s="306" t="s">
        <v>1019</v>
      </c>
      <c r="E217" s="306" t="s">
        <v>1435</v>
      </c>
      <c r="F217" s="306" t="s">
        <v>1007</v>
      </c>
      <c r="G217" s="308">
        <v>46016</v>
      </c>
      <c r="H217" s="308">
        <v>46016</v>
      </c>
      <c r="I217" s="309">
        <v>-4124.16</v>
      </c>
      <c r="J217" s="306" t="s">
        <v>1008</v>
      </c>
      <c r="K217" s="309">
        <v>-4124.16</v>
      </c>
      <c r="L217" s="306" t="s">
        <v>1008</v>
      </c>
      <c r="M217" s="306" t="s">
        <v>1421</v>
      </c>
      <c r="N217" s="306" t="s">
        <v>1403</v>
      </c>
      <c r="O217" s="306" t="s">
        <v>1436</v>
      </c>
      <c r="P217" s="306" t="s">
        <v>1405</v>
      </c>
      <c r="Q217" s="306" t="s">
        <v>1013</v>
      </c>
      <c r="R217" s="306" t="s">
        <v>1013</v>
      </c>
      <c r="S217" s="306" t="s">
        <v>1013</v>
      </c>
      <c r="T217" s="306" t="s">
        <v>1406</v>
      </c>
      <c r="U217" s="306" t="s">
        <v>1013</v>
      </c>
      <c r="V217" s="306" t="s">
        <v>1013</v>
      </c>
      <c r="W217" s="306" t="s">
        <v>1013</v>
      </c>
      <c r="X217" s="306" t="s">
        <v>1013</v>
      </c>
      <c r="Y217" s="306" t="s">
        <v>1406</v>
      </c>
      <c r="Z217" s="306" t="s">
        <v>1015</v>
      </c>
      <c r="AA217" s="306" t="s">
        <v>1013</v>
      </c>
    </row>
    <row r="218" spans="1:27" hidden="1">
      <c r="A218" s="306" t="s">
        <v>494</v>
      </c>
      <c r="B218" s="306" t="s">
        <v>1003</v>
      </c>
      <c r="C218" s="306" t="s">
        <v>1004</v>
      </c>
      <c r="D218" s="306" t="s">
        <v>1019</v>
      </c>
      <c r="E218" s="306" t="s">
        <v>1437</v>
      </c>
      <c r="F218" s="306" t="s">
        <v>1007</v>
      </c>
      <c r="G218" s="308">
        <v>46016</v>
      </c>
      <c r="H218" s="308">
        <v>46016</v>
      </c>
      <c r="I218" s="309">
        <v>-1025</v>
      </c>
      <c r="J218" s="306" t="s">
        <v>1008</v>
      </c>
      <c r="K218" s="309">
        <v>-1025</v>
      </c>
      <c r="L218" s="306" t="s">
        <v>1008</v>
      </c>
      <c r="M218" s="306" t="s">
        <v>1421</v>
      </c>
      <c r="N218" s="306" t="s">
        <v>1403</v>
      </c>
      <c r="O218" s="306" t="s">
        <v>1438</v>
      </c>
      <c r="P218" s="306" t="s">
        <v>1405</v>
      </c>
      <c r="Q218" s="306" t="s">
        <v>1013</v>
      </c>
      <c r="R218" s="306" t="s">
        <v>1013</v>
      </c>
      <c r="S218" s="306" t="s">
        <v>1013</v>
      </c>
      <c r="T218" s="306" t="s">
        <v>1406</v>
      </c>
      <c r="U218" s="306" t="s">
        <v>1013</v>
      </c>
      <c r="V218" s="306" t="s">
        <v>1013</v>
      </c>
      <c r="W218" s="306" t="s">
        <v>1013</v>
      </c>
      <c r="X218" s="306" t="s">
        <v>1013</v>
      </c>
      <c r="Y218" s="306" t="s">
        <v>1406</v>
      </c>
      <c r="Z218" s="306" t="s">
        <v>1015</v>
      </c>
      <c r="AA218" s="306" t="s">
        <v>1013</v>
      </c>
    </row>
    <row r="219" spans="1:27" hidden="1">
      <c r="A219" s="306" t="s">
        <v>494</v>
      </c>
      <c r="B219" s="306" t="s">
        <v>1003</v>
      </c>
      <c r="C219" s="306" t="s">
        <v>1004</v>
      </c>
      <c r="D219" s="306" t="s">
        <v>1019</v>
      </c>
      <c r="E219" s="306" t="s">
        <v>1439</v>
      </c>
      <c r="F219" s="306" t="s">
        <v>1007</v>
      </c>
      <c r="G219" s="308">
        <v>46016</v>
      </c>
      <c r="H219" s="308">
        <v>46016</v>
      </c>
      <c r="I219" s="309">
        <v>-5624.77</v>
      </c>
      <c r="J219" s="306" t="s">
        <v>1008</v>
      </c>
      <c r="K219" s="309">
        <v>-5624.77</v>
      </c>
      <c r="L219" s="306" t="s">
        <v>1008</v>
      </c>
      <c r="M219" s="306" t="s">
        <v>1421</v>
      </c>
      <c r="N219" s="306" t="s">
        <v>1403</v>
      </c>
      <c r="O219" s="306" t="s">
        <v>1440</v>
      </c>
      <c r="P219" s="306" t="s">
        <v>1405</v>
      </c>
      <c r="Q219" s="306" t="s">
        <v>1013</v>
      </c>
      <c r="R219" s="306" t="s">
        <v>1013</v>
      </c>
      <c r="S219" s="306" t="s">
        <v>1013</v>
      </c>
      <c r="T219" s="306" t="s">
        <v>1406</v>
      </c>
      <c r="U219" s="306" t="s">
        <v>1013</v>
      </c>
      <c r="V219" s="306" t="s">
        <v>1013</v>
      </c>
      <c r="W219" s="306" t="s">
        <v>1013</v>
      </c>
      <c r="X219" s="306" t="s">
        <v>1013</v>
      </c>
      <c r="Y219" s="306" t="s">
        <v>1406</v>
      </c>
      <c r="Z219" s="306" t="s">
        <v>1015</v>
      </c>
      <c r="AA219" s="306" t="s">
        <v>1013</v>
      </c>
    </row>
    <row r="220" spans="1:27" hidden="1">
      <c r="A220" s="306" t="s">
        <v>494</v>
      </c>
      <c r="B220" s="306" t="s">
        <v>1003</v>
      </c>
      <c r="C220" s="306" t="s">
        <v>1004</v>
      </c>
      <c r="D220" s="306" t="s">
        <v>1019</v>
      </c>
      <c r="E220" s="306" t="s">
        <v>1441</v>
      </c>
      <c r="F220" s="306" t="s">
        <v>1007</v>
      </c>
      <c r="G220" s="308">
        <v>46016</v>
      </c>
      <c r="H220" s="308">
        <v>46016</v>
      </c>
      <c r="I220" s="309">
        <v>-5647.65</v>
      </c>
      <c r="J220" s="306" t="s">
        <v>1008</v>
      </c>
      <c r="K220" s="309">
        <v>-5647.65</v>
      </c>
      <c r="L220" s="306" t="s">
        <v>1008</v>
      </c>
      <c r="M220" s="306" t="s">
        <v>1421</v>
      </c>
      <c r="N220" s="306" t="s">
        <v>1403</v>
      </c>
      <c r="O220" s="306" t="s">
        <v>1442</v>
      </c>
      <c r="P220" s="306" t="s">
        <v>1405</v>
      </c>
      <c r="Q220" s="306" t="s">
        <v>1013</v>
      </c>
      <c r="R220" s="306" t="s">
        <v>1013</v>
      </c>
      <c r="S220" s="306" t="s">
        <v>1013</v>
      </c>
      <c r="T220" s="306" t="s">
        <v>1406</v>
      </c>
      <c r="U220" s="306" t="s">
        <v>1013</v>
      </c>
      <c r="V220" s="306" t="s">
        <v>1013</v>
      </c>
      <c r="W220" s="306" t="s">
        <v>1013</v>
      </c>
      <c r="X220" s="306" t="s">
        <v>1013</v>
      </c>
      <c r="Y220" s="306" t="s">
        <v>1406</v>
      </c>
      <c r="Z220" s="306" t="s">
        <v>1015</v>
      </c>
      <c r="AA220" s="306" t="s">
        <v>1013</v>
      </c>
    </row>
    <row r="221" spans="1:27" hidden="1">
      <c r="A221" s="306" t="s">
        <v>494</v>
      </c>
      <c r="B221" s="306" t="s">
        <v>1003</v>
      </c>
      <c r="C221" s="306" t="s">
        <v>1004</v>
      </c>
      <c r="D221" s="306" t="s">
        <v>1005</v>
      </c>
      <c r="E221" s="306" t="s">
        <v>1443</v>
      </c>
      <c r="F221" s="306" t="s">
        <v>1007</v>
      </c>
      <c r="G221" s="308">
        <v>46016</v>
      </c>
      <c r="H221" s="308">
        <v>46016</v>
      </c>
      <c r="I221" s="309">
        <v>-43267.199999999997</v>
      </c>
      <c r="J221" s="306" t="s">
        <v>1008</v>
      </c>
      <c r="K221" s="309">
        <v>-43267.199999999997</v>
      </c>
      <c r="L221" s="306" t="s">
        <v>1008</v>
      </c>
      <c r="M221" s="306" t="s">
        <v>1402</v>
      </c>
      <c r="N221" s="306" t="s">
        <v>1403</v>
      </c>
      <c r="O221" s="306" t="s">
        <v>1444</v>
      </c>
      <c r="P221" s="306" t="s">
        <v>1405</v>
      </c>
      <c r="Q221" s="306" t="s">
        <v>1013</v>
      </c>
      <c r="R221" s="306" t="s">
        <v>1013</v>
      </c>
      <c r="S221" s="306" t="s">
        <v>1013</v>
      </c>
      <c r="T221" s="306" t="s">
        <v>1406</v>
      </c>
      <c r="U221" s="306" t="s">
        <v>1013</v>
      </c>
      <c r="V221" s="306" t="s">
        <v>1013</v>
      </c>
      <c r="W221" s="306" t="s">
        <v>1013</v>
      </c>
      <c r="X221" s="306" t="s">
        <v>1013</v>
      </c>
      <c r="Y221" s="306" t="s">
        <v>1406</v>
      </c>
      <c r="Z221" s="306" t="s">
        <v>1015</v>
      </c>
      <c r="AA221" s="306" t="s">
        <v>1013</v>
      </c>
    </row>
    <row r="222" spans="1:27" hidden="1">
      <c r="A222" s="306" t="s">
        <v>494</v>
      </c>
      <c r="B222" s="306" t="s">
        <v>1003</v>
      </c>
      <c r="C222" s="306" t="s">
        <v>1004</v>
      </c>
      <c r="D222" s="306" t="s">
        <v>1019</v>
      </c>
      <c r="E222" s="306" t="s">
        <v>1445</v>
      </c>
      <c r="F222" s="306" t="s">
        <v>1007</v>
      </c>
      <c r="G222" s="308">
        <v>46016</v>
      </c>
      <c r="H222" s="308">
        <v>46016</v>
      </c>
      <c r="I222" s="309">
        <v>-4578.03</v>
      </c>
      <c r="J222" s="306" t="s">
        <v>1008</v>
      </c>
      <c r="K222" s="309">
        <v>-4578.03</v>
      </c>
      <c r="L222" s="306" t="s">
        <v>1008</v>
      </c>
      <c r="M222" s="306" t="s">
        <v>1421</v>
      </c>
      <c r="N222" s="306" t="s">
        <v>1403</v>
      </c>
      <c r="O222" s="306" t="s">
        <v>1446</v>
      </c>
      <c r="P222" s="306" t="s">
        <v>1405</v>
      </c>
      <c r="Q222" s="306" t="s">
        <v>1013</v>
      </c>
      <c r="R222" s="306" t="s">
        <v>1013</v>
      </c>
      <c r="S222" s="306" t="s">
        <v>1013</v>
      </c>
      <c r="T222" s="306" t="s">
        <v>1406</v>
      </c>
      <c r="U222" s="306" t="s">
        <v>1013</v>
      </c>
      <c r="V222" s="306" t="s">
        <v>1013</v>
      </c>
      <c r="W222" s="306" t="s">
        <v>1013</v>
      </c>
      <c r="X222" s="306" t="s">
        <v>1013</v>
      </c>
      <c r="Y222" s="306" t="s">
        <v>1406</v>
      </c>
      <c r="Z222" s="306" t="s">
        <v>1015</v>
      </c>
      <c r="AA222" s="306" t="s">
        <v>1013</v>
      </c>
    </row>
    <row r="223" spans="1:27" hidden="1">
      <c r="A223" s="306" t="s">
        <v>494</v>
      </c>
      <c r="B223" s="306" t="s">
        <v>1003</v>
      </c>
      <c r="C223" s="306" t="s">
        <v>1004</v>
      </c>
      <c r="D223" s="306" t="s">
        <v>1019</v>
      </c>
      <c r="E223" s="306" t="s">
        <v>1447</v>
      </c>
      <c r="F223" s="306" t="s">
        <v>1007</v>
      </c>
      <c r="G223" s="308">
        <v>46016</v>
      </c>
      <c r="H223" s="308">
        <v>46016</v>
      </c>
      <c r="I223" s="309">
        <v>-1924.83</v>
      </c>
      <c r="J223" s="306" t="s">
        <v>1008</v>
      </c>
      <c r="K223" s="309">
        <v>-1924.83</v>
      </c>
      <c r="L223" s="306" t="s">
        <v>1008</v>
      </c>
      <c r="M223" s="306" t="s">
        <v>1421</v>
      </c>
      <c r="N223" s="306" t="s">
        <v>1403</v>
      </c>
      <c r="O223" s="306" t="s">
        <v>1448</v>
      </c>
      <c r="P223" s="306" t="s">
        <v>1405</v>
      </c>
      <c r="Q223" s="306" t="s">
        <v>1013</v>
      </c>
      <c r="R223" s="306" t="s">
        <v>1013</v>
      </c>
      <c r="S223" s="306" t="s">
        <v>1013</v>
      </c>
      <c r="T223" s="306" t="s">
        <v>1406</v>
      </c>
      <c r="U223" s="306" t="s">
        <v>1013</v>
      </c>
      <c r="V223" s="306" t="s">
        <v>1013</v>
      </c>
      <c r="W223" s="306" t="s">
        <v>1013</v>
      </c>
      <c r="X223" s="306" t="s">
        <v>1013</v>
      </c>
      <c r="Y223" s="306" t="s">
        <v>1406</v>
      </c>
      <c r="Z223" s="306" t="s">
        <v>1015</v>
      </c>
      <c r="AA223" s="306" t="s">
        <v>1013</v>
      </c>
    </row>
    <row r="224" spans="1:27" hidden="1">
      <c r="A224" s="306" t="s">
        <v>494</v>
      </c>
      <c r="B224" s="306" t="s">
        <v>1003</v>
      </c>
      <c r="C224" s="306" t="s">
        <v>1004</v>
      </c>
      <c r="D224" s="306" t="s">
        <v>1019</v>
      </c>
      <c r="E224" s="306" t="s">
        <v>1449</v>
      </c>
      <c r="F224" s="306" t="s">
        <v>1007</v>
      </c>
      <c r="G224" s="308">
        <v>46016</v>
      </c>
      <c r="H224" s="308">
        <v>46016</v>
      </c>
      <c r="I224" s="309">
        <v>-897.1</v>
      </c>
      <c r="J224" s="306" t="s">
        <v>1008</v>
      </c>
      <c r="K224" s="309">
        <v>-897.1</v>
      </c>
      <c r="L224" s="306" t="s">
        <v>1008</v>
      </c>
      <c r="M224" s="306" t="s">
        <v>1421</v>
      </c>
      <c r="N224" s="306" t="s">
        <v>1403</v>
      </c>
      <c r="O224" s="306" t="s">
        <v>1450</v>
      </c>
      <c r="P224" s="306" t="s">
        <v>1405</v>
      </c>
      <c r="Q224" s="306" t="s">
        <v>1013</v>
      </c>
      <c r="R224" s="306" t="s">
        <v>1013</v>
      </c>
      <c r="S224" s="306" t="s">
        <v>1013</v>
      </c>
      <c r="T224" s="306" t="s">
        <v>1406</v>
      </c>
      <c r="U224" s="306" t="s">
        <v>1013</v>
      </c>
      <c r="V224" s="306" t="s">
        <v>1013</v>
      </c>
      <c r="W224" s="306" t="s">
        <v>1013</v>
      </c>
      <c r="X224" s="306" t="s">
        <v>1013</v>
      </c>
      <c r="Y224" s="306" t="s">
        <v>1406</v>
      </c>
      <c r="Z224" s="306" t="s">
        <v>1015</v>
      </c>
      <c r="AA224" s="306" t="s">
        <v>1013</v>
      </c>
    </row>
    <row r="225" spans="1:27" hidden="1">
      <c r="A225" s="306" t="s">
        <v>494</v>
      </c>
      <c r="B225" s="306" t="s">
        <v>1003</v>
      </c>
      <c r="C225" s="306" t="s">
        <v>1004</v>
      </c>
      <c r="D225" s="306" t="s">
        <v>1019</v>
      </c>
      <c r="E225" s="306" t="s">
        <v>1451</v>
      </c>
      <c r="F225" s="306" t="s">
        <v>1007</v>
      </c>
      <c r="G225" s="308">
        <v>46016</v>
      </c>
      <c r="H225" s="308">
        <v>46016</v>
      </c>
      <c r="I225" s="309">
        <v>-897.1</v>
      </c>
      <c r="J225" s="306" t="s">
        <v>1008</v>
      </c>
      <c r="K225" s="309">
        <v>-897.1</v>
      </c>
      <c r="L225" s="306" t="s">
        <v>1008</v>
      </c>
      <c r="M225" s="306" t="s">
        <v>1421</v>
      </c>
      <c r="N225" s="306" t="s">
        <v>1403</v>
      </c>
      <c r="O225" s="306" t="s">
        <v>1452</v>
      </c>
      <c r="P225" s="306" t="s">
        <v>1405</v>
      </c>
      <c r="Q225" s="306" t="s">
        <v>1013</v>
      </c>
      <c r="R225" s="306" t="s">
        <v>1013</v>
      </c>
      <c r="S225" s="306" t="s">
        <v>1013</v>
      </c>
      <c r="T225" s="306" t="s">
        <v>1406</v>
      </c>
      <c r="U225" s="306" t="s">
        <v>1013</v>
      </c>
      <c r="V225" s="306" t="s">
        <v>1013</v>
      </c>
      <c r="W225" s="306" t="s">
        <v>1013</v>
      </c>
      <c r="X225" s="306" t="s">
        <v>1013</v>
      </c>
      <c r="Y225" s="306" t="s">
        <v>1406</v>
      </c>
      <c r="Z225" s="306" t="s">
        <v>1015</v>
      </c>
      <c r="AA225" s="306" t="s">
        <v>1013</v>
      </c>
    </row>
    <row r="226" spans="1:27" hidden="1">
      <c r="A226" s="306" t="s">
        <v>494</v>
      </c>
      <c r="B226" s="306" t="s">
        <v>1003</v>
      </c>
      <c r="C226" s="306" t="s">
        <v>1004</v>
      </c>
      <c r="D226" s="306" t="s">
        <v>1019</v>
      </c>
      <c r="E226" s="306" t="s">
        <v>1453</v>
      </c>
      <c r="F226" s="306" t="s">
        <v>1007</v>
      </c>
      <c r="G226" s="308">
        <v>46016</v>
      </c>
      <c r="H226" s="308">
        <v>46016</v>
      </c>
      <c r="I226" s="309">
        <v>-862.63</v>
      </c>
      <c r="J226" s="306" t="s">
        <v>1008</v>
      </c>
      <c r="K226" s="309">
        <v>-862.63</v>
      </c>
      <c r="L226" s="306" t="s">
        <v>1008</v>
      </c>
      <c r="M226" s="306" t="s">
        <v>1421</v>
      </c>
      <c r="N226" s="306" t="s">
        <v>1403</v>
      </c>
      <c r="O226" s="306" t="s">
        <v>1454</v>
      </c>
      <c r="P226" s="306" t="s">
        <v>1405</v>
      </c>
      <c r="Q226" s="306" t="s">
        <v>1013</v>
      </c>
      <c r="R226" s="306" t="s">
        <v>1013</v>
      </c>
      <c r="S226" s="306" t="s">
        <v>1013</v>
      </c>
      <c r="T226" s="306" t="s">
        <v>1406</v>
      </c>
      <c r="U226" s="306" t="s">
        <v>1013</v>
      </c>
      <c r="V226" s="306" t="s">
        <v>1013</v>
      </c>
      <c r="W226" s="306" t="s">
        <v>1013</v>
      </c>
      <c r="X226" s="306" t="s">
        <v>1013</v>
      </c>
      <c r="Y226" s="306" t="s">
        <v>1406</v>
      </c>
      <c r="Z226" s="306" t="s">
        <v>1015</v>
      </c>
      <c r="AA226" s="306" t="s">
        <v>1013</v>
      </c>
    </row>
    <row r="227" spans="1:27" hidden="1">
      <c r="A227" s="306" t="s">
        <v>494</v>
      </c>
      <c r="B227" s="306" t="s">
        <v>1003</v>
      </c>
      <c r="C227" s="306" t="s">
        <v>1004</v>
      </c>
      <c r="D227" s="306" t="s">
        <v>1019</v>
      </c>
      <c r="E227" s="306" t="s">
        <v>1455</v>
      </c>
      <c r="F227" s="306" t="s">
        <v>1007</v>
      </c>
      <c r="G227" s="308">
        <v>46016</v>
      </c>
      <c r="H227" s="308">
        <v>46016</v>
      </c>
      <c r="I227" s="309">
        <v>-457.17</v>
      </c>
      <c r="J227" s="306" t="s">
        <v>1008</v>
      </c>
      <c r="K227" s="309">
        <v>-457.17</v>
      </c>
      <c r="L227" s="306" t="s">
        <v>1008</v>
      </c>
      <c r="M227" s="306" t="s">
        <v>1421</v>
      </c>
      <c r="N227" s="306" t="s">
        <v>1403</v>
      </c>
      <c r="O227" s="306" t="s">
        <v>1456</v>
      </c>
      <c r="P227" s="306" t="s">
        <v>1405</v>
      </c>
      <c r="Q227" s="306" t="s">
        <v>1013</v>
      </c>
      <c r="R227" s="306" t="s">
        <v>1013</v>
      </c>
      <c r="S227" s="306" t="s">
        <v>1013</v>
      </c>
      <c r="T227" s="306" t="s">
        <v>1406</v>
      </c>
      <c r="U227" s="306" t="s">
        <v>1013</v>
      </c>
      <c r="V227" s="306" t="s">
        <v>1013</v>
      </c>
      <c r="W227" s="306" t="s">
        <v>1013</v>
      </c>
      <c r="X227" s="306" t="s">
        <v>1013</v>
      </c>
      <c r="Y227" s="306" t="s">
        <v>1406</v>
      </c>
      <c r="Z227" s="306" t="s">
        <v>1015</v>
      </c>
      <c r="AA227" s="306" t="s">
        <v>1013</v>
      </c>
    </row>
    <row r="228" spans="1:27" hidden="1">
      <c r="A228" s="306" t="s">
        <v>494</v>
      </c>
      <c r="B228" s="306" t="s">
        <v>1003</v>
      </c>
      <c r="C228" s="306" t="s">
        <v>1004</v>
      </c>
      <c r="D228" s="306" t="s">
        <v>1019</v>
      </c>
      <c r="E228" s="306" t="s">
        <v>1457</v>
      </c>
      <c r="F228" s="306" t="s">
        <v>1007</v>
      </c>
      <c r="G228" s="308">
        <v>46016</v>
      </c>
      <c r="H228" s="308">
        <v>46016</v>
      </c>
      <c r="I228" s="309">
        <v>-17094.46</v>
      </c>
      <c r="J228" s="306" t="s">
        <v>1008</v>
      </c>
      <c r="K228" s="309">
        <v>-17094.46</v>
      </c>
      <c r="L228" s="306" t="s">
        <v>1008</v>
      </c>
      <c r="M228" s="306" t="s">
        <v>1421</v>
      </c>
      <c r="N228" s="306" t="s">
        <v>1403</v>
      </c>
      <c r="O228" s="306" t="s">
        <v>1224</v>
      </c>
      <c r="P228" s="306" t="s">
        <v>1405</v>
      </c>
      <c r="Q228" s="306" t="s">
        <v>1013</v>
      </c>
      <c r="R228" s="306" t="s">
        <v>1013</v>
      </c>
      <c r="S228" s="306" t="s">
        <v>1013</v>
      </c>
      <c r="T228" s="306" t="s">
        <v>1406</v>
      </c>
      <c r="U228" s="306" t="s">
        <v>1013</v>
      </c>
      <c r="V228" s="306" t="s">
        <v>1013</v>
      </c>
      <c r="W228" s="306" t="s">
        <v>1013</v>
      </c>
      <c r="X228" s="306" t="s">
        <v>1013</v>
      </c>
      <c r="Y228" s="306" t="s">
        <v>1406</v>
      </c>
      <c r="Z228" s="306" t="s">
        <v>1015</v>
      </c>
      <c r="AA228" s="306" t="s">
        <v>1013</v>
      </c>
    </row>
    <row r="229" spans="1:27" hidden="1">
      <c r="A229" s="306" t="s">
        <v>494</v>
      </c>
      <c r="B229" s="306" t="s">
        <v>1003</v>
      </c>
      <c r="C229" s="306" t="s">
        <v>1004</v>
      </c>
      <c r="D229" s="306" t="s">
        <v>1019</v>
      </c>
      <c r="E229" s="306" t="s">
        <v>1458</v>
      </c>
      <c r="F229" s="306" t="s">
        <v>1007</v>
      </c>
      <c r="G229" s="308">
        <v>46016</v>
      </c>
      <c r="H229" s="308">
        <v>46016</v>
      </c>
      <c r="I229" s="309">
        <v>-1692216.99</v>
      </c>
      <c r="J229" s="306" t="s">
        <v>1008</v>
      </c>
      <c r="K229" s="309">
        <v>-1692216.99</v>
      </c>
      <c r="L229" s="306" t="s">
        <v>1008</v>
      </c>
      <c r="M229" s="306" t="s">
        <v>1421</v>
      </c>
      <c r="N229" s="306" t="s">
        <v>1403</v>
      </c>
      <c r="O229" s="306" t="s">
        <v>1459</v>
      </c>
      <c r="P229" s="306" t="s">
        <v>1405</v>
      </c>
      <c r="Q229" s="306" t="s">
        <v>1013</v>
      </c>
      <c r="R229" s="306" t="s">
        <v>1013</v>
      </c>
      <c r="S229" s="306" t="s">
        <v>1013</v>
      </c>
      <c r="T229" s="306" t="s">
        <v>1406</v>
      </c>
      <c r="U229" s="306" t="s">
        <v>1013</v>
      </c>
      <c r="V229" s="306" t="s">
        <v>1013</v>
      </c>
      <c r="W229" s="306" t="s">
        <v>1013</v>
      </c>
      <c r="X229" s="306" t="s">
        <v>1013</v>
      </c>
      <c r="Y229" s="306" t="s">
        <v>1406</v>
      </c>
      <c r="Z229" s="306" t="s">
        <v>1015</v>
      </c>
      <c r="AA229" s="306" t="s">
        <v>1013</v>
      </c>
    </row>
    <row r="230" spans="1:27" hidden="1">
      <c r="A230" s="306" t="s">
        <v>494</v>
      </c>
      <c r="B230" s="306" t="s">
        <v>1003</v>
      </c>
      <c r="C230" s="306" t="s">
        <v>1004</v>
      </c>
      <c r="D230" s="306" t="s">
        <v>1019</v>
      </c>
      <c r="E230" s="306" t="s">
        <v>1460</v>
      </c>
      <c r="F230" s="306" t="s">
        <v>1007</v>
      </c>
      <c r="G230" s="308">
        <v>46016</v>
      </c>
      <c r="H230" s="308">
        <v>46016</v>
      </c>
      <c r="I230" s="309">
        <v>-2557.38</v>
      </c>
      <c r="J230" s="306" t="s">
        <v>1008</v>
      </c>
      <c r="K230" s="309">
        <v>-2557.38</v>
      </c>
      <c r="L230" s="306" t="s">
        <v>1008</v>
      </c>
      <c r="M230" s="306" t="s">
        <v>1421</v>
      </c>
      <c r="N230" s="306" t="s">
        <v>1403</v>
      </c>
      <c r="O230" s="306" t="s">
        <v>1461</v>
      </c>
      <c r="P230" s="306" t="s">
        <v>1405</v>
      </c>
      <c r="Q230" s="306" t="s">
        <v>1013</v>
      </c>
      <c r="R230" s="306" t="s">
        <v>1013</v>
      </c>
      <c r="S230" s="306" t="s">
        <v>1013</v>
      </c>
      <c r="T230" s="306" t="s">
        <v>1406</v>
      </c>
      <c r="U230" s="306" t="s">
        <v>1013</v>
      </c>
      <c r="V230" s="306" t="s">
        <v>1013</v>
      </c>
      <c r="W230" s="306" t="s">
        <v>1013</v>
      </c>
      <c r="X230" s="306" t="s">
        <v>1013</v>
      </c>
      <c r="Y230" s="306" t="s">
        <v>1406</v>
      </c>
      <c r="Z230" s="306" t="s">
        <v>1015</v>
      </c>
      <c r="AA230" s="306" t="s">
        <v>1013</v>
      </c>
    </row>
    <row r="231" spans="1:27" hidden="1">
      <c r="A231" s="306" t="s">
        <v>494</v>
      </c>
      <c r="B231" s="306" t="s">
        <v>1003</v>
      </c>
      <c r="C231" s="306" t="s">
        <v>1004</v>
      </c>
      <c r="D231" s="306" t="s">
        <v>1019</v>
      </c>
      <c r="E231" s="306" t="s">
        <v>1462</v>
      </c>
      <c r="F231" s="306" t="s">
        <v>1007</v>
      </c>
      <c r="G231" s="308">
        <v>46016</v>
      </c>
      <c r="H231" s="308">
        <v>46016</v>
      </c>
      <c r="I231" s="309">
        <v>-29009.439999999999</v>
      </c>
      <c r="J231" s="306" t="s">
        <v>1008</v>
      </c>
      <c r="K231" s="309">
        <v>-29009.439999999999</v>
      </c>
      <c r="L231" s="306" t="s">
        <v>1008</v>
      </c>
      <c r="M231" s="306" t="s">
        <v>1421</v>
      </c>
      <c r="N231" s="306" t="s">
        <v>1403</v>
      </c>
      <c r="O231" s="306" t="s">
        <v>1463</v>
      </c>
      <c r="P231" s="306" t="s">
        <v>1405</v>
      </c>
      <c r="Q231" s="306" t="s">
        <v>1013</v>
      </c>
      <c r="R231" s="306" t="s">
        <v>1013</v>
      </c>
      <c r="S231" s="306" t="s">
        <v>1013</v>
      </c>
      <c r="T231" s="306" t="s">
        <v>1406</v>
      </c>
      <c r="U231" s="306" t="s">
        <v>1013</v>
      </c>
      <c r="V231" s="306" t="s">
        <v>1013</v>
      </c>
      <c r="W231" s="306" t="s">
        <v>1013</v>
      </c>
      <c r="X231" s="306" t="s">
        <v>1013</v>
      </c>
      <c r="Y231" s="306" t="s">
        <v>1406</v>
      </c>
      <c r="Z231" s="306" t="s">
        <v>1015</v>
      </c>
      <c r="AA231" s="306" t="s">
        <v>1013</v>
      </c>
    </row>
    <row r="232" spans="1:27" hidden="1">
      <c r="A232" s="306" t="s">
        <v>494</v>
      </c>
      <c r="B232" s="306" t="s">
        <v>1003</v>
      </c>
      <c r="C232" s="306" t="s">
        <v>1004</v>
      </c>
      <c r="D232" s="306" t="s">
        <v>1019</v>
      </c>
      <c r="E232" s="306" t="s">
        <v>1464</v>
      </c>
      <c r="F232" s="306" t="s">
        <v>1007</v>
      </c>
      <c r="G232" s="308">
        <v>46016</v>
      </c>
      <c r="H232" s="308">
        <v>46016</v>
      </c>
      <c r="I232" s="309">
        <v>-87028.3</v>
      </c>
      <c r="J232" s="306" t="s">
        <v>1008</v>
      </c>
      <c r="K232" s="309">
        <v>-87028.3</v>
      </c>
      <c r="L232" s="306" t="s">
        <v>1008</v>
      </c>
      <c r="M232" s="306" t="s">
        <v>1421</v>
      </c>
      <c r="N232" s="306" t="s">
        <v>1403</v>
      </c>
      <c r="O232" s="306" t="s">
        <v>1465</v>
      </c>
      <c r="P232" s="306" t="s">
        <v>1405</v>
      </c>
      <c r="Q232" s="306" t="s">
        <v>1013</v>
      </c>
      <c r="R232" s="306" t="s">
        <v>1013</v>
      </c>
      <c r="S232" s="306" t="s">
        <v>1013</v>
      </c>
      <c r="T232" s="306" t="s">
        <v>1406</v>
      </c>
      <c r="U232" s="306" t="s">
        <v>1013</v>
      </c>
      <c r="V232" s="306" t="s">
        <v>1013</v>
      </c>
      <c r="W232" s="306" t="s">
        <v>1013</v>
      </c>
      <c r="X232" s="306" t="s">
        <v>1013</v>
      </c>
      <c r="Y232" s="306" t="s">
        <v>1406</v>
      </c>
      <c r="Z232" s="306" t="s">
        <v>1015</v>
      </c>
      <c r="AA232" s="306" t="s">
        <v>1013</v>
      </c>
    </row>
    <row r="233" spans="1:27" hidden="1">
      <c r="A233" s="306" t="s">
        <v>494</v>
      </c>
      <c r="B233" s="306" t="s">
        <v>1003</v>
      </c>
      <c r="C233" s="306" t="s">
        <v>1004</v>
      </c>
      <c r="D233" s="306" t="s">
        <v>1005</v>
      </c>
      <c r="E233" s="306" t="s">
        <v>1466</v>
      </c>
      <c r="F233" s="306" t="s">
        <v>1007</v>
      </c>
      <c r="G233" s="308">
        <v>46016</v>
      </c>
      <c r="H233" s="308">
        <v>46016</v>
      </c>
      <c r="I233" s="309">
        <v>-27820671.93</v>
      </c>
      <c r="J233" s="306" t="s">
        <v>1008</v>
      </c>
      <c r="K233" s="309">
        <v>-27820671.93</v>
      </c>
      <c r="L233" s="306" t="s">
        <v>1008</v>
      </c>
      <c r="M233" s="306" t="s">
        <v>1402</v>
      </c>
      <c r="N233" s="306" t="s">
        <v>1403</v>
      </c>
      <c r="O233" s="306" t="s">
        <v>1413</v>
      </c>
      <c r="P233" s="306" t="s">
        <v>1405</v>
      </c>
      <c r="Q233" s="306" t="s">
        <v>1013</v>
      </c>
      <c r="R233" s="306" t="s">
        <v>1013</v>
      </c>
      <c r="S233" s="306" t="s">
        <v>1013</v>
      </c>
      <c r="T233" s="306" t="s">
        <v>1406</v>
      </c>
      <c r="U233" s="306" t="s">
        <v>1013</v>
      </c>
      <c r="V233" s="306" t="s">
        <v>1013</v>
      </c>
      <c r="W233" s="306" t="s">
        <v>1013</v>
      </c>
      <c r="X233" s="306" t="s">
        <v>1013</v>
      </c>
      <c r="Y233" s="306" t="s">
        <v>1406</v>
      </c>
      <c r="Z233" s="306" t="s">
        <v>1015</v>
      </c>
      <c r="AA233" s="306" t="s">
        <v>1013</v>
      </c>
    </row>
    <row r="234" spans="1:27" hidden="1">
      <c r="A234" s="306" t="s">
        <v>494</v>
      </c>
      <c r="B234" s="306" t="s">
        <v>1003</v>
      </c>
      <c r="C234" s="306" t="s">
        <v>1004</v>
      </c>
      <c r="D234" s="306" t="s">
        <v>1031</v>
      </c>
      <c r="E234" s="306" t="s">
        <v>1467</v>
      </c>
      <c r="F234" s="306" t="s">
        <v>1007</v>
      </c>
      <c r="G234" s="308">
        <v>46016</v>
      </c>
      <c r="H234" s="308">
        <v>46016</v>
      </c>
      <c r="I234" s="309">
        <v>-11898692.09</v>
      </c>
      <c r="J234" s="306" t="s">
        <v>1008</v>
      </c>
      <c r="K234" s="309">
        <v>-11898692.09</v>
      </c>
      <c r="L234" s="306" t="s">
        <v>1008</v>
      </c>
      <c r="M234" s="306" t="s">
        <v>1410</v>
      </c>
      <c r="N234" s="306" t="s">
        <v>1403</v>
      </c>
      <c r="O234" s="306" t="s">
        <v>1415</v>
      </c>
      <c r="P234" s="306" t="s">
        <v>1405</v>
      </c>
      <c r="Q234" s="306" t="s">
        <v>1013</v>
      </c>
      <c r="R234" s="306" t="s">
        <v>1013</v>
      </c>
      <c r="S234" s="306" t="s">
        <v>1013</v>
      </c>
      <c r="T234" s="306" t="s">
        <v>1406</v>
      </c>
      <c r="U234" s="306" t="s">
        <v>1013</v>
      </c>
      <c r="V234" s="306" t="s">
        <v>1013</v>
      </c>
      <c r="W234" s="306" t="s">
        <v>1013</v>
      </c>
      <c r="X234" s="306" t="s">
        <v>1013</v>
      </c>
      <c r="Y234" s="306" t="s">
        <v>1406</v>
      </c>
      <c r="Z234" s="306" t="s">
        <v>1015</v>
      </c>
      <c r="AA234" s="306" t="s">
        <v>1013</v>
      </c>
    </row>
    <row r="235" spans="1:27" hidden="1">
      <c r="A235" s="306" t="s">
        <v>494</v>
      </c>
      <c r="B235" s="306" t="s">
        <v>1003</v>
      </c>
      <c r="C235" s="306" t="s">
        <v>1004</v>
      </c>
      <c r="D235" s="306" t="s">
        <v>1031</v>
      </c>
      <c r="E235" s="306" t="s">
        <v>1468</v>
      </c>
      <c r="F235" s="306" t="s">
        <v>1007</v>
      </c>
      <c r="G235" s="308">
        <v>46016</v>
      </c>
      <c r="H235" s="308">
        <v>46016</v>
      </c>
      <c r="I235" s="309">
        <v>-43186.06</v>
      </c>
      <c r="J235" s="306" t="s">
        <v>1008</v>
      </c>
      <c r="K235" s="309">
        <v>-43186.06</v>
      </c>
      <c r="L235" s="306" t="s">
        <v>1008</v>
      </c>
      <c r="M235" s="306" t="s">
        <v>1410</v>
      </c>
      <c r="N235" s="306" t="s">
        <v>1403</v>
      </c>
      <c r="O235" s="306" t="s">
        <v>1469</v>
      </c>
      <c r="P235" s="306" t="s">
        <v>1405</v>
      </c>
      <c r="Q235" s="306" t="s">
        <v>1013</v>
      </c>
      <c r="R235" s="306" t="s">
        <v>1013</v>
      </c>
      <c r="S235" s="306" t="s">
        <v>1013</v>
      </c>
      <c r="T235" s="306" t="s">
        <v>1406</v>
      </c>
      <c r="U235" s="306" t="s">
        <v>1013</v>
      </c>
      <c r="V235" s="306" t="s">
        <v>1013</v>
      </c>
      <c r="W235" s="306" t="s">
        <v>1013</v>
      </c>
      <c r="X235" s="306" t="s">
        <v>1013</v>
      </c>
      <c r="Y235" s="306" t="s">
        <v>1406</v>
      </c>
      <c r="Z235" s="306" t="s">
        <v>1015</v>
      </c>
      <c r="AA235" s="306" t="s">
        <v>1013</v>
      </c>
    </row>
    <row r="236" spans="1:27" hidden="1">
      <c r="A236" s="306" t="s">
        <v>494</v>
      </c>
      <c r="B236" s="306" t="s">
        <v>1003</v>
      </c>
      <c r="C236" s="306" t="s">
        <v>1004</v>
      </c>
      <c r="D236" s="306" t="s">
        <v>1031</v>
      </c>
      <c r="E236" s="306" t="s">
        <v>1470</v>
      </c>
      <c r="F236" s="306" t="s">
        <v>1007</v>
      </c>
      <c r="G236" s="308">
        <v>46016</v>
      </c>
      <c r="H236" s="308">
        <v>46016</v>
      </c>
      <c r="I236" s="309">
        <v>-3887628.47</v>
      </c>
      <c r="J236" s="306" t="s">
        <v>1008</v>
      </c>
      <c r="K236" s="309">
        <v>-3887628.47</v>
      </c>
      <c r="L236" s="306" t="s">
        <v>1008</v>
      </c>
      <c r="M236" s="306" t="s">
        <v>1410</v>
      </c>
      <c r="N236" s="306" t="s">
        <v>1403</v>
      </c>
      <c r="O236" s="306" t="s">
        <v>1471</v>
      </c>
      <c r="P236" s="306" t="s">
        <v>1405</v>
      </c>
      <c r="Q236" s="306" t="s">
        <v>1013</v>
      </c>
      <c r="R236" s="306" t="s">
        <v>1013</v>
      </c>
      <c r="S236" s="306" t="s">
        <v>1013</v>
      </c>
      <c r="T236" s="306" t="s">
        <v>1406</v>
      </c>
      <c r="U236" s="306" t="s">
        <v>1013</v>
      </c>
      <c r="V236" s="306" t="s">
        <v>1013</v>
      </c>
      <c r="W236" s="306" t="s">
        <v>1013</v>
      </c>
      <c r="X236" s="306" t="s">
        <v>1013</v>
      </c>
      <c r="Y236" s="306" t="s">
        <v>1406</v>
      </c>
      <c r="Z236" s="306" t="s">
        <v>1015</v>
      </c>
      <c r="AA236" s="306" t="s">
        <v>1013</v>
      </c>
    </row>
    <row r="237" spans="1:27" hidden="1">
      <c r="A237" s="306" t="s">
        <v>494</v>
      </c>
      <c r="B237" s="306" t="s">
        <v>1003</v>
      </c>
      <c r="C237" s="306" t="s">
        <v>1004</v>
      </c>
      <c r="D237" s="306" t="s">
        <v>1031</v>
      </c>
      <c r="E237" s="306" t="s">
        <v>1472</v>
      </c>
      <c r="F237" s="306" t="s">
        <v>1007</v>
      </c>
      <c r="G237" s="308">
        <v>46016</v>
      </c>
      <c r="H237" s="308">
        <v>46016</v>
      </c>
      <c r="I237" s="309">
        <v>-13404621.630000001</v>
      </c>
      <c r="J237" s="306" t="s">
        <v>1008</v>
      </c>
      <c r="K237" s="309">
        <v>-13404621.630000001</v>
      </c>
      <c r="L237" s="306" t="s">
        <v>1008</v>
      </c>
      <c r="M237" s="306" t="s">
        <v>1410</v>
      </c>
      <c r="N237" s="306" t="s">
        <v>1403</v>
      </c>
      <c r="O237" s="306" t="s">
        <v>1473</v>
      </c>
      <c r="P237" s="306" t="s">
        <v>1405</v>
      </c>
      <c r="Q237" s="306" t="s">
        <v>1013</v>
      </c>
      <c r="R237" s="306" t="s">
        <v>1013</v>
      </c>
      <c r="S237" s="306" t="s">
        <v>1013</v>
      </c>
      <c r="T237" s="306" t="s">
        <v>1406</v>
      </c>
      <c r="U237" s="306" t="s">
        <v>1013</v>
      </c>
      <c r="V237" s="306" t="s">
        <v>1013</v>
      </c>
      <c r="W237" s="306" t="s">
        <v>1013</v>
      </c>
      <c r="X237" s="306" t="s">
        <v>1013</v>
      </c>
      <c r="Y237" s="306" t="s">
        <v>1406</v>
      </c>
      <c r="Z237" s="306" t="s">
        <v>1015</v>
      </c>
      <c r="AA237" s="306" t="s">
        <v>1013</v>
      </c>
    </row>
    <row r="238" spans="1:27" hidden="1">
      <c r="A238" s="306" t="s">
        <v>494</v>
      </c>
      <c r="B238" s="306" t="s">
        <v>1003</v>
      </c>
      <c r="C238" s="306" t="s">
        <v>1004</v>
      </c>
      <c r="D238" s="306" t="s">
        <v>1031</v>
      </c>
      <c r="E238" s="306" t="s">
        <v>1474</v>
      </c>
      <c r="F238" s="306" t="s">
        <v>1007</v>
      </c>
      <c r="G238" s="308">
        <v>46016</v>
      </c>
      <c r="H238" s="308">
        <v>46016</v>
      </c>
      <c r="I238" s="309">
        <v>-1543450.44</v>
      </c>
      <c r="J238" s="306" t="s">
        <v>1008</v>
      </c>
      <c r="K238" s="309">
        <v>-1543450.44</v>
      </c>
      <c r="L238" s="306" t="s">
        <v>1008</v>
      </c>
      <c r="M238" s="306" t="s">
        <v>1410</v>
      </c>
      <c r="N238" s="306" t="s">
        <v>1403</v>
      </c>
      <c r="O238" s="306" t="s">
        <v>1475</v>
      </c>
      <c r="P238" s="306" t="s">
        <v>1405</v>
      </c>
      <c r="Q238" s="306" t="s">
        <v>1013</v>
      </c>
      <c r="R238" s="306" t="s">
        <v>1013</v>
      </c>
      <c r="S238" s="306" t="s">
        <v>1013</v>
      </c>
      <c r="T238" s="306" t="s">
        <v>1406</v>
      </c>
      <c r="U238" s="306" t="s">
        <v>1013</v>
      </c>
      <c r="V238" s="306" t="s">
        <v>1013</v>
      </c>
      <c r="W238" s="306" t="s">
        <v>1013</v>
      </c>
      <c r="X238" s="306" t="s">
        <v>1013</v>
      </c>
      <c r="Y238" s="306" t="s">
        <v>1406</v>
      </c>
      <c r="Z238" s="306" t="s">
        <v>1015</v>
      </c>
      <c r="AA238" s="306" t="s">
        <v>1013</v>
      </c>
    </row>
    <row r="239" spans="1:27" hidden="1">
      <c r="A239" s="306" t="s">
        <v>494</v>
      </c>
      <c r="B239" s="306" t="s">
        <v>1003</v>
      </c>
      <c r="C239" s="306" t="s">
        <v>1004</v>
      </c>
      <c r="D239" s="306" t="s">
        <v>1031</v>
      </c>
      <c r="E239" s="306" t="s">
        <v>1476</v>
      </c>
      <c r="F239" s="306" t="s">
        <v>1007</v>
      </c>
      <c r="G239" s="308">
        <v>46016</v>
      </c>
      <c r="H239" s="308">
        <v>46016</v>
      </c>
      <c r="I239" s="309">
        <v>-2032145.05</v>
      </c>
      <c r="J239" s="306" t="s">
        <v>1008</v>
      </c>
      <c r="K239" s="309">
        <v>-2032145.05</v>
      </c>
      <c r="L239" s="306" t="s">
        <v>1008</v>
      </c>
      <c r="M239" s="306" t="s">
        <v>1410</v>
      </c>
      <c r="N239" s="306" t="s">
        <v>1403</v>
      </c>
      <c r="O239" s="306" t="s">
        <v>1477</v>
      </c>
      <c r="P239" s="306" t="s">
        <v>1405</v>
      </c>
      <c r="Q239" s="306" t="s">
        <v>1013</v>
      </c>
      <c r="R239" s="306" t="s">
        <v>1013</v>
      </c>
      <c r="S239" s="306" t="s">
        <v>1013</v>
      </c>
      <c r="T239" s="306" t="s">
        <v>1406</v>
      </c>
      <c r="U239" s="306" t="s">
        <v>1013</v>
      </c>
      <c r="V239" s="306" t="s">
        <v>1013</v>
      </c>
      <c r="W239" s="306" t="s">
        <v>1013</v>
      </c>
      <c r="X239" s="306" t="s">
        <v>1013</v>
      </c>
      <c r="Y239" s="306" t="s">
        <v>1406</v>
      </c>
      <c r="Z239" s="306" t="s">
        <v>1015</v>
      </c>
      <c r="AA239" s="306" t="s">
        <v>1013</v>
      </c>
    </row>
    <row r="240" spans="1:27" hidden="1">
      <c r="A240" s="306" t="s">
        <v>494</v>
      </c>
      <c r="B240" s="306" t="s">
        <v>1003</v>
      </c>
      <c r="C240" s="306" t="s">
        <v>1004</v>
      </c>
      <c r="D240" s="306" t="s">
        <v>1031</v>
      </c>
      <c r="E240" s="306" t="s">
        <v>1478</v>
      </c>
      <c r="F240" s="306" t="s">
        <v>1007</v>
      </c>
      <c r="G240" s="308">
        <v>46016</v>
      </c>
      <c r="H240" s="308">
        <v>46016</v>
      </c>
      <c r="I240" s="309">
        <v>-3045027.37</v>
      </c>
      <c r="J240" s="306" t="s">
        <v>1008</v>
      </c>
      <c r="K240" s="309">
        <v>-3045027.37</v>
      </c>
      <c r="L240" s="306" t="s">
        <v>1008</v>
      </c>
      <c r="M240" s="306" t="s">
        <v>1410</v>
      </c>
      <c r="N240" s="306" t="s">
        <v>1403</v>
      </c>
      <c r="O240" s="306" t="s">
        <v>1479</v>
      </c>
      <c r="P240" s="306" t="s">
        <v>1405</v>
      </c>
      <c r="Q240" s="306" t="s">
        <v>1013</v>
      </c>
      <c r="R240" s="306" t="s">
        <v>1013</v>
      </c>
      <c r="S240" s="306" t="s">
        <v>1013</v>
      </c>
      <c r="T240" s="306" t="s">
        <v>1406</v>
      </c>
      <c r="U240" s="306" t="s">
        <v>1013</v>
      </c>
      <c r="V240" s="306" t="s">
        <v>1013</v>
      </c>
      <c r="W240" s="306" t="s">
        <v>1013</v>
      </c>
      <c r="X240" s="306" t="s">
        <v>1013</v>
      </c>
      <c r="Y240" s="306" t="s">
        <v>1406</v>
      </c>
      <c r="Z240" s="306" t="s">
        <v>1015</v>
      </c>
      <c r="AA240" s="306" t="s">
        <v>1013</v>
      </c>
    </row>
    <row r="241" spans="1:27" hidden="1">
      <c r="A241" s="306" t="s">
        <v>494</v>
      </c>
      <c r="B241" s="306" t="s">
        <v>1003</v>
      </c>
      <c r="C241" s="306" t="s">
        <v>1004</v>
      </c>
      <c r="D241" s="306" t="s">
        <v>1031</v>
      </c>
      <c r="E241" s="306" t="s">
        <v>1480</v>
      </c>
      <c r="F241" s="306" t="s">
        <v>1007</v>
      </c>
      <c r="G241" s="308">
        <v>46016</v>
      </c>
      <c r="H241" s="308">
        <v>46016</v>
      </c>
      <c r="I241" s="309">
        <v>-1242680.98</v>
      </c>
      <c r="J241" s="306" t="s">
        <v>1008</v>
      </c>
      <c r="K241" s="309">
        <v>-1242680.98</v>
      </c>
      <c r="L241" s="306" t="s">
        <v>1008</v>
      </c>
      <c r="M241" s="306" t="s">
        <v>1410</v>
      </c>
      <c r="N241" s="306" t="s">
        <v>1403</v>
      </c>
      <c r="O241" s="306" t="s">
        <v>1481</v>
      </c>
      <c r="P241" s="306" t="s">
        <v>1405</v>
      </c>
      <c r="Q241" s="306" t="s">
        <v>1013</v>
      </c>
      <c r="R241" s="306" t="s">
        <v>1013</v>
      </c>
      <c r="S241" s="306" t="s">
        <v>1013</v>
      </c>
      <c r="T241" s="306" t="s">
        <v>1406</v>
      </c>
      <c r="U241" s="306" t="s">
        <v>1013</v>
      </c>
      <c r="V241" s="306" t="s">
        <v>1013</v>
      </c>
      <c r="W241" s="306" t="s">
        <v>1013</v>
      </c>
      <c r="X241" s="306" t="s">
        <v>1013</v>
      </c>
      <c r="Y241" s="306" t="s">
        <v>1406</v>
      </c>
      <c r="Z241" s="306" t="s">
        <v>1015</v>
      </c>
      <c r="AA241" s="306" t="s">
        <v>1013</v>
      </c>
    </row>
    <row r="242" spans="1:27" hidden="1">
      <c r="A242" s="306" t="s">
        <v>494</v>
      </c>
      <c r="B242" s="306" t="s">
        <v>1003</v>
      </c>
      <c r="C242" s="306" t="s">
        <v>1004</v>
      </c>
      <c r="D242" s="306" t="s">
        <v>1031</v>
      </c>
      <c r="E242" s="306" t="s">
        <v>1482</v>
      </c>
      <c r="F242" s="306" t="s">
        <v>1007</v>
      </c>
      <c r="G242" s="308">
        <v>46016</v>
      </c>
      <c r="H242" s="308">
        <v>46016</v>
      </c>
      <c r="I242" s="309">
        <v>-2449115.04</v>
      </c>
      <c r="J242" s="306" t="s">
        <v>1008</v>
      </c>
      <c r="K242" s="309">
        <v>-2449115.04</v>
      </c>
      <c r="L242" s="306" t="s">
        <v>1008</v>
      </c>
      <c r="M242" s="306" t="s">
        <v>1410</v>
      </c>
      <c r="N242" s="306" t="s">
        <v>1403</v>
      </c>
      <c r="O242" s="306" t="s">
        <v>1483</v>
      </c>
      <c r="P242" s="306" t="s">
        <v>1405</v>
      </c>
      <c r="Q242" s="306" t="s">
        <v>1013</v>
      </c>
      <c r="R242" s="306" t="s">
        <v>1013</v>
      </c>
      <c r="S242" s="306" t="s">
        <v>1013</v>
      </c>
      <c r="T242" s="306" t="s">
        <v>1406</v>
      </c>
      <c r="U242" s="306" t="s">
        <v>1013</v>
      </c>
      <c r="V242" s="306" t="s">
        <v>1013</v>
      </c>
      <c r="W242" s="306" t="s">
        <v>1013</v>
      </c>
      <c r="X242" s="306" t="s">
        <v>1013</v>
      </c>
      <c r="Y242" s="306" t="s">
        <v>1406</v>
      </c>
      <c r="Z242" s="306" t="s">
        <v>1015</v>
      </c>
      <c r="AA242" s="306" t="s">
        <v>1013</v>
      </c>
    </row>
    <row r="243" spans="1:27" hidden="1">
      <c r="A243" s="306" t="s">
        <v>494</v>
      </c>
      <c r="B243" s="306" t="s">
        <v>1003</v>
      </c>
      <c r="C243" s="306" t="s">
        <v>1004</v>
      </c>
      <c r="D243" s="306" t="s">
        <v>1019</v>
      </c>
      <c r="E243" s="306" t="s">
        <v>1484</v>
      </c>
      <c r="F243" s="306" t="s">
        <v>1007</v>
      </c>
      <c r="G243" s="308">
        <v>46016</v>
      </c>
      <c r="H243" s="308">
        <v>46016</v>
      </c>
      <c r="I243" s="309">
        <v>-13585.37</v>
      </c>
      <c r="J243" s="306" t="s">
        <v>1008</v>
      </c>
      <c r="K243" s="309">
        <v>-13585.37</v>
      </c>
      <c r="L243" s="306" t="s">
        <v>1008</v>
      </c>
      <c r="M243" s="306" t="s">
        <v>1421</v>
      </c>
      <c r="N243" s="306" t="s">
        <v>1403</v>
      </c>
      <c r="O243" s="306" t="s">
        <v>1422</v>
      </c>
      <c r="P243" s="306" t="s">
        <v>1405</v>
      </c>
      <c r="Q243" s="306" t="s">
        <v>1013</v>
      </c>
      <c r="R243" s="306" t="s">
        <v>1013</v>
      </c>
      <c r="S243" s="306" t="s">
        <v>1013</v>
      </c>
      <c r="T243" s="306" t="s">
        <v>1406</v>
      </c>
      <c r="U243" s="306" t="s">
        <v>1013</v>
      </c>
      <c r="V243" s="306" t="s">
        <v>1013</v>
      </c>
      <c r="W243" s="306" t="s">
        <v>1013</v>
      </c>
      <c r="X243" s="306" t="s">
        <v>1013</v>
      </c>
      <c r="Y243" s="306" t="s">
        <v>1406</v>
      </c>
      <c r="Z243" s="306" t="s">
        <v>1015</v>
      </c>
      <c r="AA243" s="306" t="s">
        <v>1013</v>
      </c>
    </row>
    <row r="244" spans="1:27" hidden="1">
      <c r="A244" s="306" t="s">
        <v>494</v>
      </c>
      <c r="B244" s="306" t="s">
        <v>1003</v>
      </c>
      <c r="C244" s="306" t="s">
        <v>1004</v>
      </c>
      <c r="D244" s="306" t="s">
        <v>1031</v>
      </c>
      <c r="E244" s="306" t="s">
        <v>1485</v>
      </c>
      <c r="F244" s="306" t="s">
        <v>1007</v>
      </c>
      <c r="G244" s="308">
        <v>46016</v>
      </c>
      <c r="H244" s="308">
        <v>46016</v>
      </c>
      <c r="I244" s="309">
        <v>-2358407.08</v>
      </c>
      <c r="J244" s="306" t="s">
        <v>1008</v>
      </c>
      <c r="K244" s="309">
        <v>-2358407.08</v>
      </c>
      <c r="L244" s="306" t="s">
        <v>1008</v>
      </c>
      <c r="M244" s="306" t="s">
        <v>1410</v>
      </c>
      <c r="N244" s="306" t="s">
        <v>1403</v>
      </c>
      <c r="O244" s="306" t="s">
        <v>1486</v>
      </c>
      <c r="P244" s="306" t="s">
        <v>1405</v>
      </c>
      <c r="Q244" s="306" t="s">
        <v>1013</v>
      </c>
      <c r="R244" s="306" t="s">
        <v>1013</v>
      </c>
      <c r="S244" s="306" t="s">
        <v>1013</v>
      </c>
      <c r="T244" s="306" t="s">
        <v>1406</v>
      </c>
      <c r="U244" s="306" t="s">
        <v>1013</v>
      </c>
      <c r="V244" s="306" t="s">
        <v>1013</v>
      </c>
      <c r="W244" s="306" t="s">
        <v>1013</v>
      </c>
      <c r="X244" s="306" t="s">
        <v>1013</v>
      </c>
      <c r="Y244" s="306" t="s">
        <v>1406</v>
      </c>
      <c r="Z244" s="306" t="s">
        <v>1015</v>
      </c>
      <c r="AA244" s="306" t="s">
        <v>1013</v>
      </c>
    </row>
    <row r="245" spans="1:27" hidden="1">
      <c r="A245" s="306" t="s">
        <v>494</v>
      </c>
      <c r="B245" s="306" t="s">
        <v>1003</v>
      </c>
      <c r="C245" s="306" t="s">
        <v>1004</v>
      </c>
      <c r="D245" s="306" t="s">
        <v>1031</v>
      </c>
      <c r="E245" s="306" t="s">
        <v>1487</v>
      </c>
      <c r="F245" s="306" t="s">
        <v>1007</v>
      </c>
      <c r="G245" s="308">
        <v>46016</v>
      </c>
      <c r="H245" s="308">
        <v>46016</v>
      </c>
      <c r="I245" s="309">
        <v>-437809.24</v>
      </c>
      <c r="J245" s="306" t="s">
        <v>1008</v>
      </c>
      <c r="K245" s="309">
        <v>-437809.24</v>
      </c>
      <c r="L245" s="306" t="s">
        <v>1008</v>
      </c>
      <c r="M245" s="306" t="s">
        <v>1410</v>
      </c>
      <c r="N245" s="306" t="s">
        <v>1403</v>
      </c>
      <c r="O245" s="306" t="s">
        <v>1488</v>
      </c>
      <c r="P245" s="306" t="s">
        <v>1405</v>
      </c>
      <c r="Q245" s="306" t="s">
        <v>1013</v>
      </c>
      <c r="R245" s="306" t="s">
        <v>1013</v>
      </c>
      <c r="S245" s="306" t="s">
        <v>1013</v>
      </c>
      <c r="T245" s="306" t="s">
        <v>1406</v>
      </c>
      <c r="U245" s="306" t="s">
        <v>1013</v>
      </c>
      <c r="V245" s="306" t="s">
        <v>1013</v>
      </c>
      <c r="W245" s="306" t="s">
        <v>1013</v>
      </c>
      <c r="X245" s="306" t="s">
        <v>1013</v>
      </c>
      <c r="Y245" s="306" t="s">
        <v>1406</v>
      </c>
      <c r="Z245" s="306" t="s">
        <v>1015</v>
      </c>
      <c r="AA245" s="306" t="s">
        <v>1013</v>
      </c>
    </row>
    <row r="246" spans="1:27" hidden="1">
      <c r="A246" s="306" t="s">
        <v>494</v>
      </c>
      <c r="B246" s="306" t="s">
        <v>1003</v>
      </c>
      <c r="C246" s="306" t="s">
        <v>1004</v>
      </c>
      <c r="D246" s="306" t="s">
        <v>1031</v>
      </c>
      <c r="E246" s="306" t="s">
        <v>1489</v>
      </c>
      <c r="F246" s="306" t="s">
        <v>1007</v>
      </c>
      <c r="G246" s="308">
        <v>46016</v>
      </c>
      <c r="H246" s="308">
        <v>46016</v>
      </c>
      <c r="I246" s="309">
        <v>-50093.66</v>
      </c>
      <c r="J246" s="306" t="s">
        <v>1008</v>
      </c>
      <c r="K246" s="309">
        <v>-50093.66</v>
      </c>
      <c r="L246" s="306" t="s">
        <v>1008</v>
      </c>
      <c r="M246" s="306" t="s">
        <v>1410</v>
      </c>
      <c r="N246" s="306" t="s">
        <v>1403</v>
      </c>
      <c r="O246" s="306" t="s">
        <v>1490</v>
      </c>
      <c r="P246" s="306" t="s">
        <v>1405</v>
      </c>
      <c r="Q246" s="306" t="s">
        <v>1013</v>
      </c>
      <c r="R246" s="306" t="s">
        <v>1013</v>
      </c>
      <c r="S246" s="306" t="s">
        <v>1013</v>
      </c>
      <c r="T246" s="306" t="s">
        <v>1406</v>
      </c>
      <c r="U246" s="306" t="s">
        <v>1013</v>
      </c>
      <c r="V246" s="306" t="s">
        <v>1013</v>
      </c>
      <c r="W246" s="306" t="s">
        <v>1013</v>
      </c>
      <c r="X246" s="306" t="s">
        <v>1013</v>
      </c>
      <c r="Y246" s="306" t="s">
        <v>1406</v>
      </c>
      <c r="Z246" s="306" t="s">
        <v>1015</v>
      </c>
      <c r="AA246" s="306" t="s">
        <v>1013</v>
      </c>
    </row>
    <row r="247" spans="1:27" hidden="1">
      <c r="A247" s="306" t="s">
        <v>494</v>
      </c>
      <c r="B247" s="306" t="s">
        <v>1003</v>
      </c>
      <c r="C247" s="306" t="s">
        <v>1004</v>
      </c>
      <c r="D247" s="306" t="s">
        <v>1031</v>
      </c>
      <c r="E247" s="306" t="s">
        <v>1491</v>
      </c>
      <c r="F247" s="306" t="s">
        <v>1007</v>
      </c>
      <c r="G247" s="308">
        <v>46016</v>
      </c>
      <c r="H247" s="308">
        <v>46016</v>
      </c>
      <c r="I247" s="309">
        <v>-4963.3</v>
      </c>
      <c r="J247" s="306" t="s">
        <v>1008</v>
      </c>
      <c r="K247" s="309">
        <v>-4963.3</v>
      </c>
      <c r="L247" s="306" t="s">
        <v>1008</v>
      </c>
      <c r="M247" s="306" t="s">
        <v>1410</v>
      </c>
      <c r="N247" s="306" t="s">
        <v>1403</v>
      </c>
      <c r="O247" s="306" t="s">
        <v>1492</v>
      </c>
      <c r="P247" s="306" t="s">
        <v>1405</v>
      </c>
      <c r="Q247" s="306" t="s">
        <v>1013</v>
      </c>
      <c r="R247" s="306" t="s">
        <v>1013</v>
      </c>
      <c r="S247" s="306" t="s">
        <v>1013</v>
      </c>
      <c r="T247" s="306" t="s">
        <v>1406</v>
      </c>
      <c r="U247" s="306" t="s">
        <v>1013</v>
      </c>
      <c r="V247" s="306" t="s">
        <v>1013</v>
      </c>
      <c r="W247" s="306" t="s">
        <v>1013</v>
      </c>
      <c r="X247" s="306" t="s">
        <v>1013</v>
      </c>
      <c r="Y247" s="306" t="s">
        <v>1406</v>
      </c>
      <c r="Z247" s="306" t="s">
        <v>1015</v>
      </c>
      <c r="AA247" s="306" t="s">
        <v>1013</v>
      </c>
    </row>
    <row r="248" spans="1:27" hidden="1">
      <c r="A248" s="306" t="s">
        <v>494</v>
      </c>
      <c r="B248" s="306" t="s">
        <v>1003</v>
      </c>
      <c r="C248" s="306" t="s">
        <v>1004</v>
      </c>
      <c r="D248" s="306" t="s">
        <v>1031</v>
      </c>
      <c r="E248" s="306" t="s">
        <v>1493</v>
      </c>
      <c r="F248" s="306" t="s">
        <v>1007</v>
      </c>
      <c r="G248" s="308">
        <v>46016</v>
      </c>
      <c r="H248" s="308">
        <v>46016</v>
      </c>
      <c r="I248" s="309">
        <v>-257879.14</v>
      </c>
      <c r="J248" s="306" t="s">
        <v>1008</v>
      </c>
      <c r="K248" s="309">
        <v>-257879.14</v>
      </c>
      <c r="L248" s="306" t="s">
        <v>1008</v>
      </c>
      <c r="M248" s="306" t="s">
        <v>1410</v>
      </c>
      <c r="N248" s="306" t="s">
        <v>1403</v>
      </c>
      <c r="O248" s="306" t="s">
        <v>1494</v>
      </c>
      <c r="P248" s="306" t="s">
        <v>1405</v>
      </c>
      <c r="Q248" s="306" t="s">
        <v>1013</v>
      </c>
      <c r="R248" s="306" t="s">
        <v>1013</v>
      </c>
      <c r="S248" s="306" t="s">
        <v>1013</v>
      </c>
      <c r="T248" s="306" t="s">
        <v>1406</v>
      </c>
      <c r="U248" s="306" t="s">
        <v>1013</v>
      </c>
      <c r="V248" s="306" t="s">
        <v>1013</v>
      </c>
      <c r="W248" s="306" t="s">
        <v>1013</v>
      </c>
      <c r="X248" s="306" t="s">
        <v>1013</v>
      </c>
      <c r="Y248" s="306" t="s">
        <v>1406</v>
      </c>
      <c r="Z248" s="306" t="s">
        <v>1015</v>
      </c>
      <c r="AA248" s="306" t="s">
        <v>1013</v>
      </c>
    </row>
    <row r="249" spans="1:27" hidden="1">
      <c r="A249" s="306" t="s">
        <v>494</v>
      </c>
      <c r="B249" s="306" t="s">
        <v>1003</v>
      </c>
      <c r="C249" s="306" t="s">
        <v>1004</v>
      </c>
      <c r="D249" s="306" t="s">
        <v>1031</v>
      </c>
      <c r="E249" s="306" t="s">
        <v>1495</v>
      </c>
      <c r="F249" s="306" t="s">
        <v>1007</v>
      </c>
      <c r="G249" s="308">
        <v>46016</v>
      </c>
      <c r="H249" s="308">
        <v>46016</v>
      </c>
      <c r="I249" s="309">
        <v>-458347.34</v>
      </c>
      <c r="J249" s="306" t="s">
        <v>1008</v>
      </c>
      <c r="K249" s="309">
        <v>-458347.34</v>
      </c>
      <c r="L249" s="306" t="s">
        <v>1008</v>
      </c>
      <c r="M249" s="306" t="s">
        <v>1410</v>
      </c>
      <c r="N249" s="306" t="s">
        <v>1403</v>
      </c>
      <c r="O249" s="306" t="s">
        <v>1496</v>
      </c>
      <c r="P249" s="306" t="s">
        <v>1405</v>
      </c>
      <c r="Q249" s="306" t="s">
        <v>1013</v>
      </c>
      <c r="R249" s="306" t="s">
        <v>1013</v>
      </c>
      <c r="S249" s="306" t="s">
        <v>1013</v>
      </c>
      <c r="T249" s="306" t="s">
        <v>1406</v>
      </c>
      <c r="U249" s="306" t="s">
        <v>1013</v>
      </c>
      <c r="V249" s="306" t="s">
        <v>1013</v>
      </c>
      <c r="W249" s="306" t="s">
        <v>1013</v>
      </c>
      <c r="X249" s="306" t="s">
        <v>1013</v>
      </c>
      <c r="Y249" s="306" t="s">
        <v>1406</v>
      </c>
      <c r="Z249" s="306" t="s">
        <v>1015</v>
      </c>
      <c r="AA249" s="306" t="s">
        <v>1013</v>
      </c>
    </row>
    <row r="250" spans="1:27" hidden="1">
      <c r="A250" s="306" t="s">
        <v>494</v>
      </c>
      <c r="B250" s="306" t="s">
        <v>1003</v>
      </c>
      <c r="C250" s="306" t="s">
        <v>1004</v>
      </c>
      <c r="D250" s="306" t="s">
        <v>1019</v>
      </c>
      <c r="E250" s="306" t="s">
        <v>1497</v>
      </c>
      <c r="F250" s="306" t="s">
        <v>1007</v>
      </c>
      <c r="G250" s="308">
        <v>46016</v>
      </c>
      <c r="H250" s="308">
        <v>46016</v>
      </c>
      <c r="I250" s="309">
        <v>-4578.03</v>
      </c>
      <c r="J250" s="306" t="s">
        <v>1008</v>
      </c>
      <c r="K250" s="309">
        <v>-4578.03</v>
      </c>
      <c r="L250" s="306" t="s">
        <v>1008</v>
      </c>
      <c r="M250" s="306" t="s">
        <v>1421</v>
      </c>
      <c r="N250" s="306" t="s">
        <v>1403</v>
      </c>
      <c r="O250" s="306" t="s">
        <v>1428</v>
      </c>
      <c r="P250" s="306" t="s">
        <v>1405</v>
      </c>
      <c r="Q250" s="306" t="s">
        <v>1013</v>
      </c>
      <c r="R250" s="306" t="s">
        <v>1013</v>
      </c>
      <c r="S250" s="306" t="s">
        <v>1013</v>
      </c>
      <c r="T250" s="306" t="s">
        <v>1406</v>
      </c>
      <c r="U250" s="306" t="s">
        <v>1013</v>
      </c>
      <c r="V250" s="306" t="s">
        <v>1013</v>
      </c>
      <c r="W250" s="306" t="s">
        <v>1013</v>
      </c>
      <c r="X250" s="306" t="s">
        <v>1013</v>
      </c>
      <c r="Y250" s="306" t="s">
        <v>1406</v>
      </c>
      <c r="Z250" s="306" t="s">
        <v>1015</v>
      </c>
      <c r="AA250" s="306" t="s">
        <v>1013</v>
      </c>
    </row>
    <row r="251" spans="1:27" hidden="1">
      <c r="A251" s="306" t="s">
        <v>494</v>
      </c>
      <c r="B251" s="306" t="s">
        <v>1003</v>
      </c>
      <c r="C251" s="306" t="s">
        <v>1004</v>
      </c>
      <c r="D251" s="306" t="s">
        <v>1031</v>
      </c>
      <c r="E251" s="306" t="s">
        <v>1498</v>
      </c>
      <c r="F251" s="306" t="s">
        <v>1007</v>
      </c>
      <c r="G251" s="308">
        <v>46016</v>
      </c>
      <c r="H251" s="308">
        <v>46016</v>
      </c>
      <c r="I251" s="309">
        <v>-272660.12</v>
      </c>
      <c r="J251" s="306" t="s">
        <v>1008</v>
      </c>
      <c r="K251" s="309">
        <v>-272660.12</v>
      </c>
      <c r="L251" s="306" t="s">
        <v>1008</v>
      </c>
      <c r="M251" s="306" t="s">
        <v>1410</v>
      </c>
      <c r="N251" s="306" t="s">
        <v>1403</v>
      </c>
      <c r="O251" s="306" t="s">
        <v>1499</v>
      </c>
      <c r="P251" s="306" t="s">
        <v>1405</v>
      </c>
      <c r="Q251" s="306" t="s">
        <v>1013</v>
      </c>
      <c r="R251" s="306" t="s">
        <v>1013</v>
      </c>
      <c r="S251" s="306" t="s">
        <v>1013</v>
      </c>
      <c r="T251" s="306" t="s">
        <v>1406</v>
      </c>
      <c r="U251" s="306" t="s">
        <v>1013</v>
      </c>
      <c r="V251" s="306" t="s">
        <v>1013</v>
      </c>
      <c r="W251" s="306" t="s">
        <v>1013</v>
      </c>
      <c r="X251" s="306" t="s">
        <v>1013</v>
      </c>
      <c r="Y251" s="306" t="s">
        <v>1406</v>
      </c>
      <c r="Z251" s="306" t="s">
        <v>1015</v>
      </c>
      <c r="AA251" s="306" t="s">
        <v>1013</v>
      </c>
    </row>
    <row r="252" spans="1:27" hidden="1">
      <c r="A252" s="306" t="s">
        <v>494</v>
      </c>
      <c r="B252" s="306" t="s">
        <v>1003</v>
      </c>
      <c r="C252" s="306" t="s">
        <v>1004</v>
      </c>
      <c r="D252" s="306" t="s">
        <v>1031</v>
      </c>
      <c r="E252" s="306" t="s">
        <v>1500</v>
      </c>
      <c r="F252" s="306" t="s">
        <v>1007</v>
      </c>
      <c r="G252" s="308">
        <v>46016</v>
      </c>
      <c r="H252" s="308">
        <v>46016</v>
      </c>
      <c r="I252" s="309">
        <v>-309912.83</v>
      </c>
      <c r="J252" s="306" t="s">
        <v>1008</v>
      </c>
      <c r="K252" s="309">
        <v>-309912.83</v>
      </c>
      <c r="L252" s="306" t="s">
        <v>1008</v>
      </c>
      <c r="M252" s="306" t="s">
        <v>1410</v>
      </c>
      <c r="N252" s="306" t="s">
        <v>1403</v>
      </c>
      <c r="O252" s="306" t="s">
        <v>1501</v>
      </c>
      <c r="P252" s="306" t="s">
        <v>1405</v>
      </c>
      <c r="Q252" s="306" t="s">
        <v>1013</v>
      </c>
      <c r="R252" s="306" t="s">
        <v>1013</v>
      </c>
      <c r="S252" s="306" t="s">
        <v>1013</v>
      </c>
      <c r="T252" s="306" t="s">
        <v>1406</v>
      </c>
      <c r="U252" s="306" t="s">
        <v>1013</v>
      </c>
      <c r="V252" s="306" t="s">
        <v>1013</v>
      </c>
      <c r="W252" s="306" t="s">
        <v>1013</v>
      </c>
      <c r="X252" s="306" t="s">
        <v>1013</v>
      </c>
      <c r="Y252" s="306" t="s">
        <v>1406</v>
      </c>
      <c r="Z252" s="306" t="s">
        <v>1015</v>
      </c>
      <c r="AA252" s="306" t="s">
        <v>1013</v>
      </c>
    </row>
    <row r="253" spans="1:27" hidden="1">
      <c r="A253" s="306" t="s">
        <v>494</v>
      </c>
      <c r="B253" s="306" t="s">
        <v>1003</v>
      </c>
      <c r="C253" s="306" t="s">
        <v>1004</v>
      </c>
      <c r="D253" s="306" t="s">
        <v>1031</v>
      </c>
      <c r="E253" s="306" t="s">
        <v>1502</v>
      </c>
      <c r="F253" s="306" t="s">
        <v>1007</v>
      </c>
      <c r="G253" s="308">
        <v>46016</v>
      </c>
      <c r="H253" s="308">
        <v>46016</v>
      </c>
      <c r="I253" s="309">
        <v>-449231.2</v>
      </c>
      <c r="J253" s="306" t="s">
        <v>1008</v>
      </c>
      <c r="K253" s="309">
        <v>-449231.2</v>
      </c>
      <c r="L253" s="306" t="s">
        <v>1008</v>
      </c>
      <c r="M253" s="306" t="s">
        <v>1410</v>
      </c>
      <c r="N253" s="306" t="s">
        <v>1403</v>
      </c>
      <c r="O253" s="306" t="s">
        <v>1503</v>
      </c>
      <c r="P253" s="306" t="s">
        <v>1405</v>
      </c>
      <c r="Q253" s="306" t="s">
        <v>1013</v>
      </c>
      <c r="R253" s="306" t="s">
        <v>1013</v>
      </c>
      <c r="S253" s="306" t="s">
        <v>1013</v>
      </c>
      <c r="T253" s="306" t="s">
        <v>1406</v>
      </c>
      <c r="U253" s="306" t="s">
        <v>1013</v>
      </c>
      <c r="V253" s="306" t="s">
        <v>1013</v>
      </c>
      <c r="W253" s="306" t="s">
        <v>1013</v>
      </c>
      <c r="X253" s="306" t="s">
        <v>1013</v>
      </c>
      <c r="Y253" s="306" t="s">
        <v>1406</v>
      </c>
      <c r="Z253" s="306" t="s">
        <v>1015</v>
      </c>
      <c r="AA253" s="306" t="s">
        <v>1013</v>
      </c>
    </row>
    <row r="254" spans="1:27" hidden="1">
      <c r="A254" s="306" t="s">
        <v>494</v>
      </c>
      <c r="B254" s="306" t="s">
        <v>1003</v>
      </c>
      <c r="C254" s="306" t="s">
        <v>1004</v>
      </c>
      <c r="D254" s="306" t="s">
        <v>1031</v>
      </c>
      <c r="E254" s="306" t="s">
        <v>1504</v>
      </c>
      <c r="F254" s="306" t="s">
        <v>1007</v>
      </c>
      <c r="G254" s="308">
        <v>46016</v>
      </c>
      <c r="H254" s="308">
        <v>46016</v>
      </c>
      <c r="I254" s="309">
        <v>-357487.83</v>
      </c>
      <c r="J254" s="306" t="s">
        <v>1008</v>
      </c>
      <c r="K254" s="309">
        <v>-357487.83</v>
      </c>
      <c r="L254" s="306" t="s">
        <v>1008</v>
      </c>
      <c r="M254" s="306" t="s">
        <v>1410</v>
      </c>
      <c r="N254" s="306" t="s">
        <v>1403</v>
      </c>
      <c r="O254" s="306" t="s">
        <v>1505</v>
      </c>
      <c r="P254" s="306" t="s">
        <v>1405</v>
      </c>
      <c r="Q254" s="306" t="s">
        <v>1013</v>
      </c>
      <c r="R254" s="306" t="s">
        <v>1013</v>
      </c>
      <c r="S254" s="306" t="s">
        <v>1013</v>
      </c>
      <c r="T254" s="306" t="s">
        <v>1406</v>
      </c>
      <c r="U254" s="306" t="s">
        <v>1013</v>
      </c>
      <c r="V254" s="306" t="s">
        <v>1013</v>
      </c>
      <c r="W254" s="306" t="s">
        <v>1013</v>
      </c>
      <c r="X254" s="306" t="s">
        <v>1013</v>
      </c>
      <c r="Y254" s="306" t="s">
        <v>1406</v>
      </c>
      <c r="Z254" s="306" t="s">
        <v>1015</v>
      </c>
      <c r="AA254" s="306" t="s">
        <v>1013</v>
      </c>
    </row>
    <row r="255" spans="1:27" hidden="1">
      <c r="A255" s="306" t="s">
        <v>494</v>
      </c>
      <c r="B255" s="306" t="s">
        <v>1003</v>
      </c>
      <c r="C255" s="306" t="s">
        <v>1004</v>
      </c>
      <c r="D255" s="306" t="s">
        <v>1031</v>
      </c>
      <c r="E255" s="306" t="s">
        <v>1506</v>
      </c>
      <c r="F255" s="306" t="s">
        <v>1007</v>
      </c>
      <c r="G255" s="308">
        <v>46016</v>
      </c>
      <c r="H255" s="308">
        <v>46016</v>
      </c>
      <c r="I255" s="309">
        <v>-2048571.8</v>
      </c>
      <c r="J255" s="306" t="s">
        <v>1008</v>
      </c>
      <c r="K255" s="309">
        <v>-2048571.8</v>
      </c>
      <c r="L255" s="306" t="s">
        <v>1008</v>
      </c>
      <c r="M255" s="306" t="s">
        <v>1410</v>
      </c>
      <c r="N255" s="306" t="s">
        <v>1403</v>
      </c>
      <c r="O255" s="306" t="s">
        <v>1507</v>
      </c>
      <c r="P255" s="306" t="s">
        <v>1405</v>
      </c>
      <c r="Q255" s="306" t="s">
        <v>1013</v>
      </c>
      <c r="R255" s="306" t="s">
        <v>1013</v>
      </c>
      <c r="S255" s="306" t="s">
        <v>1013</v>
      </c>
      <c r="T255" s="306" t="s">
        <v>1406</v>
      </c>
      <c r="U255" s="306" t="s">
        <v>1013</v>
      </c>
      <c r="V255" s="306" t="s">
        <v>1013</v>
      </c>
      <c r="W255" s="306" t="s">
        <v>1013</v>
      </c>
      <c r="X255" s="306" t="s">
        <v>1013</v>
      </c>
      <c r="Y255" s="306" t="s">
        <v>1406</v>
      </c>
      <c r="Z255" s="306" t="s">
        <v>1015</v>
      </c>
      <c r="AA255" s="306" t="s">
        <v>1013</v>
      </c>
    </row>
    <row r="256" spans="1:27" hidden="1">
      <c r="A256" s="306" t="s">
        <v>494</v>
      </c>
      <c r="B256" s="306" t="s">
        <v>1003</v>
      </c>
      <c r="C256" s="306" t="s">
        <v>1004</v>
      </c>
      <c r="D256" s="306" t="s">
        <v>1019</v>
      </c>
      <c r="E256" s="306" t="s">
        <v>1508</v>
      </c>
      <c r="F256" s="306" t="s">
        <v>1007</v>
      </c>
      <c r="G256" s="308">
        <v>46016</v>
      </c>
      <c r="H256" s="308">
        <v>46016</v>
      </c>
      <c r="I256" s="309">
        <v>-55601.41</v>
      </c>
      <c r="J256" s="306" t="s">
        <v>1008</v>
      </c>
      <c r="K256" s="309">
        <v>-55601.41</v>
      </c>
      <c r="L256" s="306" t="s">
        <v>1008</v>
      </c>
      <c r="M256" s="306" t="s">
        <v>1421</v>
      </c>
      <c r="N256" s="306" t="s">
        <v>1403</v>
      </c>
      <c r="O256" s="306" t="s">
        <v>1509</v>
      </c>
      <c r="P256" s="306" t="s">
        <v>1405</v>
      </c>
      <c r="Q256" s="306" t="s">
        <v>1013</v>
      </c>
      <c r="R256" s="306" t="s">
        <v>1013</v>
      </c>
      <c r="S256" s="306" t="s">
        <v>1013</v>
      </c>
      <c r="T256" s="306" t="s">
        <v>1406</v>
      </c>
      <c r="U256" s="306" t="s">
        <v>1013</v>
      </c>
      <c r="V256" s="306" t="s">
        <v>1013</v>
      </c>
      <c r="W256" s="306" t="s">
        <v>1013</v>
      </c>
      <c r="X256" s="306" t="s">
        <v>1013</v>
      </c>
      <c r="Y256" s="306" t="s">
        <v>1406</v>
      </c>
      <c r="Z256" s="306" t="s">
        <v>1015</v>
      </c>
      <c r="AA256" s="306" t="s">
        <v>1013</v>
      </c>
    </row>
    <row r="257" spans="1:27" hidden="1">
      <c r="A257" s="306" t="s">
        <v>494</v>
      </c>
      <c r="B257" s="306" t="s">
        <v>1003</v>
      </c>
      <c r="C257" s="306" t="s">
        <v>1004</v>
      </c>
      <c r="D257" s="306" t="s">
        <v>1019</v>
      </c>
      <c r="E257" s="306" t="s">
        <v>1510</v>
      </c>
      <c r="F257" s="306" t="s">
        <v>1007</v>
      </c>
      <c r="G257" s="308">
        <v>46016</v>
      </c>
      <c r="H257" s="308">
        <v>46016</v>
      </c>
      <c r="I257" s="309">
        <v>-58018.86</v>
      </c>
      <c r="J257" s="306" t="s">
        <v>1008</v>
      </c>
      <c r="K257" s="309">
        <v>-58018.86</v>
      </c>
      <c r="L257" s="306" t="s">
        <v>1008</v>
      </c>
      <c r="M257" s="306" t="s">
        <v>1421</v>
      </c>
      <c r="N257" s="306" t="s">
        <v>1403</v>
      </c>
      <c r="O257" s="306" t="s">
        <v>1511</v>
      </c>
      <c r="P257" s="306" t="s">
        <v>1405</v>
      </c>
      <c r="Q257" s="306" t="s">
        <v>1013</v>
      </c>
      <c r="R257" s="306" t="s">
        <v>1013</v>
      </c>
      <c r="S257" s="306" t="s">
        <v>1013</v>
      </c>
      <c r="T257" s="306" t="s">
        <v>1406</v>
      </c>
      <c r="U257" s="306" t="s">
        <v>1013</v>
      </c>
      <c r="V257" s="306" t="s">
        <v>1013</v>
      </c>
      <c r="W257" s="306" t="s">
        <v>1013</v>
      </c>
      <c r="X257" s="306" t="s">
        <v>1013</v>
      </c>
      <c r="Y257" s="306" t="s">
        <v>1406</v>
      </c>
      <c r="Z257" s="306" t="s">
        <v>1015</v>
      </c>
      <c r="AA257" s="306" t="s">
        <v>1013</v>
      </c>
    </row>
    <row r="258" spans="1:27" hidden="1">
      <c r="A258" s="306" t="s">
        <v>494</v>
      </c>
      <c r="B258" s="306" t="s">
        <v>1003</v>
      </c>
      <c r="C258" s="306" t="s">
        <v>1004</v>
      </c>
      <c r="D258" s="306" t="s">
        <v>1019</v>
      </c>
      <c r="E258" s="306" t="s">
        <v>1512</v>
      </c>
      <c r="F258" s="306" t="s">
        <v>1007</v>
      </c>
      <c r="G258" s="308">
        <v>46016</v>
      </c>
      <c r="H258" s="308">
        <v>46016</v>
      </c>
      <c r="I258" s="309">
        <v>-1787561.32</v>
      </c>
      <c r="J258" s="306" t="s">
        <v>1008</v>
      </c>
      <c r="K258" s="309">
        <v>-1787561.32</v>
      </c>
      <c r="L258" s="306" t="s">
        <v>1008</v>
      </c>
      <c r="M258" s="306" t="s">
        <v>1421</v>
      </c>
      <c r="N258" s="306" t="s">
        <v>1403</v>
      </c>
      <c r="O258" s="306" t="s">
        <v>1513</v>
      </c>
      <c r="P258" s="306" t="s">
        <v>1405</v>
      </c>
      <c r="Q258" s="306" t="s">
        <v>1013</v>
      </c>
      <c r="R258" s="306" t="s">
        <v>1013</v>
      </c>
      <c r="S258" s="306" t="s">
        <v>1013</v>
      </c>
      <c r="T258" s="306" t="s">
        <v>1406</v>
      </c>
      <c r="U258" s="306" t="s">
        <v>1013</v>
      </c>
      <c r="V258" s="306" t="s">
        <v>1013</v>
      </c>
      <c r="W258" s="306" t="s">
        <v>1013</v>
      </c>
      <c r="X258" s="306" t="s">
        <v>1013</v>
      </c>
      <c r="Y258" s="306" t="s">
        <v>1406</v>
      </c>
      <c r="Z258" s="306" t="s">
        <v>1015</v>
      </c>
      <c r="AA258" s="306" t="s">
        <v>1013</v>
      </c>
    </row>
    <row r="259" spans="1:27" hidden="1">
      <c r="A259" s="306" t="s">
        <v>494</v>
      </c>
      <c r="B259" s="306" t="s">
        <v>1003</v>
      </c>
      <c r="C259" s="306" t="s">
        <v>1004</v>
      </c>
      <c r="D259" s="306" t="s">
        <v>1019</v>
      </c>
      <c r="E259" s="306" t="s">
        <v>1514</v>
      </c>
      <c r="F259" s="306" t="s">
        <v>1007</v>
      </c>
      <c r="G259" s="308">
        <v>46016</v>
      </c>
      <c r="H259" s="308">
        <v>46016</v>
      </c>
      <c r="I259" s="309">
        <v>-96410.9</v>
      </c>
      <c r="J259" s="306" t="s">
        <v>1008</v>
      </c>
      <c r="K259" s="309">
        <v>-96410.9</v>
      </c>
      <c r="L259" s="306" t="s">
        <v>1008</v>
      </c>
      <c r="M259" s="306" t="s">
        <v>1421</v>
      </c>
      <c r="N259" s="306" t="s">
        <v>1403</v>
      </c>
      <c r="O259" s="306" t="s">
        <v>1515</v>
      </c>
      <c r="P259" s="306" t="s">
        <v>1405</v>
      </c>
      <c r="Q259" s="306" t="s">
        <v>1013</v>
      </c>
      <c r="R259" s="306" t="s">
        <v>1013</v>
      </c>
      <c r="S259" s="306" t="s">
        <v>1013</v>
      </c>
      <c r="T259" s="306" t="s">
        <v>1406</v>
      </c>
      <c r="U259" s="306" t="s">
        <v>1013</v>
      </c>
      <c r="V259" s="306" t="s">
        <v>1013</v>
      </c>
      <c r="W259" s="306" t="s">
        <v>1013</v>
      </c>
      <c r="X259" s="306" t="s">
        <v>1013</v>
      </c>
      <c r="Y259" s="306" t="s">
        <v>1406</v>
      </c>
      <c r="Z259" s="306" t="s">
        <v>1015</v>
      </c>
      <c r="AA259" s="306" t="s">
        <v>1013</v>
      </c>
    </row>
    <row r="260" spans="1:27" hidden="1">
      <c r="A260" s="306" t="s">
        <v>494</v>
      </c>
      <c r="B260" s="306" t="s">
        <v>1003</v>
      </c>
      <c r="C260" s="306" t="s">
        <v>1004</v>
      </c>
      <c r="D260" s="306" t="s">
        <v>1019</v>
      </c>
      <c r="E260" s="306" t="s">
        <v>1516</v>
      </c>
      <c r="F260" s="306" t="s">
        <v>1007</v>
      </c>
      <c r="G260" s="308">
        <v>46016</v>
      </c>
      <c r="H260" s="308">
        <v>46016</v>
      </c>
      <c r="I260" s="309">
        <v>-20297.03</v>
      </c>
      <c r="J260" s="306" t="s">
        <v>1008</v>
      </c>
      <c r="K260" s="309">
        <v>-20297.03</v>
      </c>
      <c r="L260" s="306" t="s">
        <v>1008</v>
      </c>
      <c r="M260" s="306" t="s">
        <v>1421</v>
      </c>
      <c r="N260" s="306" t="s">
        <v>1403</v>
      </c>
      <c r="O260" s="306" t="s">
        <v>1517</v>
      </c>
      <c r="P260" s="306" t="s">
        <v>1405</v>
      </c>
      <c r="Q260" s="306" t="s">
        <v>1013</v>
      </c>
      <c r="R260" s="306" t="s">
        <v>1013</v>
      </c>
      <c r="S260" s="306" t="s">
        <v>1013</v>
      </c>
      <c r="T260" s="306" t="s">
        <v>1406</v>
      </c>
      <c r="U260" s="306" t="s">
        <v>1013</v>
      </c>
      <c r="V260" s="306" t="s">
        <v>1013</v>
      </c>
      <c r="W260" s="306" t="s">
        <v>1013</v>
      </c>
      <c r="X260" s="306" t="s">
        <v>1013</v>
      </c>
      <c r="Y260" s="306" t="s">
        <v>1406</v>
      </c>
      <c r="Z260" s="306" t="s">
        <v>1015</v>
      </c>
      <c r="AA260" s="306" t="s">
        <v>1013</v>
      </c>
    </row>
    <row r="261" spans="1:27" hidden="1">
      <c r="A261" s="306" t="s">
        <v>494</v>
      </c>
      <c r="B261" s="306" t="s">
        <v>1003</v>
      </c>
      <c r="C261" s="306" t="s">
        <v>1004</v>
      </c>
      <c r="D261" s="306" t="s">
        <v>1019</v>
      </c>
      <c r="E261" s="306" t="s">
        <v>1518</v>
      </c>
      <c r="F261" s="306" t="s">
        <v>1007</v>
      </c>
      <c r="G261" s="308">
        <v>46016</v>
      </c>
      <c r="H261" s="308">
        <v>46016</v>
      </c>
      <c r="I261" s="309">
        <v>-30459.9</v>
      </c>
      <c r="J261" s="306" t="s">
        <v>1008</v>
      </c>
      <c r="K261" s="309">
        <v>-30459.9</v>
      </c>
      <c r="L261" s="306" t="s">
        <v>1008</v>
      </c>
      <c r="M261" s="306" t="s">
        <v>1421</v>
      </c>
      <c r="N261" s="306" t="s">
        <v>1403</v>
      </c>
      <c r="O261" s="306" t="s">
        <v>1519</v>
      </c>
      <c r="P261" s="306" t="s">
        <v>1405</v>
      </c>
      <c r="Q261" s="306" t="s">
        <v>1013</v>
      </c>
      <c r="R261" s="306" t="s">
        <v>1013</v>
      </c>
      <c r="S261" s="306" t="s">
        <v>1013</v>
      </c>
      <c r="T261" s="306" t="s">
        <v>1406</v>
      </c>
      <c r="U261" s="306" t="s">
        <v>1013</v>
      </c>
      <c r="V261" s="306" t="s">
        <v>1013</v>
      </c>
      <c r="W261" s="306" t="s">
        <v>1013</v>
      </c>
      <c r="X261" s="306" t="s">
        <v>1013</v>
      </c>
      <c r="Y261" s="306" t="s">
        <v>1406</v>
      </c>
      <c r="Z261" s="306" t="s">
        <v>1015</v>
      </c>
      <c r="AA261" s="306" t="s">
        <v>1013</v>
      </c>
    </row>
    <row r="262" spans="1:27" hidden="1">
      <c r="A262" s="306" t="s">
        <v>494</v>
      </c>
      <c r="B262" s="306" t="s">
        <v>1003</v>
      </c>
      <c r="C262" s="306" t="s">
        <v>1004</v>
      </c>
      <c r="D262" s="306" t="s">
        <v>1019</v>
      </c>
      <c r="E262" s="306" t="s">
        <v>1520</v>
      </c>
      <c r="F262" s="306" t="s">
        <v>1007</v>
      </c>
      <c r="G262" s="308">
        <v>46016</v>
      </c>
      <c r="H262" s="308">
        <v>46016</v>
      </c>
      <c r="I262" s="309">
        <v>-29315</v>
      </c>
      <c r="J262" s="306" t="s">
        <v>1008</v>
      </c>
      <c r="K262" s="309">
        <v>-29315</v>
      </c>
      <c r="L262" s="306" t="s">
        <v>1008</v>
      </c>
      <c r="M262" s="306" t="s">
        <v>1421</v>
      </c>
      <c r="N262" s="306" t="s">
        <v>1403</v>
      </c>
      <c r="O262" s="306" t="s">
        <v>1521</v>
      </c>
      <c r="P262" s="306" t="s">
        <v>1405</v>
      </c>
      <c r="Q262" s="306" t="s">
        <v>1013</v>
      </c>
      <c r="R262" s="306" t="s">
        <v>1013</v>
      </c>
      <c r="S262" s="306" t="s">
        <v>1013</v>
      </c>
      <c r="T262" s="306" t="s">
        <v>1406</v>
      </c>
      <c r="U262" s="306" t="s">
        <v>1013</v>
      </c>
      <c r="V262" s="306" t="s">
        <v>1013</v>
      </c>
      <c r="W262" s="306" t="s">
        <v>1013</v>
      </c>
      <c r="X262" s="306" t="s">
        <v>1013</v>
      </c>
      <c r="Y262" s="306" t="s">
        <v>1406</v>
      </c>
      <c r="Z262" s="306" t="s">
        <v>1015</v>
      </c>
      <c r="AA262" s="306" t="s">
        <v>1013</v>
      </c>
    </row>
    <row r="263" spans="1:27" hidden="1">
      <c r="A263" s="306" t="s">
        <v>494</v>
      </c>
      <c r="B263" s="306" t="s">
        <v>1003</v>
      </c>
      <c r="C263" s="306" t="s">
        <v>1004</v>
      </c>
      <c r="D263" s="306" t="s">
        <v>1019</v>
      </c>
      <c r="E263" s="306" t="s">
        <v>1522</v>
      </c>
      <c r="F263" s="306" t="s">
        <v>1007</v>
      </c>
      <c r="G263" s="308">
        <v>46016</v>
      </c>
      <c r="H263" s="308">
        <v>46016</v>
      </c>
      <c r="I263" s="309">
        <v>-17252.47</v>
      </c>
      <c r="J263" s="306" t="s">
        <v>1008</v>
      </c>
      <c r="K263" s="309">
        <v>-17252.47</v>
      </c>
      <c r="L263" s="306" t="s">
        <v>1008</v>
      </c>
      <c r="M263" s="306" t="s">
        <v>1421</v>
      </c>
      <c r="N263" s="306" t="s">
        <v>1403</v>
      </c>
      <c r="O263" s="306" t="s">
        <v>1523</v>
      </c>
      <c r="P263" s="306" t="s">
        <v>1405</v>
      </c>
      <c r="Q263" s="306" t="s">
        <v>1013</v>
      </c>
      <c r="R263" s="306" t="s">
        <v>1013</v>
      </c>
      <c r="S263" s="306" t="s">
        <v>1013</v>
      </c>
      <c r="T263" s="306" t="s">
        <v>1406</v>
      </c>
      <c r="U263" s="306" t="s">
        <v>1013</v>
      </c>
      <c r="V263" s="306" t="s">
        <v>1013</v>
      </c>
      <c r="W263" s="306" t="s">
        <v>1013</v>
      </c>
      <c r="X263" s="306" t="s">
        <v>1013</v>
      </c>
      <c r="Y263" s="306" t="s">
        <v>1406</v>
      </c>
      <c r="Z263" s="306" t="s">
        <v>1015</v>
      </c>
      <c r="AA263" s="306" t="s">
        <v>1013</v>
      </c>
    </row>
    <row r="264" spans="1:27" hidden="1">
      <c r="A264" s="306" t="s">
        <v>494</v>
      </c>
      <c r="B264" s="306" t="s">
        <v>1003</v>
      </c>
      <c r="C264" s="306" t="s">
        <v>1004</v>
      </c>
      <c r="D264" s="306" t="s">
        <v>1031</v>
      </c>
      <c r="E264" s="306" t="s">
        <v>1524</v>
      </c>
      <c r="F264" s="306" t="s">
        <v>1007</v>
      </c>
      <c r="G264" s="308">
        <v>46016</v>
      </c>
      <c r="H264" s="308">
        <v>46016</v>
      </c>
      <c r="I264" s="309">
        <v>-474833.52</v>
      </c>
      <c r="J264" s="306" t="s">
        <v>1008</v>
      </c>
      <c r="K264" s="309">
        <v>-474833.52</v>
      </c>
      <c r="L264" s="306" t="s">
        <v>1008</v>
      </c>
      <c r="M264" s="306" t="s">
        <v>1410</v>
      </c>
      <c r="N264" s="306" t="s">
        <v>1403</v>
      </c>
      <c r="O264" s="306" t="s">
        <v>1525</v>
      </c>
      <c r="P264" s="306" t="s">
        <v>1405</v>
      </c>
      <c r="Q264" s="306" t="s">
        <v>1013</v>
      </c>
      <c r="R264" s="306" t="s">
        <v>1013</v>
      </c>
      <c r="S264" s="306" t="s">
        <v>1013</v>
      </c>
      <c r="T264" s="306" t="s">
        <v>1406</v>
      </c>
      <c r="U264" s="306" t="s">
        <v>1013</v>
      </c>
      <c r="V264" s="306" t="s">
        <v>1013</v>
      </c>
      <c r="W264" s="306" t="s">
        <v>1013</v>
      </c>
      <c r="X264" s="306" t="s">
        <v>1013</v>
      </c>
      <c r="Y264" s="306" t="s">
        <v>1406</v>
      </c>
      <c r="Z264" s="306" t="s">
        <v>1015</v>
      </c>
      <c r="AA264" s="306" t="s">
        <v>1013</v>
      </c>
    </row>
    <row r="265" spans="1:27" hidden="1">
      <c r="A265" s="306" t="s">
        <v>494</v>
      </c>
      <c r="B265" s="306" t="s">
        <v>1003</v>
      </c>
      <c r="C265" s="306" t="s">
        <v>1004</v>
      </c>
      <c r="D265" s="306" t="s">
        <v>1031</v>
      </c>
      <c r="E265" s="306" t="s">
        <v>1526</v>
      </c>
      <c r="F265" s="306" t="s">
        <v>1007</v>
      </c>
      <c r="G265" s="308">
        <v>46016</v>
      </c>
      <c r="H265" s="308">
        <v>46016</v>
      </c>
      <c r="I265" s="309">
        <v>-338135.71</v>
      </c>
      <c r="J265" s="306" t="s">
        <v>1008</v>
      </c>
      <c r="K265" s="309">
        <v>-338135.71</v>
      </c>
      <c r="L265" s="306" t="s">
        <v>1008</v>
      </c>
      <c r="M265" s="306" t="s">
        <v>1410</v>
      </c>
      <c r="N265" s="306" t="s">
        <v>1403</v>
      </c>
      <c r="O265" s="306" t="s">
        <v>1527</v>
      </c>
      <c r="P265" s="306" t="s">
        <v>1405</v>
      </c>
      <c r="Q265" s="306" t="s">
        <v>1013</v>
      </c>
      <c r="R265" s="306" t="s">
        <v>1013</v>
      </c>
      <c r="S265" s="306" t="s">
        <v>1013</v>
      </c>
      <c r="T265" s="306" t="s">
        <v>1406</v>
      </c>
      <c r="U265" s="306" t="s">
        <v>1013</v>
      </c>
      <c r="V265" s="306" t="s">
        <v>1013</v>
      </c>
      <c r="W265" s="306" t="s">
        <v>1013</v>
      </c>
      <c r="X265" s="306" t="s">
        <v>1013</v>
      </c>
      <c r="Y265" s="306" t="s">
        <v>1406</v>
      </c>
      <c r="Z265" s="306" t="s">
        <v>1015</v>
      </c>
      <c r="AA265" s="306" t="s">
        <v>1013</v>
      </c>
    </row>
    <row r="266" spans="1:27" hidden="1">
      <c r="A266" s="306" t="s">
        <v>494</v>
      </c>
      <c r="B266" s="306" t="s">
        <v>1003</v>
      </c>
      <c r="C266" s="306" t="s">
        <v>1004</v>
      </c>
      <c r="D266" s="306" t="s">
        <v>1019</v>
      </c>
      <c r="E266" s="306" t="s">
        <v>1528</v>
      </c>
      <c r="F266" s="306" t="s">
        <v>1007</v>
      </c>
      <c r="G266" s="308">
        <v>46016</v>
      </c>
      <c r="H266" s="308">
        <v>46016</v>
      </c>
      <c r="I266" s="309">
        <v>-15958.35</v>
      </c>
      <c r="J266" s="306" t="s">
        <v>1008</v>
      </c>
      <c r="K266" s="309">
        <v>-15958.35</v>
      </c>
      <c r="L266" s="306" t="s">
        <v>1008</v>
      </c>
      <c r="M266" s="306" t="s">
        <v>1421</v>
      </c>
      <c r="N266" s="306" t="s">
        <v>1403</v>
      </c>
      <c r="O266" s="306" t="s">
        <v>1529</v>
      </c>
      <c r="P266" s="306" t="s">
        <v>1405</v>
      </c>
      <c r="Q266" s="306" t="s">
        <v>1013</v>
      </c>
      <c r="R266" s="306" t="s">
        <v>1013</v>
      </c>
      <c r="S266" s="306" t="s">
        <v>1013</v>
      </c>
      <c r="T266" s="306" t="s">
        <v>1406</v>
      </c>
      <c r="U266" s="306" t="s">
        <v>1013</v>
      </c>
      <c r="V266" s="306" t="s">
        <v>1013</v>
      </c>
      <c r="W266" s="306" t="s">
        <v>1013</v>
      </c>
      <c r="X266" s="306" t="s">
        <v>1013</v>
      </c>
      <c r="Y266" s="306" t="s">
        <v>1406</v>
      </c>
      <c r="Z266" s="306" t="s">
        <v>1015</v>
      </c>
      <c r="AA266" s="306" t="s">
        <v>1013</v>
      </c>
    </row>
    <row r="267" spans="1:27" hidden="1">
      <c r="A267" s="306" t="s">
        <v>494</v>
      </c>
      <c r="B267" s="306" t="s">
        <v>1003</v>
      </c>
      <c r="C267" s="306" t="s">
        <v>1004</v>
      </c>
      <c r="D267" s="306" t="s">
        <v>1019</v>
      </c>
      <c r="E267" s="306" t="s">
        <v>1530</v>
      </c>
      <c r="F267" s="306" t="s">
        <v>1007</v>
      </c>
      <c r="G267" s="308">
        <v>46016</v>
      </c>
      <c r="H267" s="308">
        <v>46016</v>
      </c>
      <c r="I267" s="309">
        <v>-9156.06</v>
      </c>
      <c r="J267" s="306" t="s">
        <v>1008</v>
      </c>
      <c r="K267" s="309">
        <v>-9156.06</v>
      </c>
      <c r="L267" s="306" t="s">
        <v>1008</v>
      </c>
      <c r="M267" s="306" t="s">
        <v>1421</v>
      </c>
      <c r="N267" s="306" t="s">
        <v>1403</v>
      </c>
      <c r="O267" s="306" t="s">
        <v>1446</v>
      </c>
      <c r="P267" s="306" t="s">
        <v>1405</v>
      </c>
      <c r="Q267" s="306" t="s">
        <v>1013</v>
      </c>
      <c r="R267" s="306" t="s">
        <v>1013</v>
      </c>
      <c r="S267" s="306" t="s">
        <v>1013</v>
      </c>
      <c r="T267" s="306" t="s">
        <v>1406</v>
      </c>
      <c r="U267" s="306" t="s">
        <v>1013</v>
      </c>
      <c r="V267" s="306" t="s">
        <v>1013</v>
      </c>
      <c r="W267" s="306" t="s">
        <v>1013</v>
      </c>
      <c r="X267" s="306" t="s">
        <v>1013</v>
      </c>
      <c r="Y267" s="306" t="s">
        <v>1406</v>
      </c>
      <c r="Z267" s="306" t="s">
        <v>1015</v>
      </c>
      <c r="AA267" s="306" t="s">
        <v>1013</v>
      </c>
    </row>
    <row r="268" spans="1:27" hidden="1">
      <c r="A268" s="306" t="s">
        <v>494</v>
      </c>
      <c r="B268" s="306" t="s">
        <v>1003</v>
      </c>
      <c r="C268" s="306" t="s">
        <v>1004</v>
      </c>
      <c r="D268" s="306" t="s">
        <v>1019</v>
      </c>
      <c r="E268" s="306" t="s">
        <v>1531</v>
      </c>
      <c r="F268" s="306" t="s">
        <v>1007</v>
      </c>
      <c r="G268" s="308">
        <v>46016</v>
      </c>
      <c r="H268" s="308">
        <v>46016</v>
      </c>
      <c r="I268" s="309">
        <v>-8877.59</v>
      </c>
      <c r="J268" s="306" t="s">
        <v>1008</v>
      </c>
      <c r="K268" s="309">
        <v>-8877.59</v>
      </c>
      <c r="L268" s="306" t="s">
        <v>1008</v>
      </c>
      <c r="M268" s="306" t="s">
        <v>1421</v>
      </c>
      <c r="N268" s="306" t="s">
        <v>1403</v>
      </c>
      <c r="O268" s="306" t="s">
        <v>1532</v>
      </c>
      <c r="P268" s="306" t="s">
        <v>1405</v>
      </c>
      <c r="Q268" s="306" t="s">
        <v>1013</v>
      </c>
      <c r="R268" s="306" t="s">
        <v>1013</v>
      </c>
      <c r="S268" s="306" t="s">
        <v>1013</v>
      </c>
      <c r="T268" s="306" t="s">
        <v>1406</v>
      </c>
      <c r="U268" s="306" t="s">
        <v>1013</v>
      </c>
      <c r="V268" s="306" t="s">
        <v>1013</v>
      </c>
      <c r="W268" s="306" t="s">
        <v>1013</v>
      </c>
      <c r="X268" s="306" t="s">
        <v>1013</v>
      </c>
      <c r="Y268" s="306" t="s">
        <v>1406</v>
      </c>
      <c r="Z268" s="306" t="s">
        <v>1015</v>
      </c>
      <c r="AA268" s="306" t="s">
        <v>1013</v>
      </c>
    </row>
    <row r="269" spans="1:27" hidden="1">
      <c r="A269" s="306" t="s">
        <v>494</v>
      </c>
      <c r="B269" s="306" t="s">
        <v>1003</v>
      </c>
      <c r="C269" s="306" t="s">
        <v>1004</v>
      </c>
      <c r="D269" s="306" t="s">
        <v>1031</v>
      </c>
      <c r="E269" s="306" t="s">
        <v>1533</v>
      </c>
      <c r="F269" s="306" t="s">
        <v>1007</v>
      </c>
      <c r="G269" s="308">
        <v>46017</v>
      </c>
      <c r="H269" s="308">
        <v>46017</v>
      </c>
      <c r="I269" s="309">
        <v>-3066783.67</v>
      </c>
      <c r="J269" s="306" t="s">
        <v>1008</v>
      </c>
      <c r="K269" s="309">
        <v>-3066783.67</v>
      </c>
      <c r="L269" s="306" t="s">
        <v>1008</v>
      </c>
      <c r="M269" s="306" t="s">
        <v>1534</v>
      </c>
      <c r="N269" s="306" t="s">
        <v>1535</v>
      </c>
      <c r="O269" s="306" t="s">
        <v>1536</v>
      </c>
      <c r="P269" s="306" t="s">
        <v>263</v>
      </c>
      <c r="Q269" s="306" t="s">
        <v>1013</v>
      </c>
      <c r="R269" s="306" t="s">
        <v>1013</v>
      </c>
      <c r="S269" s="306" t="s">
        <v>1013</v>
      </c>
      <c r="T269" s="306" t="s">
        <v>1537</v>
      </c>
      <c r="U269" s="306" t="s">
        <v>1013</v>
      </c>
      <c r="V269" s="306" t="s">
        <v>1013</v>
      </c>
      <c r="W269" s="306" t="s">
        <v>1013</v>
      </c>
      <c r="X269" s="306" t="s">
        <v>1013</v>
      </c>
      <c r="Y269" s="306" t="s">
        <v>1537</v>
      </c>
      <c r="Z269" s="306" t="s">
        <v>1015</v>
      </c>
      <c r="AA269" s="306" t="s">
        <v>1013</v>
      </c>
    </row>
    <row r="270" spans="1:27" hidden="1">
      <c r="A270" s="306" t="s">
        <v>494</v>
      </c>
      <c r="B270" s="306" t="s">
        <v>1003</v>
      </c>
      <c r="C270" s="306" t="s">
        <v>1004</v>
      </c>
      <c r="D270" s="306" t="s">
        <v>1031</v>
      </c>
      <c r="E270" s="306" t="s">
        <v>1538</v>
      </c>
      <c r="F270" s="306" t="s">
        <v>1007</v>
      </c>
      <c r="G270" s="308">
        <v>46017</v>
      </c>
      <c r="H270" s="308">
        <v>46017</v>
      </c>
      <c r="I270" s="309">
        <v>-1344564.16</v>
      </c>
      <c r="J270" s="306" t="s">
        <v>1008</v>
      </c>
      <c r="K270" s="309">
        <v>-1344564.16</v>
      </c>
      <c r="L270" s="306" t="s">
        <v>1008</v>
      </c>
      <c r="M270" s="306" t="s">
        <v>1534</v>
      </c>
      <c r="N270" s="306" t="s">
        <v>1535</v>
      </c>
      <c r="O270" s="306" t="s">
        <v>1539</v>
      </c>
      <c r="P270" s="306" t="s">
        <v>263</v>
      </c>
      <c r="Q270" s="306" t="s">
        <v>1013</v>
      </c>
      <c r="R270" s="306" t="s">
        <v>1013</v>
      </c>
      <c r="S270" s="306" t="s">
        <v>1013</v>
      </c>
      <c r="T270" s="306" t="s">
        <v>1537</v>
      </c>
      <c r="U270" s="306" t="s">
        <v>1013</v>
      </c>
      <c r="V270" s="306" t="s">
        <v>1013</v>
      </c>
      <c r="W270" s="306" t="s">
        <v>1013</v>
      </c>
      <c r="X270" s="306" t="s">
        <v>1013</v>
      </c>
      <c r="Y270" s="306" t="s">
        <v>1537</v>
      </c>
      <c r="Z270" s="306" t="s">
        <v>1015</v>
      </c>
      <c r="AA270" s="306" t="s">
        <v>1013</v>
      </c>
    </row>
    <row r="271" spans="1:27" hidden="1">
      <c r="A271" s="306" t="s">
        <v>494</v>
      </c>
      <c r="B271" s="306" t="s">
        <v>1003</v>
      </c>
      <c r="C271" s="306" t="s">
        <v>1004</v>
      </c>
      <c r="D271" s="306" t="s">
        <v>1031</v>
      </c>
      <c r="E271" s="306" t="s">
        <v>1540</v>
      </c>
      <c r="F271" s="306" t="s">
        <v>1007</v>
      </c>
      <c r="G271" s="308">
        <v>46017</v>
      </c>
      <c r="H271" s="308">
        <v>46017</v>
      </c>
      <c r="I271" s="309">
        <v>-10649115.050000001</v>
      </c>
      <c r="J271" s="306" t="s">
        <v>1008</v>
      </c>
      <c r="K271" s="309">
        <v>-10649115.050000001</v>
      </c>
      <c r="L271" s="306" t="s">
        <v>1008</v>
      </c>
      <c r="M271" s="306" t="s">
        <v>1534</v>
      </c>
      <c r="N271" s="306" t="s">
        <v>1535</v>
      </c>
      <c r="O271" s="306" t="s">
        <v>1541</v>
      </c>
      <c r="P271" s="306" t="s">
        <v>263</v>
      </c>
      <c r="Q271" s="306" t="s">
        <v>1013</v>
      </c>
      <c r="R271" s="306" t="s">
        <v>1013</v>
      </c>
      <c r="S271" s="306" t="s">
        <v>1013</v>
      </c>
      <c r="T271" s="306" t="s">
        <v>1537</v>
      </c>
      <c r="U271" s="306" t="s">
        <v>1013</v>
      </c>
      <c r="V271" s="306" t="s">
        <v>1013</v>
      </c>
      <c r="W271" s="306" t="s">
        <v>1013</v>
      </c>
      <c r="X271" s="306" t="s">
        <v>1013</v>
      </c>
      <c r="Y271" s="306" t="s">
        <v>1537</v>
      </c>
      <c r="Z271" s="306" t="s">
        <v>1015</v>
      </c>
      <c r="AA271" s="306" t="s">
        <v>1013</v>
      </c>
    </row>
    <row r="272" spans="1:27" hidden="1">
      <c r="A272" s="306" t="s">
        <v>494</v>
      </c>
      <c r="B272" s="306" t="s">
        <v>1003</v>
      </c>
      <c r="C272" s="306" t="s">
        <v>1004</v>
      </c>
      <c r="D272" s="306" t="s">
        <v>1031</v>
      </c>
      <c r="E272" s="306" t="s">
        <v>1542</v>
      </c>
      <c r="F272" s="306" t="s">
        <v>1007</v>
      </c>
      <c r="G272" s="308">
        <v>46017</v>
      </c>
      <c r="H272" s="308">
        <v>46017</v>
      </c>
      <c r="I272" s="309">
        <v>-372672.4</v>
      </c>
      <c r="J272" s="306" t="s">
        <v>1008</v>
      </c>
      <c r="K272" s="309">
        <v>-372672.4</v>
      </c>
      <c r="L272" s="306" t="s">
        <v>1008</v>
      </c>
      <c r="M272" s="306" t="s">
        <v>1534</v>
      </c>
      <c r="N272" s="306" t="s">
        <v>1535</v>
      </c>
      <c r="O272" s="306" t="s">
        <v>1543</v>
      </c>
      <c r="P272" s="306" t="s">
        <v>263</v>
      </c>
      <c r="Q272" s="306" t="s">
        <v>1013</v>
      </c>
      <c r="R272" s="306" t="s">
        <v>1013</v>
      </c>
      <c r="S272" s="306" t="s">
        <v>1013</v>
      </c>
      <c r="T272" s="306" t="s">
        <v>1537</v>
      </c>
      <c r="U272" s="306" t="s">
        <v>1013</v>
      </c>
      <c r="V272" s="306" t="s">
        <v>1013</v>
      </c>
      <c r="W272" s="306" t="s">
        <v>1013</v>
      </c>
      <c r="X272" s="306" t="s">
        <v>1013</v>
      </c>
      <c r="Y272" s="306" t="s">
        <v>1537</v>
      </c>
      <c r="Z272" s="306" t="s">
        <v>1015</v>
      </c>
      <c r="AA272" s="306" t="s">
        <v>1013</v>
      </c>
    </row>
    <row r="273" spans="1:27" hidden="1">
      <c r="A273" s="306" t="s">
        <v>494</v>
      </c>
      <c r="B273" s="306" t="s">
        <v>1003</v>
      </c>
      <c r="C273" s="306" t="s">
        <v>1004</v>
      </c>
      <c r="D273" s="306" t="s">
        <v>1031</v>
      </c>
      <c r="E273" s="306" t="s">
        <v>1544</v>
      </c>
      <c r="F273" s="306" t="s">
        <v>1007</v>
      </c>
      <c r="G273" s="308">
        <v>46017</v>
      </c>
      <c r="H273" s="308">
        <v>46017</v>
      </c>
      <c r="I273" s="309">
        <v>-3279273.59</v>
      </c>
      <c r="J273" s="306" t="s">
        <v>1008</v>
      </c>
      <c r="K273" s="309">
        <v>-3279273.59</v>
      </c>
      <c r="L273" s="306" t="s">
        <v>1008</v>
      </c>
      <c r="M273" s="306" t="s">
        <v>1534</v>
      </c>
      <c r="N273" s="306" t="s">
        <v>1535</v>
      </c>
      <c r="O273" s="306" t="s">
        <v>1545</v>
      </c>
      <c r="P273" s="306" t="s">
        <v>263</v>
      </c>
      <c r="Q273" s="306" t="s">
        <v>1013</v>
      </c>
      <c r="R273" s="306" t="s">
        <v>1013</v>
      </c>
      <c r="S273" s="306" t="s">
        <v>1013</v>
      </c>
      <c r="T273" s="306" t="s">
        <v>1537</v>
      </c>
      <c r="U273" s="306" t="s">
        <v>1013</v>
      </c>
      <c r="V273" s="306" t="s">
        <v>1013</v>
      </c>
      <c r="W273" s="306" t="s">
        <v>1013</v>
      </c>
      <c r="X273" s="306" t="s">
        <v>1013</v>
      </c>
      <c r="Y273" s="306" t="s">
        <v>1537</v>
      </c>
      <c r="Z273" s="306" t="s">
        <v>1015</v>
      </c>
      <c r="AA273" s="306" t="s">
        <v>1013</v>
      </c>
    </row>
    <row r="274" spans="1:27" hidden="1">
      <c r="A274" s="306" t="s">
        <v>494</v>
      </c>
      <c r="B274" s="306" t="s">
        <v>1003</v>
      </c>
      <c r="C274" s="306" t="s">
        <v>1004</v>
      </c>
      <c r="D274" s="306" t="s">
        <v>1031</v>
      </c>
      <c r="E274" s="306" t="s">
        <v>1546</v>
      </c>
      <c r="F274" s="306" t="s">
        <v>1007</v>
      </c>
      <c r="G274" s="308">
        <v>46017</v>
      </c>
      <c r="H274" s="308">
        <v>46017</v>
      </c>
      <c r="I274" s="309">
        <v>-7305392.6799999997</v>
      </c>
      <c r="J274" s="306" t="s">
        <v>1008</v>
      </c>
      <c r="K274" s="309">
        <v>-7305392.6799999997</v>
      </c>
      <c r="L274" s="306" t="s">
        <v>1008</v>
      </c>
      <c r="M274" s="306" t="s">
        <v>1534</v>
      </c>
      <c r="N274" s="306" t="s">
        <v>1535</v>
      </c>
      <c r="O274" s="306" t="s">
        <v>1547</v>
      </c>
      <c r="P274" s="306" t="s">
        <v>263</v>
      </c>
      <c r="Q274" s="306" t="s">
        <v>1013</v>
      </c>
      <c r="R274" s="306" t="s">
        <v>1013</v>
      </c>
      <c r="S274" s="306" t="s">
        <v>1013</v>
      </c>
      <c r="T274" s="306" t="s">
        <v>1537</v>
      </c>
      <c r="U274" s="306" t="s">
        <v>1013</v>
      </c>
      <c r="V274" s="306" t="s">
        <v>1013</v>
      </c>
      <c r="W274" s="306" t="s">
        <v>1013</v>
      </c>
      <c r="X274" s="306" t="s">
        <v>1013</v>
      </c>
      <c r="Y274" s="306" t="s">
        <v>1537</v>
      </c>
      <c r="Z274" s="306" t="s">
        <v>1015</v>
      </c>
      <c r="AA274" s="306" t="s">
        <v>1013</v>
      </c>
    </row>
    <row r="275" spans="1:27" hidden="1">
      <c r="A275" s="306" t="s">
        <v>494</v>
      </c>
      <c r="B275" s="306" t="s">
        <v>1003</v>
      </c>
      <c r="C275" s="306" t="s">
        <v>1004</v>
      </c>
      <c r="D275" s="306" t="s">
        <v>1031</v>
      </c>
      <c r="E275" s="306" t="s">
        <v>1548</v>
      </c>
      <c r="F275" s="306" t="s">
        <v>1007</v>
      </c>
      <c r="G275" s="308">
        <v>46017</v>
      </c>
      <c r="H275" s="308">
        <v>46017</v>
      </c>
      <c r="I275" s="309">
        <v>-1552942.49</v>
      </c>
      <c r="J275" s="306" t="s">
        <v>1008</v>
      </c>
      <c r="K275" s="309">
        <v>-1552942.49</v>
      </c>
      <c r="L275" s="306" t="s">
        <v>1008</v>
      </c>
      <c r="M275" s="306" t="s">
        <v>1534</v>
      </c>
      <c r="N275" s="306" t="s">
        <v>1535</v>
      </c>
      <c r="O275" s="306" t="s">
        <v>1549</v>
      </c>
      <c r="P275" s="306" t="s">
        <v>263</v>
      </c>
      <c r="Q275" s="306" t="s">
        <v>1013</v>
      </c>
      <c r="R275" s="306" t="s">
        <v>1013</v>
      </c>
      <c r="S275" s="306" t="s">
        <v>1013</v>
      </c>
      <c r="T275" s="306" t="s">
        <v>1537</v>
      </c>
      <c r="U275" s="306" t="s">
        <v>1013</v>
      </c>
      <c r="V275" s="306" t="s">
        <v>1013</v>
      </c>
      <c r="W275" s="306" t="s">
        <v>1013</v>
      </c>
      <c r="X275" s="306" t="s">
        <v>1013</v>
      </c>
      <c r="Y275" s="306" t="s">
        <v>1537</v>
      </c>
      <c r="Z275" s="306" t="s">
        <v>1015</v>
      </c>
      <c r="AA275" s="306" t="s">
        <v>1013</v>
      </c>
    </row>
    <row r="276" spans="1:27" hidden="1">
      <c r="A276" s="306" t="s">
        <v>494</v>
      </c>
      <c r="B276" s="306" t="s">
        <v>1003</v>
      </c>
      <c r="C276" s="306" t="s">
        <v>1004</v>
      </c>
      <c r="D276" s="306" t="s">
        <v>1031</v>
      </c>
      <c r="E276" s="306" t="s">
        <v>1550</v>
      </c>
      <c r="F276" s="306" t="s">
        <v>1007</v>
      </c>
      <c r="G276" s="308">
        <v>46017</v>
      </c>
      <c r="H276" s="308">
        <v>46017</v>
      </c>
      <c r="I276" s="309">
        <v>-2273539.33</v>
      </c>
      <c r="J276" s="306" t="s">
        <v>1008</v>
      </c>
      <c r="K276" s="309">
        <v>-2273539.33</v>
      </c>
      <c r="L276" s="306" t="s">
        <v>1008</v>
      </c>
      <c r="M276" s="306" t="s">
        <v>1534</v>
      </c>
      <c r="N276" s="306" t="s">
        <v>1535</v>
      </c>
      <c r="O276" s="306" t="s">
        <v>1551</v>
      </c>
      <c r="P276" s="306" t="s">
        <v>263</v>
      </c>
      <c r="Q276" s="306" t="s">
        <v>1013</v>
      </c>
      <c r="R276" s="306" t="s">
        <v>1013</v>
      </c>
      <c r="S276" s="306" t="s">
        <v>1013</v>
      </c>
      <c r="T276" s="306" t="s">
        <v>1537</v>
      </c>
      <c r="U276" s="306" t="s">
        <v>1013</v>
      </c>
      <c r="V276" s="306" t="s">
        <v>1013</v>
      </c>
      <c r="W276" s="306" t="s">
        <v>1013</v>
      </c>
      <c r="X276" s="306" t="s">
        <v>1013</v>
      </c>
      <c r="Y276" s="306" t="s">
        <v>1537</v>
      </c>
      <c r="Z276" s="306" t="s">
        <v>1015</v>
      </c>
      <c r="AA276" s="306" t="s">
        <v>1013</v>
      </c>
    </row>
    <row r="277" spans="1:27" hidden="1">
      <c r="A277" s="306" t="s">
        <v>494</v>
      </c>
      <c r="B277" s="306" t="s">
        <v>1003</v>
      </c>
      <c r="C277" s="306" t="s">
        <v>1004</v>
      </c>
      <c r="D277" s="306" t="s">
        <v>1005</v>
      </c>
      <c r="E277" s="306" t="s">
        <v>1552</v>
      </c>
      <c r="F277" s="306" t="s">
        <v>1007</v>
      </c>
      <c r="G277" s="308">
        <v>46017</v>
      </c>
      <c r="H277" s="308">
        <v>46017</v>
      </c>
      <c r="I277" s="309">
        <v>-6457484.1799999997</v>
      </c>
      <c r="J277" s="306" t="s">
        <v>1008</v>
      </c>
      <c r="K277" s="309">
        <v>-6457484.1799999997</v>
      </c>
      <c r="L277" s="306" t="s">
        <v>1008</v>
      </c>
      <c r="M277" s="306" t="s">
        <v>1553</v>
      </c>
      <c r="N277" s="306" t="s">
        <v>1535</v>
      </c>
      <c r="O277" s="306" t="s">
        <v>1554</v>
      </c>
      <c r="P277" s="306" t="s">
        <v>263</v>
      </c>
      <c r="Q277" s="306" t="s">
        <v>1013</v>
      </c>
      <c r="R277" s="306" t="s">
        <v>1013</v>
      </c>
      <c r="S277" s="306" t="s">
        <v>1013</v>
      </c>
      <c r="T277" s="306" t="s">
        <v>1537</v>
      </c>
      <c r="U277" s="306" t="s">
        <v>1013</v>
      </c>
      <c r="V277" s="306" t="s">
        <v>1013</v>
      </c>
      <c r="W277" s="306" t="s">
        <v>1013</v>
      </c>
      <c r="X277" s="306" t="s">
        <v>1013</v>
      </c>
      <c r="Y277" s="306" t="s">
        <v>1537</v>
      </c>
      <c r="Z277" s="306" t="s">
        <v>1015</v>
      </c>
      <c r="AA277" s="306" t="s">
        <v>1013</v>
      </c>
    </row>
    <row r="278" spans="1:27" hidden="1">
      <c r="A278" s="306" t="s">
        <v>494</v>
      </c>
      <c r="B278" s="306" t="s">
        <v>1003</v>
      </c>
      <c r="C278" s="306" t="s">
        <v>1004</v>
      </c>
      <c r="D278" s="306" t="s">
        <v>1005</v>
      </c>
      <c r="E278" s="306" t="s">
        <v>1555</v>
      </c>
      <c r="F278" s="306" t="s">
        <v>1007</v>
      </c>
      <c r="G278" s="308">
        <v>46017</v>
      </c>
      <c r="H278" s="308">
        <v>46017</v>
      </c>
      <c r="I278" s="309">
        <v>-7650081.9800000004</v>
      </c>
      <c r="J278" s="306" t="s">
        <v>1008</v>
      </c>
      <c r="K278" s="309">
        <v>-7650081.9800000004</v>
      </c>
      <c r="L278" s="306" t="s">
        <v>1008</v>
      </c>
      <c r="M278" s="306" t="s">
        <v>1553</v>
      </c>
      <c r="N278" s="306" t="s">
        <v>1535</v>
      </c>
      <c r="O278" s="306" t="s">
        <v>1556</v>
      </c>
      <c r="P278" s="306" t="s">
        <v>263</v>
      </c>
      <c r="Q278" s="306" t="s">
        <v>1013</v>
      </c>
      <c r="R278" s="306" t="s">
        <v>1013</v>
      </c>
      <c r="S278" s="306" t="s">
        <v>1013</v>
      </c>
      <c r="T278" s="306" t="s">
        <v>1537</v>
      </c>
      <c r="U278" s="306" t="s">
        <v>1013</v>
      </c>
      <c r="V278" s="306" t="s">
        <v>1013</v>
      </c>
      <c r="W278" s="306" t="s">
        <v>1013</v>
      </c>
      <c r="X278" s="306" t="s">
        <v>1013</v>
      </c>
      <c r="Y278" s="306" t="s">
        <v>1537</v>
      </c>
      <c r="Z278" s="306" t="s">
        <v>1015</v>
      </c>
      <c r="AA278" s="306" t="s">
        <v>1013</v>
      </c>
    </row>
    <row r="279" spans="1:27" hidden="1">
      <c r="A279" s="306" t="s">
        <v>494</v>
      </c>
      <c r="B279" s="306" t="s">
        <v>1003</v>
      </c>
      <c r="C279" s="306" t="s">
        <v>1004</v>
      </c>
      <c r="D279" s="306" t="s">
        <v>1031</v>
      </c>
      <c r="E279" s="306" t="s">
        <v>1557</v>
      </c>
      <c r="F279" s="306" t="s">
        <v>1007</v>
      </c>
      <c r="G279" s="308">
        <v>46017</v>
      </c>
      <c r="H279" s="308">
        <v>46017</v>
      </c>
      <c r="I279" s="309">
        <v>-18486.900000000001</v>
      </c>
      <c r="J279" s="306" t="s">
        <v>1008</v>
      </c>
      <c r="K279" s="309">
        <v>-18486.900000000001</v>
      </c>
      <c r="L279" s="306" t="s">
        <v>1008</v>
      </c>
      <c r="M279" s="306" t="s">
        <v>1534</v>
      </c>
      <c r="N279" s="306" t="s">
        <v>1535</v>
      </c>
      <c r="O279" s="306" t="s">
        <v>1558</v>
      </c>
      <c r="P279" s="306" t="s">
        <v>263</v>
      </c>
      <c r="Q279" s="306" t="s">
        <v>1013</v>
      </c>
      <c r="R279" s="306" t="s">
        <v>1013</v>
      </c>
      <c r="S279" s="306" t="s">
        <v>1013</v>
      </c>
      <c r="T279" s="306" t="s">
        <v>1537</v>
      </c>
      <c r="U279" s="306" t="s">
        <v>1013</v>
      </c>
      <c r="V279" s="306" t="s">
        <v>1013</v>
      </c>
      <c r="W279" s="306" t="s">
        <v>1013</v>
      </c>
      <c r="X279" s="306" t="s">
        <v>1013</v>
      </c>
      <c r="Y279" s="306" t="s">
        <v>1537</v>
      </c>
      <c r="Z279" s="306" t="s">
        <v>1015</v>
      </c>
      <c r="AA279" s="306" t="s">
        <v>1013</v>
      </c>
    </row>
    <row r="280" spans="1:27" hidden="1">
      <c r="A280" s="306" t="s">
        <v>494</v>
      </c>
      <c r="B280" s="306" t="s">
        <v>1003</v>
      </c>
      <c r="C280" s="306" t="s">
        <v>1004</v>
      </c>
      <c r="D280" s="306" t="s">
        <v>1031</v>
      </c>
      <c r="E280" s="306" t="s">
        <v>1559</v>
      </c>
      <c r="F280" s="306" t="s">
        <v>1007</v>
      </c>
      <c r="G280" s="308">
        <v>46017</v>
      </c>
      <c r="H280" s="308">
        <v>46017</v>
      </c>
      <c r="I280" s="309">
        <v>-78118.33</v>
      </c>
      <c r="J280" s="306" t="s">
        <v>1008</v>
      </c>
      <c r="K280" s="309">
        <v>-78118.33</v>
      </c>
      <c r="L280" s="306" t="s">
        <v>1008</v>
      </c>
      <c r="M280" s="306" t="s">
        <v>1534</v>
      </c>
      <c r="N280" s="306" t="s">
        <v>1535</v>
      </c>
      <c r="O280" s="306" t="s">
        <v>1560</v>
      </c>
      <c r="P280" s="306" t="s">
        <v>263</v>
      </c>
      <c r="Q280" s="306" t="s">
        <v>1013</v>
      </c>
      <c r="R280" s="306" t="s">
        <v>1013</v>
      </c>
      <c r="S280" s="306" t="s">
        <v>1013</v>
      </c>
      <c r="T280" s="306" t="s">
        <v>1537</v>
      </c>
      <c r="U280" s="306" t="s">
        <v>1013</v>
      </c>
      <c r="V280" s="306" t="s">
        <v>1013</v>
      </c>
      <c r="W280" s="306" t="s">
        <v>1013</v>
      </c>
      <c r="X280" s="306" t="s">
        <v>1013</v>
      </c>
      <c r="Y280" s="306" t="s">
        <v>1537</v>
      </c>
      <c r="Z280" s="306" t="s">
        <v>1015</v>
      </c>
      <c r="AA280" s="306" t="s">
        <v>1013</v>
      </c>
    </row>
    <row r="281" spans="1:27" hidden="1">
      <c r="A281" s="306" t="s">
        <v>494</v>
      </c>
      <c r="B281" s="306" t="s">
        <v>1003</v>
      </c>
      <c r="C281" s="306" t="s">
        <v>1004</v>
      </c>
      <c r="D281" s="306" t="s">
        <v>1019</v>
      </c>
      <c r="E281" s="306" t="s">
        <v>1561</v>
      </c>
      <c r="F281" s="306" t="s">
        <v>1007</v>
      </c>
      <c r="G281" s="308">
        <v>46017</v>
      </c>
      <c r="H281" s="308">
        <v>46017</v>
      </c>
      <c r="I281" s="309">
        <v>-4873.79</v>
      </c>
      <c r="J281" s="306" t="s">
        <v>1008</v>
      </c>
      <c r="K281" s="309">
        <v>-4873.79</v>
      </c>
      <c r="L281" s="306" t="s">
        <v>1008</v>
      </c>
      <c r="M281" s="306" t="s">
        <v>1562</v>
      </c>
      <c r="N281" s="306" t="s">
        <v>1535</v>
      </c>
      <c r="O281" s="306" t="s">
        <v>1563</v>
      </c>
      <c r="P281" s="306" t="s">
        <v>263</v>
      </c>
      <c r="Q281" s="306" t="s">
        <v>1013</v>
      </c>
      <c r="R281" s="306" t="s">
        <v>1013</v>
      </c>
      <c r="S281" s="306" t="s">
        <v>1013</v>
      </c>
      <c r="T281" s="306" t="s">
        <v>1537</v>
      </c>
      <c r="U281" s="306" t="s">
        <v>1013</v>
      </c>
      <c r="V281" s="306" t="s">
        <v>1013</v>
      </c>
      <c r="W281" s="306" t="s">
        <v>1013</v>
      </c>
      <c r="X281" s="306" t="s">
        <v>1013</v>
      </c>
      <c r="Y281" s="306" t="s">
        <v>1537</v>
      </c>
      <c r="Z281" s="306" t="s">
        <v>1015</v>
      </c>
      <c r="AA281" s="306" t="s">
        <v>1013</v>
      </c>
    </row>
    <row r="282" spans="1:27" hidden="1">
      <c r="A282" s="306" t="s">
        <v>494</v>
      </c>
      <c r="B282" s="306" t="s">
        <v>1003</v>
      </c>
      <c r="C282" s="306" t="s">
        <v>1004</v>
      </c>
      <c r="D282" s="306" t="s">
        <v>1031</v>
      </c>
      <c r="E282" s="306" t="s">
        <v>1564</v>
      </c>
      <c r="F282" s="306" t="s">
        <v>1007</v>
      </c>
      <c r="G282" s="308">
        <v>46017</v>
      </c>
      <c r="H282" s="308">
        <v>46017</v>
      </c>
      <c r="I282" s="309">
        <v>-161044.74</v>
      </c>
      <c r="J282" s="306" t="s">
        <v>1008</v>
      </c>
      <c r="K282" s="309">
        <v>-161044.74</v>
      </c>
      <c r="L282" s="306" t="s">
        <v>1008</v>
      </c>
      <c r="M282" s="306" t="s">
        <v>1534</v>
      </c>
      <c r="N282" s="306" t="s">
        <v>1535</v>
      </c>
      <c r="O282" s="306" t="s">
        <v>1565</v>
      </c>
      <c r="P282" s="306" t="s">
        <v>263</v>
      </c>
      <c r="Q282" s="306" t="s">
        <v>1013</v>
      </c>
      <c r="R282" s="306" t="s">
        <v>1013</v>
      </c>
      <c r="S282" s="306" t="s">
        <v>1013</v>
      </c>
      <c r="T282" s="306" t="s">
        <v>1537</v>
      </c>
      <c r="U282" s="306" t="s">
        <v>1013</v>
      </c>
      <c r="V282" s="306" t="s">
        <v>1013</v>
      </c>
      <c r="W282" s="306" t="s">
        <v>1013</v>
      </c>
      <c r="X282" s="306" t="s">
        <v>1013</v>
      </c>
      <c r="Y282" s="306" t="s">
        <v>1537</v>
      </c>
      <c r="Z282" s="306" t="s">
        <v>1015</v>
      </c>
      <c r="AA282" s="306" t="s">
        <v>1013</v>
      </c>
    </row>
    <row r="283" spans="1:27" hidden="1">
      <c r="A283" s="306" t="s">
        <v>494</v>
      </c>
      <c r="B283" s="306" t="s">
        <v>1003</v>
      </c>
      <c r="C283" s="306" t="s">
        <v>1004</v>
      </c>
      <c r="D283" s="306" t="s">
        <v>1031</v>
      </c>
      <c r="E283" s="306" t="s">
        <v>1566</v>
      </c>
      <c r="F283" s="306" t="s">
        <v>1007</v>
      </c>
      <c r="G283" s="308">
        <v>46017</v>
      </c>
      <c r="H283" s="308">
        <v>46017</v>
      </c>
      <c r="I283" s="309">
        <v>-506152.44</v>
      </c>
      <c r="J283" s="306" t="s">
        <v>1008</v>
      </c>
      <c r="K283" s="309">
        <v>-506152.44</v>
      </c>
      <c r="L283" s="306" t="s">
        <v>1008</v>
      </c>
      <c r="M283" s="306" t="s">
        <v>1534</v>
      </c>
      <c r="N283" s="306" t="s">
        <v>1535</v>
      </c>
      <c r="O283" s="306" t="s">
        <v>1567</v>
      </c>
      <c r="P283" s="306" t="s">
        <v>263</v>
      </c>
      <c r="Q283" s="306" t="s">
        <v>1013</v>
      </c>
      <c r="R283" s="306" t="s">
        <v>1013</v>
      </c>
      <c r="S283" s="306" t="s">
        <v>1013</v>
      </c>
      <c r="T283" s="306" t="s">
        <v>1537</v>
      </c>
      <c r="U283" s="306" t="s">
        <v>1013</v>
      </c>
      <c r="V283" s="306" t="s">
        <v>1013</v>
      </c>
      <c r="W283" s="306" t="s">
        <v>1013</v>
      </c>
      <c r="X283" s="306" t="s">
        <v>1013</v>
      </c>
      <c r="Y283" s="306" t="s">
        <v>1537</v>
      </c>
      <c r="Z283" s="306" t="s">
        <v>1015</v>
      </c>
      <c r="AA283" s="306" t="s">
        <v>1013</v>
      </c>
    </row>
    <row r="284" spans="1:27" hidden="1">
      <c r="A284" s="306" t="s">
        <v>494</v>
      </c>
      <c r="B284" s="306" t="s">
        <v>1003</v>
      </c>
      <c r="C284" s="306" t="s">
        <v>1004</v>
      </c>
      <c r="D284" s="306" t="s">
        <v>1031</v>
      </c>
      <c r="E284" s="306" t="s">
        <v>1568</v>
      </c>
      <c r="F284" s="306" t="s">
        <v>1007</v>
      </c>
      <c r="G284" s="308">
        <v>46017</v>
      </c>
      <c r="H284" s="308">
        <v>46017</v>
      </c>
      <c r="I284" s="309">
        <v>-661515.25</v>
      </c>
      <c r="J284" s="306" t="s">
        <v>1008</v>
      </c>
      <c r="K284" s="309">
        <v>-661515.25</v>
      </c>
      <c r="L284" s="306" t="s">
        <v>1008</v>
      </c>
      <c r="M284" s="306" t="s">
        <v>1534</v>
      </c>
      <c r="N284" s="306" t="s">
        <v>1535</v>
      </c>
      <c r="O284" s="306" t="s">
        <v>1569</v>
      </c>
      <c r="P284" s="306" t="s">
        <v>263</v>
      </c>
      <c r="Q284" s="306" t="s">
        <v>1013</v>
      </c>
      <c r="R284" s="306" t="s">
        <v>1013</v>
      </c>
      <c r="S284" s="306" t="s">
        <v>1013</v>
      </c>
      <c r="T284" s="306" t="s">
        <v>1537</v>
      </c>
      <c r="U284" s="306" t="s">
        <v>1013</v>
      </c>
      <c r="V284" s="306" t="s">
        <v>1013</v>
      </c>
      <c r="W284" s="306" t="s">
        <v>1013</v>
      </c>
      <c r="X284" s="306" t="s">
        <v>1013</v>
      </c>
      <c r="Y284" s="306" t="s">
        <v>1537</v>
      </c>
      <c r="Z284" s="306" t="s">
        <v>1015</v>
      </c>
      <c r="AA284" s="306" t="s">
        <v>1013</v>
      </c>
    </row>
    <row r="285" spans="1:27" hidden="1">
      <c r="A285" s="306" t="s">
        <v>494</v>
      </c>
      <c r="B285" s="306" t="s">
        <v>1003</v>
      </c>
      <c r="C285" s="306" t="s">
        <v>1004</v>
      </c>
      <c r="D285" s="306" t="s">
        <v>1031</v>
      </c>
      <c r="E285" s="306" t="s">
        <v>1570</v>
      </c>
      <c r="F285" s="306" t="s">
        <v>1007</v>
      </c>
      <c r="G285" s="308">
        <v>46017</v>
      </c>
      <c r="H285" s="308">
        <v>46017</v>
      </c>
      <c r="I285" s="309">
        <v>-845800.78</v>
      </c>
      <c r="J285" s="306" t="s">
        <v>1008</v>
      </c>
      <c r="K285" s="309">
        <v>-845800.78</v>
      </c>
      <c r="L285" s="306" t="s">
        <v>1008</v>
      </c>
      <c r="M285" s="306" t="s">
        <v>1534</v>
      </c>
      <c r="N285" s="306" t="s">
        <v>1535</v>
      </c>
      <c r="O285" s="306" t="s">
        <v>1571</v>
      </c>
      <c r="P285" s="306" t="s">
        <v>263</v>
      </c>
      <c r="Q285" s="306" t="s">
        <v>1013</v>
      </c>
      <c r="R285" s="306" t="s">
        <v>1013</v>
      </c>
      <c r="S285" s="306" t="s">
        <v>1013</v>
      </c>
      <c r="T285" s="306" t="s">
        <v>1537</v>
      </c>
      <c r="U285" s="306" t="s">
        <v>1013</v>
      </c>
      <c r="V285" s="306" t="s">
        <v>1013</v>
      </c>
      <c r="W285" s="306" t="s">
        <v>1013</v>
      </c>
      <c r="X285" s="306" t="s">
        <v>1013</v>
      </c>
      <c r="Y285" s="306" t="s">
        <v>1537</v>
      </c>
      <c r="Z285" s="306" t="s">
        <v>1015</v>
      </c>
      <c r="AA285" s="306" t="s">
        <v>1013</v>
      </c>
    </row>
    <row r="286" spans="1:27" hidden="1">
      <c r="A286" s="306" t="s">
        <v>494</v>
      </c>
      <c r="B286" s="306" t="s">
        <v>1003</v>
      </c>
      <c r="C286" s="306" t="s">
        <v>1004</v>
      </c>
      <c r="D286" s="306" t="s">
        <v>1019</v>
      </c>
      <c r="E286" s="306" t="s">
        <v>1572</v>
      </c>
      <c r="F286" s="306" t="s">
        <v>1007</v>
      </c>
      <c r="G286" s="308">
        <v>46017</v>
      </c>
      <c r="H286" s="308">
        <v>46017</v>
      </c>
      <c r="I286" s="309">
        <v>-1964.85</v>
      </c>
      <c r="J286" s="306" t="s">
        <v>1008</v>
      </c>
      <c r="K286" s="309">
        <v>-1964.85</v>
      </c>
      <c r="L286" s="306" t="s">
        <v>1008</v>
      </c>
      <c r="M286" s="306" t="s">
        <v>1562</v>
      </c>
      <c r="N286" s="306" t="s">
        <v>1535</v>
      </c>
      <c r="O286" s="306" t="s">
        <v>1573</v>
      </c>
      <c r="P286" s="306" t="s">
        <v>263</v>
      </c>
      <c r="Q286" s="306" t="s">
        <v>1013</v>
      </c>
      <c r="R286" s="306" t="s">
        <v>1013</v>
      </c>
      <c r="S286" s="306" t="s">
        <v>1013</v>
      </c>
      <c r="T286" s="306" t="s">
        <v>1537</v>
      </c>
      <c r="U286" s="306" t="s">
        <v>1013</v>
      </c>
      <c r="V286" s="306" t="s">
        <v>1013</v>
      </c>
      <c r="W286" s="306" t="s">
        <v>1013</v>
      </c>
      <c r="X286" s="306" t="s">
        <v>1013</v>
      </c>
      <c r="Y286" s="306" t="s">
        <v>1537</v>
      </c>
      <c r="Z286" s="306" t="s">
        <v>1015</v>
      </c>
      <c r="AA286" s="306" t="s">
        <v>1013</v>
      </c>
    </row>
    <row r="287" spans="1:27" hidden="1">
      <c r="A287" s="306" t="s">
        <v>494</v>
      </c>
      <c r="B287" s="306" t="s">
        <v>1003</v>
      </c>
      <c r="C287" s="306" t="s">
        <v>1004</v>
      </c>
      <c r="D287" s="306" t="s">
        <v>1019</v>
      </c>
      <c r="E287" s="306" t="s">
        <v>1574</v>
      </c>
      <c r="F287" s="306" t="s">
        <v>1007</v>
      </c>
      <c r="G287" s="308">
        <v>46017</v>
      </c>
      <c r="H287" s="308">
        <v>46017</v>
      </c>
      <c r="I287" s="309">
        <v>-26208.94</v>
      </c>
      <c r="J287" s="306" t="s">
        <v>1008</v>
      </c>
      <c r="K287" s="309">
        <v>-26208.94</v>
      </c>
      <c r="L287" s="306" t="s">
        <v>1008</v>
      </c>
      <c r="M287" s="306" t="s">
        <v>1575</v>
      </c>
      <c r="N287" s="306" t="s">
        <v>1535</v>
      </c>
      <c r="O287" s="306" t="s">
        <v>1576</v>
      </c>
      <c r="P287" s="306" t="s">
        <v>263</v>
      </c>
      <c r="Q287" s="306" t="s">
        <v>1013</v>
      </c>
      <c r="R287" s="306" t="s">
        <v>1013</v>
      </c>
      <c r="S287" s="306" t="s">
        <v>1013</v>
      </c>
      <c r="T287" s="306" t="s">
        <v>1537</v>
      </c>
      <c r="U287" s="306" t="s">
        <v>1013</v>
      </c>
      <c r="V287" s="306" t="s">
        <v>1013</v>
      </c>
      <c r="W287" s="306" t="s">
        <v>1013</v>
      </c>
      <c r="X287" s="306" t="s">
        <v>1013</v>
      </c>
      <c r="Y287" s="306" t="s">
        <v>1537</v>
      </c>
      <c r="Z287" s="306" t="s">
        <v>1015</v>
      </c>
      <c r="AA287" s="306" t="s">
        <v>1013</v>
      </c>
    </row>
    <row r="288" spans="1:27" hidden="1">
      <c r="A288" s="306" t="s">
        <v>494</v>
      </c>
      <c r="B288" s="306" t="s">
        <v>1003</v>
      </c>
      <c r="C288" s="306" t="s">
        <v>1004</v>
      </c>
      <c r="D288" s="306" t="s">
        <v>1005</v>
      </c>
      <c r="E288" s="306" t="s">
        <v>1577</v>
      </c>
      <c r="F288" s="306" t="s">
        <v>1007</v>
      </c>
      <c r="G288" s="308">
        <v>46017</v>
      </c>
      <c r="H288" s="308">
        <v>46017</v>
      </c>
      <c r="I288" s="309">
        <v>-99514.559999999998</v>
      </c>
      <c r="J288" s="306" t="s">
        <v>1008</v>
      </c>
      <c r="K288" s="309">
        <v>-99514.559999999998</v>
      </c>
      <c r="L288" s="306" t="s">
        <v>1008</v>
      </c>
      <c r="M288" s="306" t="s">
        <v>1553</v>
      </c>
      <c r="N288" s="306" t="s">
        <v>1535</v>
      </c>
      <c r="O288" s="306" t="s">
        <v>1578</v>
      </c>
      <c r="P288" s="306" t="s">
        <v>263</v>
      </c>
      <c r="Q288" s="306" t="s">
        <v>1013</v>
      </c>
      <c r="R288" s="306" t="s">
        <v>1013</v>
      </c>
      <c r="S288" s="306" t="s">
        <v>1013</v>
      </c>
      <c r="T288" s="306" t="s">
        <v>1537</v>
      </c>
      <c r="U288" s="306" t="s">
        <v>1013</v>
      </c>
      <c r="V288" s="306" t="s">
        <v>1013</v>
      </c>
      <c r="W288" s="306" t="s">
        <v>1013</v>
      </c>
      <c r="X288" s="306" t="s">
        <v>1013</v>
      </c>
      <c r="Y288" s="306" t="s">
        <v>1537</v>
      </c>
      <c r="Z288" s="306" t="s">
        <v>1015</v>
      </c>
      <c r="AA288" s="306" t="s">
        <v>1013</v>
      </c>
    </row>
    <row r="289" spans="1:27" hidden="1">
      <c r="A289" s="306" t="s">
        <v>494</v>
      </c>
      <c r="B289" s="306" t="s">
        <v>1003</v>
      </c>
      <c r="C289" s="306" t="s">
        <v>1004</v>
      </c>
      <c r="D289" s="306" t="s">
        <v>1019</v>
      </c>
      <c r="E289" s="306" t="s">
        <v>1579</v>
      </c>
      <c r="F289" s="306" t="s">
        <v>1007</v>
      </c>
      <c r="G289" s="308">
        <v>46017</v>
      </c>
      <c r="H289" s="308">
        <v>46017</v>
      </c>
      <c r="I289" s="309">
        <v>-31078.81</v>
      </c>
      <c r="J289" s="306" t="s">
        <v>1008</v>
      </c>
      <c r="K289" s="309">
        <v>-31078.81</v>
      </c>
      <c r="L289" s="306" t="s">
        <v>1008</v>
      </c>
      <c r="M289" s="306" t="s">
        <v>1562</v>
      </c>
      <c r="N289" s="306" t="s">
        <v>1535</v>
      </c>
      <c r="O289" s="306" t="s">
        <v>1580</v>
      </c>
      <c r="P289" s="306" t="s">
        <v>263</v>
      </c>
      <c r="Q289" s="306" t="s">
        <v>1013</v>
      </c>
      <c r="R289" s="306" t="s">
        <v>1013</v>
      </c>
      <c r="S289" s="306" t="s">
        <v>1013</v>
      </c>
      <c r="T289" s="306" t="s">
        <v>1537</v>
      </c>
      <c r="U289" s="306" t="s">
        <v>1013</v>
      </c>
      <c r="V289" s="306" t="s">
        <v>1013</v>
      </c>
      <c r="W289" s="306" t="s">
        <v>1013</v>
      </c>
      <c r="X289" s="306" t="s">
        <v>1013</v>
      </c>
      <c r="Y289" s="306" t="s">
        <v>1537</v>
      </c>
      <c r="Z289" s="306" t="s">
        <v>1015</v>
      </c>
      <c r="AA289" s="306" t="s">
        <v>1013</v>
      </c>
    </row>
    <row r="290" spans="1:27" hidden="1">
      <c r="A290" s="306" t="s">
        <v>494</v>
      </c>
      <c r="B290" s="306" t="s">
        <v>1003</v>
      </c>
      <c r="C290" s="306" t="s">
        <v>1004</v>
      </c>
      <c r="D290" s="306" t="s">
        <v>1005</v>
      </c>
      <c r="E290" s="306" t="s">
        <v>1581</v>
      </c>
      <c r="F290" s="306" t="s">
        <v>1007</v>
      </c>
      <c r="G290" s="308">
        <v>46017</v>
      </c>
      <c r="H290" s="308">
        <v>46017</v>
      </c>
      <c r="I290" s="309">
        <v>-42711.65</v>
      </c>
      <c r="J290" s="306" t="s">
        <v>1008</v>
      </c>
      <c r="K290" s="309">
        <v>-42711.65</v>
      </c>
      <c r="L290" s="306" t="s">
        <v>1008</v>
      </c>
      <c r="M290" s="306" t="s">
        <v>1553</v>
      </c>
      <c r="N290" s="306" t="s">
        <v>1535</v>
      </c>
      <c r="O290" s="306" t="s">
        <v>1582</v>
      </c>
      <c r="P290" s="306" t="s">
        <v>263</v>
      </c>
      <c r="Q290" s="306" t="s">
        <v>1013</v>
      </c>
      <c r="R290" s="306" t="s">
        <v>1013</v>
      </c>
      <c r="S290" s="306" t="s">
        <v>1013</v>
      </c>
      <c r="T290" s="306" t="s">
        <v>1537</v>
      </c>
      <c r="U290" s="306" t="s">
        <v>1013</v>
      </c>
      <c r="V290" s="306" t="s">
        <v>1013</v>
      </c>
      <c r="W290" s="306" t="s">
        <v>1013</v>
      </c>
      <c r="X290" s="306" t="s">
        <v>1013</v>
      </c>
      <c r="Y290" s="306" t="s">
        <v>1537</v>
      </c>
      <c r="Z290" s="306" t="s">
        <v>1015</v>
      </c>
      <c r="AA290" s="306" t="s">
        <v>1013</v>
      </c>
    </row>
    <row r="291" spans="1:27" hidden="1">
      <c r="A291" s="306" t="s">
        <v>494</v>
      </c>
      <c r="B291" s="306" t="s">
        <v>1003</v>
      </c>
      <c r="C291" s="306" t="s">
        <v>1004</v>
      </c>
      <c r="D291" s="306" t="s">
        <v>1019</v>
      </c>
      <c r="E291" s="306" t="s">
        <v>1583</v>
      </c>
      <c r="F291" s="306" t="s">
        <v>1007</v>
      </c>
      <c r="G291" s="308">
        <v>46017</v>
      </c>
      <c r="H291" s="308">
        <v>46017</v>
      </c>
      <c r="I291" s="309">
        <v>-246245.41</v>
      </c>
      <c r="J291" s="306" t="s">
        <v>1008</v>
      </c>
      <c r="K291" s="309">
        <v>-246245.41</v>
      </c>
      <c r="L291" s="306" t="s">
        <v>1008</v>
      </c>
      <c r="M291" s="306" t="s">
        <v>1562</v>
      </c>
      <c r="N291" s="306" t="s">
        <v>1535</v>
      </c>
      <c r="O291" s="306" t="s">
        <v>1584</v>
      </c>
      <c r="P291" s="306" t="s">
        <v>263</v>
      </c>
      <c r="Q291" s="306" t="s">
        <v>1013</v>
      </c>
      <c r="R291" s="306" t="s">
        <v>1013</v>
      </c>
      <c r="S291" s="306" t="s">
        <v>1013</v>
      </c>
      <c r="T291" s="306" t="s">
        <v>1537</v>
      </c>
      <c r="U291" s="306" t="s">
        <v>1013</v>
      </c>
      <c r="V291" s="306" t="s">
        <v>1013</v>
      </c>
      <c r="W291" s="306" t="s">
        <v>1013</v>
      </c>
      <c r="X291" s="306" t="s">
        <v>1013</v>
      </c>
      <c r="Y291" s="306" t="s">
        <v>1537</v>
      </c>
      <c r="Z291" s="306" t="s">
        <v>1015</v>
      </c>
      <c r="AA291" s="306" t="s">
        <v>1013</v>
      </c>
    </row>
    <row r="292" spans="1:27" hidden="1">
      <c r="A292" s="306" t="s">
        <v>494</v>
      </c>
      <c r="B292" s="306" t="s">
        <v>1003</v>
      </c>
      <c r="C292" s="306" t="s">
        <v>1004</v>
      </c>
      <c r="D292" s="306" t="s">
        <v>1019</v>
      </c>
      <c r="E292" s="306" t="s">
        <v>1585</v>
      </c>
      <c r="F292" s="306" t="s">
        <v>1007</v>
      </c>
      <c r="G292" s="308">
        <v>46017</v>
      </c>
      <c r="H292" s="308">
        <v>46017</v>
      </c>
      <c r="I292" s="309">
        <v>-13892.18</v>
      </c>
      <c r="J292" s="306" t="s">
        <v>1008</v>
      </c>
      <c r="K292" s="309">
        <v>-13892.18</v>
      </c>
      <c r="L292" s="306" t="s">
        <v>1008</v>
      </c>
      <c r="M292" s="306" t="s">
        <v>1562</v>
      </c>
      <c r="N292" s="306" t="s">
        <v>1535</v>
      </c>
      <c r="O292" s="306" t="s">
        <v>1586</v>
      </c>
      <c r="P292" s="306" t="s">
        <v>263</v>
      </c>
      <c r="Q292" s="306" t="s">
        <v>1013</v>
      </c>
      <c r="R292" s="306" t="s">
        <v>1013</v>
      </c>
      <c r="S292" s="306" t="s">
        <v>1013</v>
      </c>
      <c r="T292" s="306" t="s">
        <v>1537</v>
      </c>
      <c r="U292" s="306" t="s">
        <v>1013</v>
      </c>
      <c r="V292" s="306" t="s">
        <v>1013</v>
      </c>
      <c r="W292" s="306" t="s">
        <v>1013</v>
      </c>
      <c r="X292" s="306" t="s">
        <v>1013</v>
      </c>
      <c r="Y292" s="306" t="s">
        <v>1537</v>
      </c>
      <c r="Z292" s="306" t="s">
        <v>1015</v>
      </c>
      <c r="AA292" s="306" t="s">
        <v>1013</v>
      </c>
    </row>
    <row r="293" spans="1:27" hidden="1">
      <c r="A293" s="306" t="s">
        <v>494</v>
      </c>
      <c r="B293" s="306" t="s">
        <v>1003</v>
      </c>
      <c r="C293" s="306" t="s">
        <v>1004</v>
      </c>
      <c r="D293" s="306" t="s">
        <v>1019</v>
      </c>
      <c r="E293" s="306" t="s">
        <v>1587</v>
      </c>
      <c r="F293" s="306" t="s">
        <v>1007</v>
      </c>
      <c r="G293" s="308">
        <v>46017</v>
      </c>
      <c r="H293" s="308">
        <v>46017</v>
      </c>
      <c r="I293" s="309">
        <v>-19842.650000000001</v>
      </c>
      <c r="J293" s="306" t="s">
        <v>1008</v>
      </c>
      <c r="K293" s="309">
        <v>-19842.650000000001</v>
      </c>
      <c r="L293" s="306" t="s">
        <v>1008</v>
      </c>
      <c r="M293" s="306" t="s">
        <v>1562</v>
      </c>
      <c r="N293" s="306" t="s">
        <v>1535</v>
      </c>
      <c r="O293" s="306" t="s">
        <v>1588</v>
      </c>
      <c r="P293" s="306" t="s">
        <v>263</v>
      </c>
      <c r="Q293" s="306" t="s">
        <v>1013</v>
      </c>
      <c r="R293" s="306" t="s">
        <v>1013</v>
      </c>
      <c r="S293" s="306" t="s">
        <v>1013</v>
      </c>
      <c r="T293" s="306" t="s">
        <v>1537</v>
      </c>
      <c r="U293" s="306" t="s">
        <v>1013</v>
      </c>
      <c r="V293" s="306" t="s">
        <v>1013</v>
      </c>
      <c r="W293" s="306" t="s">
        <v>1013</v>
      </c>
      <c r="X293" s="306" t="s">
        <v>1013</v>
      </c>
      <c r="Y293" s="306" t="s">
        <v>1537</v>
      </c>
      <c r="Z293" s="306" t="s">
        <v>1015</v>
      </c>
      <c r="AA293" s="306" t="s">
        <v>1013</v>
      </c>
    </row>
    <row r="294" spans="1:27" hidden="1">
      <c r="A294" s="306" t="s">
        <v>494</v>
      </c>
      <c r="B294" s="306" t="s">
        <v>1003</v>
      </c>
      <c r="C294" s="306" t="s">
        <v>1004</v>
      </c>
      <c r="D294" s="306" t="s">
        <v>1019</v>
      </c>
      <c r="E294" s="306" t="s">
        <v>1589</v>
      </c>
      <c r="F294" s="306" t="s">
        <v>1007</v>
      </c>
      <c r="G294" s="308">
        <v>46017</v>
      </c>
      <c r="H294" s="308">
        <v>46017</v>
      </c>
      <c r="I294" s="309">
        <v>-2035.04</v>
      </c>
      <c r="J294" s="306" t="s">
        <v>1008</v>
      </c>
      <c r="K294" s="309">
        <v>-2035.04</v>
      </c>
      <c r="L294" s="306" t="s">
        <v>1008</v>
      </c>
      <c r="M294" s="306" t="s">
        <v>1562</v>
      </c>
      <c r="N294" s="306" t="s">
        <v>1535</v>
      </c>
      <c r="O294" s="306" t="s">
        <v>1590</v>
      </c>
      <c r="P294" s="306" t="s">
        <v>263</v>
      </c>
      <c r="Q294" s="306" t="s">
        <v>1013</v>
      </c>
      <c r="R294" s="306" t="s">
        <v>1013</v>
      </c>
      <c r="S294" s="306" t="s">
        <v>1013</v>
      </c>
      <c r="T294" s="306" t="s">
        <v>1537</v>
      </c>
      <c r="U294" s="306" t="s">
        <v>1013</v>
      </c>
      <c r="V294" s="306" t="s">
        <v>1013</v>
      </c>
      <c r="W294" s="306" t="s">
        <v>1013</v>
      </c>
      <c r="X294" s="306" t="s">
        <v>1013</v>
      </c>
      <c r="Y294" s="306" t="s">
        <v>1537</v>
      </c>
      <c r="Z294" s="306" t="s">
        <v>1015</v>
      </c>
      <c r="AA294" s="306" t="s">
        <v>1013</v>
      </c>
    </row>
    <row r="295" spans="1:27" hidden="1">
      <c r="A295" s="306" t="s">
        <v>494</v>
      </c>
      <c r="B295" s="306" t="s">
        <v>1003</v>
      </c>
      <c r="C295" s="306" t="s">
        <v>1004</v>
      </c>
      <c r="D295" s="306" t="s">
        <v>1019</v>
      </c>
      <c r="E295" s="306" t="s">
        <v>1591</v>
      </c>
      <c r="F295" s="306" t="s">
        <v>1007</v>
      </c>
      <c r="G295" s="308">
        <v>46017</v>
      </c>
      <c r="H295" s="308">
        <v>46017</v>
      </c>
      <c r="I295" s="309">
        <v>-1288.96</v>
      </c>
      <c r="J295" s="306" t="s">
        <v>1008</v>
      </c>
      <c r="K295" s="309">
        <v>-1288.96</v>
      </c>
      <c r="L295" s="306" t="s">
        <v>1008</v>
      </c>
      <c r="M295" s="306" t="s">
        <v>1562</v>
      </c>
      <c r="N295" s="306" t="s">
        <v>1535</v>
      </c>
      <c r="O295" s="306" t="s">
        <v>1592</v>
      </c>
      <c r="P295" s="306" t="s">
        <v>263</v>
      </c>
      <c r="Q295" s="306" t="s">
        <v>1013</v>
      </c>
      <c r="R295" s="306" t="s">
        <v>1013</v>
      </c>
      <c r="S295" s="306" t="s">
        <v>1013</v>
      </c>
      <c r="T295" s="306" t="s">
        <v>1537</v>
      </c>
      <c r="U295" s="306" t="s">
        <v>1013</v>
      </c>
      <c r="V295" s="306" t="s">
        <v>1013</v>
      </c>
      <c r="W295" s="306" t="s">
        <v>1013</v>
      </c>
      <c r="X295" s="306" t="s">
        <v>1013</v>
      </c>
      <c r="Y295" s="306" t="s">
        <v>1537</v>
      </c>
      <c r="Z295" s="306" t="s">
        <v>1015</v>
      </c>
      <c r="AA295" s="306" t="s">
        <v>1013</v>
      </c>
    </row>
    <row r="296" spans="1:27" hidden="1">
      <c r="A296" s="306" t="s">
        <v>494</v>
      </c>
      <c r="B296" s="306" t="s">
        <v>1003</v>
      </c>
      <c r="C296" s="306" t="s">
        <v>1004</v>
      </c>
      <c r="D296" s="306" t="s">
        <v>1019</v>
      </c>
      <c r="E296" s="306" t="s">
        <v>1593</v>
      </c>
      <c r="F296" s="306" t="s">
        <v>1007</v>
      </c>
      <c r="G296" s="308">
        <v>46017</v>
      </c>
      <c r="H296" s="308">
        <v>46017</v>
      </c>
      <c r="I296" s="309">
        <v>-31921.01</v>
      </c>
      <c r="J296" s="306" t="s">
        <v>1008</v>
      </c>
      <c r="K296" s="309">
        <v>-31921.01</v>
      </c>
      <c r="L296" s="306" t="s">
        <v>1008</v>
      </c>
      <c r="M296" s="306" t="s">
        <v>1562</v>
      </c>
      <c r="N296" s="306" t="s">
        <v>1535</v>
      </c>
      <c r="O296" s="306" t="s">
        <v>1224</v>
      </c>
      <c r="P296" s="306" t="s">
        <v>263</v>
      </c>
      <c r="Q296" s="306" t="s">
        <v>1013</v>
      </c>
      <c r="R296" s="306" t="s">
        <v>1013</v>
      </c>
      <c r="S296" s="306" t="s">
        <v>1013</v>
      </c>
      <c r="T296" s="306" t="s">
        <v>1537</v>
      </c>
      <c r="U296" s="306" t="s">
        <v>1013</v>
      </c>
      <c r="V296" s="306" t="s">
        <v>1013</v>
      </c>
      <c r="W296" s="306" t="s">
        <v>1013</v>
      </c>
      <c r="X296" s="306" t="s">
        <v>1013</v>
      </c>
      <c r="Y296" s="306" t="s">
        <v>1537</v>
      </c>
      <c r="Z296" s="306" t="s">
        <v>1015</v>
      </c>
      <c r="AA296" s="306" t="s">
        <v>1013</v>
      </c>
    </row>
    <row r="297" spans="1:27" hidden="1">
      <c r="A297" s="306" t="s">
        <v>494</v>
      </c>
      <c r="B297" s="306" t="s">
        <v>1003</v>
      </c>
      <c r="C297" s="306" t="s">
        <v>1004</v>
      </c>
      <c r="D297" s="306" t="s">
        <v>1031</v>
      </c>
      <c r="E297" s="306" t="s">
        <v>1594</v>
      </c>
      <c r="F297" s="306" t="s">
        <v>1007</v>
      </c>
      <c r="G297" s="308">
        <v>46017</v>
      </c>
      <c r="H297" s="308">
        <v>46017</v>
      </c>
      <c r="I297" s="309">
        <v>-37019.410000000003</v>
      </c>
      <c r="J297" s="306" t="s">
        <v>1008</v>
      </c>
      <c r="K297" s="309">
        <v>-37019.410000000003</v>
      </c>
      <c r="L297" s="306" t="s">
        <v>1008</v>
      </c>
      <c r="M297" s="306" t="s">
        <v>1595</v>
      </c>
      <c r="N297" s="306" t="s">
        <v>1535</v>
      </c>
      <c r="O297" s="306" t="s">
        <v>1596</v>
      </c>
      <c r="P297" s="306" t="s">
        <v>263</v>
      </c>
      <c r="Q297" s="306" t="s">
        <v>1013</v>
      </c>
      <c r="R297" s="306" t="s">
        <v>1013</v>
      </c>
      <c r="S297" s="306" t="s">
        <v>1013</v>
      </c>
      <c r="T297" s="306" t="s">
        <v>1537</v>
      </c>
      <c r="U297" s="306" t="s">
        <v>1013</v>
      </c>
      <c r="V297" s="306" t="s">
        <v>1013</v>
      </c>
      <c r="W297" s="306" t="s">
        <v>1013</v>
      </c>
      <c r="X297" s="306" t="s">
        <v>1013</v>
      </c>
      <c r="Y297" s="306" t="s">
        <v>1537</v>
      </c>
      <c r="Z297" s="306" t="s">
        <v>1015</v>
      </c>
      <c r="AA297" s="306" t="s">
        <v>1013</v>
      </c>
    </row>
    <row r="298" spans="1:27" hidden="1">
      <c r="A298" s="306" t="s">
        <v>494</v>
      </c>
      <c r="B298" s="306" t="s">
        <v>1003</v>
      </c>
      <c r="C298" s="306" t="s">
        <v>1004</v>
      </c>
      <c r="D298" s="306" t="s">
        <v>1031</v>
      </c>
      <c r="E298" s="306" t="s">
        <v>1597</v>
      </c>
      <c r="F298" s="306" t="s">
        <v>1007</v>
      </c>
      <c r="G298" s="308">
        <v>46017</v>
      </c>
      <c r="H298" s="308">
        <v>46017</v>
      </c>
      <c r="I298" s="309">
        <v>-46274.27</v>
      </c>
      <c r="J298" s="306" t="s">
        <v>1008</v>
      </c>
      <c r="K298" s="309">
        <v>-46274.27</v>
      </c>
      <c r="L298" s="306" t="s">
        <v>1008</v>
      </c>
      <c r="M298" s="306" t="s">
        <v>1595</v>
      </c>
      <c r="N298" s="306" t="s">
        <v>1535</v>
      </c>
      <c r="O298" s="306" t="s">
        <v>1598</v>
      </c>
      <c r="P298" s="306" t="s">
        <v>263</v>
      </c>
      <c r="Q298" s="306" t="s">
        <v>1013</v>
      </c>
      <c r="R298" s="306" t="s">
        <v>1013</v>
      </c>
      <c r="S298" s="306" t="s">
        <v>1013</v>
      </c>
      <c r="T298" s="306" t="s">
        <v>1537</v>
      </c>
      <c r="U298" s="306" t="s">
        <v>1013</v>
      </c>
      <c r="V298" s="306" t="s">
        <v>1013</v>
      </c>
      <c r="W298" s="306" t="s">
        <v>1013</v>
      </c>
      <c r="X298" s="306" t="s">
        <v>1013</v>
      </c>
      <c r="Y298" s="306" t="s">
        <v>1537</v>
      </c>
      <c r="Z298" s="306" t="s">
        <v>1015</v>
      </c>
      <c r="AA298" s="306" t="s">
        <v>1013</v>
      </c>
    </row>
    <row r="299" spans="1:27" hidden="1">
      <c r="A299" s="306" t="s">
        <v>494</v>
      </c>
      <c r="B299" s="306" t="s">
        <v>1003</v>
      </c>
      <c r="C299" s="306" t="s">
        <v>1004</v>
      </c>
      <c r="D299" s="306" t="s">
        <v>1019</v>
      </c>
      <c r="E299" s="306" t="s">
        <v>1599</v>
      </c>
      <c r="F299" s="306" t="s">
        <v>1007</v>
      </c>
      <c r="G299" s="308">
        <v>46017</v>
      </c>
      <c r="H299" s="308">
        <v>46017</v>
      </c>
      <c r="I299" s="309">
        <v>-1614858.49</v>
      </c>
      <c r="J299" s="306" t="s">
        <v>1008</v>
      </c>
      <c r="K299" s="309">
        <v>-1614858.49</v>
      </c>
      <c r="L299" s="306" t="s">
        <v>1008</v>
      </c>
      <c r="M299" s="306" t="s">
        <v>1562</v>
      </c>
      <c r="N299" s="306" t="s">
        <v>1535</v>
      </c>
      <c r="O299" s="306" t="s">
        <v>1600</v>
      </c>
      <c r="P299" s="306" t="s">
        <v>263</v>
      </c>
      <c r="Q299" s="306" t="s">
        <v>1013</v>
      </c>
      <c r="R299" s="306" t="s">
        <v>1013</v>
      </c>
      <c r="S299" s="306" t="s">
        <v>1013</v>
      </c>
      <c r="T299" s="306" t="s">
        <v>1537</v>
      </c>
      <c r="U299" s="306" t="s">
        <v>1013</v>
      </c>
      <c r="V299" s="306" t="s">
        <v>1013</v>
      </c>
      <c r="W299" s="306" t="s">
        <v>1013</v>
      </c>
      <c r="X299" s="306" t="s">
        <v>1013</v>
      </c>
      <c r="Y299" s="306" t="s">
        <v>1537</v>
      </c>
      <c r="Z299" s="306" t="s">
        <v>1015</v>
      </c>
      <c r="AA299" s="306" t="s">
        <v>1013</v>
      </c>
    </row>
    <row r="300" spans="1:27" hidden="1">
      <c r="A300" s="306" t="s">
        <v>494</v>
      </c>
      <c r="B300" s="306" t="s">
        <v>1003</v>
      </c>
      <c r="C300" s="306" t="s">
        <v>1004</v>
      </c>
      <c r="D300" s="306" t="s">
        <v>1019</v>
      </c>
      <c r="E300" s="306" t="s">
        <v>1601</v>
      </c>
      <c r="F300" s="306" t="s">
        <v>1007</v>
      </c>
      <c r="G300" s="308">
        <v>46017</v>
      </c>
      <c r="H300" s="308">
        <v>46017</v>
      </c>
      <c r="I300" s="309">
        <v>-58018.86</v>
      </c>
      <c r="J300" s="306" t="s">
        <v>1008</v>
      </c>
      <c r="K300" s="309">
        <v>-58018.86</v>
      </c>
      <c r="L300" s="306" t="s">
        <v>1008</v>
      </c>
      <c r="M300" s="306" t="s">
        <v>1562</v>
      </c>
      <c r="N300" s="306" t="s">
        <v>1535</v>
      </c>
      <c r="O300" s="306" t="s">
        <v>1602</v>
      </c>
      <c r="P300" s="306" t="s">
        <v>263</v>
      </c>
      <c r="Q300" s="306" t="s">
        <v>1013</v>
      </c>
      <c r="R300" s="306" t="s">
        <v>1013</v>
      </c>
      <c r="S300" s="306" t="s">
        <v>1013</v>
      </c>
      <c r="T300" s="306" t="s">
        <v>1537</v>
      </c>
      <c r="U300" s="306" t="s">
        <v>1013</v>
      </c>
      <c r="V300" s="306" t="s">
        <v>1013</v>
      </c>
      <c r="W300" s="306" t="s">
        <v>1013</v>
      </c>
      <c r="X300" s="306" t="s">
        <v>1013</v>
      </c>
      <c r="Y300" s="306" t="s">
        <v>1537</v>
      </c>
      <c r="Z300" s="306" t="s">
        <v>1015</v>
      </c>
      <c r="AA300" s="306" t="s">
        <v>1013</v>
      </c>
    </row>
    <row r="301" spans="1:27" hidden="1">
      <c r="A301" s="306" t="s">
        <v>494</v>
      </c>
      <c r="B301" s="306" t="s">
        <v>1003</v>
      </c>
      <c r="C301" s="306" t="s">
        <v>1004</v>
      </c>
      <c r="D301" s="306" t="s">
        <v>1019</v>
      </c>
      <c r="E301" s="306" t="s">
        <v>1603</v>
      </c>
      <c r="F301" s="306" t="s">
        <v>1007</v>
      </c>
      <c r="G301" s="308">
        <v>46017</v>
      </c>
      <c r="H301" s="308">
        <v>46017</v>
      </c>
      <c r="I301" s="309">
        <v>-87028.3</v>
      </c>
      <c r="J301" s="306" t="s">
        <v>1008</v>
      </c>
      <c r="K301" s="309">
        <v>-87028.3</v>
      </c>
      <c r="L301" s="306" t="s">
        <v>1008</v>
      </c>
      <c r="M301" s="306" t="s">
        <v>1562</v>
      </c>
      <c r="N301" s="306" t="s">
        <v>1535</v>
      </c>
      <c r="O301" s="306" t="s">
        <v>1604</v>
      </c>
      <c r="P301" s="306" t="s">
        <v>263</v>
      </c>
      <c r="Q301" s="306" t="s">
        <v>1013</v>
      </c>
      <c r="R301" s="306" t="s">
        <v>1013</v>
      </c>
      <c r="S301" s="306" t="s">
        <v>1013</v>
      </c>
      <c r="T301" s="306" t="s">
        <v>1537</v>
      </c>
      <c r="U301" s="306" t="s">
        <v>1013</v>
      </c>
      <c r="V301" s="306" t="s">
        <v>1013</v>
      </c>
      <c r="W301" s="306" t="s">
        <v>1013</v>
      </c>
      <c r="X301" s="306" t="s">
        <v>1013</v>
      </c>
      <c r="Y301" s="306" t="s">
        <v>1537</v>
      </c>
      <c r="Z301" s="306" t="s">
        <v>1015</v>
      </c>
      <c r="AA301" s="306" t="s">
        <v>1013</v>
      </c>
    </row>
    <row r="302" spans="1:27" hidden="1">
      <c r="A302" s="306" t="s">
        <v>494</v>
      </c>
      <c r="B302" s="306" t="s">
        <v>1003</v>
      </c>
      <c r="C302" s="306" t="s">
        <v>1004</v>
      </c>
      <c r="D302" s="306" t="s">
        <v>1019</v>
      </c>
      <c r="E302" s="306" t="s">
        <v>1605</v>
      </c>
      <c r="F302" s="306" t="s">
        <v>1007</v>
      </c>
      <c r="G302" s="308">
        <v>46017</v>
      </c>
      <c r="H302" s="308">
        <v>46017</v>
      </c>
      <c r="I302" s="309">
        <v>-30750</v>
      </c>
      <c r="J302" s="306" t="s">
        <v>1008</v>
      </c>
      <c r="K302" s="309">
        <v>-30750</v>
      </c>
      <c r="L302" s="306" t="s">
        <v>1008</v>
      </c>
      <c r="M302" s="306" t="s">
        <v>1562</v>
      </c>
      <c r="N302" s="306" t="s">
        <v>1535</v>
      </c>
      <c r="O302" s="306" t="s">
        <v>1606</v>
      </c>
      <c r="P302" s="306" t="s">
        <v>263</v>
      </c>
      <c r="Q302" s="306" t="s">
        <v>1013</v>
      </c>
      <c r="R302" s="306" t="s">
        <v>1013</v>
      </c>
      <c r="S302" s="306" t="s">
        <v>1013</v>
      </c>
      <c r="T302" s="306" t="s">
        <v>1537</v>
      </c>
      <c r="U302" s="306" t="s">
        <v>1013</v>
      </c>
      <c r="V302" s="306" t="s">
        <v>1013</v>
      </c>
      <c r="W302" s="306" t="s">
        <v>1013</v>
      </c>
      <c r="X302" s="306" t="s">
        <v>1013</v>
      </c>
      <c r="Y302" s="306" t="s">
        <v>1537</v>
      </c>
      <c r="Z302" s="306" t="s">
        <v>1015</v>
      </c>
      <c r="AA302" s="306" t="s">
        <v>1013</v>
      </c>
    </row>
    <row r="303" spans="1:27" hidden="1">
      <c r="A303" s="306" t="s">
        <v>494</v>
      </c>
      <c r="B303" s="306" t="s">
        <v>1003</v>
      </c>
      <c r="C303" s="306" t="s">
        <v>1004</v>
      </c>
      <c r="D303" s="306" t="s">
        <v>1019</v>
      </c>
      <c r="E303" s="306" t="s">
        <v>1607</v>
      </c>
      <c r="F303" s="306" t="s">
        <v>1007</v>
      </c>
      <c r="G303" s="308">
        <v>46017</v>
      </c>
      <c r="H303" s="308">
        <v>46017</v>
      </c>
      <c r="I303" s="309">
        <v>-55601.41</v>
      </c>
      <c r="J303" s="306" t="s">
        <v>1008</v>
      </c>
      <c r="K303" s="309">
        <v>-55601.41</v>
      </c>
      <c r="L303" s="306" t="s">
        <v>1008</v>
      </c>
      <c r="M303" s="306" t="s">
        <v>1562</v>
      </c>
      <c r="N303" s="306" t="s">
        <v>1535</v>
      </c>
      <c r="O303" s="306" t="s">
        <v>1608</v>
      </c>
      <c r="P303" s="306" t="s">
        <v>263</v>
      </c>
      <c r="Q303" s="306" t="s">
        <v>1013</v>
      </c>
      <c r="R303" s="306" t="s">
        <v>1013</v>
      </c>
      <c r="S303" s="306" t="s">
        <v>1013</v>
      </c>
      <c r="T303" s="306" t="s">
        <v>1537</v>
      </c>
      <c r="U303" s="306" t="s">
        <v>1013</v>
      </c>
      <c r="V303" s="306" t="s">
        <v>1013</v>
      </c>
      <c r="W303" s="306" t="s">
        <v>1013</v>
      </c>
      <c r="X303" s="306" t="s">
        <v>1013</v>
      </c>
      <c r="Y303" s="306" t="s">
        <v>1537</v>
      </c>
      <c r="Z303" s="306" t="s">
        <v>1015</v>
      </c>
      <c r="AA303" s="306" t="s">
        <v>1013</v>
      </c>
    </row>
    <row r="304" spans="1:27" hidden="1">
      <c r="A304" s="306" t="s">
        <v>494</v>
      </c>
      <c r="B304" s="306" t="s">
        <v>1003</v>
      </c>
      <c r="C304" s="306" t="s">
        <v>1004</v>
      </c>
      <c r="D304" s="306" t="s">
        <v>1031</v>
      </c>
      <c r="E304" s="306" t="s">
        <v>1609</v>
      </c>
      <c r="F304" s="306" t="s">
        <v>1007</v>
      </c>
      <c r="G304" s="308">
        <v>46017</v>
      </c>
      <c r="H304" s="308">
        <v>46017</v>
      </c>
      <c r="I304" s="309">
        <v>-595546.77</v>
      </c>
      <c r="J304" s="306" t="s">
        <v>1008</v>
      </c>
      <c r="K304" s="309">
        <v>-595546.77</v>
      </c>
      <c r="L304" s="306" t="s">
        <v>1008</v>
      </c>
      <c r="M304" s="306" t="s">
        <v>1534</v>
      </c>
      <c r="N304" s="306" t="s">
        <v>1535</v>
      </c>
      <c r="O304" s="306" t="s">
        <v>1610</v>
      </c>
      <c r="P304" s="306" t="s">
        <v>263</v>
      </c>
      <c r="Q304" s="306" t="s">
        <v>1013</v>
      </c>
      <c r="R304" s="306" t="s">
        <v>1013</v>
      </c>
      <c r="S304" s="306" t="s">
        <v>1013</v>
      </c>
      <c r="T304" s="306" t="s">
        <v>1537</v>
      </c>
      <c r="U304" s="306" t="s">
        <v>1013</v>
      </c>
      <c r="V304" s="306" t="s">
        <v>1013</v>
      </c>
      <c r="W304" s="306" t="s">
        <v>1013</v>
      </c>
      <c r="X304" s="306" t="s">
        <v>1013</v>
      </c>
      <c r="Y304" s="306" t="s">
        <v>1537</v>
      </c>
      <c r="Z304" s="306" t="s">
        <v>1015</v>
      </c>
      <c r="AA304" s="306" t="s">
        <v>1013</v>
      </c>
    </row>
    <row r="305" spans="1:27" hidden="1">
      <c r="A305" s="306" t="s">
        <v>494</v>
      </c>
      <c r="B305" s="306" t="s">
        <v>1003</v>
      </c>
      <c r="C305" s="306" t="s">
        <v>1004</v>
      </c>
      <c r="D305" s="306" t="s">
        <v>1031</v>
      </c>
      <c r="E305" s="306" t="s">
        <v>1611</v>
      </c>
      <c r="F305" s="306" t="s">
        <v>1007</v>
      </c>
      <c r="G305" s="308">
        <v>46017</v>
      </c>
      <c r="H305" s="308">
        <v>46017</v>
      </c>
      <c r="I305" s="309">
        <v>-2736788.87</v>
      </c>
      <c r="J305" s="306" t="s">
        <v>1008</v>
      </c>
      <c r="K305" s="309">
        <v>-2736788.87</v>
      </c>
      <c r="L305" s="306" t="s">
        <v>1008</v>
      </c>
      <c r="M305" s="306" t="s">
        <v>1534</v>
      </c>
      <c r="N305" s="306" t="s">
        <v>1535</v>
      </c>
      <c r="O305" s="306" t="s">
        <v>1612</v>
      </c>
      <c r="P305" s="306" t="s">
        <v>263</v>
      </c>
      <c r="Q305" s="306" t="s">
        <v>1013</v>
      </c>
      <c r="R305" s="306" t="s">
        <v>1013</v>
      </c>
      <c r="S305" s="306" t="s">
        <v>1013</v>
      </c>
      <c r="T305" s="306" t="s">
        <v>1537</v>
      </c>
      <c r="U305" s="306" t="s">
        <v>1013</v>
      </c>
      <c r="V305" s="306" t="s">
        <v>1013</v>
      </c>
      <c r="W305" s="306" t="s">
        <v>1013</v>
      </c>
      <c r="X305" s="306" t="s">
        <v>1013</v>
      </c>
      <c r="Y305" s="306" t="s">
        <v>1537</v>
      </c>
      <c r="Z305" s="306" t="s">
        <v>1015</v>
      </c>
      <c r="AA305" s="306" t="s">
        <v>1013</v>
      </c>
    </row>
    <row r="306" spans="1:27" hidden="1">
      <c r="A306" s="306" t="s">
        <v>494</v>
      </c>
      <c r="B306" s="306" t="s">
        <v>1003</v>
      </c>
      <c r="C306" s="306" t="s">
        <v>1004</v>
      </c>
      <c r="D306" s="306" t="s">
        <v>1031</v>
      </c>
      <c r="E306" s="306" t="s">
        <v>1613</v>
      </c>
      <c r="F306" s="306" t="s">
        <v>1007</v>
      </c>
      <c r="G306" s="308">
        <v>46017</v>
      </c>
      <c r="H306" s="308">
        <v>46017</v>
      </c>
      <c r="I306" s="309">
        <v>-2000261.2</v>
      </c>
      <c r="J306" s="306" t="s">
        <v>1008</v>
      </c>
      <c r="K306" s="309">
        <v>-2000261.2</v>
      </c>
      <c r="L306" s="306" t="s">
        <v>1008</v>
      </c>
      <c r="M306" s="306" t="s">
        <v>1534</v>
      </c>
      <c r="N306" s="306" t="s">
        <v>1535</v>
      </c>
      <c r="O306" s="306" t="s">
        <v>1614</v>
      </c>
      <c r="P306" s="306" t="s">
        <v>263</v>
      </c>
      <c r="Q306" s="306" t="s">
        <v>1013</v>
      </c>
      <c r="R306" s="306" t="s">
        <v>1013</v>
      </c>
      <c r="S306" s="306" t="s">
        <v>1013</v>
      </c>
      <c r="T306" s="306" t="s">
        <v>1537</v>
      </c>
      <c r="U306" s="306" t="s">
        <v>1013</v>
      </c>
      <c r="V306" s="306" t="s">
        <v>1013</v>
      </c>
      <c r="W306" s="306" t="s">
        <v>1013</v>
      </c>
      <c r="X306" s="306" t="s">
        <v>1013</v>
      </c>
      <c r="Y306" s="306" t="s">
        <v>1537</v>
      </c>
      <c r="Z306" s="306" t="s">
        <v>1015</v>
      </c>
      <c r="AA306" s="306" t="s">
        <v>1013</v>
      </c>
    </row>
    <row r="307" spans="1:27" hidden="1">
      <c r="A307" s="306" t="s">
        <v>494</v>
      </c>
      <c r="B307" s="306" t="s">
        <v>1003</v>
      </c>
      <c r="C307" s="306" t="s">
        <v>1004</v>
      </c>
      <c r="D307" s="306" t="s">
        <v>1031</v>
      </c>
      <c r="E307" s="306" t="s">
        <v>1615</v>
      </c>
      <c r="F307" s="306" t="s">
        <v>1007</v>
      </c>
      <c r="G307" s="308">
        <v>46017</v>
      </c>
      <c r="H307" s="308">
        <v>46017</v>
      </c>
      <c r="I307" s="309">
        <v>-713191.39</v>
      </c>
      <c r="J307" s="306" t="s">
        <v>1008</v>
      </c>
      <c r="K307" s="309">
        <v>-713191.39</v>
      </c>
      <c r="L307" s="306" t="s">
        <v>1008</v>
      </c>
      <c r="M307" s="306" t="s">
        <v>1534</v>
      </c>
      <c r="N307" s="306" t="s">
        <v>1535</v>
      </c>
      <c r="O307" s="306" t="s">
        <v>1547</v>
      </c>
      <c r="P307" s="306" t="s">
        <v>263</v>
      </c>
      <c r="Q307" s="306" t="s">
        <v>1013</v>
      </c>
      <c r="R307" s="306" t="s">
        <v>1013</v>
      </c>
      <c r="S307" s="306" t="s">
        <v>1013</v>
      </c>
      <c r="T307" s="306" t="s">
        <v>1537</v>
      </c>
      <c r="U307" s="306" t="s">
        <v>1013</v>
      </c>
      <c r="V307" s="306" t="s">
        <v>1013</v>
      </c>
      <c r="W307" s="306" t="s">
        <v>1013</v>
      </c>
      <c r="X307" s="306" t="s">
        <v>1013</v>
      </c>
      <c r="Y307" s="306" t="s">
        <v>1537</v>
      </c>
      <c r="Z307" s="306" t="s">
        <v>1015</v>
      </c>
      <c r="AA307" s="306" t="s">
        <v>1013</v>
      </c>
    </row>
    <row r="308" spans="1:27" hidden="1">
      <c r="A308" s="306" t="s">
        <v>494</v>
      </c>
      <c r="B308" s="306" t="s">
        <v>1003</v>
      </c>
      <c r="C308" s="306" t="s">
        <v>1004</v>
      </c>
      <c r="D308" s="306" t="s">
        <v>1005</v>
      </c>
      <c r="E308" s="306" t="s">
        <v>1616</v>
      </c>
      <c r="F308" s="306" t="s">
        <v>1007</v>
      </c>
      <c r="G308" s="308">
        <v>46017</v>
      </c>
      <c r="H308" s="308">
        <v>46017</v>
      </c>
      <c r="I308" s="309">
        <v>-8516233.1500000004</v>
      </c>
      <c r="J308" s="306" t="s">
        <v>1008</v>
      </c>
      <c r="K308" s="309">
        <v>-8516233.1500000004</v>
      </c>
      <c r="L308" s="306" t="s">
        <v>1008</v>
      </c>
      <c r="M308" s="306" t="s">
        <v>1617</v>
      </c>
      <c r="N308" s="306" t="s">
        <v>1535</v>
      </c>
      <c r="O308" s="306" t="s">
        <v>1618</v>
      </c>
      <c r="P308" s="306" t="s">
        <v>263</v>
      </c>
      <c r="Q308" s="306" t="s">
        <v>1013</v>
      </c>
      <c r="R308" s="306" t="s">
        <v>1013</v>
      </c>
      <c r="S308" s="306" t="s">
        <v>1013</v>
      </c>
      <c r="T308" s="306" t="s">
        <v>1537</v>
      </c>
      <c r="U308" s="306" t="s">
        <v>1013</v>
      </c>
      <c r="V308" s="306" t="s">
        <v>1013</v>
      </c>
      <c r="W308" s="306" t="s">
        <v>1013</v>
      </c>
      <c r="X308" s="306" t="s">
        <v>1013</v>
      </c>
      <c r="Y308" s="306" t="s">
        <v>1537</v>
      </c>
      <c r="Z308" s="306" t="s">
        <v>1015</v>
      </c>
      <c r="AA308" s="306" t="s">
        <v>1013</v>
      </c>
    </row>
    <row r="309" spans="1:27" hidden="1">
      <c r="A309" s="306" t="s">
        <v>494</v>
      </c>
      <c r="B309" s="306" t="s">
        <v>1003</v>
      </c>
      <c r="C309" s="306" t="s">
        <v>1004</v>
      </c>
      <c r="D309" s="306" t="s">
        <v>1005</v>
      </c>
      <c r="E309" s="306" t="s">
        <v>1619</v>
      </c>
      <c r="F309" s="306" t="s">
        <v>1007</v>
      </c>
      <c r="G309" s="308">
        <v>46017</v>
      </c>
      <c r="H309" s="308">
        <v>46017</v>
      </c>
      <c r="I309" s="309">
        <v>-10741902.710000001</v>
      </c>
      <c r="J309" s="306" t="s">
        <v>1008</v>
      </c>
      <c r="K309" s="309">
        <v>-10741902.710000001</v>
      </c>
      <c r="L309" s="306" t="s">
        <v>1008</v>
      </c>
      <c r="M309" s="306" t="s">
        <v>1617</v>
      </c>
      <c r="N309" s="306" t="s">
        <v>1535</v>
      </c>
      <c r="O309" s="306" t="s">
        <v>1554</v>
      </c>
      <c r="P309" s="306" t="s">
        <v>263</v>
      </c>
      <c r="Q309" s="306" t="s">
        <v>1013</v>
      </c>
      <c r="R309" s="306" t="s">
        <v>1013</v>
      </c>
      <c r="S309" s="306" t="s">
        <v>1013</v>
      </c>
      <c r="T309" s="306" t="s">
        <v>1537</v>
      </c>
      <c r="U309" s="306" t="s">
        <v>1013</v>
      </c>
      <c r="V309" s="306" t="s">
        <v>1013</v>
      </c>
      <c r="W309" s="306" t="s">
        <v>1013</v>
      </c>
      <c r="X309" s="306" t="s">
        <v>1013</v>
      </c>
      <c r="Y309" s="306" t="s">
        <v>1537</v>
      </c>
      <c r="Z309" s="306" t="s">
        <v>1015</v>
      </c>
      <c r="AA309" s="306" t="s">
        <v>1013</v>
      </c>
    </row>
    <row r="310" spans="1:27" hidden="1">
      <c r="A310" s="306" t="s">
        <v>494</v>
      </c>
      <c r="B310" s="306" t="s">
        <v>1003</v>
      </c>
      <c r="C310" s="306" t="s">
        <v>1004</v>
      </c>
      <c r="D310" s="306" t="s">
        <v>1005</v>
      </c>
      <c r="E310" s="306" t="s">
        <v>1620</v>
      </c>
      <c r="F310" s="306" t="s">
        <v>1007</v>
      </c>
      <c r="G310" s="308">
        <v>46017</v>
      </c>
      <c r="H310" s="308">
        <v>46017</v>
      </c>
      <c r="I310" s="309">
        <v>-9127601.0999999996</v>
      </c>
      <c r="J310" s="306" t="s">
        <v>1008</v>
      </c>
      <c r="K310" s="309">
        <v>-9127601.0999999996</v>
      </c>
      <c r="L310" s="306" t="s">
        <v>1008</v>
      </c>
      <c r="M310" s="306" t="s">
        <v>1553</v>
      </c>
      <c r="N310" s="306" t="s">
        <v>1535</v>
      </c>
      <c r="O310" s="306" t="s">
        <v>1556</v>
      </c>
      <c r="P310" s="306" t="s">
        <v>263</v>
      </c>
      <c r="Q310" s="306" t="s">
        <v>1013</v>
      </c>
      <c r="R310" s="306" t="s">
        <v>1013</v>
      </c>
      <c r="S310" s="306" t="s">
        <v>1013</v>
      </c>
      <c r="T310" s="306" t="s">
        <v>1537</v>
      </c>
      <c r="U310" s="306" t="s">
        <v>1013</v>
      </c>
      <c r="V310" s="306" t="s">
        <v>1013</v>
      </c>
      <c r="W310" s="306" t="s">
        <v>1013</v>
      </c>
      <c r="X310" s="306" t="s">
        <v>1013</v>
      </c>
      <c r="Y310" s="306" t="s">
        <v>1537</v>
      </c>
      <c r="Z310" s="306" t="s">
        <v>1015</v>
      </c>
      <c r="AA310" s="306" t="s">
        <v>1013</v>
      </c>
    </row>
    <row r="311" spans="1:27" hidden="1">
      <c r="A311" s="306" t="s">
        <v>494</v>
      </c>
      <c r="B311" s="306" t="s">
        <v>1003</v>
      </c>
      <c r="C311" s="306" t="s">
        <v>1004</v>
      </c>
      <c r="D311" s="306" t="s">
        <v>1031</v>
      </c>
      <c r="E311" s="306" t="s">
        <v>1621</v>
      </c>
      <c r="F311" s="306" t="s">
        <v>1007</v>
      </c>
      <c r="G311" s="308">
        <v>46017</v>
      </c>
      <c r="H311" s="308">
        <v>46017</v>
      </c>
      <c r="I311" s="309">
        <v>-27756.46</v>
      </c>
      <c r="J311" s="306" t="s">
        <v>1008</v>
      </c>
      <c r="K311" s="309">
        <v>-27756.46</v>
      </c>
      <c r="L311" s="306" t="s">
        <v>1008</v>
      </c>
      <c r="M311" s="306" t="s">
        <v>1534</v>
      </c>
      <c r="N311" s="306" t="s">
        <v>1535</v>
      </c>
      <c r="O311" s="306" t="s">
        <v>1622</v>
      </c>
      <c r="P311" s="306" t="s">
        <v>263</v>
      </c>
      <c r="Q311" s="306" t="s">
        <v>1013</v>
      </c>
      <c r="R311" s="306" t="s">
        <v>1013</v>
      </c>
      <c r="S311" s="306" t="s">
        <v>1013</v>
      </c>
      <c r="T311" s="306" t="s">
        <v>1537</v>
      </c>
      <c r="U311" s="306" t="s">
        <v>1013</v>
      </c>
      <c r="V311" s="306" t="s">
        <v>1013</v>
      </c>
      <c r="W311" s="306" t="s">
        <v>1013</v>
      </c>
      <c r="X311" s="306" t="s">
        <v>1013</v>
      </c>
      <c r="Y311" s="306" t="s">
        <v>1537</v>
      </c>
      <c r="Z311" s="306" t="s">
        <v>1015</v>
      </c>
      <c r="AA311" s="306" t="s">
        <v>1013</v>
      </c>
    </row>
    <row r="312" spans="1:27" hidden="1">
      <c r="A312" s="306" t="s">
        <v>494</v>
      </c>
      <c r="B312" s="306" t="s">
        <v>1003</v>
      </c>
      <c r="C312" s="306" t="s">
        <v>1004</v>
      </c>
      <c r="D312" s="306" t="s">
        <v>1031</v>
      </c>
      <c r="E312" s="306" t="s">
        <v>1623</v>
      </c>
      <c r="F312" s="306" t="s">
        <v>1007</v>
      </c>
      <c r="G312" s="308">
        <v>46017</v>
      </c>
      <c r="H312" s="308">
        <v>46017</v>
      </c>
      <c r="I312" s="309">
        <v>-37190.269999999997</v>
      </c>
      <c r="J312" s="306" t="s">
        <v>1008</v>
      </c>
      <c r="K312" s="309">
        <v>-37190.269999999997</v>
      </c>
      <c r="L312" s="306" t="s">
        <v>1008</v>
      </c>
      <c r="M312" s="306" t="s">
        <v>1534</v>
      </c>
      <c r="N312" s="306" t="s">
        <v>1535</v>
      </c>
      <c r="O312" s="306" t="s">
        <v>1624</v>
      </c>
      <c r="P312" s="306" t="s">
        <v>263</v>
      </c>
      <c r="Q312" s="306" t="s">
        <v>1013</v>
      </c>
      <c r="R312" s="306" t="s">
        <v>1013</v>
      </c>
      <c r="S312" s="306" t="s">
        <v>1013</v>
      </c>
      <c r="T312" s="306" t="s">
        <v>1537</v>
      </c>
      <c r="U312" s="306" t="s">
        <v>1013</v>
      </c>
      <c r="V312" s="306" t="s">
        <v>1013</v>
      </c>
      <c r="W312" s="306" t="s">
        <v>1013</v>
      </c>
      <c r="X312" s="306" t="s">
        <v>1013</v>
      </c>
      <c r="Y312" s="306" t="s">
        <v>1537</v>
      </c>
      <c r="Z312" s="306" t="s">
        <v>1015</v>
      </c>
      <c r="AA312" s="306" t="s">
        <v>1013</v>
      </c>
    </row>
    <row r="313" spans="1:27" hidden="1">
      <c r="A313" s="306" t="s">
        <v>494</v>
      </c>
      <c r="B313" s="306" t="s">
        <v>1003</v>
      </c>
      <c r="C313" s="306" t="s">
        <v>1004</v>
      </c>
      <c r="D313" s="306" t="s">
        <v>1019</v>
      </c>
      <c r="E313" s="306" t="s">
        <v>1625</v>
      </c>
      <c r="F313" s="306" t="s">
        <v>1007</v>
      </c>
      <c r="G313" s="308">
        <v>46017</v>
      </c>
      <c r="H313" s="308">
        <v>46017</v>
      </c>
      <c r="I313" s="309">
        <v>-252483.13</v>
      </c>
      <c r="J313" s="306" t="s">
        <v>1008</v>
      </c>
      <c r="K313" s="309">
        <v>-252483.13</v>
      </c>
      <c r="L313" s="306" t="s">
        <v>1008</v>
      </c>
      <c r="M313" s="306" t="s">
        <v>1562</v>
      </c>
      <c r="N313" s="306" t="s">
        <v>1535</v>
      </c>
      <c r="O313" s="306" t="s">
        <v>1626</v>
      </c>
      <c r="P313" s="306" t="s">
        <v>263</v>
      </c>
      <c r="Q313" s="306" t="s">
        <v>1013</v>
      </c>
      <c r="R313" s="306" t="s">
        <v>1013</v>
      </c>
      <c r="S313" s="306" t="s">
        <v>1013</v>
      </c>
      <c r="T313" s="306" t="s">
        <v>1537</v>
      </c>
      <c r="U313" s="306" t="s">
        <v>1013</v>
      </c>
      <c r="V313" s="306" t="s">
        <v>1013</v>
      </c>
      <c r="W313" s="306" t="s">
        <v>1013</v>
      </c>
      <c r="X313" s="306" t="s">
        <v>1013</v>
      </c>
      <c r="Y313" s="306" t="s">
        <v>1537</v>
      </c>
      <c r="Z313" s="306" t="s">
        <v>1015</v>
      </c>
      <c r="AA313" s="306" t="s">
        <v>1013</v>
      </c>
    </row>
    <row r="314" spans="1:27" hidden="1">
      <c r="A314" s="306" t="s">
        <v>494</v>
      </c>
      <c r="B314" s="306" t="s">
        <v>1003</v>
      </c>
      <c r="C314" s="306" t="s">
        <v>1004</v>
      </c>
      <c r="D314" s="306" t="s">
        <v>1019</v>
      </c>
      <c r="E314" s="306" t="s">
        <v>1627</v>
      </c>
      <c r="F314" s="306" t="s">
        <v>1007</v>
      </c>
      <c r="G314" s="308">
        <v>46017</v>
      </c>
      <c r="H314" s="308">
        <v>46017</v>
      </c>
      <c r="I314" s="309">
        <v>-4003.79</v>
      </c>
      <c r="J314" s="306" t="s">
        <v>1008</v>
      </c>
      <c r="K314" s="309">
        <v>-4003.79</v>
      </c>
      <c r="L314" s="306" t="s">
        <v>1008</v>
      </c>
      <c r="M314" s="306" t="s">
        <v>1562</v>
      </c>
      <c r="N314" s="306" t="s">
        <v>1535</v>
      </c>
      <c r="O314" s="306" t="s">
        <v>1563</v>
      </c>
      <c r="P314" s="306" t="s">
        <v>263</v>
      </c>
      <c r="Q314" s="306" t="s">
        <v>1013</v>
      </c>
      <c r="R314" s="306" t="s">
        <v>1013</v>
      </c>
      <c r="S314" s="306" t="s">
        <v>1013</v>
      </c>
      <c r="T314" s="306" t="s">
        <v>1537</v>
      </c>
      <c r="U314" s="306" t="s">
        <v>1013</v>
      </c>
      <c r="V314" s="306" t="s">
        <v>1013</v>
      </c>
      <c r="W314" s="306" t="s">
        <v>1013</v>
      </c>
      <c r="X314" s="306" t="s">
        <v>1013</v>
      </c>
      <c r="Y314" s="306" t="s">
        <v>1537</v>
      </c>
      <c r="Z314" s="306" t="s">
        <v>1015</v>
      </c>
      <c r="AA314" s="306" t="s">
        <v>1013</v>
      </c>
    </row>
    <row r="315" spans="1:27" hidden="1">
      <c r="A315" s="306" t="s">
        <v>494</v>
      </c>
      <c r="B315" s="306" t="s">
        <v>1003</v>
      </c>
      <c r="C315" s="306" t="s">
        <v>1004</v>
      </c>
      <c r="D315" s="306" t="s">
        <v>1031</v>
      </c>
      <c r="E315" s="306" t="s">
        <v>1628</v>
      </c>
      <c r="F315" s="306" t="s">
        <v>1007</v>
      </c>
      <c r="G315" s="308">
        <v>46017</v>
      </c>
      <c r="H315" s="308">
        <v>46017</v>
      </c>
      <c r="I315" s="309">
        <v>-58536.06</v>
      </c>
      <c r="J315" s="306" t="s">
        <v>1008</v>
      </c>
      <c r="K315" s="309">
        <v>-58536.06</v>
      </c>
      <c r="L315" s="306" t="s">
        <v>1008</v>
      </c>
      <c r="M315" s="306" t="s">
        <v>1534</v>
      </c>
      <c r="N315" s="306" t="s">
        <v>1535</v>
      </c>
      <c r="O315" s="306" t="s">
        <v>1629</v>
      </c>
      <c r="P315" s="306" t="s">
        <v>263</v>
      </c>
      <c r="Q315" s="306" t="s">
        <v>1013</v>
      </c>
      <c r="R315" s="306" t="s">
        <v>1013</v>
      </c>
      <c r="S315" s="306" t="s">
        <v>1013</v>
      </c>
      <c r="T315" s="306" t="s">
        <v>1537</v>
      </c>
      <c r="U315" s="306" t="s">
        <v>1013</v>
      </c>
      <c r="V315" s="306" t="s">
        <v>1013</v>
      </c>
      <c r="W315" s="306" t="s">
        <v>1013</v>
      </c>
      <c r="X315" s="306" t="s">
        <v>1013</v>
      </c>
      <c r="Y315" s="306" t="s">
        <v>1537</v>
      </c>
      <c r="Z315" s="306" t="s">
        <v>1015</v>
      </c>
      <c r="AA315" s="306" t="s">
        <v>1013</v>
      </c>
    </row>
    <row r="316" spans="1:27" hidden="1">
      <c r="A316" s="306" t="s">
        <v>494</v>
      </c>
      <c r="B316" s="306" t="s">
        <v>1003</v>
      </c>
      <c r="C316" s="306" t="s">
        <v>1004</v>
      </c>
      <c r="D316" s="306" t="s">
        <v>1031</v>
      </c>
      <c r="E316" s="306" t="s">
        <v>1630</v>
      </c>
      <c r="F316" s="306" t="s">
        <v>1007</v>
      </c>
      <c r="G316" s="308">
        <v>46017</v>
      </c>
      <c r="H316" s="308">
        <v>46017</v>
      </c>
      <c r="I316" s="309">
        <v>-5629.39</v>
      </c>
      <c r="J316" s="306" t="s">
        <v>1008</v>
      </c>
      <c r="K316" s="309">
        <v>-5629.39</v>
      </c>
      <c r="L316" s="306" t="s">
        <v>1008</v>
      </c>
      <c r="M316" s="306" t="s">
        <v>1534</v>
      </c>
      <c r="N316" s="306" t="s">
        <v>1535</v>
      </c>
      <c r="O316" s="306" t="s">
        <v>1631</v>
      </c>
      <c r="P316" s="306" t="s">
        <v>263</v>
      </c>
      <c r="Q316" s="306" t="s">
        <v>1013</v>
      </c>
      <c r="R316" s="306" t="s">
        <v>1013</v>
      </c>
      <c r="S316" s="306" t="s">
        <v>1013</v>
      </c>
      <c r="T316" s="306" t="s">
        <v>1537</v>
      </c>
      <c r="U316" s="306" t="s">
        <v>1013</v>
      </c>
      <c r="V316" s="306" t="s">
        <v>1013</v>
      </c>
      <c r="W316" s="306" t="s">
        <v>1013</v>
      </c>
      <c r="X316" s="306" t="s">
        <v>1013</v>
      </c>
      <c r="Y316" s="306" t="s">
        <v>1537</v>
      </c>
      <c r="Z316" s="306" t="s">
        <v>1015</v>
      </c>
      <c r="AA316" s="306" t="s">
        <v>1013</v>
      </c>
    </row>
    <row r="317" spans="1:27" hidden="1">
      <c r="A317" s="306" t="s">
        <v>494</v>
      </c>
      <c r="B317" s="306" t="s">
        <v>1003</v>
      </c>
      <c r="C317" s="306" t="s">
        <v>1004</v>
      </c>
      <c r="D317" s="306" t="s">
        <v>1031</v>
      </c>
      <c r="E317" s="306" t="s">
        <v>1632</v>
      </c>
      <c r="F317" s="306" t="s">
        <v>1007</v>
      </c>
      <c r="G317" s="308">
        <v>46017</v>
      </c>
      <c r="H317" s="308">
        <v>46017</v>
      </c>
      <c r="I317" s="309">
        <v>-496988.94</v>
      </c>
      <c r="J317" s="306" t="s">
        <v>1008</v>
      </c>
      <c r="K317" s="309">
        <v>-496988.94</v>
      </c>
      <c r="L317" s="306" t="s">
        <v>1008</v>
      </c>
      <c r="M317" s="306" t="s">
        <v>1534</v>
      </c>
      <c r="N317" s="306" t="s">
        <v>1535</v>
      </c>
      <c r="O317" s="306" t="s">
        <v>1633</v>
      </c>
      <c r="P317" s="306" t="s">
        <v>263</v>
      </c>
      <c r="Q317" s="306" t="s">
        <v>1013</v>
      </c>
      <c r="R317" s="306" t="s">
        <v>1013</v>
      </c>
      <c r="S317" s="306" t="s">
        <v>1013</v>
      </c>
      <c r="T317" s="306" t="s">
        <v>1537</v>
      </c>
      <c r="U317" s="306" t="s">
        <v>1013</v>
      </c>
      <c r="V317" s="306" t="s">
        <v>1013</v>
      </c>
      <c r="W317" s="306" t="s">
        <v>1013</v>
      </c>
      <c r="X317" s="306" t="s">
        <v>1013</v>
      </c>
      <c r="Y317" s="306" t="s">
        <v>1537</v>
      </c>
      <c r="Z317" s="306" t="s">
        <v>1015</v>
      </c>
      <c r="AA317" s="306" t="s">
        <v>1013</v>
      </c>
    </row>
    <row r="318" spans="1:27" hidden="1">
      <c r="A318" s="306" t="s">
        <v>494</v>
      </c>
      <c r="B318" s="306" t="s">
        <v>1003</v>
      </c>
      <c r="C318" s="306" t="s">
        <v>1004</v>
      </c>
      <c r="D318" s="306" t="s">
        <v>1031</v>
      </c>
      <c r="E318" s="306" t="s">
        <v>1634</v>
      </c>
      <c r="F318" s="306" t="s">
        <v>1007</v>
      </c>
      <c r="G318" s="308">
        <v>46017</v>
      </c>
      <c r="H318" s="308">
        <v>46017</v>
      </c>
      <c r="I318" s="309">
        <v>-368596.34</v>
      </c>
      <c r="J318" s="306" t="s">
        <v>1008</v>
      </c>
      <c r="K318" s="309">
        <v>-368596.34</v>
      </c>
      <c r="L318" s="306" t="s">
        <v>1008</v>
      </c>
      <c r="M318" s="306" t="s">
        <v>1534</v>
      </c>
      <c r="N318" s="306" t="s">
        <v>1535</v>
      </c>
      <c r="O318" s="306" t="s">
        <v>1635</v>
      </c>
      <c r="P318" s="306" t="s">
        <v>263</v>
      </c>
      <c r="Q318" s="306" t="s">
        <v>1013</v>
      </c>
      <c r="R318" s="306" t="s">
        <v>1013</v>
      </c>
      <c r="S318" s="306" t="s">
        <v>1013</v>
      </c>
      <c r="T318" s="306" t="s">
        <v>1537</v>
      </c>
      <c r="U318" s="306" t="s">
        <v>1013</v>
      </c>
      <c r="V318" s="306" t="s">
        <v>1013</v>
      </c>
      <c r="W318" s="306" t="s">
        <v>1013</v>
      </c>
      <c r="X318" s="306" t="s">
        <v>1013</v>
      </c>
      <c r="Y318" s="306" t="s">
        <v>1537</v>
      </c>
      <c r="Z318" s="306" t="s">
        <v>1015</v>
      </c>
      <c r="AA318" s="306" t="s">
        <v>1013</v>
      </c>
    </row>
    <row r="319" spans="1:27" hidden="1">
      <c r="A319" s="306" t="s">
        <v>494</v>
      </c>
      <c r="B319" s="306" t="s">
        <v>1003</v>
      </c>
      <c r="C319" s="306" t="s">
        <v>1004</v>
      </c>
      <c r="D319" s="306" t="s">
        <v>1031</v>
      </c>
      <c r="E319" s="306" t="s">
        <v>1636</v>
      </c>
      <c r="F319" s="306" t="s">
        <v>1007</v>
      </c>
      <c r="G319" s="308">
        <v>46017</v>
      </c>
      <c r="H319" s="308">
        <v>46017</v>
      </c>
      <c r="I319" s="309">
        <v>-372668.28</v>
      </c>
      <c r="J319" s="306" t="s">
        <v>1008</v>
      </c>
      <c r="K319" s="309">
        <v>-372668.28</v>
      </c>
      <c r="L319" s="306" t="s">
        <v>1008</v>
      </c>
      <c r="M319" s="306" t="s">
        <v>1534</v>
      </c>
      <c r="N319" s="306" t="s">
        <v>1535</v>
      </c>
      <c r="O319" s="306" t="s">
        <v>1637</v>
      </c>
      <c r="P319" s="306" t="s">
        <v>263</v>
      </c>
      <c r="Q319" s="306" t="s">
        <v>1013</v>
      </c>
      <c r="R319" s="306" t="s">
        <v>1013</v>
      </c>
      <c r="S319" s="306" t="s">
        <v>1013</v>
      </c>
      <c r="T319" s="306" t="s">
        <v>1537</v>
      </c>
      <c r="U319" s="306" t="s">
        <v>1013</v>
      </c>
      <c r="V319" s="306" t="s">
        <v>1013</v>
      </c>
      <c r="W319" s="306" t="s">
        <v>1013</v>
      </c>
      <c r="X319" s="306" t="s">
        <v>1013</v>
      </c>
      <c r="Y319" s="306" t="s">
        <v>1537</v>
      </c>
      <c r="Z319" s="306" t="s">
        <v>1015</v>
      </c>
      <c r="AA319" s="306" t="s">
        <v>1013</v>
      </c>
    </row>
    <row r="320" spans="1:27" hidden="1">
      <c r="A320" s="306" t="s">
        <v>494</v>
      </c>
      <c r="B320" s="306" t="s">
        <v>1003</v>
      </c>
      <c r="C320" s="306" t="s">
        <v>1004</v>
      </c>
      <c r="D320" s="306" t="s">
        <v>1019</v>
      </c>
      <c r="E320" s="306" t="s">
        <v>1638</v>
      </c>
      <c r="F320" s="306" t="s">
        <v>1007</v>
      </c>
      <c r="G320" s="308">
        <v>46017</v>
      </c>
      <c r="H320" s="308">
        <v>46017</v>
      </c>
      <c r="I320" s="309">
        <v>-13734.09</v>
      </c>
      <c r="J320" s="306" t="s">
        <v>1008</v>
      </c>
      <c r="K320" s="309">
        <v>-13734.09</v>
      </c>
      <c r="L320" s="306" t="s">
        <v>1008</v>
      </c>
      <c r="M320" s="306" t="s">
        <v>1562</v>
      </c>
      <c r="N320" s="306" t="s">
        <v>1535</v>
      </c>
      <c r="O320" s="306" t="s">
        <v>1639</v>
      </c>
      <c r="P320" s="306" t="s">
        <v>263</v>
      </c>
      <c r="Q320" s="306" t="s">
        <v>1013</v>
      </c>
      <c r="R320" s="306" t="s">
        <v>1013</v>
      </c>
      <c r="S320" s="306" t="s">
        <v>1013</v>
      </c>
      <c r="T320" s="306" t="s">
        <v>1537</v>
      </c>
      <c r="U320" s="306" t="s">
        <v>1013</v>
      </c>
      <c r="V320" s="306" t="s">
        <v>1013</v>
      </c>
      <c r="W320" s="306" t="s">
        <v>1013</v>
      </c>
      <c r="X320" s="306" t="s">
        <v>1013</v>
      </c>
      <c r="Y320" s="306" t="s">
        <v>1537</v>
      </c>
      <c r="Z320" s="306" t="s">
        <v>1015</v>
      </c>
      <c r="AA320" s="306" t="s">
        <v>1013</v>
      </c>
    </row>
    <row r="321" spans="1:27" hidden="1">
      <c r="A321" s="306" t="s">
        <v>494</v>
      </c>
      <c r="B321" s="306" t="s">
        <v>1003</v>
      </c>
      <c r="C321" s="306" t="s">
        <v>1004</v>
      </c>
      <c r="D321" s="306" t="s">
        <v>1019</v>
      </c>
      <c r="E321" s="306" t="s">
        <v>1640</v>
      </c>
      <c r="F321" s="306" t="s">
        <v>1007</v>
      </c>
      <c r="G321" s="308">
        <v>46017</v>
      </c>
      <c r="H321" s="308">
        <v>46017</v>
      </c>
      <c r="I321" s="309">
        <v>-7879.48</v>
      </c>
      <c r="J321" s="306" t="s">
        <v>1008</v>
      </c>
      <c r="K321" s="309">
        <v>-7879.48</v>
      </c>
      <c r="L321" s="306" t="s">
        <v>1008</v>
      </c>
      <c r="M321" s="306" t="s">
        <v>1562</v>
      </c>
      <c r="N321" s="306" t="s">
        <v>1535</v>
      </c>
      <c r="O321" s="306" t="s">
        <v>1573</v>
      </c>
      <c r="P321" s="306" t="s">
        <v>263</v>
      </c>
      <c r="Q321" s="306" t="s">
        <v>1013</v>
      </c>
      <c r="R321" s="306" t="s">
        <v>1013</v>
      </c>
      <c r="S321" s="306" t="s">
        <v>1013</v>
      </c>
      <c r="T321" s="306" t="s">
        <v>1537</v>
      </c>
      <c r="U321" s="306" t="s">
        <v>1013</v>
      </c>
      <c r="V321" s="306" t="s">
        <v>1013</v>
      </c>
      <c r="W321" s="306" t="s">
        <v>1013</v>
      </c>
      <c r="X321" s="306" t="s">
        <v>1013</v>
      </c>
      <c r="Y321" s="306" t="s">
        <v>1537</v>
      </c>
      <c r="Z321" s="306" t="s">
        <v>1015</v>
      </c>
      <c r="AA321" s="306" t="s">
        <v>1013</v>
      </c>
    </row>
    <row r="322" spans="1:27" hidden="1">
      <c r="A322" s="306" t="s">
        <v>494</v>
      </c>
      <c r="B322" s="306" t="s">
        <v>1003</v>
      </c>
      <c r="C322" s="306" t="s">
        <v>1004</v>
      </c>
      <c r="D322" s="306" t="s">
        <v>1031</v>
      </c>
      <c r="E322" s="306" t="s">
        <v>1641</v>
      </c>
      <c r="F322" s="306" t="s">
        <v>1007</v>
      </c>
      <c r="G322" s="308">
        <v>46017</v>
      </c>
      <c r="H322" s="308">
        <v>46017</v>
      </c>
      <c r="I322" s="309">
        <v>-9156.06</v>
      </c>
      <c r="J322" s="306" t="s">
        <v>1008</v>
      </c>
      <c r="K322" s="309">
        <v>-9156.06</v>
      </c>
      <c r="L322" s="306" t="s">
        <v>1008</v>
      </c>
      <c r="M322" s="306" t="s">
        <v>1642</v>
      </c>
      <c r="N322" s="306" t="s">
        <v>1535</v>
      </c>
      <c r="O322" s="306" t="s">
        <v>1643</v>
      </c>
      <c r="P322" s="306" t="s">
        <v>263</v>
      </c>
      <c r="Q322" s="306" t="s">
        <v>1013</v>
      </c>
      <c r="R322" s="306" t="s">
        <v>1013</v>
      </c>
      <c r="S322" s="306" t="s">
        <v>1013</v>
      </c>
      <c r="T322" s="306" t="s">
        <v>1537</v>
      </c>
      <c r="U322" s="306" t="s">
        <v>1013</v>
      </c>
      <c r="V322" s="306" t="s">
        <v>1013</v>
      </c>
      <c r="W322" s="306" t="s">
        <v>1013</v>
      </c>
      <c r="X322" s="306" t="s">
        <v>1013</v>
      </c>
      <c r="Y322" s="306" t="s">
        <v>1537</v>
      </c>
      <c r="Z322" s="306" t="s">
        <v>1015</v>
      </c>
      <c r="AA322" s="306" t="s">
        <v>1013</v>
      </c>
    </row>
    <row r="323" spans="1:27" hidden="1">
      <c r="A323" s="306" t="s">
        <v>494</v>
      </c>
      <c r="B323" s="306" t="s">
        <v>1003</v>
      </c>
      <c r="C323" s="306" t="s">
        <v>1004</v>
      </c>
      <c r="D323" s="306" t="s">
        <v>1031</v>
      </c>
      <c r="E323" s="306" t="s">
        <v>1644</v>
      </c>
      <c r="F323" s="306" t="s">
        <v>1007</v>
      </c>
      <c r="G323" s="308">
        <v>46017</v>
      </c>
      <c r="H323" s="308">
        <v>46017</v>
      </c>
      <c r="I323" s="309">
        <v>-298399.57</v>
      </c>
      <c r="J323" s="306" t="s">
        <v>1008</v>
      </c>
      <c r="K323" s="309">
        <v>-298399.57</v>
      </c>
      <c r="L323" s="306" t="s">
        <v>1008</v>
      </c>
      <c r="M323" s="306" t="s">
        <v>1534</v>
      </c>
      <c r="N323" s="306" t="s">
        <v>1535</v>
      </c>
      <c r="O323" s="306" t="s">
        <v>1645</v>
      </c>
      <c r="P323" s="306" t="s">
        <v>263</v>
      </c>
      <c r="Q323" s="306" t="s">
        <v>1013</v>
      </c>
      <c r="R323" s="306" t="s">
        <v>1013</v>
      </c>
      <c r="S323" s="306" t="s">
        <v>1013</v>
      </c>
      <c r="T323" s="306" t="s">
        <v>1537</v>
      </c>
      <c r="U323" s="306" t="s">
        <v>1013</v>
      </c>
      <c r="V323" s="306" t="s">
        <v>1013</v>
      </c>
      <c r="W323" s="306" t="s">
        <v>1013</v>
      </c>
      <c r="X323" s="306" t="s">
        <v>1013</v>
      </c>
      <c r="Y323" s="306" t="s">
        <v>1537</v>
      </c>
      <c r="Z323" s="306" t="s">
        <v>1015</v>
      </c>
      <c r="AA323" s="306" t="s">
        <v>1013</v>
      </c>
    </row>
    <row r="324" spans="1:27" hidden="1">
      <c r="A324" s="306" t="s">
        <v>494</v>
      </c>
      <c r="B324" s="306" t="s">
        <v>1003</v>
      </c>
      <c r="C324" s="306" t="s">
        <v>1004</v>
      </c>
      <c r="D324" s="306" t="s">
        <v>1031</v>
      </c>
      <c r="E324" s="306" t="s">
        <v>1646</v>
      </c>
      <c r="F324" s="306" t="s">
        <v>1007</v>
      </c>
      <c r="G324" s="308">
        <v>46017</v>
      </c>
      <c r="H324" s="308">
        <v>46017</v>
      </c>
      <c r="I324" s="309">
        <v>-3789.11</v>
      </c>
      <c r="J324" s="306" t="s">
        <v>1008</v>
      </c>
      <c r="K324" s="309">
        <v>-3789.11</v>
      </c>
      <c r="L324" s="306" t="s">
        <v>1008</v>
      </c>
      <c r="M324" s="306" t="s">
        <v>1534</v>
      </c>
      <c r="N324" s="306" t="s">
        <v>1535</v>
      </c>
      <c r="O324" s="306" t="s">
        <v>1647</v>
      </c>
      <c r="P324" s="306" t="s">
        <v>263</v>
      </c>
      <c r="Q324" s="306" t="s">
        <v>1013</v>
      </c>
      <c r="R324" s="306" t="s">
        <v>1013</v>
      </c>
      <c r="S324" s="306" t="s">
        <v>1013</v>
      </c>
      <c r="T324" s="306" t="s">
        <v>1537</v>
      </c>
      <c r="U324" s="306" t="s">
        <v>1013</v>
      </c>
      <c r="V324" s="306" t="s">
        <v>1013</v>
      </c>
      <c r="W324" s="306" t="s">
        <v>1013</v>
      </c>
      <c r="X324" s="306" t="s">
        <v>1013</v>
      </c>
      <c r="Y324" s="306" t="s">
        <v>1537</v>
      </c>
      <c r="Z324" s="306" t="s">
        <v>1015</v>
      </c>
      <c r="AA324" s="306" t="s">
        <v>1013</v>
      </c>
    </row>
    <row r="325" spans="1:27" hidden="1">
      <c r="A325" s="306" t="s">
        <v>494</v>
      </c>
      <c r="B325" s="306" t="s">
        <v>1003</v>
      </c>
      <c r="C325" s="306" t="s">
        <v>1004</v>
      </c>
      <c r="D325" s="306" t="s">
        <v>1031</v>
      </c>
      <c r="E325" s="306" t="s">
        <v>1648</v>
      </c>
      <c r="F325" s="306" t="s">
        <v>1007</v>
      </c>
      <c r="G325" s="308">
        <v>46017</v>
      </c>
      <c r="H325" s="308">
        <v>46017</v>
      </c>
      <c r="I325" s="309">
        <v>-44243.76</v>
      </c>
      <c r="J325" s="306" t="s">
        <v>1008</v>
      </c>
      <c r="K325" s="309">
        <v>-44243.76</v>
      </c>
      <c r="L325" s="306" t="s">
        <v>1008</v>
      </c>
      <c r="M325" s="306" t="s">
        <v>1534</v>
      </c>
      <c r="N325" s="306" t="s">
        <v>1535</v>
      </c>
      <c r="O325" s="306" t="s">
        <v>1649</v>
      </c>
      <c r="P325" s="306" t="s">
        <v>263</v>
      </c>
      <c r="Q325" s="306" t="s">
        <v>1013</v>
      </c>
      <c r="R325" s="306" t="s">
        <v>1013</v>
      </c>
      <c r="S325" s="306" t="s">
        <v>1013</v>
      </c>
      <c r="T325" s="306" t="s">
        <v>1537</v>
      </c>
      <c r="U325" s="306" t="s">
        <v>1013</v>
      </c>
      <c r="V325" s="306" t="s">
        <v>1013</v>
      </c>
      <c r="W325" s="306" t="s">
        <v>1013</v>
      </c>
      <c r="X325" s="306" t="s">
        <v>1013</v>
      </c>
      <c r="Y325" s="306" t="s">
        <v>1537</v>
      </c>
      <c r="Z325" s="306" t="s">
        <v>1015</v>
      </c>
      <c r="AA325" s="306" t="s">
        <v>1013</v>
      </c>
    </row>
    <row r="326" spans="1:27" hidden="1">
      <c r="A326" s="306" t="s">
        <v>494</v>
      </c>
      <c r="B326" s="306" t="s">
        <v>1003</v>
      </c>
      <c r="C326" s="306" t="s">
        <v>1004</v>
      </c>
      <c r="D326" s="306" t="s">
        <v>1019</v>
      </c>
      <c r="E326" s="306" t="s">
        <v>1650</v>
      </c>
      <c r="F326" s="306" t="s">
        <v>1007</v>
      </c>
      <c r="G326" s="308">
        <v>46017</v>
      </c>
      <c r="H326" s="308">
        <v>46017</v>
      </c>
      <c r="I326" s="309">
        <v>-10329.82</v>
      </c>
      <c r="J326" s="306" t="s">
        <v>1008</v>
      </c>
      <c r="K326" s="309">
        <v>-10329.82</v>
      </c>
      <c r="L326" s="306" t="s">
        <v>1008</v>
      </c>
      <c r="M326" s="306" t="s">
        <v>1562</v>
      </c>
      <c r="N326" s="306" t="s">
        <v>1535</v>
      </c>
      <c r="O326" s="306" t="s">
        <v>1651</v>
      </c>
      <c r="P326" s="306" t="s">
        <v>263</v>
      </c>
      <c r="Q326" s="306" t="s">
        <v>1013</v>
      </c>
      <c r="R326" s="306" t="s">
        <v>1013</v>
      </c>
      <c r="S326" s="306" t="s">
        <v>1013</v>
      </c>
      <c r="T326" s="306" t="s">
        <v>1537</v>
      </c>
      <c r="U326" s="306" t="s">
        <v>1013</v>
      </c>
      <c r="V326" s="306" t="s">
        <v>1013</v>
      </c>
      <c r="W326" s="306" t="s">
        <v>1013</v>
      </c>
      <c r="X326" s="306" t="s">
        <v>1013</v>
      </c>
      <c r="Y326" s="306" t="s">
        <v>1537</v>
      </c>
      <c r="Z326" s="306" t="s">
        <v>1015</v>
      </c>
      <c r="AA326" s="306" t="s">
        <v>1013</v>
      </c>
    </row>
    <row r="327" spans="1:27" hidden="1">
      <c r="A327" s="306" t="s">
        <v>494</v>
      </c>
      <c r="B327" s="306" t="s">
        <v>1003</v>
      </c>
      <c r="C327" s="306" t="s">
        <v>1004</v>
      </c>
      <c r="D327" s="306" t="s">
        <v>1019</v>
      </c>
      <c r="E327" s="306" t="s">
        <v>1652</v>
      </c>
      <c r="F327" s="306" t="s">
        <v>1007</v>
      </c>
      <c r="G327" s="308">
        <v>46017</v>
      </c>
      <c r="H327" s="308">
        <v>46017</v>
      </c>
      <c r="I327" s="309">
        <v>-96410.9</v>
      </c>
      <c r="J327" s="306" t="s">
        <v>1008</v>
      </c>
      <c r="K327" s="309">
        <v>-96410.9</v>
      </c>
      <c r="L327" s="306" t="s">
        <v>1008</v>
      </c>
      <c r="M327" s="306" t="s">
        <v>1562</v>
      </c>
      <c r="N327" s="306" t="s">
        <v>1535</v>
      </c>
      <c r="O327" s="306" t="s">
        <v>1653</v>
      </c>
      <c r="P327" s="306" t="s">
        <v>263</v>
      </c>
      <c r="Q327" s="306" t="s">
        <v>1013</v>
      </c>
      <c r="R327" s="306" t="s">
        <v>1013</v>
      </c>
      <c r="S327" s="306" t="s">
        <v>1013</v>
      </c>
      <c r="T327" s="306" t="s">
        <v>1537</v>
      </c>
      <c r="U327" s="306" t="s">
        <v>1013</v>
      </c>
      <c r="V327" s="306" t="s">
        <v>1013</v>
      </c>
      <c r="W327" s="306" t="s">
        <v>1013</v>
      </c>
      <c r="X327" s="306" t="s">
        <v>1013</v>
      </c>
      <c r="Y327" s="306" t="s">
        <v>1537</v>
      </c>
      <c r="Z327" s="306" t="s">
        <v>1015</v>
      </c>
      <c r="AA327" s="306" t="s">
        <v>1013</v>
      </c>
    </row>
    <row r="328" spans="1:27" hidden="1">
      <c r="A328" s="306" t="s">
        <v>494</v>
      </c>
      <c r="B328" s="306" t="s">
        <v>1003</v>
      </c>
      <c r="C328" s="306" t="s">
        <v>1004</v>
      </c>
      <c r="D328" s="306" t="s">
        <v>1019</v>
      </c>
      <c r="E328" s="306" t="s">
        <v>1654</v>
      </c>
      <c r="F328" s="306" t="s">
        <v>1007</v>
      </c>
      <c r="G328" s="308">
        <v>46017</v>
      </c>
      <c r="H328" s="308">
        <v>46017</v>
      </c>
      <c r="I328" s="309">
        <v>-20297.03</v>
      </c>
      <c r="J328" s="306" t="s">
        <v>1008</v>
      </c>
      <c r="K328" s="309">
        <v>-20297.03</v>
      </c>
      <c r="L328" s="306" t="s">
        <v>1008</v>
      </c>
      <c r="M328" s="306" t="s">
        <v>1562</v>
      </c>
      <c r="N328" s="306" t="s">
        <v>1535</v>
      </c>
      <c r="O328" s="306" t="s">
        <v>1655</v>
      </c>
      <c r="P328" s="306" t="s">
        <v>263</v>
      </c>
      <c r="Q328" s="306" t="s">
        <v>1013</v>
      </c>
      <c r="R328" s="306" t="s">
        <v>1013</v>
      </c>
      <c r="S328" s="306" t="s">
        <v>1013</v>
      </c>
      <c r="T328" s="306" t="s">
        <v>1537</v>
      </c>
      <c r="U328" s="306" t="s">
        <v>1013</v>
      </c>
      <c r="V328" s="306" t="s">
        <v>1013</v>
      </c>
      <c r="W328" s="306" t="s">
        <v>1013</v>
      </c>
      <c r="X328" s="306" t="s">
        <v>1013</v>
      </c>
      <c r="Y328" s="306" t="s">
        <v>1537</v>
      </c>
      <c r="Z328" s="306" t="s">
        <v>1015</v>
      </c>
      <c r="AA328" s="306" t="s">
        <v>1013</v>
      </c>
    </row>
    <row r="329" spans="1:27" hidden="1">
      <c r="A329" s="306" t="s">
        <v>494</v>
      </c>
      <c r="B329" s="306" t="s">
        <v>1003</v>
      </c>
      <c r="C329" s="306" t="s">
        <v>1004</v>
      </c>
      <c r="D329" s="306" t="s">
        <v>1019</v>
      </c>
      <c r="E329" s="306" t="s">
        <v>1656</v>
      </c>
      <c r="F329" s="306" t="s">
        <v>1007</v>
      </c>
      <c r="G329" s="308">
        <v>46017</v>
      </c>
      <c r="H329" s="308">
        <v>46017</v>
      </c>
      <c r="I329" s="309">
        <v>-30459.9</v>
      </c>
      <c r="J329" s="306" t="s">
        <v>1008</v>
      </c>
      <c r="K329" s="309">
        <v>-30459.9</v>
      </c>
      <c r="L329" s="306" t="s">
        <v>1008</v>
      </c>
      <c r="M329" s="306" t="s">
        <v>1562</v>
      </c>
      <c r="N329" s="306" t="s">
        <v>1535</v>
      </c>
      <c r="O329" s="306" t="s">
        <v>1657</v>
      </c>
      <c r="P329" s="306" t="s">
        <v>263</v>
      </c>
      <c r="Q329" s="306" t="s">
        <v>1013</v>
      </c>
      <c r="R329" s="306" t="s">
        <v>1013</v>
      </c>
      <c r="S329" s="306" t="s">
        <v>1013</v>
      </c>
      <c r="T329" s="306" t="s">
        <v>1537</v>
      </c>
      <c r="U329" s="306" t="s">
        <v>1013</v>
      </c>
      <c r="V329" s="306" t="s">
        <v>1013</v>
      </c>
      <c r="W329" s="306" t="s">
        <v>1013</v>
      </c>
      <c r="X329" s="306" t="s">
        <v>1013</v>
      </c>
      <c r="Y329" s="306" t="s">
        <v>1537</v>
      </c>
      <c r="Z329" s="306" t="s">
        <v>1015</v>
      </c>
      <c r="AA329" s="306" t="s">
        <v>1013</v>
      </c>
    </row>
    <row r="330" spans="1:27" hidden="1">
      <c r="A330" s="306" t="s">
        <v>494</v>
      </c>
      <c r="B330" s="306" t="s">
        <v>1003</v>
      </c>
      <c r="C330" s="306" t="s">
        <v>1004</v>
      </c>
      <c r="D330" s="306" t="s">
        <v>1031</v>
      </c>
      <c r="E330" s="306" t="s">
        <v>1658</v>
      </c>
      <c r="F330" s="306" t="s">
        <v>1007</v>
      </c>
      <c r="G330" s="308">
        <v>46017</v>
      </c>
      <c r="H330" s="308">
        <v>46017</v>
      </c>
      <c r="I330" s="309">
        <v>-541036.59</v>
      </c>
      <c r="J330" s="306" t="s">
        <v>1008</v>
      </c>
      <c r="K330" s="309">
        <v>-541036.59</v>
      </c>
      <c r="L330" s="306" t="s">
        <v>1008</v>
      </c>
      <c r="M330" s="306" t="s">
        <v>1534</v>
      </c>
      <c r="N330" s="306" t="s">
        <v>1535</v>
      </c>
      <c r="O330" s="306" t="s">
        <v>1659</v>
      </c>
      <c r="P330" s="306" t="s">
        <v>263</v>
      </c>
      <c r="Q330" s="306" t="s">
        <v>1013</v>
      </c>
      <c r="R330" s="306" t="s">
        <v>1013</v>
      </c>
      <c r="S330" s="306" t="s">
        <v>1013</v>
      </c>
      <c r="T330" s="306" t="s">
        <v>1537</v>
      </c>
      <c r="U330" s="306" t="s">
        <v>1013</v>
      </c>
      <c r="V330" s="306" t="s">
        <v>1013</v>
      </c>
      <c r="W330" s="306" t="s">
        <v>1013</v>
      </c>
      <c r="X330" s="306" t="s">
        <v>1013</v>
      </c>
      <c r="Y330" s="306" t="s">
        <v>1537</v>
      </c>
      <c r="Z330" s="306" t="s">
        <v>1015</v>
      </c>
      <c r="AA330" s="306" t="s">
        <v>1013</v>
      </c>
    </row>
    <row r="331" spans="1:27" hidden="1">
      <c r="A331" s="306" t="s">
        <v>494</v>
      </c>
      <c r="B331" s="306" t="s">
        <v>1003</v>
      </c>
      <c r="C331" s="306" t="s">
        <v>1004</v>
      </c>
      <c r="D331" s="306" t="s">
        <v>1005</v>
      </c>
      <c r="E331" s="306" t="s">
        <v>1660</v>
      </c>
      <c r="F331" s="306" t="s">
        <v>1007</v>
      </c>
      <c r="G331" s="308">
        <v>46017</v>
      </c>
      <c r="H331" s="308">
        <v>46017</v>
      </c>
      <c r="I331" s="309">
        <v>-79611.649999999994</v>
      </c>
      <c r="J331" s="306" t="s">
        <v>1008</v>
      </c>
      <c r="K331" s="309">
        <v>-79611.649999999994</v>
      </c>
      <c r="L331" s="306" t="s">
        <v>1008</v>
      </c>
      <c r="M331" s="306" t="s">
        <v>1553</v>
      </c>
      <c r="N331" s="306" t="s">
        <v>1535</v>
      </c>
      <c r="O331" s="306" t="s">
        <v>1661</v>
      </c>
      <c r="P331" s="306" t="s">
        <v>263</v>
      </c>
      <c r="Q331" s="306" t="s">
        <v>1013</v>
      </c>
      <c r="R331" s="306" t="s">
        <v>1013</v>
      </c>
      <c r="S331" s="306" t="s">
        <v>1013</v>
      </c>
      <c r="T331" s="306" t="s">
        <v>1537</v>
      </c>
      <c r="U331" s="306" t="s">
        <v>1013</v>
      </c>
      <c r="V331" s="306" t="s">
        <v>1013</v>
      </c>
      <c r="W331" s="306" t="s">
        <v>1013</v>
      </c>
      <c r="X331" s="306" t="s">
        <v>1013</v>
      </c>
      <c r="Y331" s="306" t="s">
        <v>1537</v>
      </c>
      <c r="Z331" s="306" t="s">
        <v>1015</v>
      </c>
      <c r="AA331" s="306" t="s">
        <v>1013</v>
      </c>
    </row>
    <row r="332" spans="1:27" hidden="1">
      <c r="A332" s="306" t="s">
        <v>494</v>
      </c>
      <c r="B332" s="306" t="s">
        <v>1003</v>
      </c>
      <c r="C332" s="306" t="s">
        <v>1004</v>
      </c>
      <c r="D332" s="306" t="s">
        <v>1019</v>
      </c>
      <c r="E332" s="306" t="s">
        <v>1662</v>
      </c>
      <c r="F332" s="306" t="s">
        <v>1007</v>
      </c>
      <c r="G332" s="308">
        <v>46017</v>
      </c>
      <c r="H332" s="308">
        <v>46017</v>
      </c>
      <c r="I332" s="309">
        <v>-19146.23</v>
      </c>
      <c r="J332" s="306" t="s">
        <v>1008</v>
      </c>
      <c r="K332" s="309">
        <v>-19146.23</v>
      </c>
      <c r="L332" s="306" t="s">
        <v>1008</v>
      </c>
      <c r="M332" s="306" t="s">
        <v>1562</v>
      </c>
      <c r="N332" s="306" t="s">
        <v>1535</v>
      </c>
      <c r="O332" s="306" t="s">
        <v>1663</v>
      </c>
      <c r="P332" s="306" t="s">
        <v>263</v>
      </c>
      <c r="Q332" s="306" t="s">
        <v>1013</v>
      </c>
      <c r="R332" s="306" t="s">
        <v>1013</v>
      </c>
      <c r="S332" s="306" t="s">
        <v>1013</v>
      </c>
      <c r="T332" s="306" t="s">
        <v>1537</v>
      </c>
      <c r="U332" s="306" t="s">
        <v>1013</v>
      </c>
      <c r="V332" s="306" t="s">
        <v>1013</v>
      </c>
      <c r="W332" s="306" t="s">
        <v>1013</v>
      </c>
      <c r="X332" s="306" t="s">
        <v>1013</v>
      </c>
      <c r="Y332" s="306" t="s">
        <v>1537</v>
      </c>
      <c r="Z332" s="306" t="s">
        <v>1015</v>
      </c>
      <c r="AA332" s="306" t="s">
        <v>1013</v>
      </c>
    </row>
    <row r="333" spans="1:27" hidden="1">
      <c r="A333" s="306" t="s">
        <v>494</v>
      </c>
      <c r="B333" s="306" t="s">
        <v>1003</v>
      </c>
      <c r="C333" s="306" t="s">
        <v>1004</v>
      </c>
      <c r="D333" s="306" t="s">
        <v>1019</v>
      </c>
      <c r="E333" s="306" t="s">
        <v>1664</v>
      </c>
      <c r="F333" s="306" t="s">
        <v>1007</v>
      </c>
      <c r="G333" s="308">
        <v>46017</v>
      </c>
      <c r="H333" s="308">
        <v>46017</v>
      </c>
      <c r="I333" s="309">
        <v>-673018.86</v>
      </c>
      <c r="J333" s="306" t="s">
        <v>1008</v>
      </c>
      <c r="K333" s="309">
        <v>-673018.86</v>
      </c>
      <c r="L333" s="306" t="s">
        <v>1008</v>
      </c>
      <c r="M333" s="306" t="s">
        <v>1562</v>
      </c>
      <c r="N333" s="306" t="s">
        <v>1535</v>
      </c>
      <c r="O333" s="306" t="s">
        <v>1665</v>
      </c>
      <c r="P333" s="306" t="s">
        <v>263</v>
      </c>
      <c r="Q333" s="306" t="s">
        <v>1013</v>
      </c>
      <c r="R333" s="306" t="s">
        <v>1013</v>
      </c>
      <c r="S333" s="306" t="s">
        <v>1013</v>
      </c>
      <c r="T333" s="306" t="s">
        <v>1537</v>
      </c>
      <c r="U333" s="306" t="s">
        <v>1013</v>
      </c>
      <c r="V333" s="306" t="s">
        <v>1013</v>
      </c>
      <c r="W333" s="306" t="s">
        <v>1013</v>
      </c>
      <c r="X333" s="306" t="s">
        <v>1013</v>
      </c>
      <c r="Y333" s="306" t="s">
        <v>1537</v>
      </c>
      <c r="Z333" s="306" t="s">
        <v>1015</v>
      </c>
      <c r="AA333" s="306" t="s">
        <v>1013</v>
      </c>
    </row>
    <row r="334" spans="1:27" hidden="1">
      <c r="A334" s="306" t="s">
        <v>494</v>
      </c>
      <c r="B334" s="306" t="s">
        <v>1003</v>
      </c>
      <c r="C334" s="306" t="s">
        <v>1004</v>
      </c>
      <c r="D334" s="306" t="s">
        <v>1031</v>
      </c>
      <c r="E334" s="306" t="s">
        <v>1666</v>
      </c>
      <c r="F334" s="306" t="s">
        <v>1007</v>
      </c>
      <c r="G334" s="308">
        <v>46017</v>
      </c>
      <c r="H334" s="308">
        <v>46017</v>
      </c>
      <c r="I334" s="309">
        <v>-365560.22</v>
      </c>
      <c r="J334" s="306" t="s">
        <v>1008</v>
      </c>
      <c r="K334" s="309">
        <v>-365560.22</v>
      </c>
      <c r="L334" s="306" t="s">
        <v>1008</v>
      </c>
      <c r="M334" s="306" t="s">
        <v>1534</v>
      </c>
      <c r="N334" s="306" t="s">
        <v>1535</v>
      </c>
      <c r="O334" s="306" t="s">
        <v>1667</v>
      </c>
      <c r="P334" s="306" t="s">
        <v>263</v>
      </c>
      <c r="Q334" s="306" t="s">
        <v>1013</v>
      </c>
      <c r="R334" s="306" t="s">
        <v>1013</v>
      </c>
      <c r="S334" s="306" t="s">
        <v>1013</v>
      </c>
      <c r="T334" s="306" t="s">
        <v>1537</v>
      </c>
      <c r="U334" s="306" t="s">
        <v>1013</v>
      </c>
      <c r="V334" s="306" t="s">
        <v>1013</v>
      </c>
      <c r="W334" s="306" t="s">
        <v>1013</v>
      </c>
      <c r="X334" s="306" t="s">
        <v>1013</v>
      </c>
      <c r="Y334" s="306" t="s">
        <v>1537</v>
      </c>
      <c r="Z334" s="306" t="s">
        <v>1015</v>
      </c>
      <c r="AA334" s="306" t="s">
        <v>1013</v>
      </c>
    </row>
    <row r="335" spans="1:27" hidden="1">
      <c r="A335" s="306" t="s">
        <v>494</v>
      </c>
      <c r="B335" s="306" t="s">
        <v>1003</v>
      </c>
      <c r="C335" s="306" t="s">
        <v>1004</v>
      </c>
      <c r="D335" s="306" t="s">
        <v>1031</v>
      </c>
      <c r="E335" s="306" t="s">
        <v>1668</v>
      </c>
      <c r="F335" s="306" t="s">
        <v>1007</v>
      </c>
      <c r="G335" s="308">
        <v>46017</v>
      </c>
      <c r="H335" s="308">
        <v>46017</v>
      </c>
      <c r="I335" s="309">
        <v>-358336.82</v>
      </c>
      <c r="J335" s="306" t="s">
        <v>1008</v>
      </c>
      <c r="K335" s="309">
        <v>-358336.82</v>
      </c>
      <c r="L335" s="306" t="s">
        <v>1008</v>
      </c>
      <c r="M335" s="306" t="s">
        <v>1534</v>
      </c>
      <c r="N335" s="306" t="s">
        <v>1535</v>
      </c>
      <c r="O335" s="306" t="s">
        <v>1669</v>
      </c>
      <c r="P335" s="306" t="s">
        <v>263</v>
      </c>
      <c r="Q335" s="306" t="s">
        <v>1013</v>
      </c>
      <c r="R335" s="306" t="s">
        <v>1013</v>
      </c>
      <c r="S335" s="306" t="s">
        <v>1013</v>
      </c>
      <c r="T335" s="306" t="s">
        <v>1537</v>
      </c>
      <c r="U335" s="306" t="s">
        <v>1013</v>
      </c>
      <c r="V335" s="306" t="s">
        <v>1013</v>
      </c>
      <c r="W335" s="306" t="s">
        <v>1013</v>
      </c>
      <c r="X335" s="306" t="s">
        <v>1013</v>
      </c>
      <c r="Y335" s="306" t="s">
        <v>1537</v>
      </c>
      <c r="Z335" s="306" t="s">
        <v>1015</v>
      </c>
      <c r="AA335" s="306" t="s">
        <v>1013</v>
      </c>
    </row>
    <row r="336" spans="1:27" hidden="1">
      <c r="A336" s="306" t="s">
        <v>494</v>
      </c>
      <c r="B336" s="306" t="s">
        <v>1003</v>
      </c>
      <c r="C336" s="306" t="s">
        <v>1004</v>
      </c>
      <c r="D336" s="306" t="s">
        <v>1031</v>
      </c>
      <c r="E336" s="306" t="s">
        <v>1670</v>
      </c>
      <c r="F336" s="306" t="s">
        <v>1007</v>
      </c>
      <c r="G336" s="308">
        <v>46017</v>
      </c>
      <c r="H336" s="308">
        <v>46017</v>
      </c>
      <c r="I336" s="309">
        <v>-245026.44</v>
      </c>
      <c r="J336" s="306" t="s">
        <v>1008</v>
      </c>
      <c r="K336" s="309">
        <v>-245026.44</v>
      </c>
      <c r="L336" s="306" t="s">
        <v>1008</v>
      </c>
      <c r="M336" s="306" t="s">
        <v>1534</v>
      </c>
      <c r="N336" s="306" t="s">
        <v>1535</v>
      </c>
      <c r="O336" s="306" t="s">
        <v>1671</v>
      </c>
      <c r="P336" s="306" t="s">
        <v>263</v>
      </c>
      <c r="Q336" s="306" t="s">
        <v>1013</v>
      </c>
      <c r="R336" s="306" t="s">
        <v>1013</v>
      </c>
      <c r="S336" s="306" t="s">
        <v>1013</v>
      </c>
      <c r="T336" s="306" t="s">
        <v>1537</v>
      </c>
      <c r="U336" s="306" t="s">
        <v>1013</v>
      </c>
      <c r="V336" s="306" t="s">
        <v>1013</v>
      </c>
      <c r="W336" s="306" t="s">
        <v>1013</v>
      </c>
      <c r="X336" s="306" t="s">
        <v>1013</v>
      </c>
      <c r="Y336" s="306" t="s">
        <v>1537</v>
      </c>
      <c r="Z336" s="306" t="s">
        <v>1015</v>
      </c>
      <c r="AA336" s="306" t="s">
        <v>1013</v>
      </c>
    </row>
    <row r="337" spans="1:27" hidden="1">
      <c r="A337" s="306" t="s">
        <v>494</v>
      </c>
      <c r="B337" s="306" t="s">
        <v>1003</v>
      </c>
      <c r="C337" s="306" t="s">
        <v>1004</v>
      </c>
      <c r="D337" s="306" t="s">
        <v>1031</v>
      </c>
      <c r="E337" s="306" t="s">
        <v>1672</v>
      </c>
      <c r="F337" s="306" t="s">
        <v>1007</v>
      </c>
      <c r="G337" s="308">
        <v>46017</v>
      </c>
      <c r="H337" s="308">
        <v>46017</v>
      </c>
      <c r="I337" s="309">
        <v>-216510.84</v>
      </c>
      <c r="J337" s="306" t="s">
        <v>1008</v>
      </c>
      <c r="K337" s="309">
        <v>-216510.84</v>
      </c>
      <c r="L337" s="306" t="s">
        <v>1008</v>
      </c>
      <c r="M337" s="306" t="s">
        <v>1534</v>
      </c>
      <c r="N337" s="306" t="s">
        <v>1535</v>
      </c>
      <c r="O337" s="306" t="s">
        <v>1673</v>
      </c>
      <c r="P337" s="306" t="s">
        <v>263</v>
      </c>
      <c r="Q337" s="306" t="s">
        <v>1013</v>
      </c>
      <c r="R337" s="306" t="s">
        <v>1013</v>
      </c>
      <c r="S337" s="306" t="s">
        <v>1013</v>
      </c>
      <c r="T337" s="306" t="s">
        <v>1537</v>
      </c>
      <c r="U337" s="306" t="s">
        <v>1013</v>
      </c>
      <c r="V337" s="306" t="s">
        <v>1013</v>
      </c>
      <c r="W337" s="306" t="s">
        <v>1013</v>
      </c>
      <c r="X337" s="306" t="s">
        <v>1013</v>
      </c>
      <c r="Y337" s="306" t="s">
        <v>1537</v>
      </c>
      <c r="Z337" s="306" t="s">
        <v>1015</v>
      </c>
      <c r="AA337" s="306" t="s">
        <v>1013</v>
      </c>
    </row>
    <row r="338" spans="1:27" hidden="1">
      <c r="A338" s="306" t="s">
        <v>494</v>
      </c>
      <c r="B338" s="306" t="s">
        <v>1003</v>
      </c>
      <c r="C338" s="306" t="s">
        <v>1004</v>
      </c>
      <c r="D338" s="306" t="s">
        <v>1019</v>
      </c>
      <c r="E338" s="306" t="s">
        <v>1674</v>
      </c>
      <c r="F338" s="306" t="s">
        <v>1007</v>
      </c>
      <c r="G338" s="308">
        <v>46017</v>
      </c>
      <c r="H338" s="308">
        <v>46017</v>
      </c>
      <c r="I338" s="309">
        <v>-130542.45</v>
      </c>
      <c r="J338" s="306" t="s">
        <v>1008</v>
      </c>
      <c r="K338" s="309">
        <v>-130542.45</v>
      </c>
      <c r="L338" s="306" t="s">
        <v>1008</v>
      </c>
      <c r="M338" s="306" t="s">
        <v>1562</v>
      </c>
      <c r="N338" s="306" t="s">
        <v>1535</v>
      </c>
      <c r="O338" s="306" t="s">
        <v>1675</v>
      </c>
      <c r="P338" s="306" t="s">
        <v>263</v>
      </c>
      <c r="Q338" s="306" t="s">
        <v>1013</v>
      </c>
      <c r="R338" s="306" t="s">
        <v>1013</v>
      </c>
      <c r="S338" s="306" t="s">
        <v>1013</v>
      </c>
      <c r="T338" s="306" t="s">
        <v>1537</v>
      </c>
      <c r="U338" s="306" t="s">
        <v>1013</v>
      </c>
      <c r="V338" s="306" t="s">
        <v>1013</v>
      </c>
      <c r="W338" s="306" t="s">
        <v>1013</v>
      </c>
      <c r="X338" s="306" t="s">
        <v>1013</v>
      </c>
      <c r="Y338" s="306" t="s">
        <v>1537</v>
      </c>
      <c r="Z338" s="306" t="s">
        <v>1015</v>
      </c>
      <c r="AA338" s="306" t="s">
        <v>1013</v>
      </c>
    </row>
    <row r="339" spans="1:27" hidden="1">
      <c r="A339" s="306" t="s">
        <v>494</v>
      </c>
      <c r="B339" s="306" t="s">
        <v>1003</v>
      </c>
      <c r="C339" s="306" t="s">
        <v>1004</v>
      </c>
      <c r="D339" s="306" t="s">
        <v>1031</v>
      </c>
      <c r="E339" s="306" t="s">
        <v>1676</v>
      </c>
      <c r="F339" s="306" t="s">
        <v>1007</v>
      </c>
      <c r="G339" s="308">
        <v>46017</v>
      </c>
      <c r="H339" s="308">
        <v>46017</v>
      </c>
      <c r="I339" s="309">
        <v>-31857.47</v>
      </c>
      <c r="J339" s="306" t="s">
        <v>1008</v>
      </c>
      <c r="K339" s="309">
        <v>-31857.47</v>
      </c>
      <c r="L339" s="306" t="s">
        <v>1008</v>
      </c>
      <c r="M339" s="306" t="s">
        <v>1534</v>
      </c>
      <c r="N339" s="306" t="s">
        <v>1535</v>
      </c>
      <c r="O339" s="306" t="s">
        <v>1677</v>
      </c>
      <c r="P339" s="306" t="s">
        <v>263</v>
      </c>
      <c r="Q339" s="306" t="s">
        <v>1013</v>
      </c>
      <c r="R339" s="306" t="s">
        <v>1013</v>
      </c>
      <c r="S339" s="306" t="s">
        <v>1013</v>
      </c>
      <c r="T339" s="306" t="s">
        <v>1537</v>
      </c>
      <c r="U339" s="306" t="s">
        <v>1013</v>
      </c>
      <c r="V339" s="306" t="s">
        <v>1013</v>
      </c>
      <c r="W339" s="306" t="s">
        <v>1013</v>
      </c>
      <c r="X339" s="306" t="s">
        <v>1013</v>
      </c>
      <c r="Y339" s="306" t="s">
        <v>1537</v>
      </c>
      <c r="Z339" s="306" t="s">
        <v>1015</v>
      </c>
      <c r="AA339" s="306" t="s">
        <v>1013</v>
      </c>
    </row>
    <row r="340" spans="1:27" hidden="1">
      <c r="A340" s="306" t="s">
        <v>494</v>
      </c>
      <c r="B340" s="306" t="s">
        <v>1003</v>
      </c>
      <c r="C340" s="306" t="s">
        <v>1004</v>
      </c>
      <c r="D340" s="306" t="s">
        <v>1019</v>
      </c>
      <c r="E340" s="306" t="s">
        <v>1678</v>
      </c>
      <c r="F340" s="306" t="s">
        <v>1007</v>
      </c>
      <c r="G340" s="308">
        <v>46017</v>
      </c>
      <c r="H340" s="308">
        <v>46017</v>
      </c>
      <c r="I340" s="309">
        <v>-9420.7800000000007</v>
      </c>
      <c r="J340" s="306" t="s">
        <v>1008</v>
      </c>
      <c r="K340" s="309">
        <v>-9420.7800000000007</v>
      </c>
      <c r="L340" s="306" t="s">
        <v>1008</v>
      </c>
      <c r="M340" s="306" t="s">
        <v>1562</v>
      </c>
      <c r="N340" s="306" t="s">
        <v>1535</v>
      </c>
      <c r="O340" s="306" t="s">
        <v>1590</v>
      </c>
      <c r="P340" s="306" t="s">
        <v>263</v>
      </c>
      <c r="Q340" s="306" t="s">
        <v>1013</v>
      </c>
      <c r="R340" s="306" t="s">
        <v>1013</v>
      </c>
      <c r="S340" s="306" t="s">
        <v>1013</v>
      </c>
      <c r="T340" s="306" t="s">
        <v>1537</v>
      </c>
      <c r="U340" s="306" t="s">
        <v>1013</v>
      </c>
      <c r="V340" s="306" t="s">
        <v>1013</v>
      </c>
      <c r="W340" s="306" t="s">
        <v>1013</v>
      </c>
      <c r="X340" s="306" t="s">
        <v>1013</v>
      </c>
      <c r="Y340" s="306" t="s">
        <v>1537</v>
      </c>
      <c r="Z340" s="306" t="s">
        <v>1015</v>
      </c>
      <c r="AA340" s="306" t="s">
        <v>1013</v>
      </c>
    </row>
    <row r="341" spans="1:27" hidden="1">
      <c r="A341" s="306" t="s">
        <v>494</v>
      </c>
      <c r="B341" s="306" t="s">
        <v>1003</v>
      </c>
      <c r="C341" s="306" t="s">
        <v>1004</v>
      </c>
      <c r="D341" s="306" t="s">
        <v>1031</v>
      </c>
      <c r="E341" s="306" t="s">
        <v>1679</v>
      </c>
      <c r="F341" s="306" t="s">
        <v>1007</v>
      </c>
      <c r="G341" s="308">
        <v>46017</v>
      </c>
      <c r="H341" s="308">
        <v>46017</v>
      </c>
      <c r="I341" s="309">
        <v>37019.410000000003</v>
      </c>
      <c r="J341" s="306" t="s">
        <v>1008</v>
      </c>
      <c r="K341" s="309">
        <v>37019.410000000003</v>
      </c>
      <c r="L341" s="306" t="s">
        <v>1008</v>
      </c>
      <c r="M341" s="306" t="s">
        <v>1595</v>
      </c>
      <c r="N341" s="306" t="s">
        <v>1535</v>
      </c>
      <c r="O341" s="306" t="s">
        <v>1596</v>
      </c>
      <c r="P341" s="306" t="s">
        <v>263</v>
      </c>
      <c r="Q341" s="306" t="s">
        <v>1013</v>
      </c>
      <c r="R341" s="306" t="s">
        <v>1013</v>
      </c>
      <c r="S341" s="306" t="s">
        <v>1013</v>
      </c>
      <c r="T341" s="306" t="s">
        <v>1537</v>
      </c>
      <c r="U341" s="306" t="s">
        <v>1013</v>
      </c>
      <c r="V341" s="306" t="s">
        <v>1013</v>
      </c>
      <c r="W341" s="306" t="s">
        <v>1013</v>
      </c>
      <c r="X341" s="306" t="s">
        <v>1013</v>
      </c>
      <c r="Y341" s="306" t="s">
        <v>1537</v>
      </c>
      <c r="Z341" s="306" t="s">
        <v>1015</v>
      </c>
      <c r="AA341" s="306" t="s">
        <v>1013</v>
      </c>
    </row>
    <row r="342" spans="1:27" hidden="1">
      <c r="A342" s="306" t="s">
        <v>494</v>
      </c>
      <c r="B342" s="306" t="s">
        <v>1003</v>
      </c>
      <c r="C342" s="306" t="s">
        <v>1004</v>
      </c>
      <c r="D342" s="306" t="s">
        <v>1031</v>
      </c>
      <c r="E342" s="306" t="s">
        <v>1680</v>
      </c>
      <c r="F342" s="306" t="s">
        <v>1007</v>
      </c>
      <c r="G342" s="308">
        <v>46017</v>
      </c>
      <c r="H342" s="308">
        <v>46017</v>
      </c>
      <c r="I342" s="309">
        <v>46274.27</v>
      </c>
      <c r="J342" s="306" t="s">
        <v>1008</v>
      </c>
      <c r="K342" s="309">
        <v>46274.27</v>
      </c>
      <c r="L342" s="306" t="s">
        <v>1008</v>
      </c>
      <c r="M342" s="306" t="s">
        <v>1595</v>
      </c>
      <c r="N342" s="306" t="s">
        <v>1535</v>
      </c>
      <c r="O342" s="306" t="s">
        <v>1598</v>
      </c>
      <c r="P342" s="306" t="s">
        <v>263</v>
      </c>
      <c r="Q342" s="306" t="s">
        <v>1013</v>
      </c>
      <c r="R342" s="306" t="s">
        <v>1013</v>
      </c>
      <c r="S342" s="306" t="s">
        <v>1013</v>
      </c>
      <c r="T342" s="306" t="s">
        <v>1537</v>
      </c>
      <c r="U342" s="306" t="s">
        <v>1013</v>
      </c>
      <c r="V342" s="306" t="s">
        <v>1013</v>
      </c>
      <c r="W342" s="306" t="s">
        <v>1013</v>
      </c>
      <c r="X342" s="306" t="s">
        <v>1013</v>
      </c>
      <c r="Y342" s="306" t="s">
        <v>1537</v>
      </c>
      <c r="Z342" s="306" t="s">
        <v>1015</v>
      </c>
      <c r="AA342" s="306" t="s">
        <v>1013</v>
      </c>
    </row>
    <row r="343" spans="1:27" hidden="1">
      <c r="A343" s="306" t="s">
        <v>494</v>
      </c>
      <c r="B343" s="306" t="s">
        <v>1003</v>
      </c>
      <c r="C343" s="306" t="s">
        <v>1004</v>
      </c>
      <c r="D343" s="306" t="s">
        <v>1005</v>
      </c>
      <c r="E343" s="306" t="s">
        <v>1681</v>
      </c>
      <c r="F343" s="306" t="s">
        <v>1007</v>
      </c>
      <c r="G343" s="308">
        <v>46017</v>
      </c>
      <c r="H343" s="308">
        <v>46017</v>
      </c>
      <c r="I343" s="309">
        <v>-37019.410000000003</v>
      </c>
      <c r="J343" s="306" t="s">
        <v>1008</v>
      </c>
      <c r="K343" s="309">
        <v>-37019.410000000003</v>
      </c>
      <c r="L343" s="306" t="s">
        <v>1008</v>
      </c>
      <c r="M343" s="306" t="s">
        <v>1682</v>
      </c>
      <c r="N343" s="306" t="s">
        <v>1535</v>
      </c>
      <c r="O343" s="306" t="s">
        <v>1596</v>
      </c>
      <c r="P343" s="306" t="s">
        <v>263</v>
      </c>
      <c r="Q343" s="306" t="s">
        <v>1013</v>
      </c>
      <c r="R343" s="306" t="s">
        <v>1013</v>
      </c>
      <c r="S343" s="306" t="s">
        <v>1013</v>
      </c>
      <c r="T343" s="306" t="s">
        <v>1537</v>
      </c>
      <c r="U343" s="306" t="s">
        <v>1013</v>
      </c>
      <c r="V343" s="306" t="s">
        <v>1013</v>
      </c>
      <c r="W343" s="306" t="s">
        <v>1013</v>
      </c>
      <c r="X343" s="306" t="s">
        <v>1013</v>
      </c>
      <c r="Y343" s="306" t="s">
        <v>1537</v>
      </c>
      <c r="Z343" s="306" t="s">
        <v>1015</v>
      </c>
      <c r="AA343" s="306" t="s">
        <v>1013</v>
      </c>
    </row>
    <row r="344" spans="1:27" hidden="1">
      <c r="A344" s="306" t="s">
        <v>494</v>
      </c>
      <c r="B344" s="306" t="s">
        <v>1003</v>
      </c>
      <c r="C344" s="306" t="s">
        <v>1004</v>
      </c>
      <c r="D344" s="306" t="s">
        <v>1005</v>
      </c>
      <c r="E344" s="306" t="s">
        <v>1683</v>
      </c>
      <c r="F344" s="306" t="s">
        <v>1007</v>
      </c>
      <c r="G344" s="308">
        <v>46017</v>
      </c>
      <c r="H344" s="308">
        <v>46017</v>
      </c>
      <c r="I344" s="309">
        <v>-46274.27</v>
      </c>
      <c r="J344" s="306" t="s">
        <v>1008</v>
      </c>
      <c r="K344" s="309">
        <v>-46274.27</v>
      </c>
      <c r="L344" s="306" t="s">
        <v>1008</v>
      </c>
      <c r="M344" s="306" t="s">
        <v>1682</v>
      </c>
      <c r="N344" s="306" t="s">
        <v>1535</v>
      </c>
      <c r="O344" s="306" t="s">
        <v>1598</v>
      </c>
      <c r="P344" s="306" t="s">
        <v>263</v>
      </c>
      <c r="Q344" s="306" t="s">
        <v>1013</v>
      </c>
      <c r="R344" s="306" t="s">
        <v>1013</v>
      </c>
      <c r="S344" s="306" t="s">
        <v>1013</v>
      </c>
      <c r="T344" s="306" t="s">
        <v>1537</v>
      </c>
      <c r="U344" s="306" t="s">
        <v>1013</v>
      </c>
      <c r="V344" s="306" t="s">
        <v>1013</v>
      </c>
      <c r="W344" s="306" t="s">
        <v>1013</v>
      </c>
      <c r="X344" s="306" t="s">
        <v>1013</v>
      </c>
      <c r="Y344" s="306" t="s">
        <v>1537</v>
      </c>
      <c r="Z344" s="306" t="s">
        <v>1015</v>
      </c>
      <c r="AA344" s="306" t="s">
        <v>1013</v>
      </c>
    </row>
    <row r="345" spans="1:27" hidden="1">
      <c r="A345" s="306" t="s">
        <v>494</v>
      </c>
      <c r="B345" s="306" t="s">
        <v>1003</v>
      </c>
      <c r="C345" s="306" t="s">
        <v>1004</v>
      </c>
      <c r="D345" s="306" t="s">
        <v>1031</v>
      </c>
      <c r="E345" s="306" t="s">
        <v>1684</v>
      </c>
      <c r="F345" s="306" t="s">
        <v>1007</v>
      </c>
      <c r="G345" s="308">
        <v>46017</v>
      </c>
      <c r="H345" s="308">
        <v>46017</v>
      </c>
      <c r="I345" s="309">
        <v>-6137168.1399999997</v>
      </c>
      <c r="J345" s="306" t="s">
        <v>1008</v>
      </c>
      <c r="K345" s="309">
        <v>-6137168.1399999997</v>
      </c>
      <c r="L345" s="306" t="s">
        <v>1008</v>
      </c>
      <c r="M345" s="306" t="s">
        <v>1685</v>
      </c>
      <c r="N345" s="306" t="s">
        <v>1686</v>
      </c>
      <c r="O345" s="306" t="s">
        <v>1687</v>
      </c>
      <c r="P345" s="306" t="s">
        <v>1069</v>
      </c>
      <c r="Q345" s="306" t="s">
        <v>1013</v>
      </c>
      <c r="R345" s="306" t="s">
        <v>1013</v>
      </c>
      <c r="S345" s="306" t="s">
        <v>1013</v>
      </c>
      <c r="T345" s="306" t="s">
        <v>1688</v>
      </c>
      <c r="U345" s="306" t="s">
        <v>1013</v>
      </c>
      <c r="V345" s="306" t="s">
        <v>1013</v>
      </c>
      <c r="W345" s="306" t="s">
        <v>1013</v>
      </c>
      <c r="X345" s="306" t="s">
        <v>1013</v>
      </c>
      <c r="Y345" s="306" t="s">
        <v>1688</v>
      </c>
      <c r="Z345" s="306" t="s">
        <v>1071</v>
      </c>
      <c r="AA345" s="306" t="s">
        <v>1013</v>
      </c>
    </row>
    <row r="346" spans="1:27" hidden="1">
      <c r="A346" s="306" t="s">
        <v>494</v>
      </c>
      <c r="B346" s="306" t="s">
        <v>1003</v>
      </c>
      <c r="C346" s="306" t="s">
        <v>1004</v>
      </c>
      <c r="D346" s="306" t="s">
        <v>1005</v>
      </c>
      <c r="E346" s="306" t="s">
        <v>1689</v>
      </c>
      <c r="F346" s="306" t="s">
        <v>1007</v>
      </c>
      <c r="G346" s="308">
        <v>46017</v>
      </c>
      <c r="H346" s="308">
        <v>46017</v>
      </c>
      <c r="I346" s="309">
        <v>8516233.1500000004</v>
      </c>
      <c r="J346" s="306" t="s">
        <v>1008</v>
      </c>
      <c r="K346" s="309">
        <v>8516233.1500000004</v>
      </c>
      <c r="L346" s="306" t="s">
        <v>1008</v>
      </c>
      <c r="M346" s="306" t="s">
        <v>1617</v>
      </c>
      <c r="N346" s="306" t="s">
        <v>1535</v>
      </c>
      <c r="O346" s="306" t="s">
        <v>1618</v>
      </c>
      <c r="P346" s="306" t="s">
        <v>263</v>
      </c>
      <c r="Q346" s="306" t="s">
        <v>1013</v>
      </c>
      <c r="R346" s="306" t="s">
        <v>1013</v>
      </c>
      <c r="S346" s="306" t="s">
        <v>1013</v>
      </c>
      <c r="T346" s="306" t="s">
        <v>1537</v>
      </c>
      <c r="U346" s="306" t="s">
        <v>1013</v>
      </c>
      <c r="V346" s="306" t="s">
        <v>1013</v>
      </c>
      <c r="W346" s="306" t="s">
        <v>1013</v>
      </c>
      <c r="X346" s="306" t="s">
        <v>1013</v>
      </c>
      <c r="Y346" s="306" t="s">
        <v>1537</v>
      </c>
      <c r="Z346" s="306" t="s">
        <v>1015</v>
      </c>
      <c r="AA346" s="306" t="s">
        <v>1013</v>
      </c>
    </row>
    <row r="347" spans="1:27" hidden="1">
      <c r="A347" s="306" t="s">
        <v>494</v>
      </c>
      <c r="B347" s="306" t="s">
        <v>1003</v>
      </c>
      <c r="C347" s="306" t="s">
        <v>1004</v>
      </c>
      <c r="D347" s="306" t="s">
        <v>1005</v>
      </c>
      <c r="E347" s="306" t="s">
        <v>1690</v>
      </c>
      <c r="F347" s="306" t="s">
        <v>1007</v>
      </c>
      <c r="G347" s="308">
        <v>46017</v>
      </c>
      <c r="H347" s="308">
        <v>46017</v>
      </c>
      <c r="I347" s="309">
        <v>10741902.710000001</v>
      </c>
      <c r="J347" s="306" t="s">
        <v>1008</v>
      </c>
      <c r="K347" s="309">
        <v>10741902.710000001</v>
      </c>
      <c r="L347" s="306" t="s">
        <v>1008</v>
      </c>
      <c r="M347" s="306" t="s">
        <v>1617</v>
      </c>
      <c r="N347" s="306" t="s">
        <v>1535</v>
      </c>
      <c r="O347" s="306" t="s">
        <v>1554</v>
      </c>
      <c r="P347" s="306" t="s">
        <v>263</v>
      </c>
      <c r="Q347" s="306" t="s">
        <v>1013</v>
      </c>
      <c r="R347" s="306" t="s">
        <v>1013</v>
      </c>
      <c r="S347" s="306" t="s">
        <v>1013</v>
      </c>
      <c r="T347" s="306" t="s">
        <v>1537</v>
      </c>
      <c r="U347" s="306" t="s">
        <v>1013</v>
      </c>
      <c r="V347" s="306" t="s">
        <v>1013</v>
      </c>
      <c r="W347" s="306" t="s">
        <v>1013</v>
      </c>
      <c r="X347" s="306" t="s">
        <v>1013</v>
      </c>
      <c r="Y347" s="306" t="s">
        <v>1537</v>
      </c>
      <c r="Z347" s="306" t="s">
        <v>1015</v>
      </c>
      <c r="AA347" s="306" t="s">
        <v>1013</v>
      </c>
    </row>
    <row r="348" spans="1:27" hidden="1">
      <c r="A348" s="306" t="s">
        <v>494</v>
      </c>
      <c r="B348" s="306" t="s">
        <v>1003</v>
      </c>
      <c r="C348" s="306" t="s">
        <v>1004</v>
      </c>
      <c r="D348" s="306" t="s">
        <v>1031</v>
      </c>
      <c r="E348" s="306" t="s">
        <v>1691</v>
      </c>
      <c r="F348" s="306" t="s">
        <v>1007</v>
      </c>
      <c r="G348" s="308">
        <v>46017</v>
      </c>
      <c r="H348" s="308">
        <v>46017</v>
      </c>
      <c r="I348" s="309">
        <v>6137168.1399999997</v>
      </c>
      <c r="J348" s="306" t="s">
        <v>1008</v>
      </c>
      <c r="K348" s="309">
        <v>6137168.1399999997</v>
      </c>
      <c r="L348" s="306" t="s">
        <v>1008</v>
      </c>
      <c r="M348" s="306" t="s">
        <v>1685</v>
      </c>
      <c r="N348" s="306" t="s">
        <v>1686</v>
      </c>
      <c r="O348" s="306" t="s">
        <v>1687</v>
      </c>
      <c r="P348" s="306" t="s">
        <v>1069</v>
      </c>
      <c r="Q348" s="306" t="s">
        <v>1013</v>
      </c>
      <c r="R348" s="306" t="s">
        <v>1013</v>
      </c>
      <c r="S348" s="306" t="s">
        <v>1013</v>
      </c>
      <c r="T348" s="306" t="s">
        <v>1688</v>
      </c>
      <c r="U348" s="306" t="s">
        <v>1013</v>
      </c>
      <c r="V348" s="306" t="s">
        <v>1013</v>
      </c>
      <c r="W348" s="306" t="s">
        <v>1013</v>
      </c>
      <c r="X348" s="306" t="s">
        <v>1013</v>
      </c>
      <c r="Y348" s="306" t="s">
        <v>1688</v>
      </c>
      <c r="Z348" s="306" t="s">
        <v>1071</v>
      </c>
      <c r="AA348" s="306" t="s">
        <v>1013</v>
      </c>
    </row>
    <row r="349" spans="1:27" hidden="1">
      <c r="A349" s="306" t="s">
        <v>494</v>
      </c>
      <c r="B349" s="306" t="s">
        <v>1003</v>
      </c>
      <c r="C349" s="306" t="s">
        <v>1004</v>
      </c>
      <c r="D349" s="306" t="s">
        <v>1005</v>
      </c>
      <c r="E349" s="306" t="s">
        <v>1692</v>
      </c>
      <c r="F349" s="306" t="s">
        <v>1007</v>
      </c>
      <c r="G349" s="308">
        <v>46019</v>
      </c>
      <c r="H349" s="308">
        <v>46019</v>
      </c>
      <c r="I349" s="309">
        <v>-138822.81</v>
      </c>
      <c r="J349" s="306" t="s">
        <v>1008</v>
      </c>
      <c r="K349" s="309">
        <v>-138822.81</v>
      </c>
      <c r="L349" s="306" t="s">
        <v>1008</v>
      </c>
      <c r="M349" s="306" t="s">
        <v>1693</v>
      </c>
      <c r="N349" s="306" t="s">
        <v>1694</v>
      </c>
      <c r="O349" s="306" t="s">
        <v>1695</v>
      </c>
      <c r="P349" s="306" t="s">
        <v>1696</v>
      </c>
      <c r="Q349" s="306" t="s">
        <v>1013</v>
      </c>
      <c r="R349" s="306" t="s">
        <v>1013</v>
      </c>
      <c r="S349" s="306" t="s">
        <v>1013</v>
      </c>
      <c r="T349" s="306" t="s">
        <v>1697</v>
      </c>
      <c r="U349" s="306" t="s">
        <v>1013</v>
      </c>
      <c r="V349" s="306" t="s">
        <v>1013</v>
      </c>
      <c r="W349" s="306" t="s">
        <v>1013</v>
      </c>
      <c r="X349" s="306" t="s">
        <v>1013</v>
      </c>
      <c r="Y349" s="306" t="s">
        <v>1697</v>
      </c>
      <c r="Z349" s="306" t="s">
        <v>1015</v>
      </c>
      <c r="AA349" s="306" t="s">
        <v>1013</v>
      </c>
    </row>
    <row r="350" spans="1:27" hidden="1">
      <c r="A350" s="306" t="s">
        <v>494</v>
      </c>
      <c r="B350" s="306" t="s">
        <v>1003</v>
      </c>
      <c r="C350" s="306" t="s">
        <v>1004</v>
      </c>
      <c r="D350" s="306" t="s">
        <v>1031</v>
      </c>
      <c r="E350" s="306" t="s">
        <v>1698</v>
      </c>
      <c r="F350" s="306" t="s">
        <v>1007</v>
      </c>
      <c r="G350" s="308">
        <v>46019</v>
      </c>
      <c r="H350" s="308">
        <v>46019</v>
      </c>
      <c r="I350" s="309">
        <v>-24934.25</v>
      </c>
      <c r="J350" s="306" t="s">
        <v>1008</v>
      </c>
      <c r="K350" s="309">
        <v>-24934.25</v>
      </c>
      <c r="L350" s="306" t="s">
        <v>1008</v>
      </c>
      <c r="M350" s="306" t="s">
        <v>1699</v>
      </c>
      <c r="N350" s="306" t="s">
        <v>1694</v>
      </c>
      <c r="O350" s="306" t="s">
        <v>1700</v>
      </c>
      <c r="P350" s="306" t="s">
        <v>1696</v>
      </c>
      <c r="Q350" s="306" t="s">
        <v>1013</v>
      </c>
      <c r="R350" s="306" t="s">
        <v>1013</v>
      </c>
      <c r="S350" s="306" t="s">
        <v>1013</v>
      </c>
      <c r="T350" s="306" t="s">
        <v>1697</v>
      </c>
      <c r="U350" s="306" t="s">
        <v>1013</v>
      </c>
      <c r="V350" s="306" t="s">
        <v>1013</v>
      </c>
      <c r="W350" s="306" t="s">
        <v>1013</v>
      </c>
      <c r="X350" s="306" t="s">
        <v>1013</v>
      </c>
      <c r="Y350" s="306" t="s">
        <v>1697</v>
      </c>
      <c r="Z350" s="306" t="s">
        <v>1015</v>
      </c>
      <c r="AA350" s="306" t="s">
        <v>1013</v>
      </c>
    </row>
    <row r="351" spans="1:27" hidden="1">
      <c r="A351" s="306" t="s">
        <v>494</v>
      </c>
      <c r="B351" s="306" t="s">
        <v>1003</v>
      </c>
      <c r="C351" s="306" t="s">
        <v>1004</v>
      </c>
      <c r="D351" s="306" t="s">
        <v>1031</v>
      </c>
      <c r="E351" s="306" t="s">
        <v>1701</v>
      </c>
      <c r="F351" s="306" t="s">
        <v>1007</v>
      </c>
      <c r="G351" s="308">
        <v>46019</v>
      </c>
      <c r="H351" s="308">
        <v>46019</v>
      </c>
      <c r="I351" s="309">
        <v>-44935.06</v>
      </c>
      <c r="J351" s="306" t="s">
        <v>1008</v>
      </c>
      <c r="K351" s="309">
        <v>-44935.06</v>
      </c>
      <c r="L351" s="306" t="s">
        <v>1008</v>
      </c>
      <c r="M351" s="306" t="s">
        <v>1699</v>
      </c>
      <c r="N351" s="306" t="s">
        <v>1694</v>
      </c>
      <c r="O351" s="306" t="s">
        <v>1702</v>
      </c>
      <c r="P351" s="306" t="s">
        <v>1696</v>
      </c>
      <c r="Q351" s="306" t="s">
        <v>1013</v>
      </c>
      <c r="R351" s="306" t="s">
        <v>1013</v>
      </c>
      <c r="S351" s="306" t="s">
        <v>1013</v>
      </c>
      <c r="T351" s="306" t="s">
        <v>1697</v>
      </c>
      <c r="U351" s="306" t="s">
        <v>1013</v>
      </c>
      <c r="V351" s="306" t="s">
        <v>1013</v>
      </c>
      <c r="W351" s="306" t="s">
        <v>1013</v>
      </c>
      <c r="X351" s="306" t="s">
        <v>1013</v>
      </c>
      <c r="Y351" s="306" t="s">
        <v>1697</v>
      </c>
      <c r="Z351" s="306" t="s">
        <v>1015</v>
      </c>
      <c r="AA351" s="306" t="s">
        <v>1013</v>
      </c>
    </row>
    <row r="352" spans="1:27" hidden="1">
      <c r="A352" s="306" t="s">
        <v>494</v>
      </c>
      <c r="B352" s="306" t="s">
        <v>1003</v>
      </c>
      <c r="C352" s="306" t="s">
        <v>1004</v>
      </c>
      <c r="D352" s="306" t="s">
        <v>1031</v>
      </c>
      <c r="E352" s="306" t="s">
        <v>1703</v>
      </c>
      <c r="F352" s="306" t="s">
        <v>1007</v>
      </c>
      <c r="G352" s="308">
        <v>46019</v>
      </c>
      <c r="H352" s="308">
        <v>46019</v>
      </c>
      <c r="I352" s="309">
        <v>-13404621.630000001</v>
      </c>
      <c r="J352" s="306" t="s">
        <v>1008</v>
      </c>
      <c r="K352" s="309">
        <v>-13404621.630000001</v>
      </c>
      <c r="L352" s="306" t="s">
        <v>1008</v>
      </c>
      <c r="M352" s="306" t="s">
        <v>1699</v>
      </c>
      <c r="N352" s="306" t="s">
        <v>1694</v>
      </c>
      <c r="O352" s="306" t="s">
        <v>1704</v>
      </c>
      <c r="P352" s="306" t="s">
        <v>1696</v>
      </c>
      <c r="Q352" s="306" t="s">
        <v>1013</v>
      </c>
      <c r="R352" s="306" t="s">
        <v>1013</v>
      </c>
      <c r="S352" s="306" t="s">
        <v>1013</v>
      </c>
      <c r="T352" s="306" t="s">
        <v>1697</v>
      </c>
      <c r="U352" s="306" t="s">
        <v>1013</v>
      </c>
      <c r="V352" s="306" t="s">
        <v>1013</v>
      </c>
      <c r="W352" s="306" t="s">
        <v>1013</v>
      </c>
      <c r="X352" s="306" t="s">
        <v>1013</v>
      </c>
      <c r="Y352" s="306" t="s">
        <v>1697</v>
      </c>
      <c r="Z352" s="306" t="s">
        <v>1015</v>
      </c>
      <c r="AA352" s="306" t="s">
        <v>1013</v>
      </c>
    </row>
    <row r="353" spans="1:27" hidden="1">
      <c r="A353" s="306" t="s">
        <v>494</v>
      </c>
      <c r="B353" s="306" t="s">
        <v>1003</v>
      </c>
      <c r="C353" s="306" t="s">
        <v>1004</v>
      </c>
      <c r="D353" s="306" t="s">
        <v>1031</v>
      </c>
      <c r="E353" s="306" t="s">
        <v>1705</v>
      </c>
      <c r="F353" s="306" t="s">
        <v>1007</v>
      </c>
      <c r="G353" s="308">
        <v>46019</v>
      </c>
      <c r="H353" s="308">
        <v>46019</v>
      </c>
      <c r="I353" s="309">
        <v>-1308280.97</v>
      </c>
      <c r="J353" s="306" t="s">
        <v>1008</v>
      </c>
      <c r="K353" s="309">
        <v>-1308280.97</v>
      </c>
      <c r="L353" s="306" t="s">
        <v>1008</v>
      </c>
      <c r="M353" s="306" t="s">
        <v>1699</v>
      </c>
      <c r="N353" s="306" t="s">
        <v>1694</v>
      </c>
      <c r="O353" s="306" t="s">
        <v>1706</v>
      </c>
      <c r="P353" s="306" t="s">
        <v>1696</v>
      </c>
      <c r="Q353" s="306" t="s">
        <v>1013</v>
      </c>
      <c r="R353" s="306" t="s">
        <v>1013</v>
      </c>
      <c r="S353" s="306" t="s">
        <v>1013</v>
      </c>
      <c r="T353" s="306" t="s">
        <v>1697</v>
      </c>
      <c r="U353" s="306" t="s">
        <v>1013</v>
      </c>
      <c r="V353" s="306" t="s">
        <v>1013</v>
      </c>
      <c r="W353" s="306" t="s">
        <v>1013</v>
      </c>
      <c r="X353" s="306" t="s">
        <v>1013</v>
      </c>
      <c r="Y353" s="306" t="s">
        <v>1697</v>
      </c>
      <c r="Z353" s="306" t="s">
        <v>1015</v>
      </c>
      <c r="AA353" s="306" t="s">
        <v>1013</v>
      </c>
    </row>
    <row r="354" spans="1:27" hidden="1">
      <c r="A354" s="306" t="s">
        <v>494</v>
      </c>
      <c r="B354" s="306" t="s">
        <v>1003</v>
      </c>
      <c r="C354" s="306" t="s">
        <v>1004</v>
      </c>
      <c r="D354" s="306" t="s">
        <v>1031</v>
      </c>
      <c r="E354" s="306" t="s">
        <v>1707</v>
      </c>
      <c r="F354" s="306" t="s">
        <v>1007</v>
      </c>
      <c r="G354" s="308">
        <v>46019</v>
      </c>
      <c r="H354" s="308">
        <v>46019</v>
      </c>
      <c r="I354" s="309">
        <v>-1558929.51</v>
      </c>
      <c r="J354" s="306" t="s">
        <v>1008</v>
      </c>
      <c r="K354" s="309">
        <v>-1558929.51</v>
      </c>
      <c r="L354" s="306" t="s">
        <v>1008</v>
      </c>
      <c r="M354" s="306" t="s">
        <v>1699</v>
      </c>
      <c r="N354" s="306" t="s">
        <v>1694</v>
      </c>
      <c r="O354" s="306" t="s">
        <v>1708</v>
      </c>
      <c r="P354" s="306" t="s">
        <v>1696</v>
      </c>
      <c r="Q354" s="306" t="s">
        <v>1013</v>
      </c>
      <c r="R354" s="306" t="s">
        <v>1013</v>
      </c>
      <c r="S354" s="306" t="s">
        <v>1013</v>
      </c>
      <c r="T354" s="306" t="s">
        <v>1697</v>
      </c>
      <c r="U354" s="306" t="s">
        <v>1013</v>
      </c>
      <c r="V354" s="306" t="s">
        <v>1013</v>
      </c>
      <c r="W354" s="306" t="s">
        <v>1013</v>
      </c>
      <c r="X354" s="306" t="s">
        <v>1013</v>
      </c>
      <c r="Y354" s="306" t="s">
        <v>1697</v>
      </c>
      <c r="Z354" s="306" t="s">
        <v>1015</v>
      </c>
      <c r="AA354" s="306" t="s">
        <v>1013</v>
      </c>
    </row>
    <row r="355" spans="1:27" hidden="1">
      <c r="A355" s="306" t="s">
        <v>494</v>
      </c>
      <c r="B355" s="306" t="s">
        <v>1003</v>
      </c>
      <c r="C355" s="306" t="s">
        <v>1004</v>
      </c>
      <c r="D355" s="306" t="s">
        <v>1031</v>
      </c>
      <c r="E355" s="306" t="s">
        <v>1709</v>
      </c>
      <c r="F355" s="306" t="s">
        <v>1007</v>
      </c>
      <c r="G355" s="308">
        <v>46019</v>
      </c>
      <c r="H355" s="308">
        <v>46019</v>
      </c>
      <c r="I355" s="309">
        <v>-3582677.96</v>
      </c>
      <c r="J355" s="306" t="s">
        <v>1008</v>
      </c>
      <c r="K355" s="309">
        <v>-3582677.96</v>
      </c>
      <c r="L355" s="306" t="s">
        <v>1008</v>
      </c>
      <c r="M355" s="306" t="s">
        <v>1699</v>
      </c>
      <c r="N355" s="306" t="s">
        <v>1694</v>
      </c>
      <c r="O355" s="306" t="s">
        <v>1710</v>
      </c>
      <c r="P355" s="306" t="s">
        <v>1696</v>
      </c>
      <c r="Q355" s="306" t="s">
        <v>1013</v>
      </c>
      <c r="R355" s="306" t="s">
        <v>1013</v>
      </c>
      <c r="S355" s="306" t="s">
        <v>1013</v>
      </c>
      <c r="T355" s="306" t="s">
        <v>1697</v>
      </c>
      <c r="U355" s="306" t="s">
        <v>1013</v>
      </c>
      <c r="V355" s="306" t="s">
        <v>1013</v>
      </c>
      <c r="W355" s="306" t="s">
        <v>1013</v>
      </c>
      <c r="X355" s="306" t="s">
        <v>1013</v>
      </c>
      <c r="Y355" s="306" t="s">
        <v>1697</v>
      </c>
      <c r="Z355" s="306" t="s">
        <v>1015</v>
      </c>
      <c r="AA355" s="306" t="s">
        <v>1013</v>
      </c>
    </row>
    <row r="356" spans="1:27" hidden="1">
      <c r="A356" s="306" t="s">
        <v>494</v>
      </c>
      <c r="B356" s="306" t="s">
        <v>1003</v>
      </c>
      <c r="C356" s="306" t="s">
        <v>1004</v>
      </c>
      <c r="D356" s="306" t="s">
        <v>1031</v>
      </c>
      <c r="E356" s="306" t="s">
        <v>1711</v>
      </c>
      <c r="F356" s="306" t="s">
        <v>1007</v>
      </c>
      <c r="G356" s="308">
        <v>46019</v>
      </c>
      <c r="H356" s="308">
        <v>46019</v>
      </c>
      <c r="I356" s="309">
        <v>-547059.73</v>
      </c>
      <c r="J356" s="306" t="s">
        <v>1008</v>
      </c>
      <c r="K356" s="309">
        <v>-547059.73</v>
      </c>
      <c r="L356" s="306" t="s">
        <v>1008</v>
      </c>
      <c r="M356" s="306" t="s">
        <v>1699</v>
      </c>
      <c r="N356" s="306" t="s">
        <v>1694</v>
      </c>
      <c r="O356" s="306" t="s">
        <v>1712</v>
      </c>
      <c r="P356" s="306" t="s">
        <v>1696</v>
      </c>
      <c r="Q356" s="306" t="s">
        <v>1013</v>
      </c>
      <c r="R356" s="306" t="s">
        <v>1013</v>
      </c>
      <c r="S356" s="306" t="s">
        <v>1013</v>
      </c>
      <c r="T356" s="306" t="s">
        <v>1697</v>
      </c>
      <c r="U356" s="306" t="s">
        <v>1013</v>
      </c>
      <c r="V356" s="306" t="s">
        <v>1013</v>
      </c>
      <c r="W356" s="306" t="s">
        <v>1013</v>
      </c>
      <c r="X356" s="306" t="s">
        <v>1013</v>
      </c>
      <c r="Y356" s="306" t="s">
        <v>1697</v>
      </c>
      <c r="Z356" s="306" t="s">
        <v>1015</v>
      </c>
      <c r="AA356" s="306" t="s">
        <v>1013</v>
      </c>
    </row>
    <row r="357" spans="1:27" hidden="1">
      <c r="A357" s="306" t="s">
        <v>494</v>
      </c>
      <c r="B357" s="306" t="s">
        <v>1003</v>
      </c>
      <c r="C357" s="306" t="s">
        <v>1004</v>
      </c>
      <c r="D357" s="306" t="s">
        <v>1005</v>
      </c>
      <c r="E357" s="306" t="s">
        <v>1713</v>
      </c>
      <c r="F357" s="306" t="s">
        <v>1007</v>
      </c>
      <c r="G357" s="308">
        <v>46019</v>
      </c>
      <c r="H357" s="308">
        <v>46019</v>
      </c>
      <c r="I357" s="309">
        <v>-6564864.8700000001</v>
      </c>
      <c r="J357" s="306" t="s">
        <v>1008</v>
      </c>
      <c r="K357" s="309">
        <v>-6564864.8700000001</v>
      </c>
      <c r="L357" s="306" t="s">
        <v>1008</v>
      </c>
      <c r="M357" s="306" t="s">
        <v>1693</v>
      </c>
      <c r="N357" s="306" t="s">
        <v>1694</v>
      </c>
      <c r="O357" s="306" t="s">
        <v>1714</v>
      </c>
      <c r="P357" s="306" t="s">
        <v>1696</v>
      </c>
      <c r="Q357" s="306" t="s">
        <v>1013</v>
      </c>
      <c r="R357" s="306" t="s">
        <v>1013</v>
      </c>
      <c r="S357" s="306" t="s">
        <v>1013</v>
      </c>
      <c r="T357" s="306" t="s">
        <v>1697</v>
      </c>
      <c r="U357" s="306" t="s">
        <v>1013</v>
      </c>
      <c r="V357" s="306" t="s">
        <v>1013</v>
      </c>
      <c r="W357" s="306" t="s">
        <v>1013</v>
      </c>
      <c r="X357" s="306" t="s">
        <v>1013</v>
      </c>
      <c r="Y357" s="306" t="s">
        <v>1697</v>
      </c>
      <c r="Z357" s="306" t="s">
        <v>1015</v>
      </c>
      <c r="AA357" s="306" t="s">
        <v>1013</v>
      </c>
    </row>
    <row r="358" spans="1:27" hidden="1">
      <c r="A358" s="306" t="s">
        <v>494</v>
      </c>
      <c r="B358" s="306" t="s">
        <v>1003</v>
      </c>
      <c r="C358" s="306" t="s">
        <v>1004</v>
      </c>
      <c r="D358" s="306" t="s">
        <v>1031</v>
      </c>
      <c r="E358" s="306" t="s">
        <v>1715</v>
      </c>
      <c r="F358" s="306" t="s">
        <v>1007</v>
      </c>
      <c r="G358" s="308">
        <v>46019</v>
      </c>
      <c r="H358" s="308">
        <v>46019</v>
      </c>
      <c r="I358" s="309">
        <v>-2449115.0499999998</v>
      </c>
      <c r="J358" s="306" t="s">
        <v>1008</v>
      </c>
      <c r="K358" s="309">
        <v>-2449115.0499999998</v>
      </c>
      <c r="L358" s="306" t="s">
        <v>1008</v>
      </c>
      <c r="M358" s="306" t="s">
        <v>1699</v>
      </c>
      <c r="N358" s="306" t="s">
        <v>1694</v>
      </c>
      <c r="O358" s="306" t="s">
        <v>1716</v>
      </c>
      <c r="P358" s="306" t="s">
        <v>1696</v>
      </c>
      <c r="Q358" s="306" t="s">
        <v>1013</v>
      </c>
      <c r="R358" s="306" t="s">
        <v>1013</v>
      </c>
      <c r="S358" s="306" t="s">
        <v>1013</v>
      </c>
      <c r="T358" s="306" t="s">
        <v>1697</v>
      </c>
      <c r="U358" s="306" t="s">
        <v>1013</v>
      </c>
      <c r="V358" s="306" t="s">
        <v>1013</v>
      </c>
      <c r="W358" s="306" t="s">
        <v>1013</v>
      </c>
      <c r="X358" s="306" t="s">
        <v>1013</v>
      </c>
      <c r="Y358" s="306" t="s">
        <v>1697</v>
      </c>
      <c r="Z358" s="306" t="s">
        <v>1015</v>
      </c>
      <c r="AA358" s="306" t="s">
        <v>1013</v>
      </c>
    </row>
    <row r="359" spans="1:27" hidden="1">
      <c r="A359" s="306" t="s">
        <v>494</v>
      </c>
      <c r="B359" s="306" t="s">
        <v>1003</v>
      </c>
      <c r="C359" s="306" t="s">
        <v>1004</v>
      </c>
      <c r="D359" s="306" t="s">
        <v>1031</v>
      </c>
      <c r="E359" s="306" t="s">
        <v>1717</v>
      </c>
      <c r="F359" s="306" t="s">
        <v>1007</v>
      </c>
      <c r="G359" s="308">
        <v>46019</v>
      </c>
      <c r="H359" s="308">
        <v>46019</v>
      </c>
      <c r="I359" s="309">
        <v>-489660.1</v>
      </c>
      <c r="J359" s="306" t="s">
        <v>1008</v>
      </c>
      <c r="K359" s="309">
        <v>-489660.1</v>
      </c>
      <c r="L359" s="306" t="s">
        <v>1008</v>
      </c>
      <c r="M359" s="306" t="s">
        <v>1699</v>
      </c>
      <c r="N359" s="306" t="s">
        <v>1694</v>
      </c>
      <c r="O359" s="306" t="s">
        <v>1718</v>
      </c>
      <c r="P359" s="306" t="s">
        <v>1696</v>
      </c>
      <c r="Q359" s="306" t="s">
        <v>1013</v>
      </c>
      <c r="R359" s="306" t="s">
        <v>1013</v>
      </c>
      <c r="S359" s="306" t="s">
        <v>1013</v>
      </c>
      <c r="T359" s="306" t="s">
        <v>1697</v>
      </c>
      <c r="U359" s="306" t="s">
        <v>1013</v>
      </c>
      <c r="V359" s="306" t="s">
        <v>1013</v>
      </c>
      <c r="W359" s="306" t="s">
        <v>1013</v>
      </c>
      <c r="X359" s="306" t="s">
        <v>1013</v>
      </c>
      <c r="Y359" s="306" t="s">
        <v>1697</v>
      </c>
      <c r="Z359" s="306" t="s">
        <v>1015</v>
      </c>
      <c r="AA359" s="306" t="s">
        <v>1013</v>
      </c>
    </row>
    <row r="360" spans="1:27" hidden="1">
      <c r="A360" s="306" t="s">
        <v>494</v>
      </c>
      <c r="B360" s="306" t="s">
        <v>1003</v>
      </c>
      <c r="C360" s="306" t="s">
        <v>1004</v>
      </c>
      <c r="D360" s="306" t="s">
        <v>1031</v>
      </c>
      <c r="E360" s="306" t="s">
        <v>1719</v>
      </c>
      <c r="F360" s="306" t="s">
        <v>1007</v>
      </c>
      <c r="G360" s="308">
        <v>46019</v>
      </c>
      <c r="H360" s="308">
        <v>46019</v>
      </c>
      <c r="I360" s="309">
        <v>-2434747.7400000002</v>
      </c>
      <c r="J360" s="306" t="s">
        <v>1008</v>
      </c>
      <c r="K360" s="309">
        <v>-2434747.7400000002</v>
      </c>
      <c r="L360" s="306" t="s">
        <v>1008</v>
      </c>
      <c r="M360" s="306" t="s">
        <v>1699</v>
      </c>
      <c r="N360" s="306" t="s">
        <v>1694</v>
      </c>
      <c r="O360" s="306" t="s">
        <v>1720</v>
      </c>
      <c r="P360" s="306" t="s">
        <v>1696</v>
      </c>
      <c r="Q360" s="306" t="s">
        <v>1013</v>
      </c>
      <c r="R360" s="306" t="s">
        <v>1013</v>
      </c>
      <c r="S360" s="306" t="s">
        <v>1013</v>
      </c>
      <c r="T360" s="306" t="s">
        <v>1697</v>
      </c>
      <c r="U360" s="306" t="s">
        <v>1013</v>
      </c>
      <c r="V360" s="306" t="s">
        <v>1013</v>
      </c>
      <c r="W360" s="306" t="s">
        <v>1013</v>
      </c>
      <c r="X360" s="306" t="s">
        <v>1013</v>
      </c>
      <c r="Y360" s="306" t="s">
        <v>1697</v>
      </c>
      <c r="Z360" s="306" t="s">
        <v>1015</v>
      </c>
      <c r="AA360" s="306" t="s">
        <v>1013</v>
      </c>
    </row>
    <row r="361" spans="1:27" hidden="1">
      <c r="A361" s="306" t="s">
        <v>494</v>
      </c>
      <c r="B361" s="306" t="s">
        <v>1003</v>
      </c>
      <c r="C361" s="306" t="s">
        <v>1004</v>
      </c>
      <c r="D361" s="306" t="s">
        <v>1031</v>
      </c>
      <c r="E361" s="306" t="s">
        <v>1721</v>
      </c>
      <c r="F361" s="306" t="s">
        <v>1007</v>
      </c>
      <c r="G361" s="308">
        <v>46019</v>
      </c>
      <c r="H361" s="308">
        <v>46019</v>
      </c>
      <c r="I361" s="309">
        <v>-451201.37</v>
      </c>
      <c r="J361" s="306" t="s">
        <v>1008</v>
      </c>
      <c r="K361" s="309">
        <v>-451201.37</v>
      </c>
      <c r="L361" s="306" t="s">
        <v>1008</v>
      </c>
      <c r="M361" s="306" t="s">
        <v>1699</v>
      </c>
      <c r="N361" s="306" t="s">
        <v>1694</v>
      </c>
      <c r="O361" s="306" t="s">
        <v>1722</v>
      </c>
      <c r="P361" s="306" t="s">
        <v>1696</v>
      </c>
      <c r="Q361" s="306" t="s">
        <v>1013</v>
      </c>
      <c r="R361" s="306" t="s">
        <v>1013</v>
      </c>
      <c r="S361" s="306" t="s">
        <v>1013</v>
      </c>
      <c r="T361" s="306" t="s">
        <v>1697</v>
      </c>
      <c r="U361" s="306" t="s">
        <v>1013</v>
      </c>
      <c r="V361" s="306" t="s">
        <v>1013</v>
      </c>
      <c r="W361" s="306" t="s">
        <v>1013</v>
      </c>
      <c r="X361" s="306" t="s">
        <v>1013</v>
      </c>
      <c r="Y361" s="306" t="s">
        <v>1697</v>
      </c>
      <c r="Z361" s="306" t="s">
        <v>1015</v>
      </c>
      <c r="AA361" s="306" t="s">
        <v>1013</v>
      </c>
    </row>
    <row r="362" spans="1:27" hidden="1">
      <c r="A362" s="306" t="s">
        <v>494</v>
      </c>
      <c r="B362" s="306" t="s">
        <v>1003</v>
      </c>
      <c r="C362" s="306" t="s">
        <v>1004</v>
      </c>
      <c r="D362" s="306" t="s">
        <v>1031</v>
      </c>
      <c r="E362" s="306" t="s">
        <v>1723</v>
      </c>
      <c r="F362" s="306" t="s">
        <v>1007</v>
      </c>
      <c r="G362" s="308">
        <v>46019</v>
      </c>
      <c r="H362" s="308">
        <v>46019</v>
      </c>
      <c r="I362" s="309">
        <v>-4003772.24</v>
      </c>
      <c r="J362" s="306" t="s">
        <v>1008</v>
      </c>
      <c r="K362" s="309">
        <v>-4003772.24</v>
      </c>
      <c r="L362" s="306" t="s">
        <v>1008</v>
      </c>
      <c r="M362" s="306" t="s">
        <v>1699</v>
      </c>
      <c r="N362" s="306" t="s">
        <v>1694</v>
      </c>
      <c r="O362" s="306" t="s">
        <v>1724</v>
      </c>
      <c r="P362" s="306" t="s">
        <v>1696</v>
      </c>
      <c r="Q362" s="306" t="s">
        <v>1013</v>
      </c>
      <c r="R362" s="306" t="s">
        <v>1013</v>
      </c>
      <c r="S362" s="306" t="s">
        <v>1013</v>
      </c>
      <c r="T362" s="306" t="s">
        <v>1697</v>
      </c>
      <c r="U362" s="306" t="s">
        <v>1013</v>
      </c>
      <c r="V362" s="306" t="s">
        <v>1013</v>
      </c>
      <c r="W362" s="306" t="s">
        <v>1013</v>
      </c>
      <c r="X362" s="306" t="s">
        <v>1013</v>
      </c>
      <c r="Y362" s="306" t="s">
        <v>1697</v>
      </c>
      <c r="Z362" s="306" t="s">
        <v>1015</v>
      </c>
      <c r="AA362" s="306" t="s">
        <v>1013</v>
      </c>
    </row>
    <row r="363" spans="1:27" hidden="1">
      <c r="A363" s="306" t="s">
        <v>494</v>
      </c>
      <c r="B363" s="306" t="s">
        <v>1003</v>
      </c>
      <c r="C363" s="306" t="s">
        <v>1004</v>
      </c>
      <c r="D363" s="306" t="s">
        <v>1031</v>
      </c>
      <c r="E363" s="306" t="s">
        <v>1725</v>
      </c>
      <c r="F363" s="306" t="s">
        <v>1007</v>
      </c>
      <c r="G363" s="308">
        <v>46019</v>
      </c>
      <c r="H363" s="308">
        <v>46019</v>
      </c>
      <c r="I363" s="309">
        <v>-4578.03</v>
      </c>
      <c r="J363" s="306" t="s">
        <v>1008</v>
      </c>
      <c r="K363" s="309">
        <v>-4578.03</v>
      </c>
      <c r="L363" s="306" t="s">
        <v>1008</v>
      </c>
      <c r="M363" s="306" t="s">
        <v>1699</v>
      </c>
      <c r="N363" s="306" t="s">
        <v>1694</v>
      </c>
      <c r="O363" s="306" t="s">
        <v>1726</v>
      </c>
      <c r="P363" s="306" t="s">
        <v>1696</v>
      </c>
      <c r="Q363" s="306" t="s">
        <v>1013</v>
      </c>
      <c r="R363" s="306" t="s">
        <v>1013</v>
      </c>
      <c r="S363" s="306" t="s">
        <v>1013</v>
      </c>
      <c r="T363" s="306" t="s">
        <v>1697</v>
      </c>
      <c r="U363" s="306" t="s">
        <v>1013</v>
      </c>
      <c r="V363" s="306" t="s">
        <v>1013</v>
      </c>
      <c r="W363" s="306" t="s">
        <v>1013</v>
      </c>
      <c r="X363" s="306" t="s">
        <v>1013</v>
      </c>
      <c r="Y363" s="306" t="s">
        <v>1697</v>
      </c>
      <c r="Z363" s="306" t="s">
        <v>1015</v>
      </c>
      <c r="AA363" s="306" t="s">
        <v>1013</v>
      </c>
    </row>
    <row r="364" spans="1:27" hidden="1">
      <c r="A364" s="306" t="s">
        <v>494</v>
      </c>
      <c r="B364" s="306" t="s">
        <v>1003</v>
      </c>
      <c r="C364" s="306" t="s">
        <v>1004</v>
      </c>
      <c r="D364" s="306" t="s">
        <v>1031</v>
      </c>
      <c r="E364" s="306" t="s">
        <v>1727</v>
      </c>
      <c r="F364" s="306" t="s">
        <v>1007</v>
      </c>
      <c r="G364" s="308">
        <v>46019</v>
      </c>
      <c r="H364" s="308">
        <v>46019</v>
      </c>
      <c r="I364" s="309">
        <v>-291039.88</v>
      </c>
      <c r="J364" s="306" t="s">
        <v>1008</v>
      </c>
      <c r="K364" s="309">
        <v>-291039.88</v>
      </c>
      <c r="L364" s="306" t="s">
        <v>1008</v>
      </c>
      <c r="M364" s="306" t="s">
        <v>1699</v>
      </c>
      <c r="N364" s="306" t="s">
        <v>1694</v>
      </c>
      <c r="O364" s="306" t="s">
        <v>1728</v>
      </c>
      <c r="P364" s="306" t="s">
        <v>1696</v>
      </c>
      <c r="Q364" s="306" t="s">
        <v>1013</v>
      </c>
      <c r="R364" s="306" t="s">
        <v>1013</v>
      </c>
      <c r="S364" s="306" t="s">
        <v>1013</v>
      </c>
      <c r="T364" s="306" t="s">
        <v>1697</v>
      </c>
      <c r="U364" s="306" t="s">
        <v>1013</v>
      </c>
      <c r="V364" s="306" t="s">
        <v>1013</v>
      </c>
      <c r="W364" s="306" t="s">
        <v>1013</v>
      </c>
      <c r="X364" s="306" t="s">
        <v>1013</v>
      </c>
      <c r="Y364" s="306" t="s">
        <v>1697</v>
      </c>
      <c r="Z364" s="306" t="s">
        <v>1015</v>
      </c>
      <c r="AA364" s="306" t="s">
        <v>1013</v>
      </c>
    </row>
    <row r="365" spans="1:27" hidden="1">
      <c r="A365" s="306" t="s">
        <v>494</v>
      </c>
      <c r="B365" s="306" t="s">
        <v>1003</v>
      </c>
      <c r="C365" s="306" t="s">
        <v>1004</v>
      </c>
      <c r="D365" s="306" t="s">
        <v>1031</v>
      </c>
      <c r="E365" s="306" t="s">
        <v>1729</v>
      </c>
      <c r="F365" s="306" t="s">
        <v>1007</v>
      </c>
      <c r="G365" s="308">
        <v>46019</v>
      </c>
      <c r="H365" s="308">
        <v>46019</v>
      </c>
      <c r="I365" s="309">
        <v>-1604145.23</v>
      </c>
      <c r="J365" s="306" t="s">
        <v>1008</v>
      </c>
      <c r="K365" s="309">
        <v>-1604145.23</v>
      </c>
      <c r="L365" s="306" t="s">
        <v>1008</v>
      </c>
      <c r="M365" s="306" t="s">
        <v>1699</v>
      </c>
      <c r="N365" s="306" t="s">
        <v>1694</v>
      </c>
      <c r="O365" s="306" t="s">
        <v>1730</v>
      </c>
      <c r="P365" s="306" t="s">
        <v>1696</v>
      </c>
      <c r="Q365" s="306" t="s">
        <v>1013</v>
      </c>
      <c r="R365" s="306" t="s">
        <v>1013</v>
      </c>
      <c r="S365" s="306" t="s">
        <v>1013</v>
      </c>
      <c r="T365" s="306" t="s">
        <v>1697</v>
      </c>
      <c r="U365" s="306" t="s">
        <v>1013</v>
      </c>
      <c r="V365" s="306" t="s">
        <v>1013</v>
      </c>
      <c r="W365" s="306" t="s">
        <v>1013</v>
      </c>
      <c r="X365" s="306" t="s">
        <v>1013</v>
      </c>
      <c r="Y365" s="306" t="s">
        <v>1697</v>
      </c>
      <c r="Z365" s="306" t="s">
        <v>1015</v>
      </c>
      <c r="AA365" s="306" t="s">
        <v>1013</v>
      </c>
    </row>
    <row r="366" spans="1:27" hidden="1">
      <c r="A366" s="306" t="s">
        <v>494</v>
      </c>
      <c r="B366" s="306" t="s">
        <v>1003</v>
      </c>
      <c r="C366" s="306" t="s">
        <v>1004</v>
      </c>
      <c r="D366" s="306" t="s">
        <v>1031</v>
      </c>
      <c r="E366" s="306" t="s">
        <v>1731</v>
      </c>
      <c r="F366" s="306" t="s">
        <v>1007</v>
      </c>
      <c r="G366" s="308">
        <v>46019</v>
      </c>
      <c r="H366" s="308">
        <v>46019</v>
      </c>
      <c r="I366" s="309">
        <v>-442379.97</v>
      </c>
      <c r="J366" s="306" t="s">
        <v>1008</v>
      </c>
      <c r="K366" s="309">
        <v>-442379.97</v>
      </c>
      <c r="L366" s="306" t="s">
        <v>1008</v>
      </c>
      <c r="M366" s="306" t="s">
        <v>1699</v>
      </c>
      <c r="N366" s="306" t="s">
        <v>1694</v>
      </c>
      <c r="O366" s="306" t="s">
        <v>1732</v>
      </c>
      <c r="P366" s="306" t="s">
        <v>1696</v>
      </c>
      <c r="Q366" s="306" t="s">
        <v>1013</v>
      </c>
      <c r="R366" s="306" t="s">
        <v>1013</v>
      </c>
      <c r="S366" s="306" t="s">
        <v>1013</v>
      </c>
      <c r="T366" s="306" t="s">
        <v>1697</v>
      </c>
      <c r="U366" s="306" t="s">
        <v>1013</v>
      </c>
      <c r="V366" s="306" t="s">
        <v>1013</v>
      </c>
      <c r="W366" s="306" t="s">
        <v>1013</v>
      </c>
      <c r="X366" s="306" t="s">
        <v>1013</v>
      </c>
      <c r="Y366" s="306" t="s">
        <v>1697</v>
      </c>
      <c r="Z366" s="306" t="s">
        <v>1015</v>
      </c>
      <c r="AA366" s="306" t="s">
        <v>1013</v>
      </c>
    </row>
    <row r="367" spans="1:27" hidden="1">
      <c r="A367" s="306" t="s">
        <v>494</v>
      </c>
      <c r="B367" s="306" t="s">
        <v>1003</v>
      </c>
      <c r="C367" s="306" t="s">
        <v>1004</v>
      </c>
      <c r="D367" s="306" t="s">
        <v>1031</v>
      </c>
      <c r="E367" s="306" t="s">
        <v>1733</v>
      </c>
      <c r="F367" s="306" t="s">
        <v>1007</v>
      </c>
      <c r="G367" s="308">
        <v>46019</v>
      </c>
      <c r="H367" s="308">
        <v>46019</v>
      </c>
      <c r="I367" s="309">
        <v>-8038.54</v>
      </c>
      <c r="J367" s="306" t="s">
        <v>1008</v>
      </c>
      <c r="K367" s="309">
        <v>-8038.54</v>
      </c>
      <c r="L367" s="306" t="s">
        <v>1008</v>
      </c>
      <c r="M367" s="306" t="s">
        <v>1699</v>
      </c>
      <c r="N367" s="306" t="s">
        <v>1694</v>
      </c>
      <c r="O367" s="306" t="s">
        <v>1734</v>
      </c>
      <c r="P367" s="306" t="s">
        <v>1696</v>
      </c>
      <c r="Q367" s="306" t="s">
        <v>1013</v>
      </c>
      <c r="R367" s="306" t="s">
        <v>1013</v>
      </c>
      <c r="S367" s="306" t="s">
        <v>1013</v>
      </c>
      <c r="T367" s="306" t="s">
        <v>1697</v>
      </c>
      <c r="U367" s="306" t="s">
        <v>1013</v>
      </c>
      <c r="V367" s="306" t="s">
        <v>1013</v>
      </c>
      <c r="W367" s="306" t="s">
        <v>1013</v>
      </c>
      <c r="X367" s="306" t="s">
        <v>1013</v>
      </c>
      <c r="Y367" s="306" t="s">
        <v>1697</v>
      </c>
      <c r="Z367" s="306" t="s">
        <v>1015</v>
      </c>
      <c r="AA367" s="306" t="s">
        <v>1013</v>
      </c>
    </row>
    <row r="368" spans="1:27" hidden="1">
      <c r="A368" s="306" t="s">
        <v>494</v>
      </c>
      <c r="B368" s="306" t="s">
        <v>1003</v>
      </c>
      <c r="C368" s="306" t="s">
        <v>1004</v>
      </c>
      <c r="D368" s="306" t="s">
        <v>1031</v>
      </c>
      <c r="E368" s="306" t="s">
        <v>1735</v>
      </c>
      <c r="F368" s="306" t="s">
        <v>1007</v>
      </c>
      <c r="G368" s="308">
        <v>46019</v>
      </c>
      <c r="H368" s="308">
        <v>46019</v>
      </c>
      <c r="I368" s="309">
        <v>-34228.910000000003</v>
      </c>
      <c r="J368" s="306" t="s">
        <v>1008</v>
      </c>
      <c r="K368" s="309">
        <v>-34228.910000000003</v>
      </c>
      <c r="L368" s="306" t="s">
        <v>1008</v>
      </c>
      <c r="M368" s="306" t="s">
        <v>1699</v>
      </c>
      <c r="N368" s="306" t="s">
        <v>1694</v>
      </c>
      <c r="O368" s="306" t="s">
        <v>1736</v>
      </c>
      <c r="P368" s="306" t="s">
        <v>1696</v>
      </c>
      <c r="Q368" s="306" t="s">
        <v>1013</v>
      </c>
      <c r="R368" s="306" t="s">
        <v>1013</v>
      </c>
      <c r="S368" s="306" t="s">
        <v>1013</v>
      </c>
      <c r="T368" s="306" t="s">
        <v>1697</v>
      </c>
      <c r="U368" s="306" t="s">
        <v>1013</v>
      </c>
      <c r="V368" s="306" t="s">
        <v>1013</v>
      </c>
      <c r="W368" s="306" t="s">
        <v>1013</v>
      </c>
      <c r="X368" s="306" t="s">
        <v>1013</v>
      </c>
      <c r="Y368" s="306" t="s">
        <v>1697</v>
      </c>
      <c r="Z368" s="306" t="s">
        <v>1015</v>
      </c>
      <c r="AA368" s="306" t="s">
        <v>1013</v>
      </c>
    </row>
    <row r="369" spans="1:27" hidden="1">
      <c r="A369" s="306" t="s">
        <v>494</v>
      </c>
      <c r="B369" s="306" t="s">
        <v>1003</v>
      </c>
      <c r="C369" s="306" t="s">
        <v>1004</v>
      </c>
      <c r="D369" s="306" t="s">
        <v>1019</v>
      </c>
      <c r="E369" s="306" t="s">
        <v>1737</v>
      </c>
      <c r="F369" s="306" t="s">
        <v>1007</v>
      </c>
      <c r="G369" s="308">
        <v>46019</v>
      </c>
      <c r="H369" s="308">
        <v>46019</v>
      </c>
      <c r="I369" s="309">
        <v>-79880.38</v>
      </c>
      <c r="J369" s="306" t="s">
        <v>1008</v>
      </c>
      <c r="K369" s="309">
        <v>-79880.38</v>
      </c>
      <c r="L369" s="306" t="s">
        <v>1008</v>
      </c>
      <c r="M369" s="306" t="s">
        <v>1738</v>
      </c>
      <c r="N369" s="306" t="s">
        <v>1694</v>
      </c>
      <c r="O369" s="306" t="s">
        <v>1739</v>
      </c>
      <c r="P369" s="306" t="s">
        <v>1696</v>
      </c>
      <c r="Q369" s="306" t="s">
        <v>1013</v>
      </c>
      <c r="R369" s="306" t="s">
        <v>1013</v>
      </c>
      <c r="S369" s="306" t="s">
        <v>1013</v>
      </c>
      <c r="T369" s="306" t="s">
        <v>1697</v>
      </c>
      <c r="U369" s="306" t="s">
        <v>1013</v>
      </c>
      <c r="V369" s="306" t="s">
        <v>1013</v>
      </c>
      <c r="W369" s="306" t="s">
        <v>1013</v>
      </c>
      <c r="X369" s="306" t="s">
        <v>1013</v>
      </c>
      <c r="Y369" s="306" t="s">
        <v>1697</v>
      </c>
      <c r="Z369" s="306" t="s">
        <v>1015</v>
      </c>
      <c r="AA369" s="306" t="s">
        <v>1013</v>
      </c>
    </row>
    <row r="370" spans="1:27" hidden="1">
      <c r="A370" s="306" t="s">
        <v>494</v>
      </c>
      <c r="B370" s="306" t="s">
        <v>1003</v>
      </c>
      <c r="C370" s="306" t="s">
        <v>1004</v>
      </c>
      <c r="D370" s="306" t="s">
        <v>1019</v>
      </c>
      <c r="E370" s="306" t="s">
        <v>1740</v>
      </c>
      <c r="F370" s="306" t="s">
        <v>1007</v>
      </c>
      <c r="G370" s="308">
        <v>46019</v>
      </c>
      <c r="H370" s="308">
        <v>46019</v>
      </c>
      <c r="I370" s="309">
        <v>-124556.84</v>
      </c>
      <c r="J370" s="306" t="s">
        <v>1008</v>
      </c>
      <c r="K370" s="309">
        <v>-124556.84</v>
      </c>
      <c r="L370" s="306" t="s">
        <v>1008</v>
      </c>
      <c r="M370" s="306" t="s">
        <v>1738</v>
      </c>
      <c r="N370" s="306" t="s">
        <v>1694</v>
      </c>
      <c r="O370" s="306" t="s">
        <v>1741</v>
      </c>
      <c r="P370" s="306" t="s">
        <v>1696</v>
      </c>
      <c r="Q370" s="306" t="s">
        <v>1013</v>
      </c>
      <c r="R370" s="306" t="s">
        <v>1013</v>
      </c>
      <c r="S370" s="306" t="s">
        <v>1013</v>
      </c>
      <c r="T370" s="306" t="s">
        <v>1697</v>
      </c>
      <c r="U370" s="306" t="s">
        <v>1013</v>
      </c>
      <c r="V370" s="306" t="s">
        <v>1013</v>
      </c>
      <c r="W370" s="306" t="s">
        <v>1013</v>
      </c>
      <c r="X370" s="306" t="s">
        <v>1013</v>
      </c>
      <c r="Y370" s="306" t="s">
        <v>1697</v>
      </c>
      <c r="Z370" s="306" t="s">
        <v>1015</v>
      </c>
      <c r="AA370" s="306" t="s">
        <v>1013</v>
      </c>
    </row>
    <row r="371" spans="1:27" hidden="1">
      <c r="A371" s="306" t="s">
        <v>494</v>
      </c>
      <c r="B371" s="306" t="s">
        <v>1003</v>
      </c>
      <c r="C371" s="306" t="s">
        <v>1004</v>
      </c>
      <c r="D371" s="306" t="s">
        <v>1005</v>
      </c>
      <c r="E371" s="306" t="s">
        <v>1742</v>
      </c>
      <c r="F371" s="306" t="s">
        <v>1007</v>
      </c>
      <c r="G371" s="308">
        <v>46019</v>
      </c>
      <c r="H371" s="308">
        <v>46019</v>
      </c>
      <c r="I371" s="309">
        <v>-11105.82</v>
      </c>
      <c r="J371" s="306" t="s">
        <v>1008</v>
      </c>
      <c r="K371" s="309">
        <v>-11105.82</v>
      </c>
      <c r="L371" s="306" t="s">
        <v>1008</v>
      </c>
      <c r="M371" s="306" t="s">
        <v>1743</v>
      </c>
      <c r="N371" s="306" t="s">
        <v>1694</v>
      </c>
      <c r="O371" s="306" t="s">
        <v>1744</v>
      </c>
      <c r="P371" s="306" t="s">
        <v>1696</v>
      </c>
      <c r="Q371" s="306" t="s">
        <v>1013</v>
      </c>
      <c r="R371" s="306" t="s">
        <v>1013</v>
      </c>
      <c r="S371" s="306" t="s">
        <v>1013</v>
      </c>
      <c r="T371" s="306" t="s">
        <v>1697</v>
      </c>
      <c r="U371" s="306" t="s">
        <v>1013</v>
      </c>
      <c r="V371" s="306" t="s">
        <v>1013</v>
      </c>
      <c r="W371" s="306" t="s">
        <v>1013</v>
      </c>
      <c r="X371" s="306" t="s">
        <v>1013</v>
      </c>
      <c r="Y371" s="306" t="s">
        <v>1697</v>
      </c>
      <c r="Z371" s="306" t="s">
        <v>1015</v>
      </c>
      <c r="AA371" s="306" t="s">
        <v>1013</v>
      </c>
    </row>
    <row r="372" spans="1:27" hidden="1">
      <c r="A372" s="306" t="s">
        <v>494</v>
      </c>
      <c r="B372" s="306" t="s">
        <v>1003</v>
      </c>
      <c r="C372" s="306" t="s">
        <v>1004</v>
      </c>
      <c r="D372" s="306" t="s">
        <v>1019</v>
      </c>
      <c r="E372" s="306" t="s">
        <v>1745</v>
      </c>
      <c r="F372" s="306" t="s">
        <v>1007</v>
      </c>
      <c r="G372" s="308">
        <v>46019</v>
      </c>
      <c r="H372" s="308">
        <v>46019</v>
      </c>
      <c r="I372" s="309">
        <v>-48349.06</v>
      </c>
      <c r="J372" s="306" t="s">
        <v>1008</v>
      </c>
      <c r="K372" s="309">
        <v>-48349.06</v>
      </c>
      <c r="L372" s="306" t="s">
        <v>1008</v>
      </c>
      <c r="M372" s="306" t="s">
        <v>1738</v>
      </c>
      <c r="N372" s="306" t="s">
        <v>1694</v>
      </c>
      <c r="O372" s="306" t="s">
        <v>1746</v>
      </c>
      <c r="P372" s="306" t="s">
        <v>1696</v>
      </c>
      <c r="Q372" s="306" t="s">
        <v>1013</v>
      </c>
      <c r="R372" s="306" t="s">
        <v>1013</v>
      </c>
      <c r="S372" s="306" t="s">
        <v>1013</v>
      </c>
      <c r="T372" s="306" t="s">
        <v>1697</v>
      </c>
      <c r="U372" s="306" t="s">
        <v>1013</v>
      </c>
      <c r="V372" s="306" t="s">
        <v>1013</v>
      </c>
      <c r="W372" s="306" t="s">
        <v>1013</v>
      </c>
      <c r="X372" s="306" t="s">
        <v>1013</v>
      </c>
      <c r="Y372" s="306" t="s">
        <v>1697</v>
      </c>
      <c r="Z372" s="306" t="s">
        <v>1015</v>
      </c>
      <c r="AA372" s="306" t="s">
        <v>1013</v>
      </c>
    </row>
    <row r="373" spans="1:27" hidden="1">
      <c r="A373" s="306" t="s">
        <v>494</v>
      </c>
      <c r="B373" s="306" t="s">
        <v>1003</v>
      </c>
      <c r="C373" s="306" t="s">
        <v>1004</v>
      </c>
      <c r="D373" s="306" t="s">
        <v>1019</v>
      </c>
      <c r="E373" s="306" t="s">
        <v>1747</v>
      </c>
      <c r="F373" s="306" t="s">
        <v>1007</v>
      </c>
      <c r="G373" s="308">
        <v>46019</v>
      </c>
      <c r="H373" s="308">
        <v>46019</v>
      </c>
      <c r="I373" s="309">
        <v>-1692216.99</v>
      </c>
      <c r="J373" s="306" t="s">
        <v>1008</v>
      </c>
      <c r="K373" s="309">
        <v>-1692216.99</v>
      </c>
      <c r="L373" s="306" t="s">
        <v>1008</v>
      </c>
      <c r="M373" s="306" t="s">
        <v>1738</v>
      </c>
      <c r="N373" s="306" t="s">
        <v>1694</v>
      </c>
      <c r="O373" s="306" t="s">
        <v>1748</v>
      </c>
      <c r="P373" s="306" t="s">
        <v>1696</v>
      </c>
      <c r="Q373" s="306" t="s">
        <v>1013</v>
      </c>
      <c r="R373" s="306" t="s">
        <v>1013</v>
      </c>
      <c r="S373" s="306" t="s">
        <v>1013</v>
      </c>
      <c r="T373" s="306" t="s">
        <v>1697</v>
      </c>
      <c r="U373" s="306" t="s">
        <v>1013</v>
      </c>
      <c r="V373" s="306" t="s">
        <v>1013</v>
      </c>
      <c r="W373" s="306" t="s">
        <v>1013</v>
      </c>
      <c r="X373" s="306" t="s">
        <v>1013</v>
      </c>
      <c r="Y373" s="306" t="s">
        <v>1697</v>
      </c>
      <c r="Z373" s="306" t="s">
        <v>1015</v>
      </c>
      <c r="AA373" s="306" t="s">
        <v>1013</v>
      </c>
    </row>
    <row r="374" spans="1:27" hidden="1">
      <c r="A374" s="306" t="s">
        <v>494</v>
      </c>
      <c r="B374" s="306" t="s">
        <v>1003</v>
      </c>
      <c r="C374" s="306" t="s">
        <v>1004</v>
      </c>
      <c r="D374" s="306" t="s">
        <v>1019</v>
      </c>
      <c r="E374" s="306" t="s">
        <v>1749</v>
      </c>
      <c r="F374" s="306" t="s">
        <v>1007</v>
      </c>
      <c r="G374" s="308">
        <v>46019</v>
      </c>
      <c r="H374" s="308">
        <v>46019</v>
      </c>
      <c r="I374" s="309">
        <v>-55601.41</v>
      </c>
      <c r="J374" s="306" t="s">
        <v>1008</v>
      </c>
      <c r="K374" s="309">
        <v>-55601.41</v>
      </c>
      <c r="L374" s="306" t="s">
        <v>1008</v>
      </c>
      <c r="M374" s="306" t="s">
        <v>1738</v>
      </c>
      <c r="N374" s="306" t="s">
        <v>1694</v>
      </c>
      <c r="O374" s="306" t="s">
        <v>1750</v>
      </c>
      <c r="P374" s="306" t="s">
        <v>1696</v>
      </c>
      <c r="Q374" s="306" t="s">
        <v>1013</v>
      </c>
      <c r="R374" s="306" t="s">
        <v>1013</v>
      </c>
      <c r="S374" s="306" t="s">
        <v>1013</v>
      </c>
      <c r="T374" s="306" t="s">
        <v>1697</v>
      </c>
      <c r="U374" s="306" t="s">
        <v>1013</v>
      </c>
      <c r="V374" s="306" t="s">
        <v>1013</v>
      </c>
      <c r="W374" s="306" t="s">
        <v>1013</v>
      </c>
      <c r="X374" s="306" t="s">
        <v>1013</v>
      </c>
      <c r="Y374" s="306" t="s">
        <v>1697</v>
      </c>
      <c r="Z374" s="306" t="s">
        <v>1015</v>
      </c>
      <c r="AA374" s="306" t="s">
        <v>1013</v>
      </c>
    </row>
    <row r="375" spans="1:27" hidden="1">
      <c r="A375" s="306" t="s">
        <v>494</v>
      </c>
      <c r="B375" s="306" t="s">
        <v>1003</v>
      </c>
      <c r="C375" s="306" t="s">
        <v>1004</v>
      </c>
      <c r="D375" s="306" t="s">
        <v>1019</v>
      </c>
      <c r="E375" s="306" t="s">
        <v>1751</v>
      </c>
      <c r="F375" s="306" t="s">
        <v>1007</v>
      </c>
      <c r="G375" s="308">
        <v>46019</v>
      </c>
      <c r="H375" s="308">
        <v>46019</v>
      </c>
      <c r="I375" s="309">
        <v>-29879.71</v>
      </c>
      <c r="J375" s="306" t="s">
        <v>1008</v>
      </c>
      <c r="K375" s="309">
        <v>-29879.71</v>
      </c>
      <c r="L375" s="306" t="s">
        <v>1008</v>
      </c>
      <c r="M375" s="306" t="s">
        <v>1738</v>
      </c>
      <c r="N375" s="306" t="s">
        <v>1694</v>
      </c>
      <c r="O375" s="306" t="s">
        <v>1752</v>
      </c>
      <c r="P375" s="306" t="s">
        <v>1696</v>
      </c>
      <c r="Q375" s="306" t="s">
        <v>1013</v>
      </c>
      <c r="R375" s="306" t="s">
        <v>1013</v>
      </c>
      <c r="S375" s="306" t="s">
        <v>1013</v>
      </c>
      <c r="T375" s="306" t="s">
        <v>1697</v>
      </c>
      <c r="U375" s="306" t="s">
        <v>1013</v>
      </c>
      <c r="V375" s="306" t="s">
        <v>1013</v>
      </c>
      <c r="W375" s="306" t="s">
        <v>1013</v>
      </c>
      <c r="X375" s="306" t="s">
        <v>1013</v>
      </c>
      <c r="Y375" s="306" t="s">
        <v>1697</v>
      </c>
      <c r="Z375" s="306" t="s">
        <v>1015</v>
      </c>
      <c r="AA375" s="306" t="s">
        <v>1013</v>
      </c>
    </row>
    <row r="376" spans="1:27" hidden="1">
      <c r="A376" s="306" t="s">
        <v>494</v>
      </c>
      <c r="B376" s="306" t="s">
        <v>1003</v>
      </c>
      <c r="C376" s="306" t="s">
        <v>1004</v>
      </c>
      <c r="D376" s="306" t="s">
        <v>1019</v>
      </c>
      <c r="E376" s="306" t="s">
        <v>1753</v>
      </c>
      <c r="F376" s="306" t="s">
        <v>1007</v>
      </c>
      <c r="G376" s="308">
        <v>46019</v>
      </c>
      <c r="H376" s="308">
        <v>46019</v>
      </c>
      <c r="I376" s="309">
        <v>-33119.1</v>
      </c>
      <c r="J376" s="306" t="s">
        <v>1008</v>
      </c>
      <c r="K376" s="309">
        <v>-33119.1</v>
      </c>
      <c r="L376" s="306" t="s">
        <v>1008</v>
      </c>
      <c r="M376" s="306" t="s">
        <v>1738</v>
      </c>
      <c r="N376" s="306" t="s">
        <v>1694</v>
      </c>
      <c r="O376" s="306" t="s">
        <v>1754</v>
      </c>
      <c r="P376" s="306" t="s">
        <v>1696</v>
      </c>
      <c r="Q376" s="306" t="s">
        <v>1013</v>
      </c>
      <c r="R376" s="306" t="s">
        <v>1013</v>
      </c>
      <c r="S376" s="306" t="s">
        <v>1013</v>
      </c>
      <c r="T376" s="306" t="s">
        <v>1697</v>
      </c>
      <c r="U376" s="306" t="s">
        <v>1013</v>
      </c>
      <c r="V376" s="306" t="s">
        <v>1013</v>
      </c>
      <c r="W376" s="306" t="s">
        <v>1013</v>
      </c>
      <c r="X376" s="306" t="s">
        <v>1013</v>
      </c>
      <c r="Y376" s="306" t="s">
        <v>1697</v>
      </c>
      <c r="Z376" s="306" t="s">
        <v>1015</v>
      </c>
      <c r="AA376" s="306" t="s">
        <v>1013</v>
      </c>
    </row>
    <row r="377" spans="1:27" hidden="1">
      <c r="A377" s="306" t="s">
        <v>494</v>
      </c>
      <c r="B377" s="306" t="s">
        <v>1003</v>
      </c>
      <c r="C377" s="306" t="s">
        <v>1004</v>
      </c>
      <c r="D377" s="306" t="s">
        <v>1019</v>
      </c>
      <c r="E377" s="306" t="s">
        <v>1755</v>
      </c>
      <c r="F377" s="306" t="s">
        <v>1007</v>
      </c>
      <c r="G377" s="308">
        <v>46019</v>
      </c>
      <c r="H377" s="308">
        <v>46019</v>
      </c>
      <c r="I377" s="309">
        <v>-87028.3</v>
      </c>
      <c r="J377" s="306" t="s">
        <v>1008</v>
      </c>
      <c r="K377" s="309">
        <v>-87028.3</v>
      </c>
      <c r="L377" s="306" t="s">
        <v>1008</v>
      </c>
      <c r="M377" s="306" t="s">
        <v>1738</v>
      </c>
      <c r="N377" s="306" t="s">
        <v>1694</v>
      </c>
      <c r="O377" s="306" t="s">
        <v>1756</v>
      </c>
      <c r="P377" s="306" t="s">
        <v>1696</v>
      </c>
      <c r="Q377" s="306" t="s">
        <v>1013</v>
      </c>
      <c r="R377" s="306" t="s">
        <v>1013</v>
      </c>
      <c r="S377" s="306" t="s">
        <v>1013</v>
      </c>
      <c r="T377" s="306" t="s">
        <v>1697</v>
      </c>
      <c r="U377" s="306" t="s">
        <v>1013</v>
      </c>
      <c r="V377" s="306" t="s">
        <v>1013</v>
      </c>
      <c r="W377" s="306" t="s">
        <v>1013</v>
      </c>
      <c r="X377" s="306" t="s">
        <v>1013</v>
      </c>
      <c r="Y377" s="306" t="s">
        <v>1697</v>
      </c>
      <c r="Z377" s="306" t="s">
        <v>1015</v>
      </c>
      <c r="AA377" s="306" t="s">
        <v>1013</v>
      </c>
    </row>
    <row r="378" spans="1:27" hidden="1">
      <c r="A378" s="306" t="s">
        <v>494</v>
      </c>
      <c r="B378" s="306" t="s">
        <v>1003</v>
      </c>
      <c r="C378" s="306" t="s">
        <v>1004</v>
      </c>
      <c r="D378" s="306" t="s">
        <v>1031</v>
      </c>
      <c r="E378" s="306" t="s">
        <v>1757</v>
      </c>
      <c r="F378" s="306" t="s">
        <v>1007</v>
      </c>
      <c r="G378" s="308">
        <v>46019</v>
      </c>
      <c r="H378" s="308">
        <v>46019</v>
      </c>
      <c r="I378" s="309">
        <v>-225969.87</v>
      </c>
      <c r="J378" s="306" t="s">
        <v>1008</v>
      </c>
      <c r="K378" s="309">
        <v>-225969.87</v>
      </c>
      <c r="L378" s="306" t="s">
        <v>1008</v>
      </c>
      <c r="M378" s="306" t="s">
        <v>1699</v>
      </c>
      <c r="N378" s="306" t="s">
        <v>1694</v>
      </c>
      <c r="O378" s="306" t="s">
        <v>1758</v>
      </c>
      <c r="P378" s="306" t="s">
        <v>1696</v>
      </c>
      <c r="Q378" s="306" t="s">
        <v>1013</v>
      </c>
      <c r="R378" s="306" t="s">
        <v>1013</v>
      </c>
      <c r="S378" s="306" t="s">
        <v>1013</v>
      </c>
      <c r="T378" s="306" t="s">
        <v>1697</v>
      </c>
      <c r="U378" s="306" t="s">
        <v>1013</v>
      </c>
      <c r="V378" s="306" t="s">
        <v>1013</v>
      </c>
      <c r="W378" s="306" t="s">
        <v>1013</v>
      </c>
      <c r="X378" s="306" t="s">
        <v>1013</v>
      </c>
      <c r="Y378" s="306" t="s">
        <v>1697</v>
      </c>
      <c r="Z378" s="306" t="s">
        <v>1015</v>
      </c>
      <c r="AA378" s="306" t="s">
        <v>1013</v>
      </c>
    </row>
    <row r="379" spans="1:27" hidden="1">
      <c r="A379" s="306" t="s">
        <v>494</v>
      </c>
      <c r="B379" s="306" t="s">
        <v>1003</v>
      </c>
      <c r="C379" s="306" t="s">
        <v>1004</v>
      </c>
      <c r="D379" s="306" t="s">
        <v>1031</v>
      </c>
      <c r="E379" s="306" t="s">
        <v>1759</v>
      </c>
      <c r="F379" s="306" t="s">
        <v>1007</v>
      </c>
      <c r="G379" s="308">
        <v>46019</v>
      </c>
      <c r="H379" s="308">
        <v>46019</v>
      </c>
      <c r="I379" s="309">
        <v>-3351851.6</v>
      </c>
      <c r="J379" s="306" t="s">
        <v>1008</v>
      </c>
      <c r="K379" s="309">
        <v>-3351851.6</v>
      </c>
      <c r="L379" s="306" t="s">
        <v>1008</v>
      </c>
      <c r="M379" s="306" t="s">
        <v>1699</v>
      </c>
      <c r="N379" s="306" t="s">
        <v>1694</v>
      </c>
      <c r="O379" s="306" t="s">
        <v>1760</v>
      </c>
      <c r="P379" s="306" t="s">
        <v>1696</v>
      </c>
      <c r="Q379" s="306" t="s">
        <v>1013</v>
      </c>
      <c r="R379" s="306" t="s">
        <v>1013</v>
      </c>
      <c r="S379" s="306" t="s">
        <v>1013</v>
      </c>
      <c r="T379" s="306" t="s">
        <v>1697</v>
      </c>
      <c r="U379" s="306" t="s">
        <v>1013</v>
      </c>
      <c r="V379" s="306" t="s">
        <v>1013</v>
      </c>
      <c r="W379" s="306" t="s">
        <v>1013</v>
      </c>
      <c r="X379" s="306" t="s">
        <v>1013</v>
      </c>
      <c r="Y379" s="306" t="s">
        <v>1697</v>
      </c>
      <c r="Z379" s="306" t="s">
        <v>1015</v>
      </c>
      <c r="AA379" s="306" t="s">
        <v>1013</v>
      </c>
    </row>
    <row r="380" spans="1:27" hidden="1">
      <c r="A380" s="306" t="s">
        <v>494</v>
      </c>
      <c r="B380" s="306" t="s">
        <v>1003</v>
      </c>
      <c r="C380" s="306" t="s">
        <v>1004</v>
      </c>
      <c r="D380" s="306" t="s">
        <v>1031</v>
      </c>
      <c r="E380" s="306" t="s">
        <v>1761</v>
      </c>
      <c r="F380" s="306" t="s">
        <v>1007</v>
      </c>
      <c r="G380" s="308">
        <v>46019</v>
      </c>
      <c r="H380" s="308">
        <v>46019</v>
      </c>
      <c r="I380" s="309">
        <v>-2423444.69</v>
      </c>
      <c r="J380" s="306" t="s">
        <v>1008</v>
      </c>
      <c r="K380" s="309">
        <v>-2423444.69</v>
      </c>
      <c r="L380" s="306" t="s">
        <v>1008</v>
      </c>
      <c r="M380" s="306" t="s">
        <v>1699</v>
      </c>
      <c r="N380" s="306" t="s">
        <v>1694</v>
      </c>
      <c r="O380" s="306" t="s">
        <v>1762</v>
      </c>
      <c r="P380" s="306" t="s">
        <v>1696</v>
      </c>
      <c r="Q380" s="306" t="s">
        <v>1013</v>
      </c>
      <c r="R380" s="306" t="s">
        <v>1013</v>
      </c>
      <c r="S380" s="306" t="s">
        <v>1013</v>
      </c>
      <c r="T380" s="306" t="s">
        <v>1697</v>
      </c>
      <c r="U380" s="306" t="s">
        <v>1013</v>
      </c>
      <c r="V380" s="306" t="s">
        <v>1013</v>
      </c>
      <c r="W380" s="306" t="s">
        <v>1013</v>
      </c>
      <c r="X380" s="306" t="s">
        <v>1013</v>
      </c>
      <c r="Y380" s="306" t="s">
        <v>1697</v>
      </c>
      <c r="Z380" s="306" t="s">
        <v>1015</v>
      </c>
      <c r="AA380" s="306" t="s">
        <v>1013</v>
      </c>
    </row>
    <row r="381" spans="1:27" hidden="1">
      <c r="A381" s="306" t="s">
        <v>494</v>
      </c>
      <c r="B381" s="306" t="s">
        <v>1003</v>
      </c>
      <c r="C381" s="306" t="s">
        <v>1004</v>
      </c>
      <c r="D381" s="306" t="s">
        <v>1031</v>
      </c>
      <c r="E381" s="306" t="s">
        <v>1763</v>
      </c>
      <c r="F381" s="306" t="s">
        <v>1007</v>
      </c>
      <c r="G381" s="308">
        <v>46019</v>
      </c>
      <c r="H381" s="308">
        <v>46019</v>
      </c>
      <c r="I381" s="309">
        <v>-4365702.24</v>
      </c>
      <c r="J381" s="306" t="s">
        <v>1008</v>
      </c>
      <c r="K381" s="309">
        <v>-4365702.24</v>
      </c>
      <c r="L381" s="306" t="s">
        <v>1008</v>
      </c>
      <c r="M381" s="306" t="s">
        <v>1699</v>
      </c>
      <c r="N381" s="306" t="s">
        <v>1694</v>
      </c>
      <c r="O381" s="306" t="s">
        <v>1710</v>
      </c>
      <c r="P381" s="306" t="s">
        <v>1696</v>
      </c>
      <c r="Q381" s="306" t="s">
        <v>1013</v>
      </c>
      <c r="R381" s="306" t="s">
        <v>1013</v>
      </c>
      <c r="S381" s="306" t="s">
        <v>1013</v>
      </c>
      <c r="T381" s="306" t="s">
        <v>1697</v>
      </c>
      <c r="U381" s="306" t="s">
        <v>1013</v>
      </c>
      <c r="V381" s="306" t="s">
        <v>1013</v>
      </c>
      <c r="W381" s="306" t="s">
        <v>1013</v>
      </c>
      <c r="X381" s="306" t="s">
        <v>1013</v>
      </c>
      <c r="Y381" s="306" t="s">
        <v>1697</v>
      </c>
      <c r="Z381" s="306" t="s">
        <v>1015</v>
      </c>
      <c r="AA381" s="306" t="s">
        <v>1013</v>
      </c>
    </row>
    <row r="382" spans="1:27" hidden="1">
      <c r="A382" s="306" t="s">
        <v>494</v>
      </c>
      <c r="B382" s="306" t="s">
        <v>1003</v>
      </c>
      <c r="C382" s="306" t="s">
        <v>1004</v>
      </c>
      <c r="D382" s="306" t="s">
        <v>1005</v>
      </c>
      <c r="E382" s="306" t="s">
        <v>1764</v>
      </c>
      <c r="F382" s="306" t="s">
        <v>1007</v>
      </c>
      <c r="G382" s="308">
        <v>46019</v>
      </c>
      <c r="H382" s="308">
        <v>46019</v>
      </c>
      <c r="I382" s="309">
        <v>-30651.200000000001</v>
      </c>
      <c r="J382" s="306" t="s">
        <v>1008</v>
      </c>
      <c r="K382" s="309">
        <v>-30651.200000000001</v>
      </c>
      <c r="L382" s="306" t="s">
        <v>1008</v>
      </c>
      <c r="M382" s="306" t="s">
        <v>1693</v>
      </c>
      <c r="N382" s="306" t="s">
        <v>1694</v>
      </c>
      <c r="O382" s="306" t="s">
        <v>1765</v>
      </c>
      <c r="P382" s="306" t="s">
        <v>1696</v>
      </c>
      <c r="Q382" s="306" t="s">
        <v>1013</v>
      </c>
      <c r="R382" s="306" t="s">
        <v>1013</v>
      </c>
      <c r="S382" s="306" t="s">
        <v>1013</v>
      </c>
      <c r="T382" s="306" t="s">
        <v>1697</v>
      </c>
      <c r="U382" s="306" t="s">
        <v>1013</v>
      </c>
      <c r="V382" s="306" t="s">
        <v>1013</v>
      </c>
      <c r="W382" s="306" t="s">
        <v>1013</v>
      </c>
      <c r="X382" s="306" t="s">
        <v>1013</v>
      </c>
      <c r="Y382" s="306" t="s">
        <v>1697</v>
      </c>
      <c r="Z382" s="306" t="s">
        <v>1015</v>
      </c>
      <c r="AA382" s="306" t="s">
        <v>1013</v>
      </c>
    </row>
    <row r="383" spans="1:27" hidden="1">
      <c r="A383" s="306" t="s">
        <v>494</v>
      </c>
      <c r="B383" s="306" t="s">
        <v>1003</v>
      </c>
      <c r="C383" s="306" t="s">
        <v>1004</v>
      </c>
      <c r="D383" s="306" t="s">
        <v>1005</v>
      </c>
      <c r="E383" s="306" t="s">
        <v>1766</v>
      </c>
      <c r="F383" s="306" t="s">
        <v>1007</v>
      </c>
      <c r="G383" s="308">
        <v>46019</v>
      </c>
      <c r="H383" s="308">
        <v>46019</v>
      </c>
      <c r="I383" s="309">
        <v>-7131439.2400000002</v>
      </c>
      <c r="J383" s="306" t="s">
        <v>1008</v>
      </c>
      <c r="K383" s="309">
        <v>-7131439.2400000002</v>
      </c>
      <c r="L383" s="306" t="s">
        <v>1008</v>
      </c>
      <c r="M383" s="306" t="s">
        <v>1693</v>
      </c>
      <c r="N383" s="306" t="s">
        <v>1694</v>
      </c>
      <c r="O383" s="306" t="s">
        <v>1767</v>
      </c>
      <c r="P383" s="306" t="s">
        <v>1696</v>
      </c>
      <c r="Q383" s="306" t="s">
        <v>1013</v>
      </c>
      <c r="R383" s="306" t="s">
        <v>1013</v>
      </c>
      <c r="S383" s="306" t="s">
        <v>1013</v>
      </c>
      <c r="T383" s="306" t="s">
        <v>1697</v>
      </c>
      <c r="U383" s="306" t="s">
        <v>1013</v>
      </c>
      <c r="V383" s="306" t="s">
        <v>1013</v>
      </c>
      <c r="W383" s="306" t="s">
        <v>1013</v>
      </c>
      <c r="X383" s="306" t="s">
        <v>1013</v>
      </c>
      <c r="Y383" s="306" t="s">
        <v>1697</v>
      </c>
      <c r="Z383" s="306" t="s">
        <v>1015</v>
      </c>
      <c r="AA383" s="306" t="s">
        <v>1013</v>
      </c>
    </row>
    <row r="384" spans="1:27" hidden="1">
      <c r="A384" s="306" t="s">
        <v>494</v>
      </c>
      <c r="B384" s="306" t="s">
        <v>1003</v>
      </c>
      <c r="C384" s="306" t="s">
        <v>1004</v>
      </c>
      <c r="D384" s="306" t="s">
        <v>1005</v>
      </c>
      <c r="E384" s="306" t="s">
        <v>1768</v>
      </c>
      <c r="F384" s="306" t="s">
        <v>1007</v>
      </c>
      <c r="G384" s="308">
        <v>46019</v>
      </c>
      <c r="H384" s="308">
        <v>46019</v>
      </c>
      <c r="I384" s="309">
        <v>-19081332.84</v>
      </c>
      <c r="J384" s="306" t="s">
        <v>1008</v>
      </c>
      <c r="K384" s="309">
        <v>-19081332.84</v>
      </c>
      <c r="L384" s="306" t="s">
        <v>1008</v>
      </c>
      <c r="M384" s="306" t="s">
        <v>1693</v>
      </c>
      <c r="N384" s="306" t="s">
        <v>1694</v>
      </c>
      <c r="O384" s="306" t="s">
        <v>1714</v>
      </c>
      <c r="P384" s="306" t="s">
        <v>1696</v>
      </c>
      <c r="Q384" s="306" t="s">
        <v>1013</v>
      </c>
      <c r="R384" s="306" t="s">
        <v>1013</v>
      </c>
      <c r="S384" s="306" t="s">
        <v>1013</v>
      </c>
      <c r="T384" s="306" t="s">
        <v>1697</v>
      </c>
      <c r="U384" s="306" t="s">
        <v>1013</v>
      </c>
      <c r="V384" s="306" t="s">
        <v>1013</v>
      </c>
      <c r="W384" s="306" t="s">
        <v>1013</v>
      </c>
      <c r="X384" s="306" t="s">
        <v>1013</v>
      </c>
      <c r="Y384" s="306" t="s">
        <v>1697</v>
      </c>
      <c r="Z384" s="306" t="s">
        <v>1015</v>
      </c>
      <c r="AA384" s="306" t="s">
        <v>1013</v>
      </c>
    </row>
    <row r="385" spans="1:27" hidden="1">
      <c r="A385" s="306" t="s">
        <v>494</v>
      </c>
      <c r="B385" s="306" t="s">
        <v>1003</v>
      </c>
      <c r="C385" s="306" t="s">
        <v>1004</v>
      </c>
      <c r="D385" s="306" t="s">
        <v>1019</v>
      </c>
      <c r="E385" s="306" t="s">
        <v>1769</v>
      </c>
      <c r="F385" s="306" t="s">
        <v>1007</v>
      </c>
      <c r="G385" s="308">
        <v>46019</v>
      </c>
      <c r="H385" s="308">
        <v>46019</v>
      </c>
      <c r="I385" s="309">
        <v>-18141.599999999999</v>
      </c>
      <c r="J385" s="306" t="s">
        <v>1008</v>
      </c>
      <c r="K385" s="309">
        <v>-18141.599999999999</v>
      </c>
      <c r="L385" s="306" t="s">
        <v>1008</v>
      </c>
      <c r="M385" s="306" t="s">
        <v>1738</v>
      </c>
      <c r="N385" s="306" t="s">
        <v>1694</v>
      </c>
      <c r="O385" s="306" t="s">
        <v>1770</v>
      </c>
      <c r="P385" s="306" t="s">
        <v>1696</v>
      </c>
      <c r="Q385" s="306" t="s">
        <v>1013</v>
      </c>
      <c r="R385" s="306" t="s">
        <v>1013</v>
      </c>
      <c r="S385" s="306" t="s">
        <v>1013</v>
      </c>
      <c r="T385" s="306" t="s">
        <v>1697</v>
      </c>
      <c r="U385" s="306" t="s">
        <v>1013</v>
      </c>
      <c r="V385" s="306" t="s">
        <v>1013</v>
      </c>
      <c r="W385" s="306" t="s">
        <v>1013</v>
      </c>
      <c r="X385" s="306" t="s">
        <v>1013</v>
      </c>
      <c r="Y385" s="306" t="s">
        <v>1697</v>
      </c>
      <c r="Z385" s="306" t="s">
        <v>1015</v>
      </c>
      <c r="AA385" s="306" t="s">
        <v>1013</v>
      </c>
    </row>
    <row r="386" spans="1:27" hidden="1">
      <c r="A386" s="306" t="s">
        <v>494</v>
      </c>
      <c r="B386" s="306" t="s">
        <v>1003</v>
      </c>
      <c r="C386" s="306" t="s">
        <v>1004</v>
      </c>
      <c r="D386" s="306" t="s">
        <v>1031</v>
      </c>
      <c r="E386" s="306" t="s">
        <v>1771</v>
      </c>
      <c r="F386" s="306" t="s">
        <v>1007</v>
      </c>
      <c r="G386" s="308">
        <v>46019</v>
      </c>
      <c r="H386" s="308">
        <v>46019</v>
      </c>
      <c r="I386" s="309">
        <v>-25987.83</v>
      </c>
      <c r="J386" s="306" t="s">
        <v>1008</v>
      </c>
      <c r="K386" s="309">
        <v>-25987.83</v>
      </c>
      <c r="L386" s="306" t="s">
        <v>1008</v>
      </c>
      <c r="M386" s="306" t="s">
        <v>1699</v>
      </c>
      <c r="N386" s="306" t="s">
        <v>1694</v>
      </c>
      <c r="O386" s="306" t="s">
        <v>1772</v>
      </c>
      <c r="P386" s="306" t="s">
        <v>1696</v>
      </c>
      <c r="Q386" s="306" t="s">
        <v>1013</v>
      </c>
      <c r="R386" s="306" t="s">
        <v>1013</v>
      </c>
      <c r="S386" s="306" t="s">
        <v>1013</v>
      </c>
      <c r="T386" s="306" t="s">
        <v>1697</v>
      </c>
      <c r="U386" s="306" t="s">
        <v>1013</v>
      </c>
      <c r="V386" s="306" t="s">
        <v>1013</v>
      </c>
      <c r="W386" s="306" t="s">
        <v>1013</v>
      </c>
      <c r="X386" s="306" t="s">
        <v>1013</v>
      </c>
      <c r="Y386" s="306" t="s">
        <v>1697</v>
      </c>
      <c r="Z386" s="306" t="s">
        <v>1015</v>
      </c>
      <c r="AA386" s="306" t="s">
        <v>1013</v>
      </c>
    </row>
    <row r="387" spans="1:27" hidden="1">
      <c r="A387" s="306" t="s">
        <v>494</v>
      </c>
      <c r="B387" s="306" t="s">
        <v>1003</v>
      </c>
      <c r="C387" s="306" t="s">
        <v>1004</v>
      </c>
      <c r="D387" s="306" t="s">
        <v>1019</v>
      </c>
      <c r="E387" s="306" t="s">
        <v>1773</v>
      </c>
      <c r="F387" s="306" t="s">
        <v>1007</v>
      </c>
      <c r="G387" s="308">
        <v>46019</v>
      </c>
      <c r="H387" s="308">
        <v>46019</v>
      </c>
      <c r="I387" s="309">
        <v>-336015.5</v>
      </c>
      <c r="J387" s="306" t="s">
        <v>1008</v>
      </c>
      <c r="K387" s="309">
        <v>-336015.5</v>
      </c>
      <c r="L387" s="306" t="s">
        <v>1008</v>
      </c>
      <c r="M387" s="306" t="s">
        <v>1738</v>
      </c>
      <c r="N387" s="306" t="s">
        <v>1694</v>
      </c>
      <c r="O387" s="306" t="s">
        <v>1774</v>
      </c>
      <c r="P387" s="306" t="s">
        <v>1696</v>
      </c>
      <c r="Q387" s="306" t="s">
        <v>1013</v>
      </c>
      <c r="R387" s="306" t="s">
        <v>1013</v>
      </c>
      <c r="S387" s="306" t="s">
        <v>1013</v>
      </c>
      <c r="T387" s="306" t="s">
        <v>1697</v>
      </c>
      <c r="U387" s="306" t="s">
        <v>1013</v>
      </c>
      <c r="V387" s="306" t="s">
        <v>1013</v>
      </c>
      <c r="W387" s="306" t="s">
        <v>1013</v>
      </c>
      <c r="X387" s="306" t="s">
        <v>1013</v>
      </c>
      <c r="Y387" s="306" t="s">
        <v>1697</v>
      </c>
      <c r="Z387" s="306" t="s">
        <v>1015</v>
      </c>
      <c r="AA387" s="306" t="s">
        <v>1013</v>
      </c>
    </row>
    <row r="388" spans="1:27" hidden="1">
      <c r="A388" s="306" t="s">
        <v>494</v>
      </c>
      <c r="B388" s="306" t="s">
        <v>1003</v>
      </c>
      <c r="C388" s="306" t="s">
        <v>1004</v>
      </c>
      <c r="D388" s="306" t="s">
        <v>1031</v>
      </c>
      <c r="E388" s="306" t="s">
        <v>1775</v>
      </c>
      <c r="F388" s="306" t="s">
        <v>1007</v>
      </c>
      <c r="G388" s="308">
        <v>46019</v>
      </c>
      <c r="H388" s="308">
        <v>46019</v>
      </c>
      <c r="I388" s="309">
        <v>-18904.77</v>
      </c>
      <c r="J388" s="306" t="s">
        <v>1008</v>
      </c>
      <c r="K388" s="309">
        <v>-18904.77</v>
      </c>
      <c r="L388" s="306" t="s">
        <v>1008</v>
      </c>
      <c r="M388" s="306" t="s">
        <v>1699</v>
      </c>
      <c r="N388" s="306" t="s">
        <v>1694</v>
      </c>
      <c r="O388" s="306" t="s">
        <v>1776</v>
      </c>
      <c r="P388" s="306" t="s">
        <v>1696</v>
      </c>
      <c r="Q388" s="306" t="s">
        <v>1013</v>
      </c>
      <c r="R388" s="306" t="s">
        <v>1013</v>
      </c>
      <c r="S388" s="306" t="s">
        <v>1013</v>
      </c>
      <c r="T388" s="306" t="s">
        <v>1697</v>
      </c>
      <c r="U388" s="306" t="s">
        <v>1013</v>
      </c>
      <c r="V388" s="306" t="s">
        <v>1013</v>
      </c>
      <c r="W388" s="306" t="s">
        <v>1013</v>
      </c>
      <c r="X388" s="306" t="s">
        <v>1013</v>
      </c>
      <c r="Y388" s="306" t="s">
        <v>1697</v>
      </c>
      <c r="Z388" s="306" t="s">
        <v>1015</v>
      </c>
      <c r="AA388" s="306" t="s">
        <v>1013</v>
      </c>
    </row>
    <row r="389" spans="1:27" hidden="1">
      <c r="A389" s="306" t="s">
        <v>494</v>
      </c>
      <c r="B389" s="306" t="s">
        <v>1003</v>
      </c>
      <c r="C389" s="306" t="s">
        <v>1004</v>
      </c>
      <c r="D389" s="306" t="s">
        <v>1031</v>
      </c>
      <c r="E389" s="306" t="s">
        <v>1777</v>
      </c>
      <c r="F389" s="306" t="s">
        <v>1007</v>
      </c>
      <c r="G389" s="308">
        <v>46019</v>
      </c>
      <c r="H389" s="308">
        <v>46019</v>
      </c>
      <c r="I389" s="309">
        <v>-71976.53</v>
      </c>
      <c r="J389" s="306" t="s">
        <v>1008</v>
      </c>
      <c r="K389" s="309">
        <v>-71976.53</v>
      </c>
      <c r="L389" s="306" t="s">
        <v>1008</v>
      </c>
      <c r="M389" s="306" t="s">
        <v>1699</v>
      </c>
      <c r="N389" s="306" t="s">
        <v>1694</v>
      </c>
      <c r="O389" s="306" t="s">
        <v>1778</v>
      </c>
      <c r="P389" s="306" t="s">
        <v>1696</v>
      </c>
      <c r="Q389" s="306" t="s">
        <v>1013</v>
      </c>
      <c r="R389" s="306" t="s">
        <v>1013</v>
      </c>
      <c r="S389" s="306" t="s">
        <v>1013</v>
      </c>
      <c r="T389" s="306" t="s">
        <v>1697</v>
      </c>
      <c r="U389" s="306" t="s">
        <v>1013</v>
      </c>
      <c r="V389" s="306" t="s">
        <v>1013</v>
      </c>
      <c r="W389" s="306" t="s">
        <v>1013</v>
      </c>
      <c r="X389" s="306" t="s">
        <v>1013</v>
      </c>
      <c r="Y389" s="306" t="s">
        <v>1697</v>
      </c>
      <c r="Z389" s="306" t="s">
        <v>1015</v>
      </c>
      <c r="AA389" s="306" t="s">
        <v>1013</v>
      </c>
    </row>
    <row r="390" spans="1:27" hidden="1">
      <c r="A390" s="306" t="s">
        <v>494</v>
      </c>
      <c r="B390" s="306" t="s">
        <v>1003</v>
      </c>
      <c r="C390" s="306" t="s">
        <v>1004</v>
      </c>
      <c r="D390" s="306" t="s">
        <v>1031</v>
      </c>
      <c r="E390" s="306" t="s">
        <v>1779</v>
      </c>
      <c r="F390" s="306" t="s">
        <v>1007</v>
      </c>
      <c r="G390" s="308">
        <v>46019</v>
      </c>
      <c r="H390" s="308">
        <v>46019</v>
      </c>
      <c r="I390" s="309">
        <v>-18486.900000000001</v>
      </c>
      <c r="J390" s="306" t="s">
        <v>1008</v>
      </c>
      <c r="K390" s="309">
        <v>-18486.900000000001</v>
      </c>
      <c r="L390" s="306" t="s">
        <v>1008</v>
      </c>
      <c r="M390" s="306" t="s">
        <v>1699</v>
      </c>
      <c r="N390" s="306" t="s">
        <v>1694</v>
      </c>
      <c r="O390" s="306" t="s">
        <v>1780</v>
      </c>
      <c r="P390" s="306" t="s">
        <v>1696</v>
      </c>
      <c r="Q390" s="306" t="s">
        <v>1013</v>
      </c>
      <c r="R390" s="306" t="s">
        <v>1013</v>
      </c>
      <c r="S390" s="306" t="s">
        <v>1013</v>
      </c>
      <c r="T390" s="306" t="s">
        <v>1697</v>
      </c>
      <c r="U390" s="306" t="s">
        <v>1013</v>
      </c>
      <c r="V390" s="306" t="s">
        <v>1013</v>
      </c>
      <c r="W390" s="306" t="s">
        <v>1013</v>
      </c>
      <c r="X390" s="306" t="s">
        <v>1013</v>
      </c>
      <c r="Y390" s="306" t="s">
        <v>1697</v>
      </c>
      <c r="Z390" s="306" t="s">
        <v>1015</v>
      </c>
      <c r="AA390" s="306" t="s">
        <v>1013</v>
      </c>
    </row>
    <row r="391" spans="1:27" hidden="1">
      <c r="A391" s="306" t="s">
        <v>494</v>
      </c>
      <c r="B391" s="306" t="s">
        <v>1003</v>
      </c>
      <c r="C391" s="306" t="s">
        <v>1004</v>
      </c>
      <c r="D391" s="306" t="s">
        <v>1031</v>
      </c>
      <c r="E391" s="306" t="s">
        <v>1781</v>
      </c>
      <c r="F391" s="306" t="s">
        <v>1007</v>
      </c>
      <c r="G391" s="308">
        <v>46019</v>
      </c>
      <c r="H391" s="308">
        <v>46019</v>
      </c>
      <c r="I391" s="309">
        <v>-385739.24</v>
      </c>
      <c r="J391" s="306" t="s">
        <v>1008</v>
      </c>
      <c r="K391" s="309">
        <v>-385739.24</v>
      </c>
      <c r="L391" s="306" t="s">
        <v>1008</v>
      </c>
      <c r="M391" s="306" t="s">
        <v>1699</v>
      </c>
      <c r="N391" s="306" t="s">
        <v>1694</v>
      </c>
      <c r="O391" s="306" t="s">
        <v>1782</v>
      </c>
      <c r="P391" s="306" t="s">
        <v>1696</v>
      </c>
      <c r="Q391" s="306" t="s">
        <v>1013</v>
      </c>
      <c r="R391" s="306" t="s">
        <v>1013</v>
      </c>
      <c r="S391" s="306" t="s">
        <v>1013</v>
      </c>
      <c r="T391" s="306" t="s">
        <v>1697</v>
      </c>
      <c r="U391" s="306" t="s">
        <v>1013</v>
      </c>
      <c r="V391" s="306" t="s">
        <v>1013</v>
      </c>
      <c r="W391" s="306" t="s">
        <v>1013</v>
      </c>
      <c r="X391" s="306" t="s">
        <v>1013</v>
      </c>
      <c r="Y391" s="306" t="s">
        <v>1697</v>
      </c>
      <c r="Z391" s="306" t="s">
        <v>1015</v>
      </c>
      <c r="AA391" s="306" t="s">
        <v>1013</v>
      </c>
    </row>
    <row r="392" spans="1:27" hidden="1">
      <c r="A392" s="306" t="s">
        <v>494</v>
      </c>
      <c r="B392" s="306" t="s">
        <v>1003</v>
      </c>
      <c r="C392" s="306" t="s">
        <v>1004</v>
      </c>
      <c r="D392" s="306" t="s">
        <v>1031</v>
      </c>
      <c r="E392" s="306" t="s">
        <v>1783</v>
      </c>
      <c r="F392" s="306" t="s">
        <v>1007</v>
      </c>
      <c r="G392" s="308">
        <v>46019</v>
      </c>
      <c r="H392" s="308">
        <v>46019</v>
      </c>
      <c r="I392" s="309">
        <v>-361483.03</v>
      </c>
      <c r="J392" s="306" t="s">
        <v>1008</v>
      </c>
      <c r="K392" s="309">
        <v>-361483.03</v>
      </c>
      <c r="L392" s="306" t="s">
        <v>1008</v>
      </c>
      <c r="M392" s="306" t="s">
        <v>1699</v>
      </c>
      <c r="N392" s="306" t="s">
        <v>1694</v>
      </c>
      <c r="O392" s="306" t="s">
        <v>1784</v>
      </c>
      <c r="P392" s="306" t="s">
        <v>1696</v>
      </c>
      <c r="Q392" s="306" t="s">
        <v>1013</v>
      </c>
      <c r="R392" s="306" t="s">
        <v>1013</v>
      </c>
      <c r="S392" s="306" t="s">
        <v>1013</v>
      </c>
      <c r="T392" s="306" t="s">
        <v>1697</v>
      </c>
      <c r="U392" s="306" t="s">
        <v>1013</v>
      </c>
      <c r="V392" s="306" t="s">
        <v>1013</v>
      </c>
      <c r="W392" s="306" t="s">
        <v>1013</v>
      </c>
      <c r="X392" s="306" t="s">
        <v>1013</v>
      </c>
      <c r="Y392" s="306" t="s">
        <v>1697</v>
      </c>
      <c r="Z392" s="306" t="s">
        <v>1015</v>
      </c>
      <c r="AA392" s="306" t="s">
        <v>1013</v>
      </c>
    </row>
    <row r="393" spans="1:27" hidden="1">
      <c r="A393" s="306" t="s">
        <v>494</v>
      </c>
      <c r="B393" s="306" t="s">
        <v>1003</v>
      </c>
      <c r="C393" s="306" t="s">
        <v>1004</v>
      </c>
      <c r="D393" s="306" t="s">
        <v>1031</v>
      </c>
      <c r="E393" s="306" t="s">
        <v>1785</v>
      </c>
      <c r="F393" s="306" t="s">
        <v>1007</v>
      </c>
      <c r="G393" s="308">
        <v>46019</v>
      </c>
      <c r="H393" s="308">
        <v>46019</v>
      </c>
      <c r="I393" s="309">
        <v>-9156.06</v>
      </c>
      <c r="J393" s="306" t="s">
        <v>1008</v>
      </c>
      <c r="K393" s="309">
        <v>-9156.06</v>
      </c>
      <c r="L393" s="306" t="s">
        <v>1008</v>
      </c>
      <c r="M393" s="306" t="s">
        <v>1699</v>
      </c>
      <c r="N393" s="306" t="s">
        <v>1694</v>
      </c>
      <c r="O393" s="306" t="s">
        <v>1726</v>
      </c>
      <c r="P393" s="306" t="s">
        <v>1696</v>
      </c>
      <c r="Q393" s="306" t="s">
        <v>1013</v>
      </c>
      <c r="R393" s="306" t="s">
        <v>1013</v>
      </c>
      <c r="S393" s="306" t="s">
        <v>1013</v>
      </c>
      <c r="T393" s="306" t="s">
        <v>1697</v>
      </c>
      <c r="U393" s="306" t="s">
        <v>1013</v>
      </c>
      <c r="V393" s="306" t="s">
        <v>1013</v>
      </c>
      <c r="W393" s="306" t="s">
        <v>1013</v>
      </c>
      <c r="X393" s="306" t="s">
        <v>1013</v>
      </c>
      <c r="Y393" s="306" t="s">
        <v>1697</v>
      </c>
      <c r="Z393" s="306" t="s">
        <v>1015</v>
      </c>
      <c r="AA393" s="306" t="s">
        <v>1013</v>
      </c>
    </row>
    <row r="394" spans="1:27" hidden="1">
      <c r="A394" s="306" t="s">
        <v>494</v>
      </c>
      <c r="B394" s="306" t="s">
        <v>1003</v>
      </c>
      <c r="C394" s="306" t="s">
        <v>1004</v>
      </c>
      <c r="D394" s="306" t="s">
        <v>1031</v>
      </c>
      <c r="E394" s="306" t="s">
        <v>1786</v>
      </c>
      <c r="F394" s="306" t="s">
        <v>1007</v>
      </c>
      <c r="G394" s="308">
        <v>46019</v>
      </c>
      <c r="H394" s="308">
        <v>46019</v>
      </c>
      <c r="I394" s="309">
        <v>-313257.76</v>
      </c>
      <c r="J394" s="306" t="s">
        <v>1008</v>
      </c>
      <c r="K394" s="309">
        <v>-313257.76</v>
      </c>
      <c r="L394" s="306" t="s">
        <v>1008</v>
      </c>
      <c r="M394" s="306" t="s">
        <v>1699</v>
      </c>
      <c r="N394" s="306" t="s">
        <v>1694</v>
      </c>
      <c r="O394" s="306" t="s">
        <v>1787</v>
      </c>
      <c r="P394" s="306" t="s">
        <v>1696</v>
      </c>
      <c r="Q394" s="306" t="s">
        <v>1013</v>
      </c>
      <c r="R394" s="306" t="s">
        <v>1013</v>
      </c>
      <c r="S394" s="306" t="s">
        <v>1013</v>
      </c>
      <c r="T394" s="306" t="s">
        <v>1697</v>
      </c>
      <c r="U394" s="306" t="s">
        <v>1013</v>
      </c>
      <c r="V394" s="306" t="s">
        <v>1013</v>
      </c>
      <c r="W394" s="306" t="s">
        <v>1013</v>
      </c>
      <c r="X394" s="306" t="s">
        <v>1013</v>
      </c>
      <c r="Y394" s="306" t="s">
        <v>1697</v>
      </c>
      <c r="Z394" s="306" t="s">
        <v>1015</v>
      </c>
      <c r="AA394" s="306" t="s">
        <v>1013</v>
      </c>
    </row>
    <row r="395" spans="1:27" hidden="1">
      <c r="A395" s="306" t="s">
        <v>494</v>
      </c>
      <c r="B395" s="306" t="s">
        <v>1003</v>
      </c>
      <c r="C395" s="306" t="s">
        <v>1004</v>
      </c>
      <c r="D395" s="306" t="s">
        <v>1019</v>
      </c>
      <c r="E395" s="306" t="s">
        <v>1788</v>
      </c>
      <c r="F395" s="306" t="s">
        <v>1007</v>
      </c>
      <c r="G395" s="308">
        <v>46019</v>
      </c>
      <c r="H395" s="308">
        <v>46019</v>
      </c>
      <c r="I395" s="309">
        <v>-119422.17</v>
      </c>
      <c r="J395" s="306" t="s">
        <v>1008</v>
      </c>
      <c r="K395" s="309">
        <v>-119422.17</v>
      </c>
      <c r="L395" s="306" t="s">
        <v>1008</v>
      </c>
      <c r="M395" s="306" t="s">
        <v>1738</v>
      </c>
      <c r="N395" s="306" t="s">
        <v>1694</v>
      </c>
      <c r="O395" s="306" t="s">
        <v>1789</v>
      </c>
      <c r="P395" s="306" t="s">
        <v>1696</v>
      </c>
      <c r="Q395" s="306" t="s">
        <v>1013</v>
      </c>
      <c r="R395" s="306" t="s">
        <v>1013</v>
      </c>
      <c r="S395" s="306" t="s">
        <v>1013</v>
      </c>
      <c r="T395" s="306" t="s">
        <v>1697</v>
      </c>
      <c r="U395" s="306" t="s">
        <v>1013</v>
      </c>
      <c r="V395" s="306" t="s">
        <v>1013</v>
      </c>
      <c r="W395" s="306" t="s">
        <v>1013</v>
      </c>
      <c r="X395" s="306" t="s">
        <v>1013</v>
      </c>
      <c r="Y395" s="306" t="s">
        <v>1697</v>
      </c>
      <c r="Z395" s="306" t="s">
        <v>1015</v>
      </c>
      <c r="AA395" s="306" t="s">
        <v>1013</v>
      </c>
    </row>
    <row r="396" spans="1:27" hidden="1">
      <c r="A396" s="306" t="s">
        <v>494</v>
      </c>
      <c r="B396" s="306" t="s">
        <v>1003</v>
      </c>
      <c r="C396" s="306" t="s">
        <v>1004</v>
      </c>
      <c r="D396" s="306" t="s">
        <v>1019</v>
      </c>
      <c r="E396" s="306" t="s">
        <v>1790</v>
      </c>
      <c r="F396" s="306" t="s">
        <v>1007</v>
      </c>
      <c r="G396" s="308">
        <v>46019</v>
      </c>
      <c r="H396" s="308">
        <v>46019</v>
      </c>
      <c r="I396" s="309">
        <v>-104433.96</v>
      </c>
      <c r="J396" s="306" t="s">
        <v>1008</v>
      </c>
      <c r="K396" s="309">
        <v>-104433.96</v>
      </c>
      <c r="L396" s="306" t="s">
        <v>1008</v>
      </c>
      <c r="M396" s="306" t="s">
        <v>1738</v>
      </c>
      <c r="N396" s="306" t="s">
        <v>1694</v>
      </c>
      <c r="O396" s="306" t="s">
        <v>1791</v>
      </c>
      <c r="P396" s="306" t="s">
        <v>1696</v>
      </c>
      <c r="Q396" s="306" t="s">
        <v>1013</v>
      </c>
      <c r="R396" s="306" t="s">
        <v>1013</v>
      </c>
      <c r="S396" s="306" t="s">
        <v>1013</v>
      </c>
      <c r="T396" s="306" t="s">
        <v>1697</v>
      </c>
      <c r="U396" s="306" t="s">
        <v>1013</v>
      </c>
      <c r="V396" s="306" t="s">
        <v>1013</v>
      </c>
      <c r="W396" s="306" t="s">
        <v>1013</v>
      </c>
      <c r="X396" s="306" t="s">
        <v>1013</v>
      </c>
      <c r="Y396" s="306" t="s">
        <v>1697</v>
      </c>
      <c r="Z396" s="306" t="s">
        <v>1015</v>
      </c>
      <c r="AA396" s="306" t="s">
        <v>1013</v>
      </c>
    </row>
    <row r="397" spans="1:27" hidden="1">
      <c r="A397" s="306" t="s">
        <v>494</v>
      </c>
      <c r="B397" s="306" t="s">
        <v>1003</v>
      </c>
      <c r="C397" s="306" t="s">
        <v>1004</v>
      </c>
      <c r="D397" s="306" t="s">
        <v>1019</v>
      </c>
      <c r="E397" s="306" t="s">
        <v>1792</v>
      </c>
      <c r="F397" s="306" t="s">
        <v>1007</v>
      </c>
      <c r="G397" s="308">
        <v>46019</v>
      </c>
      <c r="H397" s="308">
        <v>46019</v>
      </c>
      <c r="I397" s="309">
        <v>-9070.7999999999993</v>
      </c>
      <c r="J397" s="306" t="s">
        <v>1008</v>
      </c>
      <c r="K397" s="309">
        <v>-9070.7999999999993</v>
      </c>
      <c r="L397" s="306" t="s">
        <v>1008</v>
      </c>
      <c r="M397" s="306" t="s">
        <v>1738</v>
      </c>
      <c r="N397" s="306" t="s">
        <v>1694</v>
      </c>
      <c r="O397" s="306" t="s">
        <v>1793</v>
      </c>
      <c r="P397" s="306" t="s">
        <v>1696</v>
      </c>
      <c r="Q397" s="306" t="s">
        <v>1013</v>
      </c>
      <c r="R397" s="306" t="s">
        <v>1013</v>
      </c>
      <c r="S397" s="306" t="s">
        <v>1013</v>
      </c>
      <c r="T397" s="306" t="s">
        <v>1697</v>
      </c>
      <c r="U397" s="306" t="s">
        <v>1013</v>
      </c>
      <c r="V397" s="306" t="s">
        <v>1013</v>
      </c>
      <c r="W397" s="306" t="s">
        <v>1013</v>
      </c>
      <c r="X397" s="306" t="s">
        <v>1013</v>
      </c>
      <c r="Y397" s="306" t="s">
        <v>1697</v>
      </c>
      <c r="Z397" s="306" t="s">
        <v>1015</v>
      </c>
      <c r="AA397" s="306" t="s">
        <v>1013</v>
      </c>
    </row>
    <row r="398" spans="1:27" hidden="1">
      <c r="A398" s="306" t="s">
        <v>494</v>
      </c>
      <c r="B398" s="306" t="s">
        <v>1003</v>
      </c>
      <c r="C398" s="306" t="s">
        <v>1004</v>
      </c>
      <c r="D398" s="306" t="s">
        <v>1019</v>
      </c>
      <c r="E398" s="306" t="s">
        <v>1794</v>
      </c>
      <c r="F398" s="306" t="s">
        <v>1007</v>
      </c>
      <c r="G398" s="308">
        <v>46019</v>
      </c>
      <c r="H398" s="308">
        <v>46019</v>
      </c>
      <c r="I398" s="309">
        <v>-18141.599999999999</v>
      </c>
      <c r="J398" s="306" t="s">
        <v>1008</v>
      </c>
      <c r="K398" s="309">
        <v>-18141.599999999999</v>
      </c>
      <c r="L398" s="306" t="s">
        <v>1008</v>
      </c>
      <c r="M398" s="306" t="s">
        <v>1738</v>
      </c>
      <c r="N398" s="306" t="s">
        <v>1694</v>
      </c>
      <c r="O398" s="306" t="s">
        <v>1795</v>
      </c>
      <c r="P398" s="306" t="s">
        <v>1696</v>
      </c>
      <c r="Q398" s="306" t="s">
        <v>1013</v>
      </c>
      <c r="R398" s="306" t="s">
        <v>1013</v>
      </c>
      <c r="S398" s="306" t="s">
        <v>1013</v>
      </c>
      <c r="T398" s="306" t="s">
        <v>1697</v>
      </c>
      <c r="U398" s="306" t="s">
        <v>1013</v>
      </c>
      <c r="V398" s="306" t="s">
        <v>1013</v>
      </c>
      <c r="W398" s="306" t="s">
        <v>1013</v>
      </c>
      <c r="X398" s="306" t="s">
        <v>1013</v>
      </c>
      <c r="Y398" s="306" t="s">
        <v>1697</v>
      </c>
      <c r="Z398" s="306" t="s">
        <v>1015</v>
      </c>
      <c r="AA398" s="306" t="s">
        <v>1013</v>
      </c>
    </row>
    <row r="399" spans="1:27" hidden="1">
      <c r="A399" s="306" t="s">
        <v>494</v>
      </c>
      <c r="B399" s="306" t="s">
        <v>1003</v>
      </c>
      <c r="C399" s="306" t="s">
        <v>1004</v>
      </c>
      <c r="D399" s="306" t="s">
        <v>1031</v>
      </c>
      <c r="E399" s="306" t="s">
        <v>1796</v>
      </c>
      <c r="F399" s="306" t="s">
        <v>1007</v>
      </c>
      <c r="G399" s="308">
        <v>46019</v>
      </c>
      <c r="H399" s="308">
        <v>46019</v>
      </c>
      <c r="I399" s="309">
        <v>-597388.28</v>
      </c>
      <c r="J399" s="306" t="s">
        <v>1008</v>
      </c>
      <c r="K399" s="309">
        <v>-597388.28</v>
      </c>
      <c r="L399" s="306" t="s">
        <v>1008</v>
      </c>
      <c r="M399" s="306" t="s">
        <v>1699</v>
      </c>
      <c r="N399" s="306" t="s">
        <v>1694</v>
      </c>
      <c r="O399" s="306" t="s">
        <v>1797</v>
      </c>
      <c r="P399" s="306" t="s">
        <v>1696</v>
      </c>
      <c r="Q399" s="306" t="s">
        <v>1013</v>
      </c>
      <c r="R399" s="306" t="s">
        <v>1013</v>
      </c>
      <c r="S399" s="306" t="s">
        <v>1013</v>
      </c>
      <c r="T399" s="306" t="s">
        <v>1697</v>
      </c>
      <c r="U399" s="306" t="s">
        <v>1013</v>
      </c>
      <c r="V399" s="306" t="s">
        <v>1013</v>
      </c>
      <c r="W399" s="306" t="s">
        <v>1013</v>
      </c>
      <c r="X399" s="306" t="s">
        <v>1013</v>
      </c>
      <c r="Y399" s="306" t="s">
        <v>1697</v>
      </c>
      <c r="Z399" s="306" t="s">
        <v>1015</v>
      </c>
      <c r="AA399" s="306" t="s">
        <v>1013</v>
      </c>
    </row>
    <row r="400" spans="1:27" hidden="1">
      <c r="A400" s="306" t="s">
        <v>494</v>
      </c>
      <c r="B400" s="306" t="s">
        <v>1003</v>
      </c>
      <c r="C400" s="306" t="s">
        <v>1004</v>
      </c>
      <c r="D400" s="306" t="s">
        <v>1031</v>
      </c>
      <c r="E400" s="306" t="s">
        <v>1798</v>
      </c>
      <c r="F400" s="306" t="s">
        <v>1007</v>
      </c>
      <c r="G400" s="308">
        <v>46019</v>
      </c>
      <c r="H400" s="308">
        <v>46019</v>
      </c>
      <c r="I400" s="309">
        <v>-343497.46</v>
      </c>
      <c r="J400" s="306" t="s">
        <v>1008</v>
      </c>
      <c r="K400" s="309">
        <v>-343497.46</v>
      </c>
      <c r="L400" s="306" t="s">
        <v>1008</v>
      </c>
      <c r="M400" s="306" t="s">
        <v>1699</v>
      </c>
      <c r="N400" s="306" t="s">
        <v>1694</v>
      </c>
      <c r="O400" s="306" t="s">
        <v>1799</v>
      </c>
      <c r="P400" s="306" t="s">
        <v>1696</v>
      </c>
      <c r="Q400" s="306" t="s">
        <v>1013</v>
      </c>
      <c r="R400" s="306" t="s">
        <v>1013</v>
      </c>
      <c r="S400" s="306" t="s">
        <v>1013</v>
      </c>
      <c r="T400" s="306" t="s">
        <v>1697</v>
      </c>
      <c r="U400" s="306" t="s">
        <v>1013</v>
      </c>
      <c r="V400" s="306" t="s">
        <v>1013</v>
      </c>
      <c r="W400" s="306" t="s">
        <v>1013</v>
      </c>
      <c r="X400" s="306" t="s">
        <v>1013</v>
      </c>
      <c r="Y400" s="306" t="s">
        <v>1697</v>
      </c>
      <c r="Z400" s="306" t="s">
        <v>1015</v>
      </c>
      <c r="AA400" s="306" t="s">
        <v>1013</v>
      </c>
    </row>
    <row r="401" spans="1:27" hidden="1">
      <c r="A401" s="306" t="s">
        <v>494</v>
      </c>
      <c r="B401" s="306" t="s">
        <v>1003</v>
      </c>
      <c r="C401" s="306" t="s">
        <v>1004</v>
      </c>
      <c r="D401" s="306" t="s">
        <v>1019</v>
      </c>
      <c r="E401" s="306" t="s">
        <v>1800</v>
      </c>
      <c r="F401" s="306" t="s">
        <v>1007</v>
      </c>
      <c r="G401" s="308">
        <v>46019</v>
      </c>
      <c r="H401" s="308">
        <v>46019</v>
      </c>
      <c r="I401" s="309">
        <v>-74457.55</v>
      </c>
      <c r="J401" s="306" t="s">
        <v>1008</v>
      </c>
      <c r="K401" s="309">
        <v>-74457.55</v>
      </c>
      <c r="L401" s="306" t="s">
        <v>1008</v>
      </c>
      <c r="M401" s="306" t="s">
        <v>1738</v>
      </c>
      <c r="N401" s="306" t="s">
        <v>1694</v>
      </c>
      <c r="O401" s="306" t="s">
        <v>1801</v>
      </c>
      <c r="P401" s="306" t="s">
        <v>1696</v>
      </c>
      <c r="Q401" s="306" t="s">
        <v>1013</v>
      </c>
      <c r="R401" s="306" t="s">
        <v>1013</v>
      </c>
      <c r="S401" s="306" t="s">
        <v>1013</v>
      </c>
      <c r="T401" s="306" t="s">
        <v>1697</v>
      </c>
      <c r="U401" s="306" t="s">
        <v>1013</v>
      </c>
      <c r="V401" s="306" t="s">
        <v>1013</v>
      </c>
      <c r="W401" s="306" t="s">
        <v>1013</v>
      </c>
      <c r="X401" s="306" t="s">
        <v>1013</v>
      </c>
      <c r="Y401" s="306" t="s">
        <v>1697</v>
      </c>
      <c r="Z401" s="306" t="s">
        <v>1015</v>
      </c>
      <c r="AA401" s="306" t="s">
        <v>1013</v>
      </c>
    </row>
    <row r="402" spans="1:27" hidden="1">
      <c r="A402" s="306" t="s">
        <v>494</v>
      </c>
      <c r="B402" s="306" t="s">
        <v>1003</v>
      </c>
      <c r="C402" s="306" t="s">
        <v>1004</v>
      </c>
      <c r="D402" s="306" t="s">
        <v>1031</v>
      </c>
      <c r="E402" s="306" t="s">
        <v>1802</v>
      </c>
      <c r="F402" s="306" t="s">
        <v>1007</v>
      </c>
      <c r="G402" s="308">
        <v>46019</v>
      </c>
      <c r="H402" s="308">
        <v>46019</v>
      </c>
      <c r="I402" s="309">
        <v>-38322.839999999997</v>
      </c>
      <c r="J402" s="306" t="s">
        <v>1008</v>
      </c>
      <c r="K402" s="309">
        <v>-38322.839999999997</v>
      </c>
      <c r="L402" s="306" t="s">
        <v>1008</v>
      </c>
      <c r="M402" s="306" t="s">
        <v>1699</v>
      </c>
      <c r="N402" s="306" t="s">
        <v>1694</v>
      </c>
      <c r="O402" s="306" t="s">
        <v>1803</v>
      </c>
      <c r="P402" s="306" t="s">
        <v>1696</v>
      </c>
      <c r="Q402" s="306" t="s">
        <v>1013</v>
      </c>
      <c r="R402" s="306" t="s">
        <v>1013</v>
      </c>
      <c r="S402" s="306" t="s">
        <v>1013</v>
      </c>
      <c r="T402" s="306" t="s">
        <v>1697</v>
      </c>
      <c r="U402" s="306" t="s">
        <v>1013</v>
      </c>
      <c r="V402" s="306" t="s">
        <v>1013</v>
      </c>
      <c r="W402" s="306" t="s">
        <v>1013</v>
      </c>
      <c r="X402" s="306" t="s">
        <v>1013</v>
      </c>
      <c r="Y402" s="306" t="s">
        <v>1697</v>
      </c>
      <c r="Z402" s="306" t="s">
        <v>1015</v>
      </c>
      <c r="AA402" s="306" t="s">
        <v>1013</v>
      </c>
    </row>
    <row r="403" spans="1:27" hidden="1">
      <c r="A403" s="306" t="s">
        <v>494</v>
      </c>
      <c r="B403" s="306" t="s">
        <v>1003</v>
      </c>
      <c r="C403" s="306" t="s">
        <v>1004</v>
      </c>
      <c r="D403" s="306" t="s">
        <v>1019</v>
      </c>
      <c r="E403" s="306" t="s">
        <v>1804</v>
      </c>
      <c r="F403" s="306" t="s">
        <v>1007</v>
      </c>
      <c r="G403" s="308">
        <v>46019</v>
      </c>
      <c r="H403" s="308">
        <v>46019</v>
      </c>
      <c r="I403" s="309">
        <v>-10358.84</v>
      </c>
      <c r="J403" s="306" t="s">
        <v>1008</v>
      </c>
      <c r="K403" s="309">
        <v>-10358.84</v>
      </c>
      <c r="L403" s="306" t="s">
        <v>1008</v>
      </c>
      <c r="M403" s="306" t="s">
        <v>1738</v>
      </c>
      <c r="N403" s="306" t="s">
        <v>1694</v>
      </c>
      <c r="O403" s="306" t="s">
        <v>1805</v>
      </c>
      <c r="P403" s="306" t="s">
        <v>1696</v>
      </c>
      <c r="Q403" s="306" t="s">
        <v>1013</v>
      </c>
      <c r="R403" s="306" t="s">
        <v>1013</v>
      </c>
      <c r="S403" s="306" t="s">
        <v>1013</v>
      </c>
      <c r="T403" s="306" t="s">
        <v>1697</v>
      </c>
      <c r="U403" s="306" t="s">
        <v>1013</v>
      </c>
      <c r="V403" s="306" t="s">
        <v>1013</v>
      </c>
      <c r="W403" s="306" t="s">
        <v>1013</v>
      </c>
      <c r="X403" s="306" t="s">
        <v>1013</v>
      </c>
      <c r="Y403" s="306" t="s">
        <v>1697</v>
      </c>
      <c r="Z403" s="306" t="s">
        <v>1015</v>
      </c>
      <c r="AA403" s="306" t="s">
        <v>1013</v>
      </c>
    </row>
    <row r="404" spans="1:27" hidden="1">
      <c r="A404" s="306" t="s">
        <v>494</v>
      </c>
      <c r="B404" s="306" t="s">
        <v>1003</v>
      </c>
      <c r="C404" s="306" t="s">
        <v>1004</v>
      </c>
      <c r="D404" s="306" t="s">
        <v>1019</v>
      </c>
      <c r="E404" s="306" t="s">
        <v>1806</v>
      </c>
      <c r="F404" s="306" t="s">
        <v>1007</v>
      </c>
      <c r="G404" s="308">
        <v>46019</v>
      </c>
      <c r="H404" s="308">
        <v>46019</v>
      </c>
      <c r="I404" s="309">
        <v>-1470.81</v>
      </c>
      <c r="J404" s="306" t="s">
        <v>1008</v>
      </c>
      <c r="K404" s="309">
        <v>-1470.81</v>
      </c>
      <c r="L404" s="306" t="s">
        <v>1008</v>
      </c>
      <c r="M404" s="306" t="s">
        <v>1738</v>
      </c>
      <c r="N404" s="306" t="s">
        <v>1694</v>
      </c>
      <c r="O404" s="306" t="s">
        <v>1807</v>
      </c>
      <c r="P404" s="306" t="s">
        <v>1696</v>
      </c>
      <c r="Q404" s="306" t="s">
        <v>1013</v>
      </c>
      <c r="R404" s="306" t="s">
        <v>1013</v>
      </c>
      <c r="S404" s="306" t="s">
        <v>1013</v>
      </c>
      <c r="T404" s="306" t="s">
        <v>1697</v>
      </c>
      <c r="U404" s="306" t="s">
        <v>1013</v>
      </c>
      <c r="V404" s="306" t="s">
        <v>1013</v>
      </c>
      <c r="W404" s="306" t="s">
        <v>1013</v>
      </c>
      <c r="X404" s="306" t="s">
        <v>1013</v>
      </c>
      <c r="Y404" s="306" t="s">
        <v>1697</v>
      </c>
      <c r="Z404" s="306" t="s">
        <v>1015</v>
      </c>
      <c r="AA404" s="306" t="s">
        <v>1013</v>
      </c>
    </row>
    <row r="405" spans="1:27" hidden="1">
      <c r="A405" s="306" t="s">
        <v>494</v>
      </c>
      <c r="B405" s="306" t="s">
        <v>1003</v>
      </c>
      <c r="C405" s="306" t="s">
        <v>1004</v>
      </c>
      <c r="D405" s="306" t="s">
        <v>1019</v>
      </c>
      <c r="E405" s="306" t="s">
        <v>1808</v>
      </c>
      <c r="F405" s="306" t="s">
        <v>1007</v>
      </c>
      <c r="G405" s="308">
        <v>45961</v>
      </c>
      <c r="H405" s="308">
        <v>46019</v>
      </c>
      <c r="I405" s="309">
        <v>46475.92</v>
      </c>
      <c r="J405" s="306" t="s">
        <v>1008</v>
      </c>
      <c r="K405" s="309">
        <v>46475.92</v>
      </c>
      <c r="L405" s="306" t="s">
        <v>1008</v>
      </c>
      <c r="M405" s="306" t="s">
        <v>1809</v>
      </c>
      <c r="N405" s="306" t="s">
        <v>1810</v>
      </c>
      <c r="O405" s="306" t="s">
        <v>1811</v>
      </c>
      <c r="P405" s="306" t="s">
        <v>270</v>
      </c>
      <c r="Q405" s="306" t="s">
        <v>1013</v>
      </c>
      <c r="R405" s="306" t="s">
        <v>1013</v>
      </c>
      <c r="S405" s="306" t="s">
        <v>1013</v>
      </c>
      <c r="T405" s="306" t="s">
        <v>1812</v>
      </c>
      <c r="U405" s="306" t="s">
        <v>1013</v>
      </c>
      <c r="V405" s="306" t="s">
        <v>1013</v>
      </c>
      <c r="W405" s="306" t="s">
        <v>1013</v>
      </c>
      <c r="X405" s="306" t="s">
        <v>1013</v>
      </c>
      <c r="Y405" s="306" t="s">
        <v>1812</v>
      </c>
      <c r="Z405" s="306" t="s">
        <v>1015</v>
      </c>
      <c r="AA405" s="306" t="s">
        <v>1013</v>
      </c>
    </row>
    <row r="406" spans="1:27" hidden="1">
      <c r="A406" s="306" t="s">
        <v>494</v>
      </c>
      <c r="B406" s="306" t="s">
        <v>1003</v>
      </c>
      <c r="C406" s="306" t="s">
        <v>1004</v>
      </c>
      <c r="D406" s="306" t="s">
        <v>1019</v>
      </c>
      <c r="E406" s="306" t="s">
        <v>1813</v>
      </c>
      <c r="F406" s="306" t="s">
        <v>1007</v>
      </c>
      <c r="G406" s="308">
        <v>45991</v>
      </c>
      <c r="H406" s="308">
        <v>46019</v>
      </c>
      <c r="I406" s="309">
        <v>95533.98</v>
      </c>
      <c r="J406" s="306" t="s">
        <v>1008</v>
      </c>
      <c r="K406" s="309">
        <v>95533.98</v>
      </c>
      <c r="L406" s="306" t="s">
        <v>1008</v>
      </c>
      <c r="M406" s="306" t="s">
        <v>1814</v>
      </c>
      <c r="N406" s="306" t="s">
        <v>1810</v>
      </c>
      <c r="O406" s="306" t="s">
        <v>1815</v>
      </c>
      <c r="P406" s="306" t="s">
        <v>270</v>
      </c>
      <c r="Q406" s="306" t="s">
        <v>1013</v>
      </c>
      <c r="R406" s="306" t="s">
        <v>1013</v>
      </c>
      <c r="S406" s="306" t="s">
        <v>1013</v>
      </c>
      <c r="T406" s="306" t="s">
        <v>1812</v>
      </c>
      <c r="U406" s="306" t="s">
        <v>1013</v>
      </c>
      <c r="V406" s="306" t="s">
        <v>1013</v>
      </c>
      <c r="W406" s="306" t="s">
        <v>1013</v>
      </c>
      <c r="X406" s="306" t="s">
        <v>1013</v>
      </c>
      <c r="Y406" s="306" t="s">
        <v>1812</v>
      </c>
      <c r="Z406" s="306" t="s">
        <v>1015</v>
      </c>
      <c r="AA406" s="306" t="s">
        <v>1013</v>
      </c>
    </row>
    <row r="407" spans="1:27" hidden="1">
      <c r="A407" s="306" t="s">
        <v>494</v>
      </c>
      <c r="B407" s="306" t="s">
        <v>1003</v>
      </c>
      <c r="C407" s="306" t="s">
        <v>1004</v>
      </c>
      <c r="D407" s="306" t="s">
        <v>1019</v>
      </c>
      <c r="E407" s="306" t="s">
        <v>1816</v>
      </c>
      <c r="F407" s="306" t="s">
        <v>1007</v>
      </c>
      <c r="G407" s="308">
        <v>45991</v>
      </c>
      <c r="H407" s="308">
        <v>46019</v>
      </c>
      <c r="I407" s="309">
        <v>152307.91</v>
      </c>
      <c r="J407" s="306" t="s">
        <v>1008</v>
      </c>
      <c r="K407" s="309">
        <v>152307.91</v>
      </c>
      <c r="L407" s="306" t="s">
        <v>1008</v>
      </c>
      <c r="M407" s="306" t="s">
        <v>1814</v>
      </c>
      <c r="N407" s="306" t="s">
        <v>1810</v>
      </c>
      <c r="O407" s="306" t="s">
        <v>1817</v>
      </c>
      <c r="P407" s="306" t="s">
        <v>270</v>
      </c>
      <c r="Q407" s="306" t="s">
        <v>1013</v>
      </c>
      <c r="R407" s="306" t="s">
        <v>1013</v>
      </c>
      <c r="S407" s="306" t="s">
        <v>1013</v>
      </c>
      <c r="T407" s="306" t="s">
        <v>1812</v>
      </c>
      <c r="U407" s="306" t="s">
        <v>1013</v>
      </c>
      <c r="V407" s="306" t="s">
        <v>1013</v>
      </c>
      <c r="W407" s="306" t="s">
        <v>1013</v>
      </c>
      <c r="X407" s="306" t="s">
        <v>1013</v>
      </c>
      <c r="Y407" s="306" t="s">
        <v>1812</v>
      </c>
      <c r="Z407" s="306" t="s">
        <v>1015</v>
      </c>
      <c r="AA407" s="306" t="s">
        <v>1013</v>
      </c>
    </row>
    <row r="408" spans="1:27" hidden="1">
      <c r="A408" s="306" t="s">
        <v>494</v>
      </c>
      <c r="B408" s="306" t="s">
        <v>1003</v>
      </c>
      <c r="C408" s="306" t="s">
        <v>1004</v>
      </c>
      <c r="D408" s="306" t="s">
        <v>1818</v>
      </c>
      <c r="E408" s="306" t="s">
        <v>1819</v>
      </c>
      <c r="F408" s="306" t="s">
        <v>1007</v>
      </c>
      <c r="G408" s="308">
        <v>45991</v>
      </c>
      <c r="H408" s="308">
        <v>46019</v>
      </c>
      <c r="I408" s="309">
        <v>30546.79</v>
      </c>
      <c r="J408" s="306" t="s">
        <v>1008</v>
      </c>
      <c r="K408" s="309">
        <v>30546.79</v>
      </c>
      <c r="L408" s="306" t="s">
        <v>1008</v>
      </c>
      <c r="M408" s="306" t="s">
        <v>1820</v>
      </c>
      <c r="N408" s="306" t="s">
        <v>1821</v>
      </c>
      <c r="O408" s="306" t="s">
        <v>1822</v>
      </c>
      <c r="P408" s="306" t="s">
        <v>270</v>
      </c>
      <c r="Q408" s="306" t="s">
        <v>1013</v>
      </c>
      <c r="R408" s="306" t="s">
        <v>1013</v>
      </c>
      <c r="S408" s="306" t="s">
        <v>1013</v>
      </c>
      <c r="T408" s="306" t="s">
        <v>1013</v>
      </c>
      <c r="U408" s="306" t="s">
        <v>1013</v>
      </c>
      <c r="V408" s="306" t="s">
        <v>1013</v>
      </c>
      <c r="W408" s="306" t="s">
        <v>1013</v>
      </c>
      <c r="X408" s="306" t="s">
        <v>1013</v>
      </c>
      <c r="Y408" s="306" t="s">
        <v>1812</v>
      </c>
      <c r="Z408" s="306" t="s">
        <v>1015</v>
      </c>
      <c r="AA408" s="306" t="s">
        <v>1013</v>
      </c>
    </row>
    <row r="409" spans="1:27" hidden="1">
      <c r="A409" s="306" t="s">
        <v>494</v>
      </c>
      <c r="B409" s="306" t="s">
        <v>1003</v>
      </c>
      <c r="C409" s="306" t="s">
        <v>1004</v>
      </c>
      <c r="D409" s="306" t="s">
        <v>1031</v>
      </c>
      <c r="E409" s="306" t="s">
        <v>1823</v>
      </c>
      <c r="F409" s="306" t="s">
        <v>1007</v>
      </c>
      <c r="G409" s="308">
        <v>46019</v>
      </c>
      <c r="H409" s="308">
        <v>46019</v>
      </c>
      <c r="I409" s="309">
        <v>-26459.25</v>
      </c>
      <c r="J409" s="306" t="s">
        <v>1008</v>
      </c>
      <c r="K409" s="309">
        <v>-26459.25</v>
      </c>
      <c r="L409" s="306" t="s">
        <v>1008</v>
      </c>
      <c r="M409" s="306" t="s">
        <v>1824</v>
      </c>
      <c r="N409" s="306" t="s">
        <v>1825</v>
      </c>
      <c r="O409" s="306" t="s">
        <v>1826</v>
      </c>
      <c r="P409" s="306" t="s">
        <v>270</v>
      </c>
      <c r="Q409" s="306" t="s">
        <v>1013</v>
      </c>
      <c r="R409" s="306" t="s">
        <v>1013</v>
      </c>
      <c r="S409" s="306" t="s">
        <v>1013</v>
      </c>
      <c r="T409" s="306" t="s">
        <v>1812</v>
      </c>
      <c r="U409" s="306" t="s">
        <v>1013</v>
      </c>
      <c r="V409" s="306" t="s">
        <v>1013</v>
      </c>
      <c r="W409" s="306" t="s">
        <v>1013</v>
      </c>
      <c r="X409" s="306" t="s">
        <v>1013</v>
      </c>
      <c r="Y409" s="306" t="s">
        <v>1812</v>
      </c>
      <c r="Z409" s="306" t="s">
        <v>1015</v>
      </c>
      <c r="AA409" s="306" t="s">
        <v>1013</v>
      </c>
    </row>
    <row r="410" spans="1:27" hidden="1">
      <c r="A410" s="306" t="s">
        <v>494</v>
      </c>
      <c r="B410" s="306" t="s">
        <v>1003</v>
      </c>
      <c r="C410" s="306" t="s">
        <v>1004</v>
      </c>
      <c r="D410" s="306" t="s">
        <v>1031</v>
      </c>
      <c r="E410" s="306" t="s">
        <v>1827</v>
      </c>
      <c r="F410" s="306" t="s">
        <v>1007</v>
      </c>
      <c r="G410" s="308">
        <v>46019</v>
      </c>
      <c r="H410" s="308">
        <v>46019</v>
      </c>
      <c r="I410" s="309">
        <v>-1308280.97</v>
      </c>
      <c r="J410" s="306" t="s">
        <v>1008</v>
      </c>
      <c r="K410" s="309">
        <v>-1308280.97</v>
      </c>
      <c r="L410" s="306" t="s">
        <v>1008</v>
      </c>
      <c r="M410" s="306" t="s">
        <v>1824</v>
      </c>
      <c r="N410" s="306" t="s">
        <v>1825</v>
      </c>
      <c r="O410" s="306" t="s">
        <v>1828</v>
      </c>
      <c r="P410" s="306" t="s">
        <v>270</v>
      </c>
      <c r="Q410" s="306" t="s">
        <v>1013</v>
      </c>
      <c r="R410" s="306" t="s">
        <v>1013</v>
      </c>
      <c r="S410" s="306" t="s">
        <v>1013</v>
      </c>
      <c r="T410" s="306" t="s">
        <v>1812</v>
      </c>
      <c r="U410" s="306" t="s">
        <v>1013</v>
      </c>
      <c r="V410" s="306" t="s">
        <v>1013</v>
      </c>
      <c r="W410" s="306" t="s">
        <v>1013</v>
      </c>
      <c r="X410" s="306" t="s">
        <v>1013</v>
      </c>
      <c r="Y410" s="306" t="s">
        <v>1812</v>
      </c>
      <c r="Z410" s="306" t="s">
        <v>1015</v>
      </c>
      <c r="AA410" s="306" t="s">
        <v>1013</v>
      </c>
    </row>
    <row r="411" spans="1:27" hidden="1">
      <c r="A411" s="306" t="s">
        <v>494</v>
      </c>
      <c r="B411" s="306" t="s">
        <v>1003</v>
      </c>
      <c r="C411" s="306" t="s">
        <v>1004</v>
      </c>
      <c r="D411" s="306" t="s">
        <v>1031</v>
      </c>
      <c r="E411" s="306" t="s">
        <v>1829</v>
      </c>
      <c r="F411" s="306" t="s">
        <v>1007</v>
      </c>
      <c r="G411" s="308">
        <v>46019</v>
      </c>
      <c r="H411" s="308">
        <v>46019</v>
      </c>
      <c r="I411" s="309">
        <v>-1558929.51</v>
      </c>
      <c r="J411" s="306" t="s">
        <v>1008</v>
      </c>
      <c r="K411" s="309">
        <v>-1558929.51</v>
      </c>
      <c r="L411" s="306" t="s">
        <v>1008</v>
      </c>
      <c r="M411" s="306" t="s">
        <v>1824</v>
      </c>
      <c r="N411" s="306" t="s">
        <v>1825</v>
      </c>
      <c r="O411" s="306" t="s">
        <v>1830</v>
      </c>
      <c r="P411" s="306" t="s">
        <v>270</v>
      </c>
      <c r="Q411" s="306" t="s">
        <v>1013</v>
      </c>
      <c r="R411" s="306" t="s">
        <v>1013</v>
      </c>
      <c r="S411" s="306" t="s">
        <v>1013</v>
      </c>
      <c r="T411" s="306" t="s">
        <v>1812</v>
      </c>
      <c r="U411" s="306" t="s">
        <v>1013</v>
      </c>
      <c r="V411" s="306" t="s">
        <v>1013</v>
      </c>
      <c r="W411" s="306" t="s">
        <v>1013</v>
      </c>
      <c r="X411" s="306" t="s">
        <v>1013</v>
      </c>
      <c r="Y411" s="306" t="s">
        <v>1812</v>
      </c>
      <c r="Z411" s="306" t="s">
        <v>1015</v>
      </c>
      <c r="AA411" s="306" t="s">
        <v>1013</v>
      </c>
    </row>
    <row r="412" spans="1:27" hidden="1">
      <c r="A412" s="306" t="s">
        <v>494</v>
      </c>
      <c r="B412" s="306" t="s">
        <v>1003</v>
      </c>
      <c r="C412" s="306" t="s">
        <v>1004</v>
      </c>
      <c r="D412" s="306" t="s">
        <v>1031</v>
      </c>
      <c r="E412" s="306" t="s">
        <v>1831</v>
      </c>
      <c r="F412" s="306" t="s">
        <v>1007</v>
      </c>
      <c r="G412" s="308">
        <v>46019</v>
      </c>
      <c r="H412" s="308">
        <v>46019</v>
      </c>
      <c r="I412" s="309">
        <v>-489660.1</v>
      </c>
      <c r="J412" s="306" t="s">
        <v>1008</v>
      </c>
      <c r="K412" s="309">
        <v>-489660.1</v>
      </c>
      <c r="L412" s="306" t="s">
        <v>1008</v>
      </c>
      <c r="M412" s="306" t="s">
        <v>1824</v>
      </c>
      <c r="N412" s="306" t="s">
        <v>1825</v>
      </c>
      <c r="O412" s="306" t="s">
        <v>1832</v>
      </c>
      <c r="P412" s="306" t="s">
        <v>270</v>
      </c>
      <c r="Q412" s="306" t="s">
        <v>1013</v>
      </c>
      <c r="R412" s="306" t="s">
        <v>1013</v>
      </c>
      <c r="S412" s="306" t="s">
        <v>1013</v>
      </c>
      <c r="T412" s="306" t="s">
        <v>1812</v>
      </c>
      <c r="U412" s="306" t="s">
        <v>1013</v>
      </c>
      <c r="V412" s="306" t="s">
        <v>1013</v>
      </c>
      <c r="W412" s="306" t="s">
        <v>1013</v>
      </c>
      <c r="X412" s="306" t="s">
        <v>1013</v>
      </c>
      <c r="Y412" s="306" t="s">
        <v>1812</v>
      </c>
      <c r="Z412" s="306" t="s">
        <v>1015</v>
      </c>
      <c r="AA412" s="306" t="s">
        <v>1013</v>
      </c>
    </row>
    <row r="413" spans="1:27" hidden="1">
      <c r="A413" s="306" t="s">
        <v>494</v>
      </c>
      <c r="B413" s="306" t="s">
        <v>1003</v>
      </c>
      <c r="C413" s="306" t="s">
        <v>1004</v>
      </c>
      <c r="D413" s="306" t="s">
        <v>1031</v>
      </c>
      <c r="E413" s="306" t="s">
        <v>1833</v>
      </c>
      <c r="F413" s="306" t="s">
        <v>1007</v>
      </c>
      <c r="G413" s="308">
        <v>46019</v>
      </c>
      <c r="H413" s="308">
        <v>46019</v>
      </c>
      <c r="I413" s="309">
        <v>-318222.59000000003</v>
      </c>
      <c r="J413" s="306" t="s">
        <v>1008</v>
      </c>
      <c r="K413" s="309">
        <v>-318222.59000000003</v>
      </c>
      <c r="L413" s="306" t="s">
        <v>1008</v>
      </c>
      <c r="M413" s="306" t="s">
        <v>1824</v>
      </c>
      <c r="N413" s="306" t="s">
        <v>1825</v>
      </c>
      <c r="O413" s="306" t="s">
        <v>1834</v>
      </c>
      <c r="P413" s="306" t="s">
        <v>270</v>
      </c>
      <c r="Q413" s="306" t="s">
        <v>1013</v>
      </c>
      <c r="R413" s="306" t="s">
        <v>1013</v>
      </c>
      <c r="S413" s="306" t="s">
        <v>1013</v>
      </c>
      <c r="T413" s="306" t="s">
        <v>1812</v>
      </c>
      <c r="U413" s="306" t="s">
        <v>1013</v>
      </c>
      <c r="V413" s="306" t="s">
        <v>1013</v>
      </c>
      <c r="W413" s="306" t="s">
        <v>1013</v>
      </c>
      <c r="X413" s="306" t="s">
        <v>1013</v>
      </c>
      <c r="Y413" s="306" t="s">
        <v>1812</v>
      </c>
      <c r="Z413" s="306" t="s">
        <v>1015</v>
      </c>
      <c r="AA413" s="306" t="s">
        <v>1013</v>
      </c>
    </row>
    <row r="414" spans="1:27" hidden="1">
      <c r="A414" s="306" t="s">
        <v>494</v>
      </c>
      <c r="B414" s="306" t="s">
        <v>1003</v>
      </c>
      <c r="C414" s="306" t="s">
        <v>1004</v>
      </c>
      <c r="D414" s="306" t="s">
        <v>1005</v>
      </c>
      <c r="E414" s="306" t="s">
        <v>1835</v>
      </c>
      <c r="F414" s="306" t="s">
        <v>1007</v>
      </c>
      <c r="G414" s="308">
        <v>46019</v>
      </c>
      <c r="H414" s="308">
        <v>46019</v>
      </c>
      <c r="I414" s="309">
        <v>-8601161.5</v>
      </c>
      <c r="J414" s="306" t="s">
        <v>1008</v>
      </c>
      <c r="K414" s="309">
        <v>-8601161.5</v>
      </c>
      <c r="L414" s="306" t="s">
        <v>1008</v>
      </c>
      <c r="M414" s="306" t="s">
        <v>1836</v>
      </c>
      <c r="N414" s="306" t="s">
        <v>1837</v>
      </c>
      <c r="O414" s="306" t="s">
        <v>1838</v>
      </c>
      <c r="P414" s="306" t="s">
        <v>270</v>
      </c>
      <c r="Q414" s="306" t="s">
        <v>1013</v>
      </c>
      <c r="R414" s="306" t="s">
        <v>1013</v>
      </c>
      <c r="S414" s="306" t="s">
        <v>1013</v>
      </c>
      <c r="T414" s="306" t="s">
        <v>1812</v>
      </c>
      <c r="U414" s="306" t="s">
        <v>1013</v>
      </c>
      <c r="V414" s="306" t="s">
        <v>1013</v>
      </c>
      <c r="W414" s="306" t="s">
        <v>1013</v>
      </c>
      <c r="X414" s="306" t="s">
        <v>1013</v>
      </c>
      <c r="Y414" s="306" t="s">
        <v>1812</v>
      </c>
      <c r="Z414" s="306" t="s">
        <v>1015</v>
      </c>
      <c r="AA414" s="306" t="s">
        <v>1013</v>
      </c>
    </row>
    <row r="415" spans="1:27" hidden="1">
      <c r="A415" s="306" t="s">
        <v>494</v>
      </c>
      <c r="B415" s="306" t="s">
        <v>1003</v>
      </c>
      <c r="C415" s="306" t="s">
        <v>1004</v>
      </c>
      <c r="D415" s="306" t="s">
        <v>1005</v>
      </c>
      <c r="E415" s="306" t="s">
        <v>1839</v>
      </c>
      <c r="F415" s="306" t="s">
        <v>1007</v>
      </c>
      <c r="G415" s="308">
        <v>46019</v>
      </c>
      <c r="H415" s="308">
        <v>46019</v>
      </c>
      <c r="I415" s="309">
        <v>-1879793.57</v>
      </c>
      <c r="J415" s="306" t="s">
        <v>1008</v>
      </c>
      <c r="K415" s="309">
        <v>-1879793.57</v>
      </c>
      <c r="L415" s="306" t="s">
        <v>1008</v>
      </c>
      <c r="M415" s="306" t="s">
        <v>1836</v>
      </c>
      <c r="N415" s="306" t="s">
        <v>1837</v>
      </c>
      <c r="O415" s="306" t="s">
        <v>1840</v>
      </c>
      <c r="P415" s="306" t="s">
        <v>270</v>
      </c>
      <c r="Q415" s="306" t="s">
        <v>1013</v>
      </c>
      <c r="R415" s="306" t="s">
        <v>1013</v>
      </c>
      <c r="S415" s="306" t="s">
        <v>1013</v>
      </c>
      <c r="T415" s="306" t="s">
        <v>1812</v>
      </c>
      <c r="U415" s="306" t="s">
        <v>1013</v>
      </c>
      <c r="V415" s="306" t="s">
        <v>1013</v>
      </c>
      <c r="W415" s="306" t="s">
        <v>1013</v>
      </c>
      <c r="X415" s="306" t="s">
        <v>1013</v>
      </c>
      <c r="Y415" s="306" t="s">
        <v>1812</v>
      </c>
      <c r="Z415" s="306" t="s">
        <v>1015</v>
      </c>
      <c r="AA415" s="306" t="s">
        <v>1013</v>
      </c>
    </row>
    <row r="416" spans="1:27" hidden="1">
      <c r="A416" s="306" t="s">
        <v>494</v>
      </c>
      <c r="B416" s="306" t="s">
        <v>1003</v>
      </c>
      <c r="C416" s="306" t="s">
        <v>1004</v>
      </c>
      <c r="D416" s="306" t="s">
        <v>1005</v>
      </c>
      <c r="E416" s="306" t="s">
        <v>1841</v>
      </c>
      <c r="F416" s="306" t="s">
        <v>1007</v>
      </c>
      <c r="G416" s="308">
        <v>46019</v>
      </c>
      <c r="H416" s="308">
        <v>46019</v>
      </c>
      <c r="I416" s="309">
        <v>-1496934.85</v>
      </c>
      <c r="J416" s="306" t="s">
        <v>1008</v>
      </c>
      <c r="K416" s="309">
        <v>-1496934.85</v>
      </c>
      <c r="L416" s="306" t="s">
        <v>1008</v>
      </c>
      <c r="M416" s="306" t="s">
        <v>1836</v>
      </c>
      <c r="N416" s="306" t="s">
        <v>1837</v>
      </c>
      <c r="O416" s="306" t="s">
        <v>1842</v>
      </c>
      <c r="P416" s="306" t="s">
        <v>270</v>
      </c>
      <c r="Q416" s="306" t="s">
        <v>1013</v>
      </c>
      <c r="R416" s="306" t="s">
        <v>1013</v>
      </c>
      <c r="S416" s="306" t="s">
        <v>1013</v>
      </c>
      <c r="T416" s="306" t="s">
        <v>1812</v>
      </c>
      <c r="U416" s="306" t="s">
        <v>1013</v>
      </c>
      <c r="V416" s="306" t="s">
        <v>1013</v>
      </c>
      <c r="W416" s="306" t="s">
        <v>1013</v>
      </c>
      <c r="X416" s="306" t="s">
        <v>1013</v>
      </c>
      <c r="Y416" s="306" t="s">
        <v>1812</v>
      </c>
      <c r="Z416" s="306" t="s">
        <v>1015</v>
      </c>
      <c r="AA416" s="306" t="s">
        <v>1013</v>
      </c>
    </row>
    <row r="417" spans="1:27" hidden="1">
      <c r="A417" s="306" t="s">
        <v>494</v>
      </c>
      <c r="B417" s="306" t="s">
        <v>1003</v>
      </c>
      <c r="C417" s="306" t="s">
        <v>1004</v>
      </c>
      <c r="D417" s="306" t="s">
        <v>1005</v>
      </c>
      <c r="E417" s="306" t="s">
        <v>1843</v>
      </c>
      <c r="F417" s="306" t="s">
        <v>1007</v>
      </c>
      <c r="G417" s="308">
        <v>46019</v>
      </c>
      <c r="H417" s="308">
        <v>46019</v>
      </c>
      <c r="I417" s="309">
        <v>-11183656.51</v>
      </c>
      <c r="J417" s="306" t="s">
        <v>1008</v>
      </c>
      <c r="K417" s="309">
        <v>-11183656.51</v>
      </c>
      <c r="L417" s="306" t="s">
        <v>1008</v>
      </c>
      <c r="M417" s="306" t="s">
        <v>1836</v>
      </c>
      <c r="N417" s="306" t="s">
        <v>1837</v>
      </c>
      <c r="O417" s="306" t="s">
        <v>1844</v>
      </c>
      <c r="P417" s="306" t="s">
        <v>270</v>
      </c>
      <c r="Q417" s="306" t="s">
        <v>1013</v>
      </c>
      <c r="R417" s="306" t="s">
        <v>1013</v>
      </c>
      <c r="S417" s="306" t="s">
        <v>1013</v>
      </c>
      <c r="T417" s="306" t="s">
        <v>1812</v>
      </c>
      <c r="U417" s="306" t="s">
        <v>1013</v>
      </c>
      <c r="V417" s="306" t="s">
        <v>1013</v>
      </c>
      <c r="W417" s="306" t="s">
        <v>1013</v>
      </c>
      <c r="X417" s="306" t="s">
        <v>1013</v>
      </c>
      <c r="Y417" s="306" t="s">
        <v>1812</v>
      </c>
      <c r="Z417" s="306" t="s">
        <v>1015</v>
      </c>
      <c r="AA417" s="306" t="s">
        <v>1013</v>
      </c>
    </row>
    <row r="418" spans="1:27" hidden="1">
      <c r="A418" s="306" t="s">
        <v>494</v>
      </c>
      <c r="B418" s="306" t="s">
        <v>1003</v>
      </c>
      <c r="C418" s="306" t="s">
        <v>1004</v>
      </c>
      <c r="D418" s="306" t="s">
        <v>1031</v>
      </c>
      <c r="E418" s="306" t="s">
        <v>1845</v>
      </c>
      <c r="F418" s="306" t="s">
        <v>1007</v>
      </c>
      <c r="G418" s="308">
        <v>46019</v>
      </c>
      <c r="H418" s="308">
        <v>46019</v>
      </c>
      <c r="I418" s="309">
        <v>-2142189.65</v>
      </c>
      <c r="J418" s="306" t="s">
        <v>1008</v>
      </c>
      <c r="K418" s="309">
        <v>-2142189.65</v>
      </c>
      <c r="L418" s="306" t="s">
        <v>1008</v>
      </c>
      <c r="M418" s="306" t="s">
        <v>1824</v>
      </c>
      <c r="N418" s="306" t="s">
        <v>1825</v>
      </c>
      <c r="O418" s="306" t="s">
        <v>1846</v>
      </c>
      <c r="P418" s="306" t="s">
        <v>270</v>
      </c>
      <c r="Q418" s="306" t="s">
        <v>1013</v>
      </c>
      <c r="R418" s="306" t="s">
        <v>1013</v>
      </c>
      <c r="S418" s="306" t="s">
        <v>1013</v>
      </c>
      <c r="T418" s="306" t="s">
        <v>1812</v>
      </c>
      <c r="U418" s="306" t="s">
        <v>1013</v>
      </c>
      <c r="V418" s="306" t="s">
        <v>1013</v>
      </c>
      <c r="W418" s="306" t="s">
        <v>1013</v>
      </c>
      <c r="X418" s="306" t="s">
        <v>1013</v>
      </c>
      <c r="Y418" s="306" t="s">
        <v>1812</v>
      </c>
      <c r="Z418" s="306" t="s">
        <v>1015</v>
      </c>
      <c r="AA418" s="306" t="s">
        <v>1013</v>
      </c>
    </row>
    <row r="419" spans="1:27" hidden="1">
      <c r="A419" s="306" t="s">
        <v>494</v>
      </c>
      <c r="B419" s="306" t="s">
        <v>1003</v>
      </c>
      <c r="C419" s="306" t="s">
        <v>1004</v>
      </c>
      <c r="D419" s="306" t="s">
        <v>1031</v>
      </c>
      <c r="E419" s="306" t="s">
        <v>1847</v>
      </c>
      <c r="F419" s="306" t="s">
        <v>1007</v>
      </c>
      <c r="G419" s="308">
        <v>46019</v>
      </c>
      <c r="H419" s="308">
        <v>46019</v>
      </c>
      <c r="I419" s="309">
        <v>-402400.49</v>
      </c>
      <c r="J419" s="306" t="s">
        <v>1008</v>
      </c>
      <c r="K419" s="309">
        <v>-402400.49</v>
      </c>
      <c r="L419" s="306" t="s">
        <v>1008</v>
      </c>
      <c r="M419" s="306" t="s">
        <v>1824</v>
      </c>
      <c r="N419" s="306" t="s">
        <v>1825</v>
      </c>
      <c r="O419" s="306" t="s">
        <v>1848</v>
      </c>
      <c r="P419" s="306" t="s">
        <v>270</v>
      </c>
      <c r="Q419" s="306" t="s">
        <v>1013</v>
      </c>
      <c r="R419" s="306" t="s">
        <v>1013</v>
      </c>
      <c r="S419" s="306" t="s">
        <v>1013</v>
      </c>
      <c r="T419" s="306" t="s">
        <v>1812</v>
      </c>
      <c r="U419" s="306" t="s">
        <v>1013</v>
      </c>
      <c r="V419" s="306" t="s">
        <v>1013</v>
      </c>
      <c r="W419" s="306" t="s">
        <v>1013</v>
      </c>
      <c r="X419" s="306" t="s">
        <v>1013</v>
      </c>
      <c r="Y419" s="306" t="s">
        <v>1812</v>
      </c>
      <c r="Z419" s="306" t="s">
        <v>1015</v>
      </c>
      <c r="AA419" s="306" t="s">
        <v>1013</v>
      </c>
    </row>
    <row r="420" spans="1:27" hidden="1">
      <c r="A420" s="306" t="s">
        <v>494</v>
      </c>
      <c r="B420" s="306" t="s">
        <v>1003</v>
      </c>
      <c r="C420" s="306" t="s">
        <v>1004</v>
      </c>
      <c r="D420" s="306" t="s">
        <v>1031</v>
      </c>
      <c r="E420" s="306" t="s">
        <v>1849</v>
      </c>
      <c r="F420" s="306" t="s">
        <v>1007</v>
      </c>
      <c r="G420" s="308">
        <v>46019</v>
      </c>
      <c r="H420" s="308">
        <v>46019</v>
      </c>
      <c r="I420" s="309">
        <v>-8038.54</v>
      </c>
      <c r="J420" s="306" t="s">
        <v>1008</v>
      </c>
      <c r="K420" s="309">
        <v>-8038.54</v>
      </c>
      <c r="L420" s="306" t="s">
        <v>1008</v>
      </c>
      <c r="M420" s="306" t="s">
        <v>1824</v>
      </c>
      <c r="N420" s="306" t="s">
        <v>1825</v>
      </c>
      <c r="O420" s="306" t="s">
        <v>1850</v>
      </c>
      <c r="P420" s="306" t="s">
        <v>270</v>
      </c>
      <c r="Q420" s="306" t="s">
        <v>1013</v>
      </c>
      <c r="R420" s="306" t="s">
        <v>1013</v>
      </c>
      <c r="S420" s="306" t="s">
        <v>1013</v>
      </c>
      <c r="T420" s="306" t="s">
        <v>1812</v>
      </c>
      <c r="U420" s="306" t="s">
        <v>1013</v>
      </c>
      <c r="V420" s="306" t="s">
        <v>1013</v>
      </c>
      <c r="W420" s="306" t="s">
        <v>1013</v>
      </c>
      <c r="X420" s="306" t="s">
        <v>1013</v>
      </c>
      <c r="Y420" s="306" t="s">
        <v>1812</v>
      </c>
      <c r="Z420" s="306" t="s">
        <v>1015</v>
      </c>
      <c r="AA420" s="306" t="s">
        <v>1013</v>
      </c>
    </row>
    <row r="421" spans="1:27" hidden="1">
      <c r="A421" s="306" t="s">
        <v>494</v>
      </c>
      <c r="B421" s="306" t="s">
        <v>1003</v>
      </c>
      <c r="C421" s="306" t="s">
        <v>1004</v>
      </c>
      <c r="D421" s="306" t="s">
        <v>1031</v>
      </c>
      <c r="E421" s="306" t="s">
        <v>1851</v>
      </c>
      <c r="F421" s="306" t="s">
        <v>1007</v>
      </c>
      <c r="G421" s="308">
        <v>46019</v>
      </c>
      <c r="H421" s="308">
        <v>46019</v>
      </c>
      <c r="I421" s="309">
        <v>-229525.64</v>
      </c>
      <c r="J421" s="306" t="s">
        <v>1008</v>
      </c>
      <c r="K421" s="309">
        <v>-229525.64</v>
      </c>
      <c r="L421" s="306" t="s">
        <v>1008</v>
      </c>
      <c r="M421" s="306" t="s">
        <v>1824</v>
      </c>
      <c r="N421" s="306" t="s">
        <v>1825</v>
      </c>
      <c r="O421" s="306" t="s">
        <v>1852</v>
      </c>
      <c r="P421" s="306" t="s">
        <v>270</v>
      </c>
      <c r="Q421" s="306" t="s">
        <v>1013</v>
      </c>
      <c r="R421" s="306" t="s">
        <v>1013</v>
      </c>
      <c r="S421" s="306" t="s">
        <v>1013</v>
      </c>
      <c r="T421" s="306" t="s">
        <v>1812</v>
      </c>
      <c r="U421" s="306" t="s">
        <v>1013</v>
      </c>
      <c r="V421" s="306" t="s">
        <v>1013</v>
      </c>
      <c r="W421" s="306" t="s">
        <v>1013</v>
      </c>
      <c r="X421" s="306" t="s">
        <v>1013</v>
      </c>
      <c r="Y421" s="306" t="s">
        <v>1812</v>
      </c>
      <c r="Z421" s="306" t="s">
        <v>1015</v>
      </c>
      <c r="AA421" s="306" t="s">
        <v>1013</v>
      </c>
    </row>
    <row r="422" spans="1:27" hidden="1">
      <c r="A422" s="306" t="s">
        <v>494</v>
      </c>
      <c r="B422" s="306" t="s">
        <v>1003</v>
      </c>
      <c r="C422" s="306" t="s">
        <v>1004</v>
      </c>
      <c r="D422" s="306" t="s">
        <v>1031</v>
      </c>
      <c r="E422" s="306" t="s">
        <v>1853</v>
      </c>
      <c r="F422" s="306" t="s">
        <v>1007</v>
      </c>
      <c r="G422" s="308">
        <v>46019</v>
      </c>
      <c r="H422" s="308">
        <v>46019</v>
      </c>
      <c r="I422" s="309">
        <v>-1346721.51</v>
      </c>
      <c r="J422" s="306" t="s">
        <v>1008</v>
      </c>
      <c r="K422" s="309">
        <v>-1346721.51</v>
      </c>
      <c r="L422" s="306" t="s">
        <v>1008</v>
      </c>
      <c r="M422" s="306" t="s">
        <v>1824</v>
      </c>
      <c r="N422" s="306" t="s">
        <v>1825</v>
      </c>
      <c r="O422" s="306" t="s">
        <v>1854</v>
      </c>
      <c r="P422" s="306" t="s">
        <v>270</v>
      </c>
      <c r="Q422" s="306" t="s">
        <v>1013</v>
      </c>
      <c r="R422" s="306" t="s">
        <v>1013</v>
      </c>
      <c r="S422" s="306" t="s">
        <v>1013</v>
      </c>
      <c r="T422" s="306" t="s">
        <v>1812</v>
      </c>
      <c r="U422" s="306" t="s">
        <v>1013</v>
      </c>
      <c r="V422" s="306" t="s">
        <v>1013</v>
      </c>
      <c r="W422" s="306" t="s">
        <v>1013</v>
      </c>
      <c r="X422" s="306" t="s">
        <v>1013</v>
      </c>
      <c r="Y422" s="306" t="s">
        <v>1812</v>
      </c>
      <c r="Z422" s="306" t="s">
        <v>1015</v>
      </c>
      <c r="AA422" s="306" t="s">
        <v>1013</v>
      </c>
    </row>
    <row r="423" spans="1:27" hidden="1">
      <c r="A423" s="306" t="s">
        <v>494</v>
      </c>
      <c r="B423" s="306" t="s">
        <v>1003</v>
      </c>
      <c r="C423" s="306" t="s">
        <v>1004</v>
      </c>
      <c r="D423" s="306" t="s">
        <v>1031</v>
      </c>
      <c r="E423" s="306" t="s">
        <v>1855</v>
      </c>
      <c r="F423" s="306" t="s">
        <v>1007</v>
      </c>
      <c r="G423" s="308">
        <v>46019</v>
      </c>
      <c r="H423" s="308">
        <v>46019</v>
      </c>
      <c r="I423" s="309">
        <v>-204541.6</v>
      </c>
      <c r="J423" s="306" t="s">
        <v>1008</v>
      </c>
      <c r="K423" s="309">
        <v>-204541.6</v>
      </c>
      <c r="L423" s="306" t="s">
        <v>1008</v>
      </c>
      <c r="M423" s="306" t="s">
        <v>1824</v>
      </c>
      <c r="N423" s="306" t="s">
        <v>1825</v>
      </c>
      <c r="O423" s="306" t="s">
        <v>1856</v>
      </c>
      <c r="P423" s="306" t="s">
        <v>270</v>
      </c>
      <c r="Q423" s="306" t="s">
        <v>1013</v>
      </c>
      <c r="R423" s="306" t="s">
        <v>1013</v>
      </c>
      <c r="S423" s="306" t="s">
        <v>1013</v>
      </c>
      <c r="T423" s="306" t="s">
        <v>1812</v>
      </c>
      <c r="U423" s="306" t="s">
        <v>1013</v>
      </c>
      <c r="V423" s="306" t="s">
        <v>1013</v>
      </c>
      <c r="W423" s="306" t="s">
        <v>1013</v>
      </c>
      <c r="X423" s="306" t="s">
        <v>1013</v>
      </c>
      <c r="Y423" s="306" t="s">
        <v>1812</v>
      </c>
      <c r="Z423" s="306" t="s">
        <v>1015</v>
      </c>
      <c r="AA423" s="306" t="s">
        <v>1013</v>
      </c>
    </row>
    <row r="424" spans="1:27" hidden="1">
      <c r="A424" s="306" t="s">
        <v>494</v>
      </c>
      <c r="B424" s="306" t="s">
        <v>1003</v>
      </c>
      <c r="C424" s="306" t="s">
        <v>1004</v>
      </c>
      <c r="D424" s="306" t="s">
        <v>1031</v>
      </c>
      <c r="E424" s="306" t="s">
        <v>1857</v>
      </c>
      <c r="F424" s="306" t="s">
        <v>1007</v>
      </c>
      <c r="G424" s="308">
        <v>46019</v>
      </c>
      <c r="H424" s="308">
        <v>46019</v>
      </c>
      <c r="I424" s="309">
        <v>-459434.49</v>
      </c>
      <c r="J424" s="306" t="s">
        <v>1008</v>
      </c>
      <c r="K424" s="309">
        <v>-459434.49</v>
      </c>
      <c r="L424" s="306" t="s">
        <v>1008</v>
      </c>
      <c r="M424" s="306" t="s">
        <v>1824</v>
      </c>
      <c r="N424" s="306" t="s">
        <v>1825</v>
      </c>
      <c r="O424" s="306" t="s">
        <v>1858</v>
      </c>
      <c r="P424" s="306" t="s">
        <v>270</v>
      </c>
      <c r="Q424" s="306" t="s">
        <v>1013</v>
      </c>
      <c r="R424" s="306" t="s">
        <v>1013</v>
      </c>
      <c r="S424" s="306" t="s">
        <v>1013</v>
      </c>
      <c r="T424" s="306" t="s">
        <v>1812</v>
      </c>
      <c r="U424" s="306" t="s">
        <v>1013</v>
      </c>
      <c r="V424" s="306" t="s">
        <v>1013</v>
      </c>
      <c r="W424" s="306" t="s">
        <v>1013</v>
      </c>
      <c r="X424" s="306" t="s">
        <v>1013</v>
      </c>
      <c r="Y424" s="306" t="s">
        <v>1812</v>
      </c>
      <c r="Z424" s="306" t="s">
        <v>1015</v>
      </c>
      <c r="AA424" s="306" t="s">
        <v>1013</v>
      </c>
    </row>
    <row r="425" spans="1:27" hidden="1">
      <c r="A425" s="306" t="s">
        <v>494</v>
      </c>
      <c r="B425" s="306" t="s">
        <v>1003</v>
      </c>
      <c r="C425" s="306" t="s">
        <v>1004</v>
      </c>
      <c r="D425" s="306" t="s">
        <v>1031</v>
      </c>
      <c r="E425" s="306" t="s">
        <v>1859</v>
      </c>
      <c r="F425" s="306" t="s">
        <v>1007</v>
      </c>
      <c r="G425" s="308">
        <v>46019</v>
      </c>
      <c r="H425" s="308">
        <v>46019</v>
      </c>
      <c r="I425" s="309">
        <v>-13079232.199999999</v>
      </c>
      <c r="J425" s="306" t="s">
        <v>1008</v>
      </c>
      <c r="K425" s="309">
        <v>-13079232.199999999</v>
      </c>
      <c r="L425" s="306" t="s">
        <v>1008</v>
      </c>
      <c r="M425" s="306" t="s">
        <v>1824</v>
      </c>
      <c r="N425" s="306" t="s">
        <v>1825</v>
      </c>
      <c r="O425" s="306" t="s">
        <v>1860</v>
      </c>
      <c r="P425" s="306" t="s">
        <v>270</v>
      </c>
      <c r="Q425" s="306" t="s">
        <v>1013</v>
      </c>
      <c r="R425" s="306" t="s">
        <v>1013</v>
      </c>
      <c r="S425" s="306" t="s">
        <v>1013</v>
      </c>
      <c r="T425" s="306" t="s">
        <v>1812</v>
      </c>
      <c r="U425" s="306" t="s">
        <v>1013</v>
      </c>
      <c r="V425" s="306" t="s">
        <v>1013</v>
      </c>
      <c r="W425" s="306" t="s">
        <v>1013</v>
      </c>
      <c r="X425" s="306" t="s">
        <v>1013</v>
      </c>
      <c r="Y425" s="306" t="s">
        <v>1812</v>
      </c>
      <c r="Z425" s="306" t="s">
        <v>1015</v>
      </c>
      <c r="AA425" s="306" t="s">
        <v>1013</v>
      </c>
    </row>
    <row r="426" spans="1:27" hidden="1">
      <c r="A426" s="306" t="s">
        <v>494</v>
      </c>
      <c r="B426" s="306" t="s">
        <v>1003</v>
      </c>
      <c r="C426" s="306" t="s">
        <v>1004</v>
      </c>
      <c r="D426" s="306" t="s">
        <v>1005</v>
      </c>
      <c r="E426" s="306" t="s">
        <v>1861</v>
      </c>
      <c r="F426" s="306" t="s">
        <v>1007</v>
      </c>
      <c r="G426" s="308">
        <v>46019</v>
      </c>
      <c r="H426" s="308">
        <v>46019</v>
      </c>
      <c r="I426" s="309">
        <v>-725235.85</v>
      </c>
      <c r="J426" s="306" t="s">
        <v>1008</v>
      </c>
      <c r="K426" s="309">
        <v>-725235.85</v>
      </c>
      <c r="L426" s="306" t="s">
        <v>1008</v>
      </c>
      <c r="M426" s="306" t="s">
        <v>1836</v>
      </c>
      <c r="N426" s="306" t="s">
        <v>1837</v>
      </c>
      <c r="O426" s="306" t="s">
        <v>1862</v>
      </c>
      <c r="P426" s="306" t="s">
        <v>270</v>
      </c>
      <c r="Q426" s="306" t="s">
        <v>1013</v>
      </c>
      <c r="R426" s="306" t="s">
        <v>1013</v>
      </c>
      <c r="S426" s="306" t="s">
        <v>1013</v>
      </c>
      <c r="T426" s="306" t="s">
        <v>1812</v>
      </c>
      <c r="U426" s="306" t="s">
        <v>1013</v>
      </c>
      <c r="V426" s="306" t="s">
        <v>1013</v>
      </c>
      <c r="W426" s="306" t="s">
        <v>1013</v>
      </c>
      <c r="X426" s="306" t="s">
        <v>1013</v>
      </c>
      <c r="Y426" s="306" t="s">
        <v>1812</v>
      </c>
      <c r="Z426" s="306" t="s">
        <v>1015</v>
      </c>
      <c r="AA426" s="306" t="s">
        <v>1013</v>
      </c>
    </row>
    <row r="427" spans="1:27" hidden="1">
      <c r="A427" s="306" t="s">
        <v>494</v>
      </c>
      <c r="B427" s="306" t="s">
        <v>1003</v>
      </c>
      <c r="C427" s="306" t="s">
        <v>1004</v>
      </c>
      <c r="D427" s="306" t="s">
        <v>1005</v>
      </c>
      <c r="E427" s="306" t="s">
        <v>1863</v>
      </c>
      <c r="F427" s="306" t="s">
        <v>1007</v>
      </c>
      <c r="G427" s="308">
        <v>46019</v>
      </c>
      <c r="H427" s="308">
        <v>46019</v>
      </c>
      <c r="I427" s="309">
        <v>-1498820.75</v>
      </c>
      <c r="J427" s="306" t="s">
        <v>1008</v>
      </c>
      <c r="K427" s="309">
        <v>-1498820.75</v>
      </c>
      <c r="L427" s="306" t="s">
        <v>1008</v>
      </c>
      <c r="M427" s="306" t="s">
        <v>1836</v>
      </c>
      <c r="N427" s="306" t="s">
        <v>1837</v>
      </c>
      <c r="O427" s="306" t="s">
        <v>1864</v>
      </c>
      <c r="P427" s="306" t="s">
        <v>270</v>
      </c>
      <c r="Q427" s="306" t="s">
        <v>1013</v>
      </c>
      <c r="R427" s="306" t="s">
        <v>1013</v>
      </c>
      <c r="S427" s="306" t="s">
        <v>1013</v>
      </c>
      <c r="T427" s="306" t="s">
        <v>1812</v>
      </c>
      <c r="U427" s="306" t="s">
        <v>1013</v>
      </c>
      <c r="V427" s="306" t="s">
        <v>1013</v>
      </c>
      <c r="W427" s="306" t="s">
        <v>1013</v>
      </c>
      <c r="X427" s="306" t="s">
        <v>1013</v>
      </c>
      <c r="Y427" s="306" t="s">
        <v>1812</v>
      </c>
      <c r="Z427" s="306" t="s">
        <v>1015</v>
      </c>
      <c r="AA427" s="306" t="s">
        <v>1013</v>
      </c>
    </row>
    <row r="428" spans="1:27" hidden="1">
      <c r="A428" s="306" t="s">
        <v>494</v>
      </c>
      <c r="B428" s="306" t="s">
        <v>1003</v>
      </c>
      <c r="C428" s="306" t="s">
        <v>1004</v>
      </c>
      <c r="D428" s="306" t="s">
        <v>1005</v>
      </c>
      <c r="E428" s="306" t="s">
        <v>1865</v>
      </c>
      <c r="F428" s="306" t="s">
        <v>1007</v>
      </c>
      <c r="G428" s="308">
        <v>46019</v>
      </c>
      <c r="H428" s="308">
        <v>46019</v>
      </c>
      <c r="I428" s="309">
        <v>-563943.4</v>
      </c>
      <c r="J428" s="306" t="s">
        <v>1008</v>
      </c>
      <c r="K428" s="309">
        <v>-563943.4</v>
      </c>
      <c r="L428" s="306" t="s">
        <v>1008</v>
      </c>
      <c r="M428" s="306" t="s">
        <v>1836</v>
      </c>
      <c r="N428" s="306" t="s">
        <v>1837</v>
      </c>
      <c r="O428" s="306" t="s">
        <v>1866</v>
      </c>
      <c r="P428" s="306" t="s">
        <v>270</v>
      </c>
      <c r="Q428" s="306" t="s">
        <v>1013</v>
      </c>
      <c r="R428" s="306" t="s">
        <v>1013</v>
      </c>
      <c r="S428" s="306" t="s">
        <v>1013</v>
      </c>
      <c r="T428" s="306" t="s">
        <v>1812</v>
      </c>
      <c r="U428" s="306" t="s">
        <v>1013</v>
      </c>
      <c r="V428" s="306" t="s">
        <v>1013</v>
      </c>
      <c r="W428" s="306" t="s">
        <v>1013</v>
      </c>
      <c r="X428" s="306" t="s">
        <v>1013</v>
      </c>
      <c r="Y428" s="306" t="s">
        <v>1812</v>
      </c>
      <c r="Z428" s="306" t="s">
        <v>1015</v>
      </c>
      <c r="AA428" s="306" t="s">
        <v>1013</v>
      </c>
    </row>
    <row r="429" spans="1:27" hidden="1">
      <c r="A429" s="306" t="s">
        <v>494</v>
      </c>
      <c r="B429" s="306" t="s">
        <v>1003</v>
      </c>
      <c r="C429" s="306" t="s">
        <v>1004</v>
      </c>
      <c r="D429" s="306" t="s">
        <v>1005</v>
      </c>
      <c r="E429" s="306" t="s">
        <v>1867</v>
      </c>
      <c r="F429" s="306" t="s">
        <v>1007</v>
      </c>
      <c r="G429" s="308">
        <v>46019</v>
      </c>
      <c r="H429" s="308">
        <v>46019</v>
      </c>
      <c r="I429" s="309">
        <v>-2053430.81</v>
      </c>
      <c r="J429" s="306" t="s">
        <v>1008</v>
      </c>
      <c r="K429" s="309">
        <v>-2053430.81</v>
      </c>
      <c r="L429" s="306" t="s">
        <v>1008</v>
      </c>
      <c r="M429" s="306" t="s">
        <v>1836</v>
      </c>
      <c r="N429" s="306" t="s">
        <v>1837</v>
      </c>
      <c r="O429" s="306" t="s">
        <v>1868</v>
      </c>
      <c r="P429" s="306" t="s">
        <v>270</v>
      </c>
      <c r="Q429" s="306" t="s">
        <v>1013</v>
      </c>
      <c r="R429" s="306" t="s">
        <v>1013</v>
      </c>
      <c r="S429" s="306" t="s">
        <v>1013</v>
      </c>
      <c r="T429" s="306" t="s">
        <v>1812</v>
      </c>
      <c r="U429" s="306" t="s">
        <v>1013</v>
      </c>
      <c r="V429" s="306" t="s">
        <v>1013</v>
      </c>
      <c r="W429" s="306" t="s">
        <v>1013</v>
      </c>
      <c r="X429" s="306" t="s">
        <v>1013</v>
      </c>
      <c r="Y429" s="306" t="s">
        <v>1812</v>
      </c>
      <c r="Z429" s="306" t="s">
        <v>1015</v>
      </c>
      <c r="AA429" s="306" t="s">
        <v>1013</v>
      </c>
    </row>
    <row r="430" spans="1:27" hidden="1">
      <c r="A430" s="306" t="s">
        <v>494</v>
      </c>
      <c r="B430" s="306" t="s">
        <v>1003</v>
      </c>
      <c r="C430" s="306" t="s">
        <v>1004</v>
      </c>
      <c r="D430" s="306" t="s">
        <v>1005</v>
      </c>
      <c r="E430" s="306" t="s">
        <v>1869</v>
      </c>
      <c r="F430" s="306" t="s">
        <v>1007</v>
      </c>
      <c r="G430" s="308">
        <v>46019</v>
      </c>
      <c r="H430" s="308">
        <v>46019</v>
      </c>
      <c r="I430" s="309">
        <v>-36674.32</v>
      </c>
      <c r="J430" s="306" t="s">
        <v>1008</v>
      </c>
      <c r="K430" s="309">
        <v>-36674.32</v>
      </c>
      <c r="L430" s="306" t="s">
        <v>1008</v>
      </c>
      <c r="M430" s="306" t="s">
        <v>1836</v>
      </c>
      <c r="N430" s="306" t="s">
        <v>1837</v>
      </c>
      <c r="O430" s="306" t="s">
        <v>1870</v>
      </c>
      <c r="P430" s="306" t="s">
        <v>270</v>
      </c>
      <c r="Q430" s="306" t="s">
        <v>1013</v>
      </c>
      <c r="R430" s="306" t="s">
        <v>1013</v>
      </c>
      <c r="S430" s="306" t="s">
        <v>1013</v>
      </c>
      <c r="T430" s="306" t="s">
        <v>1812</v>
      </c>
      <c r="U430" s="306" t="s">
        <v>1013</v>
      </c>
      <c r="V430" s="306" t="s">
        <v>1013</v>
      </c>
      <c r="W430" s="306" t="s">
        <v>1013</v>
      </c>
      <c r="X430" s="306" t="s">
        <v>1013</v>
      </c>
      <c r="Y430" s="306" t="s">
        <v>1812</v>
      </c>
      <c r="Z430" s="306" t="s">
        <v>1015</v>
      </c>
      <c r="AA430" s="306" t="s">
        <v>1013</v>
      </c>
    </row>
    <row r="431" spans="1:27" hidden="1">
      <c r="A431" s="306" t="s">
        <v>494</v>
      </c>
      <c r="B431" s="306" t="s">
        <v>1003</v>
      </c>
      <c r="C431" s="306" t="s">
        <v>1004</v>
      </c>
      <c r="D431" s="306" t="s">
        <v>1031</v>
      </c>
      <c r="E431" s="306" t="s">
        <v>1871</v>
      </c>
      <c r="F431" s="306" t="s">
        <v>1007</v>
      </c>
      <c r="G431" s="308">
        <v>46019</v>
      </c>
      <c r="H431" s="308">
        <v>46019</v>
      </c>
      <c r="I431" s="309">
        <v>-2746781.4</v>
      </c>
      <c r="J431" s="306" t="s">
        <v>1008</v>
      </c>
      <c r="K431" s="309">
        <v>-2746781.4</v>
      </c>
      <c r="L431" s="306" t="s">
        <v>1008</v>
      </c>
      <c r="M431" s="306" t="s">
        <v>1824</v>
      </c>
      <c r="N431" s="306" t="s">
        <v>1825</v>
      </c>
      <c r="O431" s="306" t="s">
        <v>1872</v>
      </c>
      <c r="P431" s="306" t="s">
        <v>270</v>
      </c>
      <c r="Q431" s="306" t="s">
        <v>1013</v>
      </c>
      <c r="R431" s="306" t="s">
        <v>1013</v>
      </c>
      <c r="S431" s="306" t="s">
        <v>1013</v>
      </c>
      <c r="T431" s="306" t="s">
        <v>1812</v>
      </c>
      <c r="U431" s="306" t="s">
        <v>1013</v>
      </c>
      <c r="V431" s="306" t="s">
        <v>1013</v>
      </c>
      <c r="W431" s="306" t="s">
        <v>1013</v>
      </c>
      <c r="X431" s="306" t="s">
        <v>1013</v>
      </c>
      <c r="Y431" s="306" t="s">
        <v>1812</v>
      </c>
      <c r="Z431" s="306" t="s">
        <v>1015</v>
      </c>
      <c r="AA431" s="306" t="s">
        <v>1013</v>
      </c>
    </row>
    <row r="432" spans="1:27" hidden="1">
      <c r="A432" s="306" t="s">
        <v>494</v>
      </c>
      <c r="B432" s="306" t="s">
        <v>1003</v>
      </c>
      <c r="C432" s="306" t="s">
        <v>1004</v>
      </c>
      <c r="D432" s="306" t="s">
        <v>1031</v>
      </c>
      <c r="E432" s="306" t="s">
        <v>1873</v>
      </c>
      <c r="F432" s="306" t="s">
        <v>1007</v>
      </c>
      <c r="G432" s="308">
        <v>46019</v>
      </c>
      <c r="H432" s="308">
        <v>46019</v>
      </c>
      <c r="I432" s="309">
        <v>-2573384.96</v>
      </c>
      <c r="J432" s="306" t="s">
        <v>1008</v>
      </c>
      <c r="K432" s="309">
        <v>-2573384.96</v>
      </c>
      <c r="L432" s="306" t="s">
        <v>1008</v>
      </c>
      <c r="M432" s="306" t="s">
        <v>1824</v>
      </c>
      <c r="N432" s="306" t="s">
        <v>1825</v>
      </c>
      <c r="O432" s="306" t="s">
        <v>1874</v>
      </c>
      <c r="P432" s="306" t="s">
        <v>270</v>
      </c>
      <c r="Q432" s="306" t="s">
        <v>1013</v>
      </c>
      <c r="R432" s="306" t="s">
        <v>1013</v>
      </c>
      <c r="S432" s="306" t="s">
        <v>1013</v>
      </c>
      <c r="T432" s="306" t="s">
        <v>1812</v>
      </c>
      <c r="U432" s="306" t="s">
        <v>1013</v>
      </c>
      <c r="V432" s="306" t="s">
        <v>1013</v>
      </c>
      <c r="W432" s="306" t="s">
        <v>1013</v>
      </c>
      <c r="X432" s="306" t="s">
        <v>1013</v>
      </c>
      <c r="Y432" s="306" t="s">
        <v>1812</v>
      </c>
      <c r="Z432" s="306" t="s">
        <v>1015</v>
      </c>
      <c r="AA432" s="306" t="s">
        <v>1013</v>
      </c>
    </row>
    <row r="433" spans="1:27" hidden="1">
      <c r="A433" s="306" t="s">
        <v>494</v>
      </c>
      <c r="B433" s="306" t="s">
        <v>1003</v>
      </c>
      <c r="C433" s="306" t="s">
        <v>1004</v>
      </c>
      <c r="D433" s="306" t="s">
        <v>1031</v>
      </c>
      <c r="E433" s="306" t="s">
        <v>1875</v>
      </c>
      <c r="F433" s="306" t="s">
        <v>1007</v>
      </c>
      <c r="G433" s="308">
        <v>46019</v>
      </c>
      <c r="H433" s="308">
        <v>46019</v>
      </c>
      <c r="I433" s="309">
        <v>-225217.9</v>
      </c>
      <c r="J433" s="306" t="s">
        <v>1008</v>
      </c>
      <c r="K433" s="309">
        <v>-225217.9</v>
      </c>
      <c r="L433" s="306" t="s">
        <v>1008</v>
      </c>
      <c r="M433" s="306" t="s">
        <v>1824</v>
      </c>
      <c r="N433" s="306" t="s">
        <v>1825</v>
      </c>
      <c r="O433" s="306" t="s">
        <v>1876</v>
      </c>
      <c r="P433" s="306" t="s">
        <v>270</v>
      </c>
      <c r="Q433" s="306" t="s">
        <v>1013</v>
      </c>
      <c r="R433" s="306" t="s">
        <v>1013</v>
      </c>
      <c r="S433" s="306" t="s">
        <v>1013</v>
      </c>
      <c r="T433" s="306" t="s">
        <v>1812</v>
      </c>
      <c r="U433" s="306" t="s">
        <v>1013</v>
      </c>
      <c r="V433" s="306" t="s">
        <v>1013</v>
      </c>
      <c r="W433" s="306" t="s">
        <v>1013</v>
      </c>
      <c r="X433" s="306" t="s">
        <v>1013</v>
      </c>
      <c r="Y433" s="306" t="s">
        <v>1812</v>
      </c>
      <c r="Z433" s="306" t="s">
        <v>1015</v>
      </c>
      <c r="AA433" s="306" t="s">
        <v>1013</v>
      </c>
    </row>
    <row r="434" spans="1:27" hidden="1">
      <c r="A434" s="306" t="s">
        <v>494</v>
      </c>
      <c r="B434" s="306" t="s">
        <v>1003</v>
      </c>
      <c r="C434" s="306" t="s">
        <v>1004</v>
      </c>
      <c r="D434" s="306" t="s">
        <v>1031</v>
      </c>
      <c r="E434" s="306" t="s">
        <v>1877</v>
      </c>
      <c r="F434" s="306" t="s">
        <v>1007</v>
      </c>
      <c r="G434" s="308">
        <v>46019</v>
      </c>
      <c r="H434" s="308">
        <v>46019</v>
      </c>
      <c r="I434" s="309">
        <v>-3127912.67</v>
      </c>
      <c r="J434" s="306" t="s">
        <v>1008</v>
      </c>
      <c r="K434" s="309">
        <v>-3127912.67</v>
      </c>
      <c r="L434" s="306" t="s">
        <v>1008</v>
      </c>
      <c r="M434" s="306" t="s">
        <v>1824</v>
      </c>
      <c r="N434" s="306" t="s">
        <v>1825</v>
      </c>
      <c r="O434" s="306" t="s">
        <v>1878</v>
      </c>
      <c r="P434" s="306" t="s">
        <v>270</v>
      </c>
      <c r="Q434" s="306" t="s">
        <v>1013</v>
      </c>
      <c r="R434" s="306" t="s">
        <v>1013</v>
      </c>
      <c r="S434" s="306" t="s">
        <v>1013</v>
      </c>
      <c r="T434" s="306" t="s">
        <v>1812</v>
      </c>
      <c r="U434" s="306" t="s">
        <v>1013</v>
      </c>
      <c r="V434" s="306" t="s">
        <v>1013</v>
      </c>
      <c r="W434" s="306" t="s">
        <v>1013</v>
      </c>
      <c r="X434" s="306" t="s">
        <v>1013</v>
      </c>
      <c r="Y434" s="306" t="s">
        <v>1812</v>
      </c>
      <c r="Z434" s="306" t="s">
        <v>1015</v>
      </c>
      <c r="AA434" s="306" t="s">
        <v>1013</v>
      </c>
    </row>
    <row r="435" spans="1:27" hidden="1">
      <c r="A435" s="306" t="s">
        <v>494</v>
      </c>
      <c r="B435" s="306" t="s">
        <v>1003</v>
      </c>
      <c r="C435" s="306" t="s">
        <v>1004</v>
      </c>
      <c r="D435" s="306" t="s">
        <v>1031</v>
      </c>
      <c r="E435" s="306" t="s">
        <v>1879</v>
      </c>
      <c r="F435" s="306" t="s">
        <v>1007</v>
      </c>
      <c r="G435" s="308">
        <v>46019</v>
      </c>
      <c r="H435" s="308">
        <v>46019</v>
      </c>
      <c r="I435" s="309">
        <v>-10649115.01</v>
      </c>
      <c r="J435" s="306" t="s">
        <v>1008</v>
      </c>
      <c r="K435" s="309">
        <v>-10649115.01</v>
      </c>
      <c r="L435" s="306" t="s">
        <v>1008</v>
      </c>
      <c r="M435" s="306" t="s">
        <v>1824</v>
      </c>
      <c r="N435" s="306" t="s">
        <v>1825</v>
      </c>
      <c r="O435" s="306" t="s">
        <v>1880</v>
      </c>
      <c r="P435" s="306" t="s">
        <v>270</v>
      </c>
      <c r="Q435" s="306" t="s">
        <v>1013</v>
      </c>
      <c r="R435" s="306" t="s">
        <v>1013</v>
      </c>
      <c r="S435" s="306" t="s">
        <v>1013</v>
      </c>
      <c r="T435" s="306" t="s">
        <v>1812</v>
      </c>
      <c r="U435" s="306" t="s">
        <v>1013</v>
      </c>
      <c r="V435" s="306" t="s">
        <v>1013</v>
      </c>
      <c r="W435" s="306" t="s">
        <v>1013</v>
      </c>
      <c r="X435" s="306" t="s">
        <v>1013</v>
      </c>
      <c r="Y435" s="306" t="s">
        <v>1812</v>
      </c>
      <c r="Z435" s="306" t="s">
        <v>1015</v>
      </c>
      <c r="AA435" s="306" t="s">
        <v>1013</v>
      </c>
    </row>
    <row r="436" spans="1:27" hidden="1">
      <c r="A436" s="306" t="s">
        <v>494</v>
      </c>
      <c r="B436" s="306" t="s">
        <v>1003</v>
      </c>
      <c r="C436" s="306" t="s">
        <v>1004</v>
      </c>
      <c r="D436" s="306" t="s">
        <v>1005</v>
      </c>
      <c r="E436" s="306" t="s">
        <v>1881</v>
      </c>
      <c r="F436" s="306" t="s">
        <v>1007</v>
      </c>
      <c r="G436" s="308">
        <v>46019</v>
      </c>
      <c r="H436" s="308">
        <v>46019</v>
      </c>
      <c r="I436" s="309">
        <v>-15764.79</v>
      </c>
      <c r="J436" s="306" t="s">
        <v>1008</v>
      </c>
      <c r="K436" s="309">
        <v>-15764.79</v>
      </c>
      <c r="L436" s="306" t="s">
        <v>1008</v>
      </c>
      <c r="M436" s="306" t="s">
        <v>1836</v>
      </c>
      <c r="N436" s="306" t="s">
        <v>1837</v>
      </c>
      <c r="O436" s="306" t="s">
        <v>1882</v>
      </c>
      <c r="P436" s="306" t="s">
        <v>270</v>
      </c>
      <c r="Q436" s="306" t="s">
        <v>1013</v>
      </c>
      <c r="R436" s="306" t="s">
        <v>1013</v>
      </c>
      <c r="S436" s="306" t="s">
        <v>1013</v>
      </c>
      <c r="T436" s="306" t="s">
        <v>1812</v>
      </c>
      <c r="U436" s="306" t="s">
        <v>1013</v>
      </c>
      <c r="V436" s="306" t="s">
        <v>1013</v>
      </c>
      <c r="W436" s="306" t="s">
        <v>1013</v>
      </c>
      <c r="X436" s="306" t="s">
        <v>1013</v>
      </c>
      <c r="Y436" s="306" t="s">
        <v>1812</v>
      </c>
      <c r="Z436" s="306" t="s">
        <v>1015</v>
      </c>
      <c r="AA436" s="306" t="s">
        <v>1013</v>
      </c>
    </row>
    <row r="437" spans="1:27" hidden="1">
      <c r="A437" s="306" t="s">
        <v>494</v>
      </c>
      <c r="B437" s="306" t="s">
        <v>1003</v>
      </c>
      <c r="C437" s="306" t="s">
        <v>1004</v>
      </c>
      <c r="D437" s="306" t="s">
        <v>1005</v>
      </c>
      <c r="E437" s="306" t="s">
        <v>1883</v>
      </c>
      <c r="F437" s="306" t="s">
        <v>1007</v>
      </c>
      <c r="G437" s="308">
        <v>46019</v>
      </c>
      <c r="H437" s="308">
        <v>46019</v>
      </c>
      <c r="I437" s="309">
        <v>-263114.62</v>
      </c>
      <c r="J437" s="306" t="s">
        <v>1008</v>
      </c>
      <c r="K437" s="309">
        <v>-263114.62</v>
      </c>
      <c r="L437" s="306" t="s">
        <v>1008</v>
      </c>
      <c r="M437" s="306" t="s">
        <v>1836</v>
      </c>
      <c r="N437" s="306" t="s">
        <v>1837</v>
      </c>
      <c r="O437" s="306" t="s">
        <v>1884</v>
      </c>
      <c r="P437" s="306" t="s">
        <v>270</v>
      </c>
      <c r="Q437" s="306" t="s">
        <v>1013</v>
      </c>
      <c r="R437" s="306" t="s">
        <v>1013</v>
      </c>
      <c r="S437" s="306" t="s">
        <v>1013</v>
      </c>
      <c r="T437" s="306" t="s">
        <v>1812</v>
      </c>
      <c r="U437" s="306" t="s">
        <v>1013</v>
      </c>
      <c r="V437" s="306" t="s">
        <v>1013</v>
      </c>
      <c r="W437" s="306" t="s">
        <v>1013</v>
      </c>
      <c r="X437" s="306" t="s">
        <v>1013</v>
      </c>
      <c r="Y437" s="306" t="s">
        <v>1812</v>
      </c>
      <c r="Z437" s="306" t="s">
        <v>1015</v>
      </c>
      <c r="AA437" s="306" t="s">
        <v>1013</v>
      </c>
    </row>
    <row r="438" spans="1:27" hidden="1">
      <c r="A438" s="306" t="s">
        <v>494</v>
      </c>
      <c r="B438" s="306" t="s">
        <v>1003</v>
      </c>
      <c r="C438" s="306" t="s">
        <v>1004</v>
      </c>
      <c r="D438" s="306" t="s">
        <v>1005</v>
      </c>
      <c r="E438" s="306" t="s">
        <v>1885</v>
      </c>
      <c r="F438" s="306" t="s">
        <v>1007</v>
      </c>
      <c r="G438" s="308">
        <v>46019</v>
      </c>
      <c r="H438" s="308">
        <v>46019</v>
      </c>
      <c r="I438" s="309">
        <v>-16118317.300000001</v>
      </c>
      <c r="J438" s="306" t="s">
        <v>1008</v>
      </c>
      <c r="K438" s="309">
        <v>-16118317.300000001</v>
      </c>
      <c r="L438" s="306" t="s">
        <v>1008</v>
      </c>
      <c r="M438" s="306" t="s">
        <v>1836</v>
      </c>
      <c r="N438" s="306" t="s">
        <v>1837</v>
      </c>
      <c r="O438" s="306" t="s">
        <v>1838</v>
      </c>
      <c r="P438" s="306" t="s">
        <v>270</v>
      </c>
      <c r="Q438" s="306" t="s">
        <v>1013</v>
      </c>
      <c r="R438" s="306" t="s">
        <v>1013</v>
      </c>
      <c r="S438" s="306" t="s">
        <v>1013</v>
      </c>
      <c r="T438" s="306" t="s">
        <v>1812</v>
      </c>
      <c r="U438" s="306" t="s">
        <v>1013</v>
      </c>
      <c r="V438" s="306" t="s">
        <v>1013</v>
      </c>
      <c r="W438" s="306" t="s">
        <v>1013</v>
      </c>
      <c r="X438" s="306" t="s">
        <v>1013</v>
      </c>
      <c r="Y438" s="306" t="s">
        <v>1812</v>
      </c>
      <c r="Z438" s="306" t="s">
        <v>1015</v>
      </c>
      <c r="AA438" s="306" t="s">
        <v>1013</v>
      </c>
    </row>
    <row r="439" spans="1:27" hidden="1">
      <c r="A439" s="306" t="s">
        <v>494</v>
      </c>
      <c r="B439" s="306" t="s">
        <v>1003</v>
      </c>
      <c r="C439" s="306" t="s">
        <v>1004</v>
      </c>
      <c r="D439" s="306" t="s">
        <v>1005</v>
      </c>
      <c r="E439" s="306" t="s">
        <v>1886</v>
      </c>
      <c r="F439" s="306" t="s">
        <v>1007</v>
      </c>
      <c r="G439" s="308">
        <v>46019</v>
      </c>
      <c r="H439" s="308">
        <v>46019</v>
      </c>
      <c r="I439" s="309">
        <v>-2799139.12</v>
      </c>
      <c r="J439" s="306" t="s">
        <v>1008</v>
      </c>
      <c r="K439" s="309">
        <v>-2799139.12</v>
      </c>
      <c r="L439" s="306" t="s">
        <v>1008</v>
      </c>
      <c r="M439" s="306" t="s">
        <v>1836</v>
      </c>
      <c r="N439" s="306" t="s">
        <v>1837</v>
      </c>
      <c r="O439" s="306" t="s">
        <v>1887</v>
      </c>
      <c r="P439" s="306" t="s">
        <v>270</v>
      </c>
      <c r="Q439" s="306" t="s">
        <v>1013</v>
      </c>
      <c r="R439" s="306" t="s">
        <v>1013</v>
      </c>
      <c r="S439" s="306" t="s">
        <v>1013</v>
      </c>
      <c r="T439" s="306" t="s">
        <v>1812</v>
      </c>
      <c r="U439" s="306" t="s">
        <v>1013</v>
      </c>
      <c r="V439" s="306" t="s">
        <v>1013</v>
      </c>
      <c r="W439" s="306" t="s">
        <v>1013</v>
      </c>
      <c r="X439" s="306" t="s">
        <v>1013</v>
      </c>
      <c r="Y439" s="306" t="s">
        <v>1812</v>
      </c>
      <c r="Z439" s="306" t="s">
        <v>1015</v>
      </c>
      <c r="AA439" s="306" t="s">
        <v>1013</v>
      </c>
    </row>
    <row r="440" spans="1:27" hidden="1">
      <c r="A440" s="306" t="s">
        <v>494</v>
      </c>
      <c r="B440" s="306" t="s">
        <v>1003</v>
      </c>
      <c r="C440" s="306" t="s">
        <v>1004</v>
      </c>
      <c r="D440" s="306" t="s">
        <v>1005</v>
      </c>
      <c r="E440" s="306" t="s">
        <v>1888</v>
      </c>
      <c r="F440" s="306" t="s">
        <v>1007</v>
      </c>
      <c r="G440" s="308">
        <v>46019</v>
      </c>
      <c r="H440" s="308">
        <v>46019</v>
      </c>
      <c r="I440" s="309">
        <v>-662817.66</v>
      </c>
      <c r="J440" s="306" t="s">
        <v>1008</v>
      </c>
      <c r="K440" s="309">
        <v>-662817.66</v>
      </c>
      <c r="L440" s="306" t="s">
        <v>1008</v>
      </c>
      <c r="M440" s="306" t="s">
        <v>1836</v>
      </c>
      <c r="N440" s="306" t="s">
        <v>1837</v>
      </c>
      <c r="O440" s="306" t="s">
        <v>1840</v>
      </c>
      <c r="P440" s="306" t="s">
        <v>270</v>
      </c>
      <c r="Q440" s="306" t="s">
        <v>1013</v>
      </c>
      <c r="R440" s="306" t="s">
        <v>1013</v>
      </c>
      <c r="S440" s="306" t="s">
        <v>1013</v>
      </c>
      <c r="T440" s="306" t="s">
        <v>1812</v>
      </c>
      <c r="U440" s="306" t="s">
        <v>1013</v>
      </c>
      <c r="V440" s="306" t="s">
        <v>1013</v>
      </c>
      <c r="W440" s="306" t="s">
        <v>1013</v>
      </c>
      <c r="X440" s="306" t="s">
        <v>1013</v>
      </c>
      <c r="Y440" s="306" t="s">
        <v>1812</v>
      </c>
      <c r="Z440" s="306" t="s">
        <v>1015</v>
      </c>
      <c r="AA440" s="306" t="s">
        <v>1013</v>
      </c>
    </row>
    <row r="441" spans="1:27" hidden="1">
      <c r="A441" s="306" t="s">
        <v>494</v>
      </c>
      <c r="B441" s="306" t="s">
        <v>1003</v>
      </c>
      <c r="C441" s="306" t="s">
        <v>1004</v>
      </c>
      <c r="D441" s="306" t="s">
        <v>1005</v>
      </c>
      <c r="E441" s="306" t="s">
        <v>1889</v>
      </c>
      <c r="F441" s="306" t="s">
        <v>1007</v>
      </c>
      <c r="G441" s="308">
        <v>46019</v>
      </c>
      <c r="H441" s="308">
        <v>46019</v>
      </c>
      <c r="I441" s="309">
        <v>-2098617.7999999998</v>
      </c>
      <c r="J441" s="306" t="s">
        <v>1008</v>
      </c>
      <c r="K441" s="309">
        <v>-2098617.7999999998</v>
      </c>
      <c r="L441" s="306" t="s">
        <v>1008</v>
      </c>
      <c r="M441" s="306" t="s">
        <v>1836</v>
      </c>
      <c r="N441" s="306" t="s">
        <v>1837</v>
      </c>
      <c r="O441" s="306" t="s">
        <v>1842</v>
      </c>
      <c r="P441" s="306" t="s">
        <v>270</v>
      </c>
      <c r="Q441" s="306" t="s">
        <v>1013</v>
      </c>
      <c r="R441" s="306" t="s">
        <v>1013</v>
      </c>
      <c r="S441" s="306" t="s">
        <v>1013</v>
      </c>
      <c r="T441" s="306" t="s">
        <v>1812</v>
      </c>
      <c r="U441" s="306" t="s">
        <v>1013</v>
      </c>
      <c r="V441" s="306" t="s">
        <v>1013</v>
      </c>
      <c r="W441" s="306" t="s">
        <v>1013</v>
      </c>
      <c r="X441" s="306" t="s">
        <v>1013</v>
      </c>
      <c r="Y441" s="306" t="s">
        <v>1812</v>
      </c>
      <c r="Z441" s="306" t="s">
        <v>1015</v>
      </c>
      <c r="AA441" s="306" t="s">
        <v>1013</v>
      </c>
    </row>
    <row r="442" spans="1:27" hidden="1">
      <c r="A442" s="306" t="s">
        <v>494</v>
      </c>
      <c r="B442" s="306" t="s">
        <v>1003</v>
      </c>
      <c r="C442" s="306" t="s">
        <v>1004</v>
      </c>
      <c r="D442" s="306" t="s">
        <v>1005</v>
      </c>
      <c r="E442" s="306" t="s">
        <v>1890</v>
      </c>
      <c r="F442" s="306" t="s">
        <v>1007</v>
      </c>
      <c r="G442" s="308">
        <v>46019</v>
      </c>
      <c r="H442" s="308">
        <v>46019</v>
      </c>
      <c r="I442" s="309">
        <v>-6360741.8899999997</v>
      </c>
      <c r="J442" s="306" t="s">
        <v>1008</v>
      </c>
      <c r="K442" s="309">
        <v>-6360741.8899999997</v>
      </c>
      <c r="L442" s="306" t="s">
        <v>1008</v>
      </c>
      <c r="M442" s="306" t="s">
        <v>1836</v>
      </c>
      <c r="N442" s="306" t="s">
        <v>1837</v>
      </c>
      <c r="O442" s="306" t="s">
        <v>1844</v>
      </c>
      <c r="P442" s="306" t="s">
        <v>270</v>
      </c>
      <c r="Q442" s="306" t="s">
        <v>1013</v>
      </c>
      <c r="R442" s="306" t="s">
        <v>1013</v>
      </c>
      <c r="S442" s="306" t="s">
        <v>1013</v>
      </c>
      <c r="T442" s="306" t="s">
        <v>1812</v>
      </c>
      <c r="U442" s="306" t="s">
        <v>1013</v>
      </c>
      <c r="V442" s="306" t="s">
        <v>1013</v>
      </c>
      <c r="W442" s="306" t="s">
        <v>1013</v>
      </c>
      <c r="X442" s="306" t="s">
        <v>1013</v>
      </c>
      <c r="Y442" s="306" t="s">
        <v>1812</v>
      </c>
      <c r="Z442" s="306" t="s">
        <v>1015</v>
      </c>
      <c r="AA442" s="306" t="s">
        <v>1013</v>
      </c>
    </row>
    <row r="443" spans="1:27" hidden="1">
      <c r="A443" s="306" t="s">
        <v>494</v>
      </c>
      <c r="B443" s="306" t="s">
        <v>1003</v>
      </c>
      <c r="C443" s="306" t="s">
        <v>1004</v>
      </c>
      <c r="D443" s="306" t="s">
        <v>1031</v>
      </c>
      <c r="E443" s="306" t="s">
        <v>1891</v>
      </c>
      <c r="F443" s="306" t="s">
        <v>1007</v>
      </c>
      <c r="G443" s="308">
        <v>46019</v>
      </c>
      <c r="H443" s="308">
        <v>46019</v>
      </c>
      <c r="I443" s="309">
        <v>-25987.83</v>
      </c>
      <c r="J443" s="306" t="s">
        <v>1008</v>
      </c>
      <c r="K443" s="309">
        <v>-25987.83</v>
      </c>
      <c r="L443" s="306" t="s">
        <v>1008</v>
      </c>
      <c r="M443" s="306" t="s">
        <v>1824</v>
      </c>
      <c r="N443" s="306" t="s">
        <v>1825</v>
      </c>
      <c r="O443" s="306" t="s">
        <v>1892</v>
      </c>
      <c r="P443" s="306" t="s">
        <v>270</v>
      </c>
      <c r="Q443" s="306" t="s">
        <v>1013</v>
      </c>
      <c r="R443" s="306" t="s">
        <v>1013</v>
      </c>
      <c r="S443" s="306" t="s">
        <v>1013</v>
      </c>
      <c r="T443" s="306" t="s">
        <v>1812</v>
      </c>
      <c r="U443" s="306" t="s">
        <v>1013</v>
      </c>
      <c r="V443" s="306" t="s">
        <v>1013</v>
      </c>
      <c r="W443" s="306" t="s">
        <v>1013</v>
      </c>
      <c r="X443" s="306" t="s">
        <v>1013</v>
      </c>
      <c r="Y443" s="306" t="s">
        <v>1812</v>
      </c>
      <c r="Z443" s="306" t="s">
        <v>1015</v>
      </c>
      <c r="AA443" s="306" t="s">
        <v>1013</v>
      </c>
    </row>
    <row r="444" spans="1:27" hidden="1">
      <c r="A444" s="306" t="s">
        <v>494</v>
      </c>
      <c r="B444" s="306" t="s">
        <v>1003</v>
      </c>
      <c r="C444" s="306" t="s">
        <v>1004</v>
      </c>
      <c r="D444" s="306" t="s">
        <v>1031</v>
      </c>
      <c r="E444" s="306" t="s">
        <v>1893</v>
      </c>
      <c r="F444" s="306" t="s">
        <v>1007</v>
      </c>
      <c r="G444" s="308">
        <v>46019</v>
      </c>
      <c r="H444" s="308">
        <v>46019</v>
      </c>
      <c r="I444" s="309">
        <v>-27794.73</v>
      </c>
      <c r="J444" s="306" t="s">
        <v>1008</v>
      </c>
      <c r="K444" s="309">
        <v>-27794.73</v>
      </c>
      <c r="L444" s="306" t="s">
        <v>1008</v>
      </c>
      <c r="M444" s="306" t="s">
        <v>1824</v>
      </c>
      <c r="N444" s="306" t="s">
        <v>1825</v>
      </c>
      <c r="O444" s="306" t="s">
        <v>1894</v>
      </c>
      <c r="P444" s="306" t="s">
        <v>270</v>
      </c>
      <c r="Q444" s="306" t="s">
        <v>1013</v>
      </c>
      <c r="R444" s="306" t="s">
        <v>1013</v>
      </c>
      <c r="S444" s="306" t="s">
        <v>1013</v>
      </c>
      <c r="T444" s="306" t="s">
        <v>1812</v>
      </c>
      <c r="U444" s="306" t="s">
        <v>1013</v>
      </c>
      <c r="V444" s="306" t="s">
        <v>1013</v>
      </c>
      <c r="W444" s="306" t="s">
        <v>1013</v>
      </c>
      <c r="X444" s="306" t="s">
        <v>1013</v>
      </c>
      <c r="Y444" s="306" t="s">
        <v>1812</v>
      </c>
      <c r="Z444" s="306" t="s">
        <v>1015</v>
      </c>
      <c r="AA444" s="306" t="s">
        <v>1013</v>
      </c>
    </row>
    <row r="445" spans="1:27" hidden="1">
      <c r="A445" s="306" t="s">
        <v>494</v>
      </c>
      <c r="B445" s="306" t="s">
        <v>1003</v>
      </c>
      <c r="C445" s="306" t="s">
        <v>1004</v>
      </c>
      <c r="D445" s="306" t="s">
        <v>1031</v>
      </c>
      <c r="E445" s="306" t="s">
        <v>1895</v>
      </c>
      <c r="F445" s="306" t="s">
        <v>1007</v>
      </c>
      <c r="G445" s="308">
        <v>46019</v>
      </c>
      <c r="H445" s="308">
        <v>46019</v>
      </c>
      <c r="I445" s="309">
        <v>-2938938.06</v>
      </c>
      <c r="J445" s="306" t="s">
        <v>1008</v>
      </c>
      <c r="K445" s="309">
        <v>-2938938.06</v>
      </c>
      <c r="L445" s="306" t="s">
        <v>1008</v>
      </c>
      <c r="M445" s="306" t="s">
        <v>1824</v>
      </c>
      <c r="N445" s="306" t="s">
        <v>1825</v>
      </c>
      <c r="O445" s="306" t="s">
        <v>1896</v>
      </c>
      <c r="P445" s="306" t="s">
        <v>270</v>
      </c>
      <c r="Q445" s="306" t="s">
        <v>1013</v>
      </c>
      <c r="R445" s="306" t="s">
        <v>1013</v>
      </c>
      <c r="S445" s="306" t="s">
        <v>1013</v>
      </c>
      <c r="T445" s="306" t="s">
        <v>1812</v>
      </c>
      <c r="U445" s="306" t="s">
        <v>1013</v>
      </c>
      <c r="V445" s="306" t="s">
        <v>1013</v>
      </c>
      <c r="W445" s="306" t="s">
        <v>1013</v>
      </c>
      <c r="X445" s="306" t="s">
        <v>1013</v>
      </c>
      <c r="Y445" s="306" t="s">
        <v>1812</v>
      </c>
      <c r="Z445" s="306" t="s">
        <v>1015</v>
      </c>
      <c r="AA445" s="306" t="s">
        <v>1013</v>
      </c>
    </row>
    <row r="446" spans="1:27" hidden="1">
      <c r="A446" s="306" t="s">
        <v>494</v>
      </c>
      <c r="B446" s="306" t="s">
        <v>1003</v>
      </c>
      <c r="C446" s="306" t="s">
        <v>1004</v>
      </c>
      <c r="D446" s="306" t="s">
        <v>1031</v>
      </c>
      <c r="E446" s="306" t="s">
        <v>1897</v>
      </c>
      <c r="F446" s="306" t="s">
        <v>1007</v>
      </c>
      <c r="G446" s="308">
        <v>46019</v>
      </c>
      <c r="H446" s="308">
        <v>46019</v>
      </c>
      <c r="I446" s="309">
        <v>-198375.14</v>
      </c>
      <c r="J446" s="306" t="s">
        <v>1008</v>
      </c>
      <c r="K446" s="309">
        <v>-198375.14</v>
      </c>
      <c r="L446" s="306" t="s">
        <v>1008</v>
      </c>
      <c r="M446" s="306" t="s">
        <v>1824</v>
      </c>
      <c r="N446" s="306" t="s">
        <v>1825</v>
      </c>
      <c r="O446" s="306" t="s">
        <v>1898</v>
      </c>
      <c r="P446" s="306" t="s">
        <v>270</v>
      </c>
      <c r="Q446" s="306" t="s">
        <v>1013</v>
      </c>
      <c r="R446" s="306" t="s">
        <v>1013</v>
      </c>
      <c r="S446" s="306" t="s">
        <v>1013</v>
      </c>
      <c r="T446" s="306" t="s">
        <v>1812</v>
      </c>
      <c r="U446" s="306" t="s">
        <v>1013</v>
      </c>
      <c r="V446" s="306" t="s">
        <v>1013</v>
      </c>
      <c r="W446" s="306" t="s">
        <v>1013</v>
      </c>
      <c r="X446" s="306" t="s">
        <v>1013</v>
      </c>
      <c r="Y446" s="306" t="s">
        <v>1812</v>
      </c>
      <c r="Z446" s="306" t="s">
        <v>1015</v>
      </c>
      <c r="AA446" s="306" t="s">
        <v>1013</v>
      </c>
    </row>
    <row r="447" spans="1:27" hidden="1">
      <c r="A447" s="306" t="s">
        <v>494</v>
      </c>
      <c r="B447" s="306" t="s">
        <v>1003</v>
      </c>
      <c r="C447" s="306" t="s">
        <v>1004</v>
      </c>
      <c r="D447" s="306" t="s">
        <v>1031</v>
      </c>
      <c r="E447" s="306" t="s">
        <v>1899</v>
      </c>
      <c r="F447" s="306" t="s">
        <v>1007</v>
      </c>
      <c r="G447" s="308">
        <v>46019</v>
      </c>
      <c r="H447" s="308">
        <v>46019</v>
      </c>
      <c r="I447" s="309">
        <v>-38322.839999999997</v>
      </c>
      <c r="J447" s="306" t="s">
        <v>1008</v>
      </c>
      <c r="K447" s="309">
        <v>-38322.839999999997</v>
      </c>
      <c r="L447" s="306" t="s">
        <v>1008</v>
      </c>
      <c r="M447" s="306" t="s">
        <v>1824</v>
      </c>
      <c r="N447" s="306" t="s">
        <v>1825</v>
      </c>
      <c r="O447" s="306" t="s">
        <v>1900</v>
      </c>
      <c r="P447" s="306" t="s">
        <v>270</v>
      </c>
      <c r="Q447" s="306" t="s">
        <v>1013</v>
      </c>
      <c r="R447" s="306" t="s">
        <v>1013</v>
      </c>
      <c r="S447" s="306" t="s">
        <v>1013</v>
      </c>
      <c r="T447" s="306" t="s">
        <v>1812</v>
      </c>
      <c r="U447" s="306" t="s">
        <v>1013</v>
      </c>
      <c r="V447" s="306" t="s">
        <v>1013</v>
      </c>
      <c r="W447" s="306" t="s">
        <v>1013</v>
      </c>
      <c r="X447" s="306" t="s">
        <v>1013</v>
      </c>
      <c r="Y447" s="306" t="s">
        <v>1812</v>
      </c>
      <c r="Z447" s="306" t="s">
        <v>1015</v>
      </c>
      <c r="AA447" s="306" t="s">
        <v>1013</v>
      </c>
    </row>
    <row r="448" spans="1:27" hidden="1">
      <c r="A448" s="306" t="s">
        <v>494</v>
      </c>
      <c r="B448" s="306" t="s">
        <v>1003</v>
      </c>
      <c r="C448" s="306" t="s">
        <v>1004</v>
      </c>
      <c r="D448" s="306" t="s">
        <v>1031</v>
      </c>
      <c r="E448" s="306" t="s">
        <v>1901</v>
      </c>
      <c r="F448" s="306" t="s">
        <v>1007</v>
      </c>
      <c r="G448" s="308">
        <v>46019</v>
      </c>
      <c r="H448" s="308">
        <v>46019</v>
      </c>
      <c r="I448" s="309">
        <v>-18486.900000000001</v>
      </c>
      <c r="J448" s="306" t="s">
        <v>1008</v>
      </c>
      <c r="K448" s="309">
        <v>-18486.900000000001</v>
      </c>
      <c r="L448" s="306" t="s">
        <v>1008</v>
      </c>
      <c r="M448" s="306" t="s">
        <v>1824</v>
      </c>
      <c r="N448" s="306" t="s">
        <v>1825</v>
      </c>
      <c r="O448" s="306" t="s">
        <v>1902</v>
      </c>
      <c r="P448" s="306" t="s">
        <v>270</v>
      </c>
      <c r="Q448" s="306" t="s">
        <v>1013</v>
      </c>
      <c r="R448" s="306" t="s">
        <v>1013</v>
      </c>
      <c r="S448" s="306" t="s">
        <v>1013</v>
      </c>
      <c r="T448" s="306" t="s">
        <v>1812</v>
      </c>
      <c r="U448" s="306" t="s">
        <v>1013</v>
      </c>
      <c r="V448" s="306" t="s">
        <v>1013</v>
      </c>
      <c r="W448" s="306" t="s">
        <v>1013</v>
      </c>
      <c r="X448" s="306" t="s">
        <v>1013</v>
      </c>
      <c r="Y448" s="306" t="s">
        <v>1812</v>
      </c>
      <c r="Z448" s="306" t="s">
        <v>1015</v>
      </c>
      <c r="AA448" s="306" t="s">
        <v>1013</v>
      </c>
    </row>
    <row r="449" spans="1:27" hidden="1">
      <c r="A449" s="306" t="s">
        <v>494</v>
      </c>
      <c r="B449" s="306" t="s">
        <v>1003</v>
      </c>
      <c r="C449" s="306" t="s">
        <v>1004</v>
      </c>
      <c r="D449" s="306" t="s">
        <v>1031</v>
      </c>
      <c r="E449" s="306" t="s">
        <v>1903</v>
      </c>
      <c r="F449" s="306" t="s">
        <v>1007</v>
      </c>
      <c r="G449" s="308">
        <v>46019</v>
      </c>
      <c r="H449" s="308">
        <v>46019</v>
      </c>
      <c r="I449" s="309">
        <v>-71966.28</v>
      </c>
      <c r="J449" s="306" t="s">
        <v>1008</v>
      </c>
      <c r="K449" s="309">
        <v>-71966.28</v>
      </c>
      <c r="L449" s="306" t="s">
        <v>1008</v>
      </c>
      <c r="M449" s="306" t="s">
        <v>1824</v>
      </c>
      <c r="N449" s="306" t="s">
        <v>1825</v>
      </c>
      <c r="O449" s="306" t="s">
        <v>1904</v>
      </c>
      <c r="P449" s="306" t="s">
        <v>270</v>
      </c>
      <c r="Q449" s="306" t="s">
        <v>1013</v>
      </c>
      <c r="R449" s="306" t="s">
        <v>1013</v>
      </c>
      <c r="S449" s="306" t="s">
        <v>1013</v>
      </c>
      <c r="T449" s="306" t="s">
        <v>1812</v>
      </c>
      <c r="U449" s="306" t="s">
        <v>1013</v>
      </c>
      <c r="V449" s="306" t="s">
        <v>1013</v>
      </c>
      <c r="W449" s="306" t="s">
        <v>1013</v>
      </c>
      <c r="X449" s="306" t="s">
        <v>1013</v>
      </c>
      <c r="Y449" s="306" t="s">
        <v>1812</v>
      </c>
      <c r="Z449" s="306" t="s">
        <v>1015</v>
      </c>
      <c r="AA449" s="306" t="s">
        <v>1013</v>
      </c>
    </row>
    <row r="450" spans="1:27" hidden="1">
      <c r="A450" s="306" t="s">
        <v>494</v>
      </c>
      <c r="B450" s="306" t="s">
        <v>1003</v>
      </c>
      <c r="C450" s="306" t="s">
        <v>1004</v>
      </c>
      <c r="D450" s="306" t="s">
        <v>1031</v>
      </c>
      <c r="E450" s="306" t="s">
        <v>1905</v>
      </c>
      <c r="F450" s="306" t="s">
        <v>1007</v>
      </c>
      <c r="G450" s="308">
        <v>46019</v>
      </c>
      <c r="H450" s="308">
        <v>46019</v>
      </c>
      <c r="I450" s="309">
        <v>-200410.17</v>
      </c>
      <c r="J450" s="306" t="s">
        <v>1008</v>
      </c>
      <c r="K450" s="309">
        <v>-200410.17</v>
      </c>
      <c r="L450" s="306" t="s">
        <v>1008</v>
      </c>
      <c r="M450" s="306" t="s">
        <v>1824</v>
      </c>
      <c r="N450" s="306" t="s">
        <v>1825</v>
      </c>
      <c r="O450" s="306" t="s">
        <v>1906</v>
      </c>
      <c r="P450" s="306" t="s">
        <v>270</v>
      </c>
      <c r="Q450" s="306" t="s">
        <v>1013</v>
      </c>
      <c r="R450" s="306" t="s">
        <v>1013</v>
      </c>
      <c r="S450" s="306" t="s">
        <v>1013</v>
      </c>
      <c r="T450" s="306" t="s">
        <v>1812</v>
      </c>
      <c r="U450" s="306" t="s">
        <v>1013</v>
      </c>
      <c r="V450" s="306" t="s">
        <v>1013</v>
      </c>
      <c r="W450" s="306" t="s">
        <v>1013</v>
      </c>
      <c r="X450" s="306" t="s">
        <v>1013</v>
      </c>
      <c r="Y450" s="306" t="s">
        <v>1812</v>
      </c>
      <c r="Z450" s="306" t="s">
        <v>1015</v>
      </c>
      <c r="AA450" s="306" t="s">
        <v>1013</v>
      </c>
    </row>
    <row r="451" spans="1:27" hidden="1">
      <c r="A451" s="306" t="s">
        <v>494</v>
      </c>
      <c r="B451" s="306" t="s">
        <v>1003</v>
      </c>
      <c r="C451" s="306" t="s">
        <v>1004</v>
      </c>
      <c r="D451" s="306" t="s">
        <v>1031</v>
      </c>
      <c r="E451" s="306" t="s">
        <v>1907</v>
      </c>
      <c r="F451" s="306" t="s">
        <v>1007</v>
      </c>
      <c r="G451" s="308">
        <v>46019</v>
      </c>
      <c r="H451" s="308">
        <v>46019</v>
      </c>
      <c r="I451" s="309">
        <v>-1999497.49</v>
      </c>
      <c r="J451" s="306" t="s">
        <v>1008</v>
      </c>
      <c r="K451" s="309">
        <v>-1999497.49</v>
      </c>
      <c r="L451" s="306" t="s">
        <v>1008</v>
      </c>
      <c r="M451" s="306" t="s">
        <v>1824</v>
      </c>
      <c r="N451" s="306" t="s">
        <v>1825</v>
      </c>
      <c r="O451" s="306" t="s">
        <v>1860</v>
      </c>
      <c r="P451" s="306" t="s">
        <v>270</v>
      </c>
      <c r="Q451" s="306" t="s">
        <v>1013</v>
      </c>
      <c r="R451" s="306" t="s">
        <v>1013</v>
      </c>
      <c r="S451" s="306" t="s">
        <v>1013</v>
      </c>
      <c r="T451" s="306" t="s">
        <v>1812</v>
      </c>
      <c r="U451" s="306" t="s">
        <v>1013</v>
      </c>
      <c r="V451" s="306" t="s">
        <v>1013</v>
      </c>
      <c r="W451" s="306" t="s">
        <v>1013</v>
      </c>
      <c r="X451" s="306" t="s">
        <v>1013</v>
      </c>
      <c r="Y451" s="306" t="s">
        <v>1812</v>
      </c>
      <c r="Z451" s="306" t="s">
        <v>1015</v>
      </c>
      <c r="AA451" s="306" t="s">
        <v>1013</v>
      </c>
    </row>
    <row r="452" spans="1:27" hidden="1">
      <c r="A452" s="306" t="s">
        <v>494</v>
      </c>
      <c r="B452" s="306" t="s">
        <v>1003</v>
      </c>
      <c r="C452" s="306" t="s">
        <v>1004</v>
      </c>
      <c r="D452" s="306" t="s">
        <v>1005</v>
      </c>
      <c r="E452" s="306" t="s">
        <v>1908</v>
      </c>
      <c r="F452" s="306" t="s">
        <v>1007</v>
      </c>
      <c r="G452" s="308">
        <v>46019</v>
      </c>
      <c r="H452" s="308">
        <v>46019</v>
      </c>
      <c r="I452" s="309">
        <v>-1213488.18</v>
      </c>
      <c r="J452" s="306" t="s">
        <v>1008</v>
      </c>
      <c r="K452" s="309">
        <v>-1213488.18</v>
      </c>
      <c r="L452" s="306" t="s">
        <v>1008</v>
      </c>
      <c r="M452" s="306" t="s">
        <v>1836</v>
      </c>
      <c r="N452" s="306" t="s">
        <v>1837</v>
      </c>
      <c r="O452" s="306" t="s">
        <v>1909</v>
      </c>
      <c r="P452" s="306" t="s">
        <v>270</v>
      </c>
      <c r="Q452" s="306" t="s">
        <v>1013</v>
      </c>
      <c r="R452" s="306" t="s">
        <v>1013</v>
      </c>
      <c r="S452" s="306" t="s">
        <v>1013</v>
      </c>
      <c r="T452" s="306" t="s">
        <v>1812</v>
      </c>
      <c r="U452" s="306" t="s">
        <v>1013</v>
      </c>
      <c r="V452" s="306" t="s">
        <v>1013</v>
      </c>
      <c r="W452" s="306" t="s">
        <v>1013</v>
      </c>
      <c r="X452" s="306" t="s">
        <v>1013</v>
      </c>
      <c r="Y452" s="306" t="s">
        <v>1812</v>
      </c>
      <c r="Z452" s="306" t="s">
        <v>1015</v>
      </c>
      <c r="AA452" s="306" t="s">
        <v>1013</v>
      </c>
    </row>
    <row r="453" spans="1:27" hidden="1">
      <c r="A453" s="306" t="s">
        <v>494</v>
      </c>
      <c r="B453" s="306" t="s">
        <v>1003</v>
      </c>
      <c r="C453" s="306" t="s">
        <v>1004</v>
      </c>
      <c r="D453" s="306" t="s">
        <v>1005</v>
      </c>
      <c r="E453" s="306" t="s">
        <v>1910</v>
      </c>
      <c r="F453" s="306" t="s">
        <v>1007</v>
      </c>
      <c r="G453" s="308">
        <v>46019</v>
      </c>
      <c r="H453" s="308">
        <v>46019</v>
      </c>
      <c r="I453" s="309">
        <v>-1539898.61</v>
      </c>
      <c r="J453" s="306" t="s">
        <v>1008</v>
      </c>
      <c r="K453" s="309">
        <v>-1539898.61</v>
      </c>
      <c r="L453" s="306" t="s">
        <v>1008</v>
      </c>
      <c r="M453" s="306" t="s">
        <v>1836</v>
      </c>
      <c r="N453" s="306" t="s">
        <v>1837</v>
      </c>
      <c r="O453" s="306" t="s">
        <v>1911</v>
      </c>
      <c r="P453" s="306" t="s">
        <v>270</v>
      </c>
      <c r="Q453" s="306" t="s">
        <v>1013</v>
      </c>
      <c r="R453" s="306" t="s">
        <v>1013</v>
      </c>
      <c r="S453" s="306" t="s">
        <v>1013</v>
      </c>
      <c r="T453" s="306" t="s">
        <v>1812</v>
      </c>
      <c r="U453" s="306" t="s">
        <v>1013</v>
      </c>
      <c r="V453" s="306" t="s">
        <v>1013</v>
      </c>
      <c r="W453" s="306" t="s">
        <v>1013</v>
      </c>
      <c r="X453" s="306" t="s">
        <v>1013</v>
      </c>
      <c r="Y453" s="306" t="s">
        <v>1812</v>
      </c>
      <c r="Z453" s="306" t="s">
        <v>1015</v>
      </c>
      <c r="AA453" s="306" t="s">
        <v>1013</v>
      </c>
    </row>
    <row r="454" spans="1:27" hidden="1">
      <c r="A454" s="306" t="s">
        <v>494</v>
      </c>
      <c r="B454" s="306" t="s">
        <v>1003</v>
      </c>
      <c r="C454" s="306" t="s">
        <v>1004</v>
      </c>
      <c r="D454" s="306" t="s">
        <v>1005</v>
      </c>
      <c r="E454" s="306" t="s">
        <v>1912</v>
      </c>
      <c r="F454" s="306" t="s">
        <v>1007</v>
      </c>
      <c r="G454" s="308">
        <v>46019</v>
      </c>
      <c r="H454" s="308">
        <v>46019</v>
      </c>
      <c r="I454" s="309">
        <v>-4273556.34</v>
      </c>
      <c r="J454" s="306" t="s">
        <v>1008</v>
      </c>
      <c r="K454" s="309">
        <v>-4273556.34</v>
      </c>
      <c r="L454" s="306" t="s">
        <v>1008</v>
      </c>
      <c r="M454" s="306" t="s">
        <v>1836</v>
      </c>
      <c r="N454" s="306" t="s">
        <v>1837</v>
      </c>
      <c r="O454" s="306" t="s">
        <v>1913</v>
      </c>
      <c r="P454" s="306" t="s">
        <v>270</v>
      </c>
      <c r="Q454" s="306" t="s">
        <v>1013</v>
      </c>
      <c r="R454" s="306" t="s">
        <v>1013</v>
      </c>
      <c r="S454" s="306" t="s">
        <v>1013</v>
      </c>
      <c r="T454" s="306" t="s">
        <v>1812</v>
      </c>
      <c r="U454" s="306" t="s">
        <v>1013</v>
      </c>
      <c r="V454" s="306" t="s">
        <v>1013</v>
      </c>
      <c r="W454" s="306" t="s">
        <v>1013</v>
      </c>
      <c r="X454" s="306" t="s">
        <v>1013</v>
      </c>
      <c r="Y454" s="306" t="s">
        <v>1812</v>
      </c>
      <c r="Z454" s="306" t="s">
        <v>1015</v>
      </c>
      <c r="AA454" s="306" t="s">
        <v>1013</v>
      </c>
    </row>
    <row r="455" spans="1:27" hidden="1">
      <c r="A455" s="306" t="s">
        <v>494</v>
      </c>
      <c r="B455" s="306" t="s">
        <v>1003</v>
      </c>
      <c r="C455" s="306" t="s">
        <v>1004</v>
      </c>
      <c r="D455" s="306" t="s">
        <v>1005</v>
      </c>
      <c r="E455" s="306" t="s">
        <v>1914</v>
      </c>
      <c r="F455" s="306" t="s">
        <v>1007</v>
      </c>
      <c r="G455" s="308">
        <v>46019</v>
      </c>
      <c r="H455" s="308">
        <v>46019</v>
      </c>
      <c r="I455" s="309">
        <v>-1547169.81</v>
      </c>
      <c r="J455" s="306" t="s">
        <v>1008</v>
      </c>
      <c r="K455" s="309">
        <v>-1547169.81</v>
      </c>
      <c r="L455" s="306" t="s">
        <v>1008</v>
      </c>
      <c r="M455" s="306" t="s">
        <v>1836</v>
      </c>
      <c r="N455" s="306" t="s">
        <v>1837</v>
      </c>
      <c r="O455" s="306" t="s">
        <v>1864</v>
      </c>
      <c r="P455" s="306" t="s">
        <v>270</v>
      </c>
      <c r="Q455" s="306" t="s">
        <v>1013</v>
      </c>
      <c r="R455" s="306" t="s">
        <v>1013</v>
      </c>
      <c r="S455" s="306" t="s">
        <v>1013</v>
      </c>
      <c r="T455" s="306" t="s">
        <v>1812</v>
      </c>
      <c r="U455" s="306" t="s">
        <v>1013</v>
      </c>
      <c r="V455" s="306" t="s">
        <v>1013</v>
      </c>
      <c r="W455" s="306" t="s">
        <v>1013</v>
      </c>
      <c r="X455" s="306" t="s">
        <v>1013</v>
      </c>
      <c r="Y455" s="306" t="s">
        <v>1812</v>
      </c>
      <c r="Z455" s="306" t="s">
        <v>1015</v>
      </c>
      <c r="AA455" s="306" t="s">
        <v>1013</v>
      </c>
    </row>
    <row r="456" spans="1:27" hidden="1">
      <c r="A456" s="306" t="s">
        <v>494</v>
      </c>
      <c r="B456" s="306" t="s">
        <v>1003</v>
      </c>
      <c r="C456" s="306" t="s">
        <v>1004</v>
      </c>
      <c r="D456" s="306" t="s">
        <v>1005</v>
      </c>
      <c r="E456" s="306" t="s">
        <v>1915</v>
      </c>
      <c r="F456" s="306" t="s">
        <v>1007</v>
      </c>
      <c r="G456" s="308">
        <v>46019</v>
      </c>
      <c r="H456" s="308">
        <v>46019</v>
      </c>
      <c r="I456" s="309">
        <v>-62660.37</v>
      </c>
      <c r="J456" s="306" t="s">
        <v>1008</v>
      </c>
      <c r="K456" s="309">
        <v>-62660.37</v>
      </c>
      <c r="L456" s="306" t="s">
        <v>1008</v>
      </c>
      <c r="M456" s="306" t="s">
        <v>1836</v>
      </c>
      <c r="N456" s="306" t="s">
        <v>1837</v>
      </c>
      <c r="O456" s="306" t="s">
        <v>1866</v>
      </c>
      <c r="P456" s="306" t="s">
        <v>270</v>
      </c>
      <c r="Q456" s="306" t="s">
        <v>1013</v>
      </c>
      <c r="R456" s="306" t="s">
        <v>1013</v>
      </c>
      <c r="S456" s="306" t="s">
        <v>1013</v>
      </c>
      <c r="T456" s="306" t="s">
        <v>1812</v>
      </c>
      <c r="U456" s="306" t="s">
        <v>1013</v>
      </c>
      <c r="V456" s="306" t="s">
        <v>1013</v>
      </c>
      <c r="W456" s="306" t="s">
        <v>1013</v>
      </c>
      <c r="X456" s="306" t="s">
        <v>1013</v>
      </c>
      <c r="Y456" s="306" t="s">
        <v>1812</v>
      </c>
      <c r="Z456" s="306" t="s">
        <v>1015</v>
      </c>
      <c r="AA456" s="306" t="s">
        <v>1013</v>
      </c>
    </row>
    <row r="457" spans="1:27" hidden="1">
      <c r="A457" s="306" t="s">
        <v>494</v>
      </c>
      <c r="B457" s="306" t="s">
        <v>1003</v>
      </c>
      <c r="C457" s="306" t="s">
        <v>1004</v>
      </c>
      <c r="D457" s="306" t="s">
        <v>1031</v>
      </c>
      <c r="E457" s="306" t="s">
        <v>1916</v>
      </c>
      <c r="F457" s="306" t="s">
        <v>1007</v>
      </c>
      <c r="G457" s="308">
        <v>46019</v>
      </c>
      <c r="H457" s="308">
        <v>46019</v>
      </c>
      <c r="I457" s="309">
        <v>-36006.870000000003</v>
      </c>
      <c r="J457" s="306" t="s">
        <v>1008</v>
      </c>
      <c r="K457" s="309">
        <v>-36006.870000000003</v>
      </c>
      <c r="L457" s="306" t="s">
        <v>1008</v>
      </c>
      <c r="M457" s="306" t="s">
        <v>1824</v>
      </c>
      <c r="N457" s="306" t="s">
        <v>1825</v>
      </c>
      <c r="O457" s="306" t="s">
        <v>1917</v>
      </c>
      <c r="P457" s="306" t="s">
        <v>270</v>
      </c>
      <c r="Q457" s="306" t="s">
        <v>1013</v>
      </c>
      <c r="R457" s="306" t="s">
        <v>1013</v>
      </c>
      <c r="S457" s="306" t="s">
        <v>1013</v>
      </c>
      <c r="T457" s="306" t="s">
        <v>1812</v>
      </c>
      <c r="U457" s="306" t="s">
        <v>1013</v>
      </c>
      <c r="V457" s="306" t="s">
        <v>1013</v>
      </c>
      <c r="W457" s="306" t="s">
        <v>1013</v>
      </c>
      <c r="X457" s="306" t="s">
        <v>1013</v>
      </c>
      <c r="Y457" s="306" t="s">
        <v>1812</v>
      </c>
      <c r="Z457" s="306" t="s">
        <v>1015</v>
      </c>
      <c r="AA457" s="306" t="s">
        <v>1013</v>
      </c>
    </row>
    <row r="458" spans="1:27" hidden="1">
      <c r="A458" s="306" t="s">
        <v>494</v>
      </c>
      <c r="B458" s="306" t="s">
        <v>1003</v>
      </c>
      <c r="C458" s="306" t="s">
        <v>1004</v>
      </c>
      <c r="D458" s="306" t="s">
        <v>1031</v>
      </c>
      <c r="E458" s="306" t="s">
        <v>1918</v>
      </c>
      <c r="F458" s="306" t="s">
        <v>1007</v>
      </c>
      <c r="G458" s="308">
        <v>46019</v>
      </c>
      <c r="H458" s="308">
        <v>46019</v>
      </c>
      <c r="I458" s="309">
        <v>-375315.09</v>
      </c>
      <c r="J458" s="306" t="s">
        <v>1008</v>
      </c>
      <c r="K458" s="309">
        <v>-375315.09</v>
      </c>
      <c r="L458" s="306" t="s">
        <v>1008</v>
      </c>
      <c r="M458" s="306" t="s">
        <v>1824</v>
      </c>
      <c r="N458" s="306" t="s">
        <v>1825</v>
      </c>
      <c r="O458" s="306" t="s">
        <v>1919</v>
      </c>
      <c r="P458" s="306" t="s">
        <v>270</v>
      </c>
      <c r="Q458" s="306" t="s">
        <v>1013</v>
      </c>
      <c r="R458" s="306" t="s">
        <v>1013</v>
      </c>
      <c r="S458" s="306" t="s">
        <v>1013</v>
      </c>
      <c r="T458" s="306" t="s">
        <v>1812</v>
      </c>
      <c r="U458" s="306" t="s">
        <v>1013</v>
      </c>
      <c r="V458" s="306" t="s">
        <v>1013</v>
      </c>
      <c r="W458" s="306" t="s">
        <v>1013</v>
      </c>
      <c r="X458" s="306" t="s">
        <v>1013</v>
      </c>
      <c r="Y458" s="306" t="s">
        <v>1812</v>
      </c>
      <c r="Z458" s="306" t="s">
        <v>1015</v>
      </c>
      <c r="AA458" s="306" t="s">
        <v>1013</v>
      </c>
    </row>
    <row r="459" spans="1:27" hidden="1">
      <c r="A459" s="306" t="s">
        <v>494</v>
      </c>
      <c r="B459" s="306" t="s">
        <v>1003</v>
      </c>
      <c r="C459" s="306" t="s">
        <v>1004</v>
      </c>
      <c r="D459" s="306" t="s">
        <v>1005</v>
      </c>
      <c r="E459" s="306" t="s">
        <v>1920</v>
      </c>
      <c r="F459" s="306" t="s">
        <v>1007</v>
      </c>
      <c r="G459" s="308">
        <v>46019</v>
      </c>
      <c r="H459" s="308">
        <v>46019</v>
      </c>
      <c r="I459" s="309">
        <v>-26329.65</v>
      </c>
      <c r="J459" s="306" t="s">
        <v>1008</v>
      </c>
      <c r="K459" s="309">
        <v>-26329.65</v>
      </c>
      <c r="L459" s="306" t="s">
        <v>1008</v>
      </c>
      <c r="M459" s="306" t="s">
        <v>1836</v>
      </c>
      <c r="N459" s="306" t="s">
        <v>1837</v>
      </c>
      <c r="O459" s="306" t="s">
        <v>1921</v>
      </c>
      <c r="P459" s="306" t="s">
        <v>270</v>
      </c>
      <c r="Q459" s="306" t="s">
        <v>1013</v>
      </c>
      <c r="R459" s="306" t="s">
        <v>1013</v>
      </c>
      <c r="S459" s="306" t="s">
        <v>1013</v>
      </c>
      <c r="T459" s="306" t="s">
        <v>1812</v>
      </c>
      <c r="U459" s="306" t="s">
        <v>1013</v>
      </c>
      <c r="V459" s="306" t="s">
        <v>1013</v>
      </c>
      <c r="W459" s="306" t="s">
        <v>1013</v>
      </c>
      <c r="X459" s="306" t="s">
        <v>1013</v>
      </c>
      <c r="Y459" s="306" t="s">
        <v>1812</v>
      </c>
      <c r="Z459" s="306" t="s">
        <v>1015</v>
      </c>
      <c r="AA459" s="306" t="s">
        <v>1013</v>
      </c>
    </row>
    <row r="460" spans="1:27" hidden="1">
      <c r="A460" s="306" t="s">
        <v>494</v>
      </c>
      <c r="B460" s="306" t="s">
        <v>1003</v>
      </c>
      <c r="C460" s="306" t="s">
        <v>1004</v>
      </c>
      <c r="D460" s="306" t="s">
        <v>1005</v>
      </c>
      <c r="E460" s="306" t="s">
        <v>1922</v>
      </c>
      <c r="F460" s="306" t="s">
        <v>1007</v>
      </c>
      <c r="G460" s="308">
        <v>46019</v>
      </c>
      <c r="H460" s="308">
        <v>46019</v>
      </c>
      <c r="I460" s="309">
        <v>-1330226.1499999999</v>
      </c>
      <c r="J460" s="306" t="s">
        <v>1008</v>
      </c>
      <c r="K460" s="309">
        <v>-1330226.1499999999</v>
      </c>
      <c r="L460" s="306" t="s">
        <v>1008</v>
      </c>
      <c r="M460" s="306" t="s">
        <v>1836</v>
      </c>
      <c r="N460" s="306" t="s">
        <v>1837</v>
      </c>
      <c r="O460" s="306" t="s">
        <v>1868</v>
      </c>
      <c r="P460" s="306" t="s">
        <v>270</v>
      </c>
      <c r="Q460" s="306" t="s">
        <v>1013</v>
      </c>
      <c r="R460" s="306" t="s">
        <v>1013</v>
      </c>
      <c r="S460" s="306" t="s">
        <v>1013</v>
      </c>
      <c r="T460" s="306" t="s">
        <v>1812</v>
      </c>
      <c r="U460" s="306" t="s">
        <v>1013</v>
      </c>
      <c r="V460" s="306" t="s">
        <v>1013</v>
      </c>
      <c r="W460" s="306" t="s">
        <v>1013</v>
      </c>
      <c r="X460" s="306" t="s">
        <v>1013</v>
      </c>
      <c r="Y460" s="306" t="s">
        <v>1812</v>
      </c>
      <c r="Z460" s="306" t="s">
        <v>1015</v>
      </c>
      <c r="AA460" s="306" t="s">
        <v>1013</v>
      </c>
    </row>
    <row r="461" spans="1:27" hidden="1">
      <c r="A461" s="306" t="s">
        <v>494</v>
      </c>
      <c r="B461" s="306" t="s">
        <v>1003</v>
      </c>
      <c r="C461" s="306" t="s">
        <v>1004</v>
      </c>
      <c r="D461" s="306" t="s">
        <v>1031</v>
      </c>
      <c r="E461" s="306" t="s">
        <v>1923</v>
      </c>
      <c r="F461" s="306" t="s">
        <v>1007</v>
      </c>
      <c r="G461" s="308">
        <v>46019</v>
      </c>
      <c r="H461" s="308">
        <v>46019</v>
      </c>
      <c r="I461" s="309">
        <v>-496777.59</v>
      </c>
      <c r="J461" s="306" t="s">
        <v>1008</v>
      </c>
      <c r="K461" s="309">
        <v>-496777.59</v>
      </c>
      <c r="L461" s="306" t="s">
        <v>1008</v>
      </c>
      <c r="M461" s="306" t="s">
        <v>1824</v>
      </c>
      <c r="N461" s="306" t="s">
        <v>1825</v>
      </c>
      <c r="O461" s="306" t="s">
        <v>1924</v>
      </c>
      <c r="P461" s="306" t="s">
        <v>270</v>
      </c>
      <c r="Q461" s="306" t="s">
        <v>1013</v>
      </c>
      <c r="R461" s="306" t="s">
        <v>1013</v>
      </c>
      <c r="S461" s="306" t="s">
        <v>1013</v>
      </c>
      <c r="T461" s="306" t="s">
        <v>1812</v>
      </c>
      <c r="U461" s="306" t="s">
        <v>1013</v>
      </c>
      <c r="V461" s="306" t="s">
        <v>1013</v>
      </c>
      <c r="W461" s="306" t="s">
        <v>1013</v>
      </c>
      <c r="X461" s="306" t="s">
        <v>1013</v>
      </c>
      <c r="Y461" s="306" t="s">
        <v>1812</v>
      </c>
      <c r="Z461" s="306" t="s">
        <v>1015</v>
      </c>
      <c r="AA461" s="306" t="s">
        <v>1013</v>
      </c>
    </row>
    <row r="462" spans="1:27" hidden="1">
      <c r="A462" s="306" t="s">
        <v>494</v>
      </c>
      <c r="B462" s="306" t="s">
        <v>1003</v>
      </c>
      <c r="C462" s="306" t="s">
        <v>1004</v>
      </c>
      <c r="D462" s="306" t="s">
        <v>1031</v>
      </c>
      <c r="E462" s="306" t="s">
        <v>1925</v>
      </c>
      <c r="F462" s="306" t="s">
        <v>1007</v>
      </c>
      <c r="G462" s="308">
        <v>46019</v>
      </c>
      <c r="H462" s="308">
        <v>46019</v>
      </c>
      <c r="I462" s="309">
        <v>-431767.64</v>
      </c>
      <c r="J462" s="306" t="s">
        <v>1008</v>
      </c>
      <c r="K462" s="309">
        <v>-431767.64</v>
      </c>
      <c r="L462" s="306" t="s">
        <v>1008</v>
      </c>
      <c r="M462" s="306" t="s">
        <v>1824</v>
      </c>
      <c r="N462" s="306" t="s">
        <v>1825</v>
      </c>
      <c r="O462" s="306" t="s">
        <v>1926</v>
      </c>
      <c r="P462" s="306" t="s">
        <v>270</v>
      </c>
      <c r="Q462" s="306" t="s">
        <v>1013</v>
      </c>
      <c r="R462" s="306" t="s">
        <v>1013</v>
      </c>
      <c r="S462" s="306" t="s">
        <v>1013</v>
      </c>
      <c r="T462" s="306" t="s">
        <v>1812</v>
      </c>
      <c r="U462" s="306" t="s">
        <v>1013</v>
      </c>
      <c r="V462" s="306" t="s">
        <v>1013</v>
      </c>
      <c r="W462" s="306" t="s">
        <v>1013</v>
      </c>
      <c r="X462" s="306" t="s">
        <v>1013</v>
      </c>
      <c r="Y462" s="306" t="s">
        <v>1812</v>
      </c>
      <c r="Z462" s="306" t="s">
        <v>1015</v>
      </c>
      <c r="AA462" s="306" t="s">
        <v>1013</v>
      </c>
    </row>
    <row r="463" spans="1:27" hidden="1">
      <c r="A463" s="306" t="s">
        <v>494</v>
      </c>
      <c r="B463" s="306" t="s">
        <v>1003</v>
      </c>
      <c r="C463" s="306" t="s">
        <v>1004</v>
      </c>
      <c r="D463" s="306" t="s">
        <v>1031</v>
      </c>
      <c r="E463" s="306" t="s">
        <v>1927</v>
      </c>
      <c r="F463" s="306" t="s">
        <v>1007</v>
      </c>
      <c r="G463" s="308">
        <v>46019</v>
      </c>
      <c r="H463" s="308">
        <v>46019</v>
      </c>
      <c r="I463" s="309">
        <v>-387170.39</v>
      </c>
      <c r="J463" s="306" t="s">
        <v>1008</v>
      </c>
      <c r="K463" s="309">
        <v>-387170.39</v>
      </c>
      <c r="L463" s="306" t="s">
        <v>1008</v>
      </c>
      <c r="M463" s="306" t="s">
        <v>1824</v>
      </c>
      <c r="N463" s="306" t="s">
        <v>1825</v>
      </c>
      <c r="O463" s="306" t="s">
        <v>1928</v>
      </c>
      <c r="P463" s="306" t="s">
        <v>270</v>
      </c>
      <c r="Q463" s="306" t="s">
        <v>1013</v>
      </c>
      <c r="R463" s="306" t="s">
        <v>1013</v>
      </c>
      <c r="S463" s="306" t="s">
        <v>1013</v>
      </c>
      <c r="T463" s="306" t="s">
        <v>1812</v>
      </c>
      <c r="U463" s="306" t="s">
        <v>1013</v>
      </c>
      <c r="V463" s="306" t="s">
        <v>1013</v>
      </c>
      <c r="W463" s="306" t="s">
        <v>1013</v>
      </c>
      <c r="X463" s="306" t="s">
        <v>1013</v>
      </c>
      <c r="Y463" s="306" t="s">
        <v>1812</v>
      </c>
      <c r="Z463" s="306" t="s">
        <v>1015</v>
      </c>
      <c r="AA463" s="306" t="s">
        <v>1013</v>
      </c>
    </row>
    <row r="464" spans="1:27" hidden="1">
      <c r="A464" s="306" t="s">
        <v>494</v>
      </c>
      <c r="B464" s="306" t="s">
        <v>1003</v>
      </c>
      <c r="C464" s="306" t="s">
        <v>1004</v>
      </c>
      <c r="D464" s="306" t="s">
        <v>1031</v>
      </c>
      <c r="E464" s="306" t="s">
        <v>1929</v>
      </c>
      <c r="F464" s="306" t="s">
        <v>1007</v>
      </c>
      <c r="G464" s="308">
        <v>46019</v>
      </c>
      <c r="H464" s="308">
        <v>46019</v>
      </c>
      <c r="I464" s="309">
        <v>-72888.820000000007</v>
      </c>
      <c r="J464" s="306" t="s">
        <v>1008</v>
      </c>
      <c r="K464" s="309">
        <v>-72888.820000000007</v>
      </c>
      <c r="L464" s="306" t="s">
        <v>1008</v>
      </c>
      <c r="M464" s="306" t="s">
        <v>1824</v>
      </c>
      <c r="N464" s="306" t="s">
        <v>1825</v>
      </c>
      <c r="O464" s="306" t="s">
        <v>1930</v>
      </c>
      <c r="P464" s="306" t="s">
        <v>270</v>
      </c>
      <c r="Q464" s="306" t="s">
        <v>1013</v>
      </c>
      <c r="R464" s="306" t="s">
        <v>1013</v>
      </c>
      <c r="S464" s="306" t="s">
        <v>1013</v>
      </c>
      <c r="T464" s="306" t="s">
        <v>1812</v>
      </c>
      <c r="U464" s="306" t="s">
        <v>1013</v>
      </c>
      <c r="V464" s="306" t="s">
        <v>1013</v>
      </c>
      <c r="W464" s="306" t="s">
        <v>1013</v>
      </c>
      <c r="X464" s="306" t="s">
        <v>1013</v>
      </c>
      <c r="Y464" s="306" t="s">
        <v>1812</v>
      </c>
      <c r="Z464" s="306" t="s">
        <v>1015</v>
      </c>
      <c r="AA464" s="306" t="s">
        <v>1013</v>
      </c>
    </row>
    <row r="465" spans="1:27" hidden="1">
      <c r="A465" s="306" t="s">
        <v>494</v>
      </c>
      <c r="B465" s="306" t="s">
        <v>1003</v>
      </c>
      <c r="C465" s="306" t="s">
        <v>1004</v>
      </c>
      <c r="D465" s="306" t="s">
        <v>1031</v>
      </c>
      <c r="E465" s="306" t="s">
        <v>1931</v>
      </c>
      <c r="F465" s="306" t="s">
        <v>1007</v>
      </c>
      <c r="G465" s="308">
        <v>46019</v>
      </c>
      <c r="H465" s="308">
        <v>46019</v>
      </c>
      <c r="I465" s="309">
        <v>-21144.29</v>
      </c>
      <c r="J465" s="306" t="s">
        <v>1008</v>
      </c>
      <c r="K465" s="309">
        <v>-21144.29</v>
      </c>
      <c r="L465" s="306" t="s">
        <v>1008</v>
      </c>
      <c r="M465" s="306" t="s">
        <v>1824</v>
      </c>
      <c r="N465" s="306" t="s">
        <v>1825</v>
      </c>
      <c r="O465" s="306" t="s">
        <v>1932</v>
      </c>
      <c r="P465" s="306" t="s">
        <v>270</v>
      </c>
      <c r="Q465" s="306" t="s">
        <v>1013</v>
      </c>
      <c r="R465" s="306" t="s">
        <v>1013</v>
      </c>
      <c r="S465" s="306" t="s">
        <v>1013</v>
      </c>
      <c r="T465" s="306" t="s">
        <v>1812</v>
      </c>
      <c r="U465" s="306" t="s">
        <v>1013</v>
      </c>
      <c r="V465" s="306" t="s">
        <v>1013</v>
      </c>
      <c r="W465" s="306" t="s">
        <v>1013</v>
      </c>
      <c r="X465" s="306" t="s">
        <v>1013</v>
      </c>
      <c r="Y465" s="306" t="s">
        <v>1812</v>
      </c>
      <c r="Z465" s="306" t="s">
        <v>1015</v>
      </c>
      <c r="AA465" s="306" t="s">
        <v>1013</v>
      </c>
    </row>
    <row r="466" spans="1:27" hidden="1">
      <c r="A466" s="306" t="s">
        <v>494</v>
      </c>
      <c r="B466" s="306" t="s">
        <v>1003</v>
      </c>
      <c r="C466" s="306" t="s">
        <v>1004</v>
      </c>
      <c r="D466" s="306" t="s">
        <v>1031</v>
      </c>
      <c r="E466" s="306" t="s">
        <v>1933</v>
      </c>
      <c r="F466" s="306" t="s">
        <v>1007</v>
      </c>
      <c r="G466" s="308">
        <v>46019</v>
      </c>
      <c r="H466" s="308">
        <v>46019</v>
      </c>
      <c r="I466" s="309">
        <v>-11157.08</v>
      </c>
      <c r="J466" s="306" t="s">
        <v>1008</v>
      </c>
      <c r="K466" s="309">
        <v>-11157.08</v>
      </c>
      <c r="L466" s="306" t="s">
        <v>1008</v>
      </c>
      <c r="M466" s="306" t="s">
        <v>1824</v>
      </c>
      <c r="N466" s="306" t="s">
        <v>1825</v>
      </c>
      <c r="O466" s="306" t="s">
        <v>1934</v>
      </c>
      <c r="P466" s="306" t="s">
        <v>270</v>
      </c>
      <c r="Q466" s="306" t="s">
        <v>1013</v>
      </c>
      <c r="R466" s="306" t="s">
        <v>1013</v>
      </c>
      <c r="S466" s="306" t="s">
        <v>1013</v>
      </c>
      <c r="T466" s="306" t="s">
        <v>1812</v>
      </c>
      <c r="U466" s="306" t="s">
        <v>1013</v>
      </c>
      <c r="V466" s="306" t="s">
        <v>1013</v>
      </c>
      <c r="W466" s="306" t="s">
        <v>1013</v>
      </c>
      <c r="X466" s="306" t="s">
        <v>1013</v>
      </c>
      <c r="Y466" s="306" t="s">
        <v>1812</v>
      </c>
      <c r="Z466" s="306" t="s">
        <v>1015</v>
      </c>
      <c r="AA466" s="306" t="s">
        <v>1013</v>
      </c>
    </row>
    <row r="467" spans="1:27" hidden="1">
      <c r="A467" s="306" t="s">
        <v>494</v>
      </c>
      <c r="B467" s="306" t="s">
        <v>1003</v>
      </c>
      <c r="C467" s="306" t="s">
        <v>1004</v>
      </c>
      <c r="D467" s="306" t="s">
        <v>1031</v>
      </c>
      <c r="E467" s="306" t="s">
        <v>1935</v>
      </c>
      <c r="F467" s="306" t="s">
        <v>1007</v>
      </c>
      <c r="G467" s="308">
        <v>46019</v>
      </c>
      <c r="H467" s="308">
        <v>46019</v>
      </c>
      <c r="I467" s="309">
        <v>-4492.7700000000004</v>
      </c>
      <c r="J467" s="306" t="s">
        <v>1008</v>
      </c>
      <c r="K467" s="309">
        <v>-4492.7700000000004</v>
      </c>
      <c r="L467" s="306" t="s">
        <v>1008</v>
      </c>
      <c r="M467" s="306" t="s">
        <v>1824</v>
      </c>
      <c r="N467" s="306" t="s">
        <v>1825</v>
      </c>
      <c r="O467" s="306" t="s">
        <v>1936</v>
      </c>
      <c r="P467" s="306" t="s">
        <v>270</v>
      </c>
      <c r="Q467" s="306" t="s">
        <v>1013</v>
      </c>
      <c r="R467" s="306" t="s">
        <v>1013</v>
      </c>
      <c r="S467" s="306" t="s">
        <v>1013</v>
      </c>
      <c r="T467" s="306" t="s">
        <v>1812</v>
      </c>
      <c r="U467" s="306" t="s">
        <v>1013</v>
      </c>
      <c r="V467" s="306" t="s">
        <v>1013</v>
      </c>
      <c r="W467" s="306" t="s">
        <v>1013</v>
      </c>
      <c r="X467" s="306" t="s">
        <v>1013</v>
      </c>
      <c r="Y467" s="306" t="s">
        <v>1812</v>
      </c>
      <c r="Z467" s="306" t="s">
        <v>1015</v>
      </c>
      <c r="AA467" s="306" t="s">
        <v>1013</v>
      </c>
    </row>
    <row r="468" spans="1:27" hidden="1">
      <c r="A468" s="306" t="s">
        <v>494</v>
      </c>
      <c r="B468" s="306" t="s">
        <v>1003</v>
      </c>
      <c r="C468" s="306" t="s">
        <v>1004</v>
      </c>
      <c r="D468" s="306" t="s">
        <v>1031</v>
      </c>
      <c r="E468" s="306" t="s">
        <v>1937</v>
      </c>
      <c r="F468" s="306" t="s">
        <v>1007</v>
      </c>
      <c r="G468" s="308">
        <v>46019</v>
      </c>
      <c r="H468" s="308">
        <v>46019</v>
      </c>
      <c r="I468" s="309">
        <v>-4462.83</v>
      </c>
      <c r="J468" s="306" t="s">
        <v>1008</v>
      </c>
      <c r="K468" s="309">
        <v>-4462.83</v>
      </c>
      <c r="L468" s="306" t="s">
        <v>1008</v>
      </c>
      <c r="M468" s="306" t="s">
        <v>1824</v>
      </c>
      <c r="N468" s="306" t="s">
        <v>1825</v>
      </c>
      <c r="O468" s="306" t="s">
        <v>1938</v>
      </c>
      <c r="P468" s="306" t="s">
        <v>270</v>
      </c>
      <c r="Q468" s="306" t="s">
        <v>1013</v>
      </c>
      <c r="R468" s="306" t="s">
        <v>1013</v>
      </c>
      <c r="S468" s="306" t="s">
        <v>1013</v>
      </c>
      <c r="T468" s="306" t="s">
        <v>1812</v>
      </c>
      <c r="U468" s="306" t="s">
        <v>1013</v>
      </c>
      <c r="V468" s="306" t="s">
        <v>1013</v>
      </c>
      <c r="W468" s="306" t="s">
        <v>1013</v>
      </c>
      <c r="X468" s="306" t="s">
        <v>1013</v>
      </c>
      <c r="Y468" s="306" t="s">
        <v>1812</v>
      </c>
      <c r="Z468" s="306" t="s">
        <v>1015</v>
      </c>
      <c r="AA468" s="306" t="s">
        <v>1013</v>
      </c>
    </row>
    <row r="469" spans="1:27" hidden="1">
      <c r="A469" s="306" t="s">
        <v>494</v>
      </c>
      <c r="B469" s="306" t="s">
        <v>1003</v>
      </c>
      <c r="C469" s="306" t="s">
        <v>1004</v>
      </c>
      <c r="D469" s="306" t="s">
        <v>1005</v>
      </c>
      <c r="E469" s="306" t="s">
        <v>1939</v>
      </c>
      <c r="F469" s="306" t="s">
        <v>1007</v>
      </c>
      <c r="G469" s="308">
        <v>46019</v>
      </c>
      <c r="H469" s="308">
        <v>46019</v>
      </c>
      <c r="I469" s="309">
        <v>-8982385.3200000003</v>
      </c>
      <c r="J469" s="306" t="s">
        <v>1008</v>
      </c>
      <c r="K469" s="309">
        <v>-8982385.3200000003</v>
      </c>
      <c r="L469" s="306" t="s">
        <v>1008</v>
      </c>
      <c r="M469" s="306" t="s">
        <v>1836</v>
      </c>
      <c r="N469" s="306" t="s">
        <v>1837</v>
      </c>
      <c r="O469" s="306" t="s">
        <v>1131</v>
      </c>
      <c r="P469" s="306" t="s">
        <v>270</v>
      </c>
      <c r="Q469" s="306" t="s">
        <v>1013</v>
      </c>
      <c r="R469" s="306" t="s">
        <v>1013</v>
      </c>
      <c r="S469" s="306" t="s">
        <v>1013</v>
      </c>
      <c r="T469" s="306" t="s">
        <v>1812</v>
      </c>
      <c r="U469" s="306" t="s">
        <v>1013</v>
      </c>
      <c r="V469" s="306" t="s">
        <v>1013</v>
      </c>
      <c r="W469" s="306" t="s">
        <v>1013</v>
      </c>
      <c r="X469" s="306" t="s">
        <v>1013</v>
      </c>
      <c r="Y469" s="306" t="s">
        <v>1812</v>
      </c>
      <c r="Z469" s="306" t="s">
        <v>1015</v>
      </c>
      <c r="AA469" s="306" t="s">
        <v>1013</v>
      </c>
    </row>
    <row r="470" spans="1:27" hidden="1">
      <c r="A470" s="306" t="s">
        <v>494</v>
      </c>
      <c r="B470" s="306" t="s">
        <v>1003</v>
      </c>
      <c r="C470" s="306" t="s">
        <v>1004</v>
      </c>
      <c r="D470" s="306" t="s">
        <v>1031</v>
      </c>
      <c r="E470" s="306" t="s">
        <v>1940</v>
      </c>
      <c r="F470" s="306" t="s">
        <v>1007</v>
      </c>
      <c r="G470" s="308">
        <v>46019</v>
      </c>
      <c r="H470" s="308">
        <v>46019</v>
      </c>
      <c r="I470" s="309">
        <v>-19933014.050000001</v>
      </c>
      <c r="J470" s="306" t="s">
        <v>1008</v>
      </c>
      <c r="K470" s="309">
        <v>-19933014.050000001</v>
      </c>
      <c r="L470" s="306" t="s">
        <v>1008</v>
      </c>
      <c r="M470" s="306" t="s">
        <v>1824</v>
      </c>
      <c r="N470" s="306" t="s">
        <v>1825</v>
      </c>
      <c r="O470" s="306" t="s">
        <v>1136</v>
      </c>
      <c r="P470" s="306" t="s">
        <v>270</v>
      </c>
      <c r="Q470" s="306" t="s">
        <v>1013</v>
      </c>
      <c r="R470" s="306" t="s">
        <v>1013</v>
      </c>
      <c r="S470" s="306" t="s">
        <v>1013</v>
      </c>
      <c r="T470" s="306" t="s">
        <v>1812</v>
      </c>
      <c r="U470" s="306" t="s">
        <v>1013</v>
      </c>
      <c r="V470" s="306" t="s">
        <v>1013</v>
      </c>
      <c r="W470" s="306" t="s">
        <v>1013</v>
      </c>
      <c r="X470" s="306" t="s">
        <v>1013</v>
      </c>
      <c r="Y470" s="306" t="s">
        <v>1812</v>
      </c>
      <c r="Z470" s="306" t="s">
        <v>1015</v>
      </c>
      <c r="AA470" s="306" t="s">
        <v>1013</v>
      </c>
    </row>
    <row r="471" spans="1:27" hidden="1">
      <c r="A471" s="306" t="s">
        <v>494</v>
      </c>
      <c r="B471" s="306" t="s">
        <v>1003</v>
      </c>
      <c r="C471" s="306" t="s">
        <v>1004</v>
      </c>
      <c r="D471" s="306" t="s">
        <v>1818</v>
      </c>
      <c r="E471" s="306" t="s">
        <v>1941</v>
      </c>
      <c r="F471" s="306" t="s">
        <v>1007</v>
      </c>
      <c r="G471" s="308">
        <v>46020</v>
      </c>
      <c r="H471" s="308">
        <v>46020</v>
      </c>
      <c r="I471" s="309">
        <v>-61093.599999999999</v>
      </c>
      <c r="J471" s="306" t="s">
        <v>1008</v>
      </c>
      <c r="K471" s="309">
        <v>-61093.599999999999</v>
      </c>
      <c r="L471" s="306" t="s">
        <v>1008</v>
      </c>
      <c r="M471" s="306" t="s">
        <v>1942</v>
      </c>
      <c r="N471" s="306" t="s">
        <v>1942</v>
      </c>
      <c r="O471" s="306" t="s">
        <v>1822</v>
      </c>
      <c r="P471" s="306" t="s">
        <v>1069</v>
      </c>
      <c r="Q471" s="306" t="s">
        <v>1013</v>
      </c>
      <c r="R471" s="306" t="s">
        <v>1013</v>
      </c>
      <c r="S471" s="306" t="s">
        <v>1013</v>
      </c>
      <c r="T471" s="306" t="s">
        <v>1013</v>
      </c>
      <c r="U471" s="306" t="s">
        <v>1013</v>
      </c>
      <c r="V471" s="306" t="s">
        <v>1013</v>
      </c>
      <c r="W471" s="306" t="s">
        <v>1013</v>
      </c>
      <c r="X471" s="306" t="s">
        <v>1013</v>
      </c>
      <c r="Y471" s="306" t="s">
        <v>1943</v>
      </c>
      <c r="Z471" s="306" t="s">
        <v>1015</v>
      </c>
      <c r="AA471" s="306" t="s">
        <v>1013</v>
      </c>
    </row>
    <row r="472" spans="1:27" hidden="1">
      <c r="A472" s="306" t="s">
        <v>494</v>
      </c>
      <c r="B472" s="306" t="s">
        <v>1003</v>
      </c>
      <c r="C472" s="306" t="s">
        <v>1004</v>
      </c>
      <c r="D472" s="306" t="s">
        <v>1818</v>
      </c>
      <c r="E472" s="306" t="s">
        <v>1944</v>
      </c>
      <c r="F472" s="306" t="s">
        <v>1007</v>
      </c>
      <c r="G472" s="308">
        <v>46020</v>
      </c>
      <c r="H472" s="308">
        <v>46020</v>
      </c>
      <c r="I472" s="309">
        <v>-48874.879999999997</v>
      </c>
      <c r="J472" s="306" t="s">
        <v>1008</v>
      </c>
      <c r="K472" s="309">
        <v>-48874.879999999997</v>
      </c>
      <c r="L472" s="306" t="s">
        <v>1008</v>
      </c>
      <c r="M472" s="306" t="s">
        <v>1945</v>
      </c>
      <c r="N472" s="306" t="s">
        <v>1946</v>
      </c>
      <c r="O472" s="306" t="s">
        <v>1822</v>
      </c>
      <c r="P472" s="306" t="s">
        <v>1069</v>
      </c>
      <c r="Q472" s="306" t="s">
        <v>1013</v>
      </c>
      <c r="R472" s="306" t="s">
        <v>1013</v>
      </c>
      <c r="S472" s="306" t="s">
        <v>1013</v>
      </c>
      <c r="T472" s="306" t="s">
        <v>1013</v>
      </c>
      <c r="U472" s="306" t="s">
        <v>1013</v>
      </c>
      <c r="V472" s="306" t="s">
        <v>1013</v>
      </c>
      <c r="W472" s="306" t="s">
        <v>1013</v>
      </c>
      <c r="X472" s="306" t="s">
        <v>1013</v>
      </c>
      <c r="Y472" s="306" t="s">
        <v>1947</v>
      </c>
      <c r="Z472" s="306" t="s">
        <v>1015</v>
      </c>
      <c r="AA472" s="306" t="s">
        <v>1013</v>
      </c>
    </row>
    <row r="473" spans="1:27" hidden="1">
      <c r="A473" s="306" t="s">
        <v>494</v>
      </c>
      <c r="B473" s="306" t="s">
        <v>1003</v>
      </c>
      <c r="C473" s="306" t="s">
        <v>1004</v>
      </c>
      <c r="D473" s="306" t="s">
        <v>1818</v>
      </c>
      <c r="E473" s="306" t="s">
        <v>1948</v>
      </c>
      <c r="F473" s="306" t="s">
        <v>1007</v>
      </c>
      <c r="G473" s="308">
        <v>46020</v>
      </c>
      <c r="H473" s="308">
        <v>46020</v>
      </c>
      <c r="I473" s="309">
        <v>-48874.879999999997</v>
      </c>
      <c r="J473" s="306" t="s">
        <v>1008</v>
      </c>
      <c r="K473" s="309">
        <v>-48874.879999999997</v>
      </c>
      <c r="L473" s="306" t="s">
        <v>1008</v>
      </c>
      <c r="M473" s="306" t="s">
        <v>1949</v>
      </c>
      <c r="N473" s="306" t="s">
        <v>1950</v>
      </c>
      <c r="O473" s="306" t="s">
        <v>1822</v>
      </c>
      <c r="P473" s="306" t="s">
        <v>1951</v>
      </c>
      <c r="Q473" s="306" t="s">
        <v>1013</v>
      </c>
      <c r="R473" s="306" t="s">
        <v>1013</v>
      </c>
      <c r="S473" s="306" t="s">
        <v>1013</v>
      </c>
      <c r="T473" s="306" t="s">
        <v>1013</v>
      </c>
      <c r="U473" s="306" t="s">
        <v>1013</v>
      </c>
      <c r="V473" s="306" t="s">
        <v>1013</v>
      </c>
      <c r="W473" s="306" t="s">
        <v>1013</v>
      </c>
      <c r="X473" s="306" t="s">
        <v>1013</v>
      </c>
      <c r="Y473" s="306" t="s">
        <v>1952</v>
      </c>
      <c r="Z473" s="306" t="s">
        <v>1015</v>
      </c>
      <c r="AA473" s="306" t="s">
        <v>1013</v>
      </c>
    </row>
    <row r="474" spans="1:27" hidden="1">
      <c r="A474" s="306" t="s">
        <v>494</v>
      </c>
      <c r="B474" s="306" t="s">
        <v>1003</v>
      </c>
      <c r="C474" s="306" t="s">
        <v>1004</v>
      </c>
      <c r="D474" s="306" t="s">
        <v>1818</v>
      </c>
      <c r="E474" s="306" t="s">
        <v>1953</v>
      </c>
      <c r="F474" s="306" t="s">
        <v>1007</v>
      </c>
      <c r="G474" s="308">
        <v>46020</v>
      </c>
      <c r="H474" s="308">
        <v>46020</v>
      </c>
      <c r="I474" s="309">
        <v>-61093.599999999999</v>
      </c>
      <c r="J474" s="306" t="s">
        <v>1008</v>
      </c>
      <c r="K474" s="309">
        <v>-61093.599999999999</v>
      </c>
      <c r="L474" s="306" t="s">
        <v>1008</v>
      </c>
      <c r="M474" s="306" t="s">
        <v>1954</v>
      </c>
      <c r="N474" s="306" t="s">
        <v>1954</v>
      </c>
      <c r="O474" s="306" t="s">
        <v>1822</v>
      </c>
      <c r="P474" s="306" t="s">
        <v>204</v>
      </c>
      <c r="Q474" s="306" t="s">
        <v>1013</v>
      </c>
      <c r="R474" s="306" t="s">
        <v>1013</v>
      </c>
      <c r="S474" s="306" t="s">
        <v>1013</v>
      </c>
      <c r="T474" s="306" t="s">
        <v>1013</v>
      </c>
      <c r="U474" s="306" t="s">
        <v>1013</v>
      </c>
      <c r="V474" s="306" t="s">
        <v>1013</v>
      </c>
      <c r="W474" s="306" t="s">
        <v>1013</v>
      </c>
      <c r="X474" s="306" t="s">
        <v>1013</v>
      </c>
      <c r="Y474" s="306" t="s">
        <v>1955</v>
      </c>
      <c r="Z474" s="306" t="s">
        <v>1015</v>
      </c>
      <c r="AA474" s="306" t="s">
        <v>1013</v>
      </c>
    </row>
    <row r="475" spans="1:27" hidden="1">
      <c r="A475" s="306" t="s">
        <v>494</v>
      </c>
      <c r="B475" s="306" t="s">
        <v>1003</v>
      </c>
      <c r="C475" s="306" t="s">
        <v>1004</v>
      </c>
      <c r="D475" s="306" t="s">
        <v>1818</v>
      </c>
      <c r="E475" s="306" t="s">
        <v>1956</v>
      </c>
      <c r="F475" s="306" t="s">
        <v>1007</v>
      </c>
      <c r="G475" s="308">
        <v>46020</v>
      </c>
      <c r="H475" s="308">
        <v>46020</v>
      </c>
      <c r="I475" s="309">
        <v>-61093.599999999999</v>
      </c>
      <c r="J475" s="306" t="s">
        <v>1008</v>
      </c>
      <c r="K475" s="309">
        <v>-61093.599999999999</v>
      </c>
      <c r="L475" s="306" t="s">
        <v>1008</v>
      </c>
      <c r="M475" s="306" t="s">
        <v>1957</v>
      </c>
      <c r="N475" s="306" t="s">
        <v>1958</v>
      </c>
      <c r="O475" s="306" t="s">
        <v>1822</v>
      </c>
      <c r="P475" s="306" t="s">
        <v>1959</v>
      </c>
      <c r="Q475" s="306" t="s">
        <v>1013</v>
      </c>
      <c r="R475" s="306" t="s">
        <v>1013</v>
      </c>
      <c r="S475" s="306" t="s">
        <v>1013</v>
      </c>
      <c r="T475" s="306" t="s">
        <v>1013</v>
      </c>
      <c r="U475" s="306" t="s">
        <v>1013</v>
      </c>
      <c r="V475" s="306" t="s">
        <v>1013</v>
      </c>
      <c r="W475" s="306" t="s">
        <v>1013</v>
      </c>
      <c r="X475" s="306" t="s">
        <v>1013</v>
      </c>
      <c r="Y475" s="306" t="s">
        <v>1960</v>
      </c>
      <c r="Z475" s="306" t="s">
        <v>1015</v>
      </c>
      <c r="AA475" s="306" t="s">
        <v>1013</v>
      </c>
    </row>
    <row r="476" spans="1:27" hidden="1">
      <c r="A476" s="306" t="s">
        <v>494</v>
      </c>
      <c r="B476" s="306" t="s">
        <v>1003</v>
      </c>
      <c r="C476" s="306" t="s">
        <v>1004</v>
      </c>
      <c r="D476" s="306" t="s">
        <v>1818</v>
      </c>
      <c r="E476" s="306" t="s">
        <v>1961</v>
      </c>
      <c r="F476" s="306" t="s">
        <v>1007</v>
      </c>
      <c r="G476" s="308">
        <v>46020</v>
      </c>
      <c r="H476" s="308">
        <v>46020</v>
      </c>
      <c r="I476" s="309">
        <v>-48874.879999999997</v>
      </c>
      <c r="J476" s="306" t="s">
        <v>1008</v>
      </c>
      <c r="K476" s="309">
        <v>-48874.879999999997</v>
      </c>
      <c r="L476" s="306" t="s">
        <v>1008</v>
      </c>
      <c r="M476" s="306" t="s">
        <v>1962</v>
      </c>
      <c r="N476" s="306" t="s">
        <v>1963</v>
      </c>
      <c r="O476" s="306" t="s">
        <v>1822</v>
      </c>
      <c r="P476" s="306" t="s">
        <v>1964</v>
      </c>
      <c r="Q476" s="306" t="s">
        <v>1013</v>
      </c>
      <c r="R476" s="306" t="s">
        <v>1013</v>
      </c>
      <c r="S476" s="306" t="s">
        <v>1013</v>
      </c>
      <c r="T476" s="306" t="s">
        <v>1013</v>
      </c>
      <c r="U476" s="306" t="s">
        <v>1013</v>
      </c>
      <c r="V476" s="306" t="s">
        <v>1013</v>
      </c>
      <c r="W476" s="306" t="s">
        <v>1013</v>
      </c>
      <c r="X476" s="306" t="s">
        <v>1013</v>
      </c>
      <c r="Y476" s="306" t="s">
        <v>1688</v>
      </c>
      <c r="Z476" s="306" t="s">
        <v>1015</v>
      </c>
      <c r="AA476" s="306" t="s">
        <v>1013</v>
      </c>
    </row>
    <row r="477" spans="1:27" hidden="1">
      <c r="A477" s="306" t="s">
        <v>494</v>
      </c>
      <c r="B477" s="306" t="s">
        <v>1003</v>
      </c>
      <c r="C477" s="306" t="s">
        <v>1004</v>
      </c>
      <c r="D477" s="306" t="s">
        <v>1818</v>
      </c>
      <c r="E477" s="306" t="s">
        <v>1965</v>
      </c>
      <c r="F477" s="306" t="s">
        <v>1007</v>
      </c>
      <c r="G477" s="308">
        <v>46020</v>
      </c>
      <c r="H477" s="308">
        <v>46020</v>
      </c>
      <c r="I477" s="309">
        <v>-48874.879999999997</v>
      </c>
      <c r="J477" s="306" t="s">
        <v>1008</v>
      </c>
      <c r="K477" s="309">
        <v>-48874.879999999997</v>
      </c>
      <c r="L477" s="306" t="s">
        <v>1008</v>
      </c>
      <c r="M477" s="306" t="s">
        <v>1966</v>
      </c>
      <c r="N477" s="306" t="s">
        <v>1966</v>
      </c>
      <c r="O477" s="306" t="s">
        <v>1822</v>
      </c>
      <c r="P477" s="306" t="s">
        <v>1967</v>
      </c>
      <c r="Q477" s="306" t="s">
        <v>1013</v>
      </c>
      <c r="R477" s="306" t="s">
        <v>1013</v>
      </c>
      <c r="S477" s="306" t="s">
        <v>1013</v>
      </c>
      <c r="T477" s="306" t="s">
        <v>1013</v>
      </c>
      <c r="U477" s="306" t="s">
        <v>1013</v>
      </c>
      <c r="V477" s="306" t="s">
        <v>1013</v>
      </c>
      <c r="W477" s="306" t="s">
        <v>1013</v>
      </c>
      <c r="X477" s="306" t="s">
        <v>1013</v>
      </c>
      <c r="Y477" s="306" t="s">
        <v>1968</v>
      </c>
      <c r="Z477" s="306" t="s">
        <v>1015</v>
      </c>
      <c r="AA477" s="306" t="s">
        <v>1013</v>
      </c>
    </row>
    <row r="478" spans="1:27" hidden="1">
      <c r="A478" s="306" t="s">
        <v>494</v>
      </c>
      <c r="B478" s="306" t="s">
        <v>1003</v>
      </c>
      <c r="C478" s="306" t="s">
        <v>1004</v>
      </c>
      <c r="D478" s="306" t="s">
        <v>1818</v>
      </c>
      <c r="E478" s="306" t="s">
        <v>1969</v>
      </c>
      <c r="F478" s="306" t="s">
        <v>1007</v>
      </c>
      <c r="G478" s="308">
        <v>46020</v>
      </c>
      <c r="H478" s="308">
        <v>46020</v>
      </c>
      <c r="I478" s="309">
        <v>-48874.879999999997</v>
      </c>
      <c r="J478" s="306" t="s">
        <v>1008</v>
      </c>
      <c r="K478" s="309">
        <v>-48874.879999999997</v>
      </c>
      <c r="L478" s="306" t="s">
        <v>1008</v>
      </c>
      <c r="M478" s="306" t="s">
        <v>1970</v>
      </c>
      <c r="N478" s="306" t="s">
        <v>1970</v>
      </c>
      <c r="O478" s="306" t="s">
        <v>1822</v>
      </c>
      <c r="P478" s="306" t="s">
        <v>1971</v>
      </c>
      <c r="Q478" s="306" t="s">
        <v>1013</v>
      </c>
      <c r="R478" s="306" t="s">
        <v>1013</v>
      </c>
      <c r="S478" s="306" t="s">
        <v>1013</v>
      </c>
      <c r="T478" s="306" t="s">
        <v>1013</v>
      </c>
      <c r="U478" s="306" t="s">
        <v>1013</v>
      </c>
      <c r="V478" s="306" t="s">
        <v>1013</v>
      </c>
      <c r="W478" s="306" t="s">
        <v>1013</v>
      </c>
      <c r="X478" s="306" t="s">
        <v>1013</v>
      </c>
      <c r="Y478" s="306" t="s">
        <v>1972</v>
      </c>
      <c r="Z478" s="306" t="s">
        <v>1015</v>
      </c>
      <c r="AA478" s="306" t="s">
        <v>1013</v>
      </c>
    </row>
    <row r="479" spans="1:27" hidden="1">
      <c r="A479" s="306" t="s">
        <v>494</v>
      </c>
      <c r="B479" s="306" t="s">
        <v>1003</v>
      </c>
      <c r="C479" s="306" t="s">
        <v>1004</v>
      </c>
      <c r="D479" s="306" t="s">
        <v>1818</v>
      </c>
      <c r="E479" s="306" t="s">
        <v>1973</v>
      </c>
      <c r="F479" s="306" t="s">
        <v>1007</v>
      </c>
      <c r="G479" s="308">
        <v>46020</v>
      </c>
      <c r="H479" s="308">
        <v>46020</v>
      </c>
      <c r="I479" s="309">
        <v>-30546.79</v>
      </c>
      <c r="J479" s="306" t="s">
        <v>1008</v>
      </c>
      <c r="K479" s="309">
        <v>-30546.79</v>
      </c>
      <c r="L479" s="306" t="s">
        <v>1008</v>
      </c>
      <c r="M479" s="306" t="s">
        <v>1974</v>
      </c>
      <c r="N479" s="306" t="s">
        <v>1535</v>
      </c>
      <c r="O479" s="306" t="s">
        <v>1822</v>
      </c>
      <c r="P479" s="306" t="s">
        <v>263</v>
      </c>
      <c r="Q479" s="306" t="s">
        <v>1013</v>
      </c>
      <c r="R479" s="306" t="s">
        <v>1013</v>
      </c>
      <c r="S479" s="306" t="s">
        <v>1013</v>
      </c>
      <c r="T479" s="306" t="s">
        <v>1013</v>
      </c>
      <c r="U479" s="306" t="s">
        <v>1013</v>
      </c>
      <c r="V479" s="306" t="s">
        <v>1013</v>
      </c>
      <c r="W479" s="306" t="s">
        <v>1013</v>
      </c>
      <c r="X479" s="306" t="s">
        <v>1013</v>
      </c>
      <c r="Y479" s="306" t="s">
        <v>1537</v>
      </c>
      <c r="Z479" s="306" t="s">
        <v>1015</v>
      </c>
      <c r="AA479" s="306" t="s">
        <v>1013</v>
      </c>
    </row>
    <row r="480" spans="1:27" hidden="1">
      <c r="A480" s="306" t="s">
        <v>494</v>
      </c>
      <c r="B480" s="306" t="s">
        <v>1003</v>
      </c>
      <c r="C480" s="306" t="s">
        <v>1004</v>
      </c>
      <c r="D480" s="306" t="s">
        <v>1818</v>
      </c>
      <c r="E480" s="306" t="s">
        <v>1975</v>
      </c>
      <c r="F480" s="306" t="s">
        <v>1007</v>
      </c>
      <c r="G480" s="308">
        <v>46020</v>
      </c>
      <c r="H480" s="308">
        <v>46020</v>
      </c>
      <c r="I480" s="309">
        <v>-30546.79</v>
      </c>
      <c r="J480" s="306" t="s">
        <v>1008</v>
      </c>
      <c r="K480" s="309">
        <v>-30546.79</v>
      </c>
      <c r="L480" s="306" t="s">
        <v>1008</v>
      </c>
      <c r="M480" s="306" t="s">
        <v>1976</v>
      </c>
      <c r="N480" s="306" t="s">
        <v>1694</v>
      </c>
      <c r="O480" s="306" t="s">
        <v>1822</v>
      </c>
      <c r="P480" s="306" t="s">
        <v>1696</v>
      </c>
      <c r="Q480" s="306" t="s">
        <v>1013</v>
      </c>
      <c r="R480" s="306" t="s">
        <v>1013</v>
      </c>
      <c r="S480" s="306" t="s">
        <v>1013</v>
      </c>
      <c r="T480" s="306" t="s">
        <v>1013</v>
      </c>
      <c r="U480" s="306" t="s">
        <v>1013</v>
      </c>
      <c r="V480" s="306" t="s">
        <v>1013</v>
      </c>
      <c r="W480" s="306" t="s">
        <v>1013</v>
      </c>
      <c r="X480" s="306" t="s">
        <v>1013</v>
      </c>
      <c r="Y480" s="306" t="s">
        <v>1697</v>
      </c>
      <c r="Z480" s="306" t="s">
        <v>1015</v>
      </c>
      <c r="AA480" s="306" t="s">
        <v>1013</v>
      </c>
    </row>
    <row r="481" spans="1:27" hidden="1">
      <c r="A481" s="306" t="s">
        <v>494</v>
      </c>
      <c r="B481" s="306" t="s">
        <v>1003</v>
      </c>
      <c r="C481" s="306" t="s">
        <v>1004</v>
      </c>
      <c r="D481" s="306" t="s">
        <v>1818</v>
      </c>
      <c r="E481" s="306" t="s">
        <v>1977</v>
      </c>
      <c r="F481" s="306" t="s">
        <v>1007</v>
      </c>
      <c r="G481" s="308">
        <v>46020</v>
      </c>
      <c r="H481" s="308">
        <v>46020</v>
      </c>
      <c r="I481" s="309">
        <v>-30546.79</v>
      </c>
      <c r="J481" s="306" t="s">
        <v>1008</v>
      </c>
      <c r="K481" s="309">
        <v>-30546.79</v>
      </c>
      <c r="L481" s="306" t="s">
        <v>1008</v>
      </c>
      <c r="M481" s="306" t="s">
        <v>1978</v>
      </c>
      <c r="N481" s="306" t="s">
        <v>1151</v>
      </c>
      <c r="O481" s="306" t="s">
        <v>1822</v>
      </c>
      <c r="P481" s="306" t="s">
        <v>244</v>
      </c>
      <c r="Q481" s="306" t="s">
        <v>1013</v>
      </c>
      <c r="R481" s="306" t="s">
        <v>1013</v>
      </c>
      <c r="S481" s="306" t="s">
        <v>1013</v>
      </c>
      <c r="T481" s="306" t="s">
        <v>1013</v>
      </c>
      <c r="U481" s="306" t="s">
        <v>1013</v>
      </c>
      <c r="V481" s="306" t="s">
        <v>1013</v>
      </c>
      <c r="W481" s="306" t="s">
        <v>1013</v>
      </c>
      <c r="X481" s="306" t="s">
        <v>1013</v>
      </c>
      <c r="Y481" s="306" t="s">
        <v>1153</v>
      </c>
      <c r="Z481" s="306" t="s">
        <v>1015</v>
      </c>
      <c r="AA481" s="306" t="s">
        <v>1013</v>
      </c>
    </row>
    <row r="482" spans="1:27" hidden="1">
      <c r="A482" s="306" t="s">
        <v>494</v>
      </c>
      <c r="B482" s="306" t="s">
        <v>1003</v>
      </c>
      <c r="C482" s="306" t="s">
        <v>1004</v>
      </c>
      <c r="D482" s="306" t="s">
        <v>1818</v>
      </c>
      <c r="E482" s="306" t="s">
        <v>1979</v>
      </c>
      <c r="F482" s="306" t="s">
        <v>1007</v>
      </c>
      <c r="G482" s="308">
        <v>46020</v>
      </c>
      <c r="H482" s="308">
        <v>46020</v>
      </c>
      <c r="I482" s="309">
        <v>-30546.79</v>
      </c>
      <c r="J482" s="306" t="s">
        <v>1008</v>
      </c>
      <c r="K482" s="309">
        <v>-30546.79</v>
      </c>
      <c r="L482" s="306" t="s">
        <v>1008</v>
      </c>
      <c r="M482" s="306" t="s">
        <v>1980</v>
      </c>
      <c r="N482" s="306" t="s">
        <v>1403</v>
      </c>
      <c r="O482" s="306" t="s">
        <v>1822</v>
      </c>
      <c r="P482" s="306" t="s">
        <v>1405</v>
      </c>
      <c r="Q482" s="306" t="s">
        <v>1013</v>
      </c>
      <c r="R482" s="306" t="s">
        <v>1013</v>
      </c>
      <c r="S482" s="306" t="s">
        <v>1013</v>
      </c>
      <c r="T482" s="306" t="s">
        <v>1013</v>
      </c>
      <c r="U482" s="306" t="s">
        <v>1013</v>
      </c>
      <c r="V482" s="306" t="s">
        <v>1013</v>
      </c>
      <c r="W482" s="306" t="s">
        <v>1013</v>
      </c>
      <c r="X482" s="306" t="s">
        <v>1013</v>
      </c>
      <c r="Y482" s="306" t="s">
        <v>1406</v>
      </c>
      <c r="Z482" s="306" t="s">
        <v>1015</v>
      </c>
      <c r="AA482" s="306" t="s">
        <v>1013</v>
      </c>
    </row>
    <row r="483" spans="1:27" hidden="1">
      <c r="A483" s="306" t="s">
        <v>494</v>
      </c>
      <c r="B483" s="306" t="s">
        <v>1003</v>
      </c>
      <c r="C483" s="306" t="s">
        <v>1004</v>
      </c>
      <c r="D483" s="306" t="s">
        <v>1818</v>
      </c>
      <c r="E483" s="306" t="s">
        <v>1981</v>
      </c>
      <c r="F483" s="306" t="s">
        <v>1007</v>
      </c>
      <c r="G483" s="308">
        <v>46020</v>
      </c>
      <c r="H483" s="308">
        <v>46020</v>
      </c>
      <c r="I483" s="309">
        <v>-29801.75</v>
      </c>
      <c r="J483" s="306" t="s">
        <v>1008</v>
      </c>
      <c r="K483" s="309">
        <v>-29801.75</v>
      </c>
      <c r="L483" s="306" t="s">
        <v>1008</v>
      </c>
      <c r="M483" s="306" t="s">
        <v>1982</v>
      </c>
      <c r="N483" s="306" t="s">
        <v>1982</v>
      </c>
      <c r="O483" s="306" t="s">
        <v>1822</v>
      </c>
      <c r="P483" s="306" t="s">
        <v>1069</v>
      </c>
      <c r="Q483" s="306" t="s">
        <v>1013</v>
      </c>
      <c r="R483" s="306" t="s">
        <v>1013</v>
      </c>
      <c r="S483" s="306" t="s">
        <v>1013</v>
      </c>
      <c r="T483" s="306" t="s">
        <v>1013</v>
      </c>
      <c r="U483" s="306" t="s">
        <v>1013</v>
      </c>
      <c r="V483" s="306" t="s">
        <v>1013</v>
      </c>
      <c r="W483" s="306" t="s">
        <v>1013</v>
      </c>
      <c r="X483" s="306" t="s">
        <v>1013</v>
      </c>
      <c r="Y483" s="306" t="s">
        <v>1983</v>
      </c>
      <c r="Z483" s="306" t="s">
        <v>1015</v>
      </c>
      <c r="AA483" s="306" t="s">
        <v>1013</v>
      </c>
    </row>
    <row r="484" spans="1:27" hidden="1">
      <c r="A484" s="306" t="s">
        <v>494</v>
      </c>
      <c r="B484" s="306" t="s">
        <v>1003</v>
      </c>
      <c r="C484" s="306" t="s">
        <v>1004</v>
      </c>
      <c r="D484" s="306" t="s">
        <v>1818</v>
      </c>
      <c r="E484" s="306" t="s">
        <v>1984</v>
      </c>
      <c r="F484" s="306" t="s">
        <v>1007</v>
      </c>
      <c r="G484" s="308">
        <v>46020</v>
      </c>
      <c r="H484" s="308">
        <v>46020</v>
      </c>
      <c r="I484" s="309">
        <v>-28385.24</v>
      </c>
      <c r="J484" s="306" t="s">
        <v>1008</v>
      </c>
      <c r="K484" s="309">
        <v>-28385.24</v>
      </c>
      <c r="L484" s="306" t="s">
        <v>1008</v>
      </c>
      <c r="M484" s="306" t="s">
        <v>1985</v>
      </c>
      <c r="N484" s="306" t="s">
        <v>1986</v>
      </c>
      <c r="O484" s="306" t="s">
        <v>1822</v>
      </c>
      <c r="P484" s="306" t="s">
        <v>1069</v>
      </c>
      <c r="Q484" s="306" t="s">
        <v>1013</v>
      </c>
      <c r="R484" s="306" t="s">
        <v>1013</v>
      </c>
      <c r="S484" s="306" t="s">
        <v>1013</v>
      </c>
      <c r="T484" s="306" t="s">
        <v>1013</v>
      </c>
      <c r="U484" s="306" t="s">
        <v>1013</v>
      </c>
      <c r="V484" s="306" t="s">
        <v>1013</v>
      </c>
      <c r="W484" s="306" t="s">
        <v>1013</v>
      </c>
      <c r="X484" s="306" t="s">
        <v>1013</v>
      </c>
      <c r="Y484" s="306" t="s">
        <v>1987</v>
      </c>
      <c r="Z484" s="306" t="s">
        <v>1015</v>
      </c>
      <c r="AA484" s="306" t="s">
        <v>1013</v>
      </c>
    </row>
    <row r="485" spans="1:27" hidden="1">
      <c r="A485" s="306" t="s">
        <v>494</v>
      </c>
      <c r="B485" s="306" t="s">
        <v>1003</v>
      </c>
      <c r="C485" s="306" t="s">
        <v>1004</v>
      </c>
      <c r="D485" s="306" t="s">
        <v>1818</v>
      </c>
      <c r="E485" s="306" t="s">
        <v>1988</v>
      </c>
      <c r="F485" s="306" t="s">
        <v>1007</v>
      </c>
      <c r="G485" s="308">
        <v>46020</v>
      </c>
      <c r="H485" s="308">
        <v>46020</v>
      </c>
      <c r="I485" s="309">
        <v>-28385.24</v>
      </c>
      <c r="J485" s="306" t="s">
        <v>1008</v>
      </c>
      <c r="K485" s="309">
        <v>-28385.24</v>
      </c>
      <c r="L485" s="306" t="s">
        <v>1008</v>
      </c>
      <c r="M485" s="306" t="s">
        <v>1989</v>
      </c>
      <c r="N485" s="306" t="s">
        <v>1990</v>
      </c>
      <c r="O485" s="306" t="s">
        <v>1822</v>
      </c>
      <c r="P485" s="306" t="s">
        <v>1069</v>
      </c>
      <c r="Q485" s="306" t="s">
        <v>1013</v>
      </c>
      <c r="R485" s="306" t="s">
        <v>1013</v>
      </c>
      <c r="S485" s="306" t="s">
        <v>1013</v>
      </c>
      <c r="T485" s="306" t="s">
        <v>1013</v>
      </c>
      <c r="U485" s="306" t="s">
        <v>1013</v>
      </c>
      <c r="V485" s="306" t="s">
        <v>1013</v>
      </c>
      <c r="W485" s="306" t="s">
        <v>1013</v>
      </c>
      <c r="X485" s="306" t="s">
        <v>1013</v>
      </c>
      <c r="Y485" s="306" t="s">
        <v>1991</v>
      </c>
      <c r="Z485" s="306" t="s">
        <v>1015</v>
      </c>
      <c r="AA485" s="306" t="s">
        <v>1013</v>
      </c>
    </row>
    <row r="486" spans="1:27" hidden="1">
      <c r="A486" s="306" t="s">
        <v>494</v>
      </c>
      <c r="B486" s="306" t="s">
        <v>1003</v>
      </c>
      <c r="C486" s="306" t="s">
        <v>1004</v>
      </c>
      <c r="D486" s="306" t="s">
        <v>1818</v>
      </c>
      <c r="E486" s="306" t="s">
        <v>1992</v>
      </c>
      <c r="F486" s="306" t="s">
        <v>1007</v>
      </c>
      <c r="G486" s="308">
        <v>46020</v>
      </c>
      <c r="H486" s="308">
        <v>46020</v>
      </c>
      <c r="I486" s="309">
        <v>-26449.88</v>
      </c>
      <c r="J486" s="306" t="s">
        <v>1008</v>
      </c>
      <c r="K486" s="309">
        <v>-26449.88</v>
      </c>
      <c r="L486" s="306" t="s">
        <v>1008</v>
      </c>
      <c r="M486" s="306" t="s">
        <v>1993</v>
      </c>
      <c r="N486" s="306" t="s">
        <v>1994</v>
      </c>
      <c r="O486" s="306" t="s">
        <v>1995</v>
      </c>
      <c r="P486" s="306" t="s">
        <v>1069</v>
      </c>
      <c r="Q486" s="306" t="s">
        <v>1013</v>
      </c>
      <c r="R486" s="306" t="s">
        <v>1013</v>
      </c>
      <c r="S486" s="306" t="s">
        <v>1013</v>
      </c>
      <c r="T486" s="306" t="s">
        <v>1013</v>
      </c>
      <c r="U486" s="306" t="s">
        <v>1013</v>
      </c>
      <c r="V486" s="306" t="s">
        <v>1013</v>
      </c>
      <c r="W486" s="306" t="s">
        <v>1013</v>
      </c>
      <c r="X486" s="306" t="s">
        <v>1013</v>
      </c>
      <c r="Y486" s="306" t="s">
        <v>1996</v>
      </c>
      <c r="Z486" s="306" t="s">
        <v>1015</v>
      </c>
      <c r="AA486" s="306" t="s">
        <v>1013</v>
      </c>
    </row>
    <row r="487" spans="1:27" hidden="1">
      <c r="A487" s="306" t="s">
        <v>494</v>
      </c>
      <c r="B487" s="306" t="s">
        <v>1003</v>
      </c>
      <c r="C487" s="306" t="s">
        <v>1004</v>
      </c>
      <c r="D487" s="306" t="s">
        <v>1818</v>
      </c>
      <c r="E487" s="306" t="s">
        <v>1997</v>
      </c>
      <c r="F487" s="306" t="s">
        <v>1007</v>
      </c>
      <c r="G487" s="308">
        <v>46020</v>
      </c>
      <c r="H487" s="308">
        <v>46020</v>
      </c>
      <c r="I487" s="309">
        <v>-38108.089999999997</v>
      </c>
      <c r="J487" s="306" t="s">
        <v>1008</v>
      </c>
      <c r="K487" s="309">
        <v>-38108.089999999997</v>
      </c>
      <c r="L487" s="306" t="s">
        <v>1008</v>
      </c>
      <c r="M487" s="306" t="s">
        <v>1949</v>
      </c>
      <c r="N487" s="306" t="s">
        <v>259</v>
      </c>
      <c r="O487" s="306" t="s">
        <v>1822</v>
      </c>
      <c r="P487" s="306" t="s">
        <v>188</v>
      </c>
      <c r="Q487" s="306" t="s">
        <v>1013</v>
      </c>
      <c r="R487" s="306" t="s">
        <v>1013</v>
      </c>
      <c r="S487" s="306" t="s">
        <v>1013</v>
      </c>
      <c r="T487" s="306" t="s">
        <v>1013</v>
      </c>
      <c r="U487" s="306" t="s">
        <v>1013</v>
      </c>
      <c r="V487" s="306" t="s">
        <v>1013</v>
      </c>
      <c r="W487" s="306" t="s">
        <v>1013</v>
      </c>
      <c r="X487" s="306" t="s">
        <v>1013</v>
      </c>
      <c r="Y487" s="306" t="s">
        <v>1998</v>
      </c>
      <c r="Z487" s="306" t="s">
        <v>1015</v>
      </c>
      <c r="AA487" s="306" t="s">
        <v>1013</v>
      </c>
    </row>
    <row r="488" spans="1:27" hidden="1">
      <c r="A488" s="306" t="s">
        <v>494</v>
      </c>
      <c r="B488" s="306" t="s">
        <v>1003</v>
      </c>
      <c r="C488" s="306" t="s">
        <v>1004</v>
      </c>
      <c r="D488" s="306" t="s">
        <v>1818</v>
      </c>
      <c r="E488" s="306" t="s">
        <v>1999</v>
      </c>
      <c r="F488" s="306" t="s">
        <v>1007</v>
      </c>
      <c r="G488" s="308">
        <v>46020</v>
      </c>
      <c r="H488" s="308">
        <v>46020</v>
      </c>
      <c r="I488" s="309">
        <v>-67202.960000000006</v>
      </c>
      <c r="J488" s="306" t="s">
        <v>1008</v>
      </c>
      <c r="K488" s="309">
        <v>-67202.960000000006</v>
      </c>
      <c r="L488" s="306" t="s">
        <v>1008</v>
      </c>
      <c r="M488" s="306" t="s">
        <v>1949</v>
      </c>
      <c r="N488" s="306" t="s">
        <v>260</v>
      </c>
      <c r="O488" s="306" t="s">
        <v>1822</v>
      </c>
      <c r="P488" s="306" t="s">
        <v>188</v>
      </c>
      <c r="Q488" s="306" t="s">
        <v>1013</v>
      </c>
      <c r="R488" s="306" t="s">
        <v>1013</v>
      </c>
      <c r="S488" s="306" t="s">
        <v>1013</v>
      </c>
      <c r="T488" s="306" t="s">
        <v>1013</v>
      </c>
      <c r="U488" s="306" t="s">
        <v>1013</v>
      </c>
      <c r="V488" s="306" t="s">
        <v>1013</v>
      </c>
      <c r="W488" s="306" t="s">
        <v>1013</v>
      </c>
      <c r="X488" s="306" t="s">
        <v>1013</v>
      </c>
      <c r="Y488" s="306" t="s">
        <v>1998</v>
      </c>
      <c r="Z488" s="306" t="s">
        <v>1015</v>
      </c>
      <c r="AA488" s="306" t="s">
        <v>1013</v>
      </c>
    </row>
    <row r="489" spans="1:27" hidden="1">
      <c r="A489" s="306" t="s">
        <v>494</v>
      </c>
      <c r="B489" s="306" t="s">
        <v>1003</v>
      </c>
      <c r="C489" s="306" t="s">
        <v>1004</v>
      </c>
      <c r="D489" s="306" t="s">
        <v>1818</v>
      </c>
      <c r="E489" s="306" t="s">
        <v>2000</v>
      </c>
      <c r="F489" s="306" t="s">
        <v>1007</v>
      </c>
      <c r="G489" s="308">
        <v>46020</v>
      </c>
      <c r="H489" s="308">
        <v>46020</v>
      </c>
      <c r="I489" s="309">
        <v>-61093.599999999999</v>
      </c>
      <c r="J489" s="306" t="s">
        <v>1008</v>
      </c>
      <c r="K489" s="309">
        <v>-61093.599999999999</v>
      </c>
      <c r="L489" s="306" t="s">
        <v>1008</v>
      </c>
      <c r="M489" s="306" t="s">
        <v>1949</v>
      </c>
      <c r="N489" s="306" t="s">
        <v>2001</v>
      </c>
      <c r="O489" s="306" t="s">
        <v>1822</v>
      </c>
      <c r="P489" s="306" t="s">
        <v>2002</v>
      </c>
      <c r="Q489" s="306" t="s">
        <v>1013</v>
      </c>
      <c r="R489" s="306" t="s">
        <v>1013</v>
      </c>
      <c r="S489" s="306" t="s">
        <v>1013</v>
      </c>
      <c r="T489" s="306" t="s">
        <v>1013</v>
      </c>
      <c r="U489" s="306" t="s">
        <v>1013</v>
      </c>
      <c r="V489" s="306" t="s">
        <v>1013</v>
      </c>
      <c r="W489" s="306" t="s">
        <v>1013</v>
      </c>
      <c r="X489" s="306" t="s">
        <v>1013</v>
      </c>
      <c r="Y489" s="306" t="s">
        <v>2003</v>
      </c>
      <c r="Z489" s="306" t="s">
        <v>1015</v>
      </c>
      <c r="AA489" s="306" t="s">
        <v>1013</v>
      </c>
    </row>
    <row r="490" spans="1:27" hidden="1">
      <c r="A490" s="306" t="s">
        <v>494</v>
      </c>
      <c r="B490" s="306" t="s">
        <v>1003</v>
      </c>
      <c r="C490" s="306" t="s">
        <v>1004</v>
      </c>
      <c r="D490" s="306" t="s">
        <v>1818</v>
      </c>
      <c r="E490" s="306" t="s">
        <v>2004</v>
      </c>
      <c r="F490" s="306" t="s">
        <v>1007</v>
      </c>
      <c r="G490" s="308">
        <v>46020</v>
      </c>
      <c r="H490" s="308">
        <v>46020</v>
      </c>
      <c r="I490" s="309">
        <v>-48875.09</v>
      </c>
      <c r="J490" s="306" t="s">
        <v>1008</v>
      </c>
      <c r="K490" s="309">
        <v>-48875.09</v>
      </c>
      <c r="L490" s="306" t="s">
        <v>1008</v>
      </c>
      <c r="M490" s="306" t="s">
        <v>2005</v>
      </c>
      <c r="N490" s="306" t="s">
        <v>2005</v>
      </c>
      <c r="O490" s="306" t="s">
        <v>1822</v>
      </c>
      <c r="P490" s="306" t="s">
        <v>1069</v>
      </c>
      <c r="Q490" s="306" t="s">
        <v>1013</v>
      </c>
      <c r="R490" s="306" t="s">
        <v>1013</v>
      </c>
      <c r="S490" s="306" t="s">
        <v>1013</v>
      </c>
      <c r="T490" s="306" t="s">
        <v>1013</v>
      </c>
      <c r="U490" s="306" t="s">
        <v>1013</v>
      </c>
      <c r="V490" s="306" t="s">
        <v>1013</v>
      </c>
      <c r="W490" s="306" t="s">
        <v>1013</v>
      </c>
      <c r="X490" s="306" t="s">
        <v>1013</v>
      </c>
      <c r="Y490" s="306" t="s">
        <v>1070</v>
      </c>
      <c r="Z490" s="306" t="s">
        <v>1015</v>
      </c>
      <c r="AA490" s="306" t="s">
        <v>1013</v>
      </c>
    </row>
    <row r="491" spans="1:27" hidden="1">
      <c r="A491" s="306" t="s">
        <v>494</v>
      </c>
      <c r="B491" s="306" t="s">
        <v>1003</v>
      </c>
      <c r="C491" s="306" t="s">
        <v>1004</v>
      </c>
      <c r="D491" s="306" t="s">
        <v>1818</v>
      </c>
      <c r="E491" s="306" t="s">
        <v>2006</v>
      </c>
      <c r="F491" s="306" t="s">
        <v>1007</v>
      </c>
      <c r="G491" s="308">
        <v>46020</v>
      </c>
      <c r="H491" s="308">
        <v>46020</v>
      </c>
      <c r="I491" s="309">
        <v>-48874.879999999997</v>
      </c>
      <c r="J491" s="306" t="s">
        <v>1008</v>
      </c>
      <c r="K491" s="309">
        <v>-48874.879999999997</v>
      </c>
      <c r="L491" s="306" t="s">
        <v>1008</v>
      </c>
      <c r="M491" s="306" t="s">
        <v>2007</v>
      </c>
      <c r="N491" s="306" t="s">
        <v>2008</v>
      </c>
      <c r="O491" s="306" t="s">
        <v>1822</v>
      </c>
      <c r="P491" s="306" t="s">
        <v>1069</v>
      </c>
      <c r="Q491" s="306" t="s">
        <v>1013</v>
      </c>
      <c r="R491" s="306" t="s">
        <v>1013</v>
      </c>
      <c r="S491" s="306" t="s">
        <v>1013</v>
      </c>
      <c r="T491" s="306" t="s">
        <v>1013</v>
      </c>
      <c r="U491" s="306" t="s">
        <v>1013</v>
      </c>
      <c r="V491" s="306" t="s">
        <v>1013</v>
      </c>
      <c r="W491" s="306" t="s">
        <v>1013</v>
      </c>
      <c r="X491" s="306" t="s">
        <v>1013</v>
      </c>
      <c r="Y491" s="306" t="s">
        <v>2009</v>
      </c>
      <c r="Z491" s="306" t="s">
        <v>1015</v>
      </c>
      <c r="AA491" s="306" t="s">
        <v>1013</v>
      </c>
    </row>
    <row r="492" spans="1:27" hidden="1">
      <c r="A492" s="306" t="s">
        <v>494</v>
      </c>
      <c r="B492" s="306" t="s">
        <v>1003</v>
      </c>
      <c r="C492" s="306" t="s">
        <v>1004</v>
      </c>
      <c r="D492" s="306" t="s">
        <v>1818</v>
      </c>
      <c r="E492" s="306" t="s">
        <v>2010</v>
      </c>
      <c r="F492" s="306" t="s">
        <v>1007</v>
      </c>
      <c r="G492" s="308">
        <v>46020</v>
      </c>
      <c r="H492" s="308">
        <v>46020</v>
      </c>
      <c r="I492" s="309">
        <v>-61093.599999999999</v>
      </c>
      <c r="J492" s="306" t="s">
        <v>1008</v>
      </c>
      <c r="K492" s="309">
        <v>-61093.599999999999</v>
      </c>
      <c r="L492" s="306" t="s">
        <v>1008</v>
      </c>
      <c r="M492" s="306" t="s">
        <v>2011</v>
      </c>
      <c r="N492" s="306" t="s">
        <v>2011</v>
      </c>
      <c r="O492" s="306" t="s">
        <v>1822</v>
      </c>
      <c r="P492" s="306" t="s">
        <v>1069</v>
      </c>
      <c r="Q492" s="306" t="s">
        <v>1013</v>
      </c>
      <c r="R492" s="306" t="s">
        <v>1013</v>
      </c>
      <c r="S492" s="306" t="s">
        <v>1013</v>
      </c>
      <c r="T492" s="306" t="s">
        <v>1013</v>
      </c>
      <c r="U492" s="306" t="s">
        <v>1013</v>
      </c>
      <c r="V492" s="306" t="s">
        <v>1013</v>
      </c>
      <c r="W492" s="306" t="s">
        <v>1013</v>
      </c>
      <c r="X492" s="306" t="s">
        <v>1013</v>
      </c>
      <c r="Y492" s="306" t="s">
        <v>2012</v>
      </c>
      <c r="Z492" s="306" t="s">
        <v>1015</v>
      </c>
      <c r="AA492" s="306" t="s">
        <v>1013</v>
      </c>
    </row>
    <row r="493" spans="1:27" hidden="1">
      <c r="A493" s="306" t="s">
        <v>494</v>
      </c>
      <c r="B493" s="306" t="s">
        <v>1003</v>
      </c>
      <c r="C493" s="306" t="s">
        <v>1004</v>
      </c>
      <c r="D493" s="306" t="s">
        <v>1818</v>
      </c>
      <c r="E493" s="306" t="s">
        <v>2013</v>
      </c>
      <c r="F493" s="306" t="s">
        <v>1007</v>
      </c>
      <c r="G493" s="308">
        <v>46020</v>
      </c>
      <c r="H493" s="308">
        <v>46020</v>
      </c>
      <c r="I493" s="309">
        <v>-48874.879999999997</v>
      </c>
      <c r="J493" s="306" t="s">
        <v>1008</v>
      </c>
      <c r="K493" s="309">
        <v>-48874.879999999997</v>
      </c>
      <c r="L493" s="306" t="s">
        <v>1008</v>
      </c>
      <c r="M493" s="306" t="s">
        <v>2014</v>
      </c>
      <c r="N493" s="306" t="s">
        <v>2014</v>
      </c>
      <c r="O493" s="306" t="s">
        <v>1822</v>
      </c>
      <c r="P493" s="306" t="s">
        <v>212</v>
      </c>
      <c r="Q493" s="306" t="s">
        <v>1013</v>
      </c>
      <c r="R493" s="306" t="s">
        <v>1013</v>
      </c>
      <c r="S493" s="306" t="s">
        <v>1013</v>
      </c>
      <c r="T493" s="306" t="s">
        <v>1013</v>
      </c>
      <c r="U493" s="306" t="s">
        <v>1013</v>
      </c>
      <c r="V493" s="306" t="s">
        <v>1013</v>
      </c>
      <c r="W493" s="306" t="s">
        <v>1013</v>
      </c>
      <c r="X493" s="306" t="s">
        <v>1013</v>
      </c>
      <c r="Y493" s="306" t="s">
        <v>1112</v>
      </c>
      <c r="Z493" s="306" t="s">
        <v>1015</v>
      </c>
      <c r="AA493" s="306" t="s">
        <v>1013</v>
      </c>
    </row>
    <row r="494" spans="1:27" hidden="1">
      <c r="A494" s="306" t="s">
        <v>494</v>
      </c>
      <c r="B494" s="306" t="s">
        <v>1003</v>
      </c>
      <c r="C494" s="306" t="s">
        <v>1004</v>
      </c>
      <c r="D494" s="306" t="s">
        <v>1818</v>
      </c>
      <c r="E494" s="306" t="s">
        <v>2015</v>
      </c>
      <c r="F494" s="306" t="s">
        <v>1007</v>
      </c>
      <c r="G494" s="308">
        <v>46020</v>
      </c>
      <c r="H494" s="308">
        <v>46020</v>
      </c>
      <c r="I494" s="309">
        <v>-34643.72</v>
      </c>
      <c r="J494" s="306" t="s">
        <v>1008</v>
      </c>
      <c r="K494" s="309">
        <v>-34643.72</v>
      </c>
      <c r="L494" s="306" t="s">
        <v>1008</v>
      </c>
      <c r="M494" s="306" t="s">
        <v>2016</v>
      </c>
      <c r="N494" s="306" t="s">
        <v>2016</v>
      </c>
      <c r="O494" s="306" t="s">
        <v>1822</v>
      </c>
      <c r="P494" s="306" t="s">
        <v>206</v>
      </c>
      <c r="Q494" s="306" t="s">
        <v>1013</v>
      </c>
      <c r="R494" s="306" t="s">
        <v>1013</v>
      </c>
      <c r="S494" s="306" t="s">
        <v>1013</v>
      </c>
      <c r="T494" s="306" t="s">
        <v>1013</v>
      </c>
      <c r="U494" s="306" t="s">
        <v>1013</v>
      </c>
      <c r="V494" s="306" t="s">
        <v>1013</v>
      </c>
      <c r="W494" s="306" t="s">
        <v>1013</v>
      </c>
      <c r="X494" s="306" t="s">
        <v>1013</v>
      </c>
      <c r="Y494" s="306" t="s">
        <v>2017</v>
      </c>
      <c r="Z494" s="306" t="s">
        <v>1015</v>
      </c>
      <c r="AA494" s="306" t="s">
        <v>1013</v>
      </c>
    </row>
    <row r="495" spans="1:27" hidden="1">
      <c r="A495" s="306" t="s">
        <v>494</v>
      </c>
      <c r="B495" s="306" t="s">
        <v>1003</v>
      </c>
      <c r="C495" s="306" t="s">
        <v>1004</v>
      </c>
      <c r="D495" s="306" t="s">
        <v>1818</v>
      </c>
      <c r="E495" s="306" t="s">
        <v>2018</v>
      </c>
      <c r="F495" s="306" t="s">
        <v>1007</v>
      </c>
      <c r="G495" s="308">
        <v>46020</v>
      </c>
      <c r="H495" s="308">
        <v>46020</v>
      </c>
      <c r="I495" s="309">
        <v>-48874.879999999997</v>
      </c>
      <c r="J495" s="306" t="s">
        <v>1008</v>
      </c>
      <c r="K495" s="309">
        <v>-48874.879999999997</v>
      </c>
      <c r="L495" s="306" t="s">
        <v>1008</v>
      </c>
      <c r="M495" s="306" t="s">
        <v>2019</v>
      </c>
      <c r="N495" s="306" t="s">
        <v>2019</v>
      </c>
      <c r="O495" s="306" t="s">
        <v>1822</v>
      </c>
      <c r="P495" s="306" t="s">
        <v>2020</v>
      </c>
      <c r="Q495" s="306" t="s">
        <v>1013</v>
      </c>
      <c r="R495" s="306" t="s">
        <v>1013</v>
      </c>
      <c r="S495" s="306" t="s">
        <v>1013</v>
      </c>
      <c r="T495" s="306" t="s">
        <v>1013</v>
      </c>
      <c r="U495" s="306" t="s">
        <v>1013</v>
      </c>
      <c r="V495" s="306" t="s">
        <v>1013</v>
      </c>
      <c r="W495" s="306" t="s">
        <v>1013</v>
      </c>
      <c r="X495" s="306" t="s">
        <v>1013</v>
      </c>
      <c r="Y495" s="306" t="s">
        <v>2021</v>
      </c>
      <c r="Z495" s="306" t="s">
        <v>1015</v>
      </c>
      <c r="AA495" s="306" t="s">
        <v>1013</v>
      </c>
    </row>
    <row r="496" spans="1:27" hidden="1">
      <c r="A496" s="306" t="s">
        <v>494</v>
      </c>
      <c r="B496" s="306" t="s">
        <v>1003</v>
      </c>
      <c r="C496" s="306" t="s">
        <v>1004</v>
      </c>
      <c r="D496" s="306" t="s">
        <v>1818</v>
      </c>
      <c r="E496" s="306" t="s">
        <v>2022</v>
      </c>
      <c r="F496" s="306" t="s">
        <v>1007</v>
      </c>
      <c r="G496" s="308">
        <v>46020</v>
      </c>
      <c r="H496" s="308">
        <v>46020</v>
      </c>
      <c r="I496" s="309">
        <v>38108.089999999997</v>
      </c>
      <c r="J496" s="306" t="s">
        <v>1008</v>
      </c>
      <c r="K496" s="309">
        <v>38108.089999999997</v>
      </c>
      <c r="L496" s="306" t="s">
        <v>1008</v>
      </c>
      <c r="M496" s="306" t="s">
        <v>1949</v>
      </c>
      <c r="N496" s="306" t="s">
        <v>259</v>
      </c>
      <c r="O496" s="306" t="s">
        <v>1822</v>
      </c>
      <c r="P496" s="306" t="s">
        <v>188</v>
      </c>
      <c r="Q496" s="306" t="s">
        <v>1013</v>
      </c>
      <c r="R496" s="306" t="s">
        <v>1013</v>
      </c>
      <c r="S496" s="306" t="s">
        <v>1013</v>
      </c>
      <c r="T496" s="306" t="s">
        <v>1013</v>
      </c>
      <c r="U496" s="306" t="s">
        <v>1013</v>
      </c>
      <c r="V496" s="306" t="s">
        <v>1013</v>
      </c>
      <c r="W496" s="306" t="s">
        <v>1013</v>
      </c>
      <c r="X496" s="306" t="s">
        <v>1013</v>
      </c>
      <c r="Y496" s="306" t="s">
        <v>1998</v>
      </c>
      <c r="Z496" s="306" t="s">
        <v>1015</v>
      </c>
      <c r="AA496" s="306" t="s">
        <v>1013</v>
      </c>
    </row>
    <row r="497" spans="1:27" hidden="1">
      <c r="A497" s="306" t="s">
        <v>494</v>
      </c>
      <c r="B497" s="306" t="s">
        <v>1003</v>
      </c>
      <c r="C497" s="306" t="s">
        <v>1004</v>
      </c>
      <c r="D497" s="306" t="s">
        <v>1818</v>
      </c>
      <c r="E497" s="306" t="s">
        <v>2023</v>
      </c>
      <c r="F497" s="306" t="s">
        <v>1007</v>
      </c>
      <c r="G497" s="308">
        <v>46020</v>
      </c>
      <c r="H497" s="308">
        <v>46020</v>
      </c>
      <c r="I497" s="309">
        <v>67202.960000000006</v>
      </c>
      <c r="J497" s="306" t="s">
        <v>1008</v>
      </c>
      <c r="K497" s="309">
        <v>67202.960000000006</v>
      </c>
      <c r="L497" s="306" t="s">
        <v>1008</v>
      </c>
      <c r="M497" s="306" t="s">
        <v>1949</v>
      </c>
      <c r="N497" s="306" t="s">
        <v>260</v>
      </c>
      <c r="O497" s="306" t="s">
        <v>1822</v>
      </c>
      <c r="P497" s="306" t="s">
        <v>188</v>
      </c>
      <c r="Q497" s="306" t="s">
        <v>1013</v>
      </c>
      <c r="R497" s="306" t="s">
        <v>1013</v>
      </c>
      <c r="S497" s="306" t="s">
        <v>1013</v>
      </c>
      <c r="T497" s="306" t="s">
        <v>1013</v>
      </c>
      <c r="U497" s="306" t="s">
        <v>1013</v>
      </c>
      <c r="V497" s="306" t="s">
        <v>1013</v>
      </c>
      <c r="W497" s="306" t="s">
        <v>1013</v>
      </c>
      <c r="X497" s="306" t="s">
        <v>1013</v>
      </c>
      <c r="Y497" s="306" t="s">
        <v>1998</v>
      </c>
      <c r="Z497" s="306" t="s">
        <v>1015</v>
      </c>
      <c r="AA497" s="306" t="s">
        <v>1013</v>
      </c>
    </row>
    <row r="498" spans="1:27" hidden="1">
      <c r="A498" s="306" t="s">
        <v>494</v>
      </c>
      <c r="B498" s="306" t="s">
        <v>1003</v>
      </c>
      <c r="C498" s="306" t="s">
        <v>1004</v>
      </c>
      <c r="D498" s="306" t="s">
        <v>1818</v>
      </c>
      <c r="E498" s="306" t="s">
        <v>2024</v>
      </c>
      <c r="F498" s="306" t="s">
        <v>1007</v>
      </c>
      <c r="G498" s="308">
        <v>46020</v>
      </c>
      <c r="H498" s="308">
        <v>46020</v>
      </c>
      <c r="I498" s="309">
        <v>61093.599999999999</v>
      </c>
      <c r="J498" s="306" t="s">
        <v>1008</v>
      </c>
      <c r="K498" s="309">
        <v>61093.599999999999</v>
      </c>
      <c r="L498" s="306" t="s">
        <v>1008</v>
      </c>
      <c r="M498" s="306" t="s">
        <v>1949</v>
      </c>
      <c r="N498" s="306" t="s">
        <v>2001</v>
      </c>
      <c r="O498" s="306" t="s">
        <v>1822</v>
      </c>
      <c r="P498" s="306" t="s">
        <v>2002</v>
      </c>
      <c r="Q498" s="306" t="s">
        <v>1013</v>
      </c>
      <c r="R498" s="306" t="s">
        <v>1013</v>
      </c>
      <c r="S498" s="306" t="s">
        <v>1013</v>
      </c>
      <c r="T498" s="306" t="s">
        <v>1013</v>
      </c>
      <c r="U498" s="306" t="s">
        <v>1013</v>
      </c>
      <c r="V498" s="306" t="s">
        <v>1013</v>
      </c>
      <c r="W498" s="306" t="s">
        <v>1013</v>
      </c>
      <c r="X498" s="306" t="s">
        <v>1013</v>
      </c>
      <c r="Y498" s="306" t="s">
        <v>2003</v>
      </c>
      <c r="Z498" s="306" t="s">
        <v>1015</v>
      </c>
      <c r="AA498" s="306" t="s">
        <v>1013</v>
      </c>
    </row>
    <row r="499" spans="1:27" hidden="1">
      <c r="A499" s="306" t="s">
        <v>494</v>
      </c>
      <c r="B499" s="306" t="s">
        <v>1003</v>
      </c>
      <c r="C499" s="306" t="s">
        <v>1004</v>
      </c>
      <c r="D499" s="306" t="s">
        <v>1818</v>
      </c>
      <c r="E499" s="306" t="s">
        <v>2025</v>
      </c>
      <c r="F499" s="306" t="s">
        <v>1007</v>
      </c>
      <c r="G499" s="308">
        <v>46020</v>
      </c>
      <c r="H499" s="308">
        <v>46020</v>
      </c>
      <c r="I499" s="309">
        <v>48874.879999999997</v>
      </c>
      <c r="J499" s="306" t="s">
        <v>1008</v>
      </c>
      <c r="K499" s="309">
        <v>48874.879999999997</v>
      </c>
      <c r="L499" s="306" t="s">
        <v>1008</v>
      </c>
      <c r="M499" s="306" t="s">
        <v>1949</v>
      </c>
      <c r="N499" s="306" t="s">
        <v>1950</v>
      </c>
      <c r="O499" s="306" t="s">
        <v>1822</v>
      </c>
      <c r="P499" s="306" t="s">
        <v>1951</v>
      </c>
      <c r="Q499" s="306" t="s">
        <v>1013</v>
      </c>
      <c r="R499" s="306" t="s">
        <v>1013</v>
      </c>
      <c r="S499" s="306" t="s">
        <v>1013</v>
      </c>
      <c r="T499" s="306" t="s">
        <v>1013</v>
      </c>
      <c r="U499" s="306" t="s">
        <v>1013</v>
      </c>
      <c r="V499" s="306" t="s">
        <v>1013</v>
      </c>
      <c r="W499" s="306" t="s">
        <v>1013</v>
      </c>
      <c r="X499" s="306" t="s">
        <v>1013</v>
      </c>
      <c r="Y499" s="306" t="s">
        <v>1952</v>
      </c>
      <c r="Z499" s="306" t="s">
        <v>1015</v>
      </c>
      <c r="AA499" s="306" t="s">
        <v>1013</v>
      </c>
    </row>
    <row r="500" spans="1:27" hidden="1">
      <c r="A500" s="306" t="s">
        <v>494</v>
      </c>
      <c r="B500" s="306" t="s">
        <v>1003</v>
      </c>
      <c r="C500" s="306" t="s">
        <v>1004</v>
      </c>
      <c r="D500" s="306" t="s">
        <v>1005</v>
      </c>
      <c r="E500" s="306" t="s">
        <v>2026</v>
      </c>
      <c r="F500" s="306" t="s">
        <v>1007</v>
      </c>
      <c r="G500" s="308">
        <v>46022</v>
      </c>
      <c r="H500" s="308">
        <v>46022</v>
      </c>
      <c r="I500" s="309">
        <v>782169.74</v>
      </c>
      <c r="J500" s="306" t="s">
        <v>1008</v>
      </c>
      <c r="K500" s="309">
        <v>782169.74</v>
      </c>
      <c r="L500" s="306" t="s">
        <v>1008</v>
      </c>
      <c r="M500" s="306" t="s">
        <v>2027</v>
      </c>
      <c r="N500" s="306" t="s">
        <v>2027</v>
      </c>
      <c r="O500" s="306" t="s">
        <v>2028</v>
      </c>
      <c r="P500" s="306" t="s">
        <v>222</v>
      </c>
      <c r="Q500" s="306" t="s">
        <v>1013</v>
      </c>
      <c r="R500" s="306" t="s">
        <v>1013</v>
      </c>
      <c r="S500" s="306" t="s">
        <v>1013</v>
      </c>
      <c r="T500" s="306" t="s">
        <v>1036</v>
      </c>
      <c r="U500" s="306" t="s">
        <v>1013</v>
      </c>
      <c r="V500" s="306" t="s">
        <v>1013</v>
      </c>
      <c r="W500" s="306" t="s">
        <v>1013</v>
      </c>
      <c r="X500" s="306" t="s">
        <v>1013</v>
      </c>
      <c r="Y500" s="306" t="s">
        <v>1036</v>
      </c>
      <c r="Z500" s="306" t="s">
        <v>1015</v>
      </c>
      <c r="AA500" s="306" t="s">
        <v>1013</v>
      </c>
    </row>
    <row r="501" spans="1:27" hidden="1">
      <c r="A501" s="306" t="s">
        <v>494</v>
      </c>
      <c r="B501" s="306" t="s">
        <v>1003</v>
      </c>
      <c r="C501" s="306" t="s">
        <v>1004</v>
      </c>
      <c r="D501" s="306" t="s">
        <v>1005</v>
      </c>
      <c r="E501" s="306" t="s">
        <v>2029</v>
      </c>
      <c r="F501" s="306" t="s">
        <v>1007</v>
      </c>
      <c r="G501" s="308">
        <v>46022</v>
      </c>
      <c r="H501" s="308">
        <v>46022</v>
      </c>
      <c r="I501" s="309">
        <v>-520555.64</v>
      </c>
      <c r="J501" s="306" t="s">
        <v>1008</v>
      </c>
      <c r="K501" s="309">
        <v>-520555.64</v>
      </c>
      <c r="L501" s="306" t="s">
        <v>1008</v>
      </c>
      <c r="M501" s="306" t="s">
        <v>2027</v>
      </c>
      <c r="N501" s="306" t="s">
        <v>2027</v>
      </c>
      <c r="O501" s="306" t="s">
        <v>2030</v>
      </c>
      <c r="P501" s="306" t="s">
        <v>222</v>
      </c>
      <c r="Q501" s="306" t="s">
        <v>1013</v>
      </c>
      <c r="R501" s="306" t="s">
        <v>1013</v>
      </c>
      <c r="S501" s="306" t="s">
        <v>1013</v>
      </c>
      <c r="T501" s="306" t="s">
        <v>1036</v>
      </c>
      <c r="U501" s="306" t="s">
        <v>1013</v>
      </c>
      <c r="V501" s="306" t="s">
        <v>1013</v>
      </c>
      <c r="W501" s="306" t="s">
        <v>1013</v>
      </c>
      <c r="X501" s="306" t="s">
        <v>1013</v>
      </c>
      <c r="Y501" s="306" t="s">
        <v>1036</v>
      </c>
      <c r="Z501" s="306" t="s">
        <v>1015</v>
      </c>
      <c r="AA501" s="306" t="s">
        <v>1013</v>
      </c>
    </row>
    <row r="502" spans="1:27" hidden="1">
      <c r="A502" s="306" t="s">
        <v>494</v>
      </c>
      <c r="B502" s="306" t="s">
        <v>1003</v>
      </c>
      <c r="C502" s="306" t="s">
        <v>1004</v>
      </c>
      <c r="D502" s="306" t="s">
        <v>1005</v>
      </c>
      <c r="E502" s="306" t="s">
        <v>2031</v>
      </c>
      <c r="F502" s="306" t="s">
        <v>1007</v>
      </c>
      <c r="G502" s="308">
        <v>46022</v>
      </c>
      <c r="H502" s="308">
        <v>46022</v>
      </c>
      <c r="I502" s="309">
        <v>-1497790.75</v>
      </c>
      <c r="J502" s="306" t="s">
        <v>1008</v>
      </c>
      <c r="K502" s="309">
        <v>-1497790.75</v>
      </c>
      <c r="L502" s="306" t="s">
        <v>1008</v>
      </c>
      <c r="M502" s="306" t="s">
        <v>2027</v>
      </c>
      <c r="N502" s="306" t="s">
        <v>2027</v>
      </c>
      <c r="O502" s="306" t="s">
        <v>2032</v>
      </c>
      <c r="P502" s="306" t="s">
        <v>222</v>
      </c>
      <c r="Q502" s="306" t="s">
        <v>1013</v>
      </c>
      <c r="R502" s="306" t="s">
        <v>1013</v>
      </c>
      <c r="S502" s="306" t="s">
        <v>1013</v>
      </c>
      <c r="T502" s="306" t="s">
        <v>1036</v>
      </c>
      <c r="U502" s="306" t="s">
        <v>1013</v>
      </c>
      <c r="V502" s="306" t="s">
        <v>1013</v>
      </c>
      <c r="W502" s="306" t="s">
        <v>1013</v>
      </c>
      <c r="X502" s="306" t="s">
        <v>1013</v>
      </c>
      <c r="Y502" s="306" t="s">
        <v>1036</v>
      </c>
      <c r="Z502" s="306" t="s">
        <v>1015</v>
      </c>
      <c r="AA502" s="306" t="s">
        <v>1013</v>
      </c>
    </row>
    <row r="503" spans="1:27" hidden="1">
      <c r="A503" s="306" t="s">
        <v>494</v>
      </c>
      <c r="B503" s="306" t="s">
        <v>1003</v>
      </c>
      <c r="C503" s="306" t="s">
        <v>1004</v>
      </c>
      <c r="D503" s="306" t="s">
        <v>1005</v>
      </c>
      <c r="E503" s="306" t="s">
        <v>2033</v>
      </c>
      <c r="F503" s="306" t="s">
        <v>1007</v>
      </c>
      <c r="G503" s="308">
        <v>46022</v>
      </c>
      <c r="H503" s="308">
        <v>46022</v>
      </c>
      <c r="I503" s="309">
        <v>-477388.41</v>
      </c>
      <c r="J503" s="306" t="s">
        <v>1008</v>
      </c>
      <c r="K503" s="309">
        <v>-477388.41</v>
      </c>
      <c r="L503" s="306" t="s">
        <v>1008</v>
      </c>
      <c r="M503" s="306" t="s">
        <v>2027</v>
      </c>
      <c r="N503" s="306" t="s">
        <v>2027</v>
      </c>
      <c r="O503" s="306" t="s">
        <v>2034</v>
      </c>
      <c r="P503" s="306" t="s">
        <v>222</v>
      </c>
      <c r="Q503" s="306" t="s">
        <v>1013</v>
      </c>
      <c r="R503" s="306" t="s">
        <v>1013</v>
      </c>
      <c r="S503" s="306" t="s">
        <v>1013</v>
      </c>
      <c r="T503" s="306" t="s">
        <v>1036</v>
      </c>
      <c r="U503" s="306" t="s">
        <v>1013</v>
      </c>
      <c r="V503" s="306" t="s">
        <v>1013</v>
      </c>
      <c r="W503" s="306" t="s">
        <v>1013</v>
      </c>
      <c r="X503" s="306" t="s">
        <v>1013</v>
      </c>
      <c r="Y503" s="306" t="s">
        <v>1036</v>
      </c>
      <c r="Z503" s="306" t="s">
        <v>1015</v>
      </c>
      <c r="AA503" s="306" t="s">
        <v>1013</v>
      </c>
    </row>
    <row r="504" spans="1:27" hidden="1">
      <c r="A504" s="306" t="s">
        <v>494</v>
      </c>
      <c r="B504" s="306" t="s">
        <v>1003</v>
      </c>
      <c r="C504" s="306" t="s">
        <v>1004</v>
      </c>
      <c r="D504" s="306" t="s">
        <v>1031</v>
      </c>
      <c r="E504" s="306" t="s">
        <v>2035</v>
      </c>
      <c r="F504" s="306" t="s">
        <v>1007</v>
      </c>
      <c r="G504" s="308">
        <v>46022</v>
      </c>
      <c r="H504" s="308">
        <v>46022</v>
      </c>
      <c r="I504" s="309">
        <v>1354496.68</v>
      </c>
      <c r="J504" s="306" t="s">
        <v>1008</v>
      </c>
      <c r="K504" s="309">
        <v>1354496.68</v>
      </c>
      <c r="L504" s="306" t="s">
        <v>1008</v>
      </c>
      <c r="M504" s="306" t="s">
        <v>2036</v>
      </c>
      <c r="N504" s="306" t="s">
        <v>2036</v>
      </c>
      <c r="O504" s="306" t="s">
        <v>2037</v>
      </c>
      <c r="P504" s="306" t="s">
        <v>222</v>
      </c>
      <c r="Q504" s="306" t="s">
        <v>1013</v>
      </c>
      <c r="R504" s="306" t="s">
        <v>1013</v>
      </c>
      <c r="S504" s="306" t="s">
        <v>1013</v>
      </c>
      <c r="T504" s="306" t="s">
        <v>1036</v>
      </c>
      <c r="U504" s="306" t="s">
        <v>1013</v>
      </c>
      <c r="V504" s="306" t="s">
        <v>1013</v>
      </c>
      <c r="W504" s="306" t="s">
        <v>1013</v>
      </c>
      <c r="X504" s="306" t="s">
        <v>1013</v>
      </c>
      <c r="Y504" s="306" t="s">
        <v>1036</v>
      </c>
      <c r="Z504" s="306" t="s">
        <v>1015</v>
      </c>
      <c r="AA504" s="306" t="s">
        <v>1013</v>
      </c>
    </row>
    <row r="505" spans="1:27" hidden="1">
      <c r="A505" s="306" t="s">
        <v>494</v>
      </c>
      <c r="B505" s="306" t="s">
        <v>1003</v>
      </c>
      <c r="C505" s="306" t="s">
        <v>1004</v>
      </c>
      <c r="D505" s="306" t="s">
        <v>1031</v>
      </c>
      <c r="E505" s="306" t="s">
        <v>2038</v>
      </c>
      <c r="F505" s="306" t="s">
        <v>1007</v>
      </c>
      <c r="G505" s="308">
        <v>46022</v>
      </c>
      <c r="H505" s="308">
        <v>46022</v>
      </c>
      <c r="I505" s="309">
        <v>888938.06</v>
      </c>
      <c r="J505" s="306" t="s">
        <v>1008</v>
      </c>
      <c r="K505" s="309">
        <v>888938.06</v>
      </c>
      <c r="L505" s="306" t="s">
        <v>1008</v>
      </c>
      <c r="M505" s="306" t="s">
        <v>2036</v>
      </c>
      <c r="N505" s="306" t="s">
        <v>2036</v>
      </c>
      <c r="O505" s="306" t="s">
        <v>2039</v>
      </c>
      <c r="P505" s="306" t="s">
        <v>222</v>
      </c>
      <c r="Q505" s="306" t="s">
        <v>1013</v>
      </c>
      <c r="R505" s="306" t="s">
        <v>1013</v>
      </c>
      <c r="S505" s="306" t="s">
        <v>1013</v>
      </c>
      <c r="T505" s="306" t="s">
        <v>1036</v>
      </c>
      <c r="U505" s="306" t="s">
        <v>1013</v>
      </c>
      <c r="V505" s="306" t="s">
        <v>1013</v>
      </c>
      <c r="W505" s="306" t="s">
        <v>1013</v>
      </c>
      <c r="X505" s="306" t="s">
        <v>1013</v>
      </c>
      <c r="Y505" s="306" t="s">
        <v>1036</v>
      </c>
      <c r="Z505" s="306" t="s">
        <v>1015</v>
      </c>
      <c r="AA505" s="306" t="s">
        <v>1013</v>
      </c>
    </row>
    <row r="506" spans="1:27" hidden="1">
      <c r="A506" s="306" t="s">
        <v>494</v>
      </c>
      <c r="B506" s="306" t="s">
        <v>1003</v>
      </c>
      <c r="C506" s="306" t="s">
        <v>1004</v>
      </c>
      <c r="D506" s="306" t="s">
        <v>1031</v>
      </c>
      <c r="E506" s="306" t="s">
        <v>2040</v>
      </c>
      <c r="F506" s="306" t="s">
        <v>1007</v>
      </c>
      <c r="G506" s="308">
        <v>46022</v>
      </c>
      <c r="H506" s="308">
        <v>46022</v>
      </c>
      <c r="I506" s="309">
        <v>182549.78</v>
      </c>
      <c r="J506" s="306" t="s">
        <v>1008</v>
      </c>
      <c r="K506" s="309">
        <v>182549.78</v>
      </c>
      <c r="L506" s="306" t="s">
        <v>1008</v>
      </c>
      <c r="M506" s="306" t="s">
        <v>2036</v>
      </c>
      <c r="N506" s="306" t="s">
        <v>2036</v>
      </c>
      <c r="O506" s="306" t="s">
        <v>2041</v>
      </c>
      <c r="P506" s="306" t="s">
        <v>222</v>
      </c>
      <c r="Q506" s="306" t="s">
        <v>1013</v>
      </c>
      <c r="R506" s="306" t="s">
        <v>1013</v>
      </c>
      <c r="S506" s="306" t="s">
        <v>1013</v>
      </c>
      <c r="T506" s="306" t="s">
        <v>1036</v>
      </c>
      <c r="U506" s="306" t="s">
        <v>1013</v>
      </c>
      <c r="V506" s="306" t="s">
        <v>1013</v>
      </c>
      <c r="W506" s="306" t="s">
        <v>1013</v>
      </c>
      <c r="X506" s="306" t="s">
        <v>1013</v>
      </c>
      <c r="Y506" s="306" t="s">
        <v>1036</v>
      </c>
      <c r="Z506" s="306" t="s">
        <v>1015</v>
      </c>
      <c r="AA506" s="306" t="s">
        <v>1013</v>
      </c>
    </row>
    <row r="507" spans="1:27" hidden="1">
      <c r="A507" s="306" t="s">
        <v>494</v>
      </c>
      <c r="B507" s="306" t="s">
        <v>1003</v>
      </c>
      <c r="C507" s="306" t="s">
        <v>1004</v>
      </c>
      <c r="D507" s="306" t="s">
        <v>1031</v>
      </c>
      <c r="E507" s="306" t="s">
        <v>2042</v>
      </c>
      <c r="F507" s="306" t="s">
        <v>1007</v>
      </c>
      <c r="G507" s="308">
        <v>46022</v>
      </c>
      <c r="H507" s="308">
        <v>46022</v>
      </c>
      <c r="I507" s="309">
        <v>370814.68</v>
      </c>
      <c r="J507" s="306" t="s">
        <v>1008</v>
      </c>
      <c r="K507" s="309">
        <v>370814.68</v>
      </c>
      <c r="L507" s="306" t="s">
        <v>1008</v>
      </c>
      <c r="M507" s="306" t="s">
        <v>2036</v>
      </c>
      <c r="N507" s="306" t="s">
        <v>2036</v>
      </c>
      <c r="O507" s="306" t="s">
        <v>2043</v>
      </c>
      <c r="P507" s="306" t="s">
        <v>222</v>
      </c>
      <c r="Q507" s="306" t="s">
        <v>1013</v>
      </c>
      <c r="R507" s="306" t="s">
        <v>1013</v>
      </c>
      <c r="S507" s="306" t="s">
        <v>1013</v>
      </c>
      <c r="T507" s="306" t="s">
        <v>1036</v>
      </c>
      <c r="U507" s="306" t="s">
        <v>1013</v>
      </c>
      <c r="V507" s="306" t="s">
        <v>1013</v>
      </c>
      <c r="W507" s="306" t="s">
        <v>1013</v>
      </c>
      <c r="X507" s="306" t="s">
        <v>1013</v>
      </c>
      <c r="Y507" s="306" t="s">
        <v>1036</v>
      </c>
      <c r="Z507" s="306" t="s">
        <v>1015</v>
      </c>
      <c r="AA507" s="306" t="s">
        <v>1013</v>
      </c>
    </row>
    <row r="508" spans="1:27" hidden="1">
      <c r="A508" s="306" t="s">
        <v>494</v>
      </c>
      <c r="B508" s="306" t="s">
        <v>1003</v>
      </c>
      <c r="C508" s="306" t="s">
        <v>1004</v>
      </c>
      <c r="D508" s="306" t="s">
        <v>1005</v>
      </c>
      <c r="E508" s="306" t="s">
        <v>2044</v>
      </c>
      <c r="F508" s="306" t="s">
        <v>1007</v>
      </c>
      <c r="G508" s="308">
        <v>46022</v>
      </c>
      <c r="H508" s="308">
        <v>46022</v>
      </c>
      <c r="I508" s="309">
        <v>41152.99</v>
      </c>
      <c r="J508" s="306" t="s">
        <v>1008</v>
      </c>
      <c r="K508" s="309">
        <v>41152.99</v>
      </c>
      <c r="L508" s="306" t="s">
        <v>1008</v>
      </c>
      <c r="M508" s="306" t="s">
        <v>2045</v>
      </c>
      <c r="N508" s="306" t="s">
        <v>2045</v>
      </c>
      <c r="O508" s="306" t="s">
        <v>2046</v>
      </c>
      <c r="P508" s="306" t="s">
        <v>164</v>
      </c>
      <c r="Q508" s="306" t="s">
        <v>1013</v>
      </c>
      <c r="R508" s="306" t="s">
        <v>1013</v>
      </c>
      <c r="S508" s="306" t="s">
        <v>1013</v>
      </c>
      <c r="T508" s="306" t="s">
        <v>2047</v>
      </c>
      <c r="U508" s="306" t="s">
        <v>1013</v>
      </c>
      <c r="V508" s="306" t="s">
        <v>1013</v>
      </c>
      <c r="W508" s="306" t="s">
        <v>1013</v>
      </c>
      <c r="X508" s="306" t="s">
        <v>1013</v>
      </c>
      <c r="Y508" s="306" t="s">
        <v>2047</v>
      </c>
      <c r="Z508" s="306" t="s">
        <v>1015</v>
      </c>
      <c r="AA508" s="306" t="s">
        <v>1013</v>
      </c>
    </row>
    <row r="509" spans="1:27" hidden="1">
      <c r="A509" s="306" t="s">
        <v>494</v>
      </c>
      <c r="B509" s="306" t="s">
        <v>1003</v>
      </c>
      <c r="C509" s="306" t="s">
        <v>1004</v>
      </c>
      <c r="D509" s="306" t="s">
        <v>1005</v>
      </c>
      <c r="E509" s="306" t="s">
        <v>2048</v>
      </c>
      <c r="F509" s="306" t="s">
        <v>1007</v>
      </c>
      <c r="G509" s="308">
        <v>46022</v>
      </c>
      <c r="H509" s="308">
        <v>46022</v>
      </c>
      <c r="I509" s="309">
        <v>1017432.17</v>
      </c>
      <c r="J509" s="306" t="s">
        <v>1008</v>
      </c>
      <c r="K509" s="309">
        <v>1017432.17</v>
      </c>
      <c r="L509" s="306" t="s">
        <v>1008</v>
      </c>
      <c r="M509" s="306" t="s">
        <v>2045</v>
      </c>
      <c r="N509" s="306" t="s">
        <v>2045</v>
      </c>
      <c r="O509" s="306" t="s">
        <v>2049</v>
      </c>
      <c r="P509" s="306" t="s">
        <v>164</v>
      </c>
      <c r="Q509" s="306" t="s">
        <v>1013</v>
      </c>
      <c r="R509" s="306" t="s">
        <v>1013</v>
      </c>
      <c r="S509" s="306" t="s">
        <v>1013</v>
      </c>
      <c r="T509" s="306" t="s">
        <v>2047</v>
      </c>
      <c r="U509" s="306" t="s">
        <v>1013</v>
      </c>
      <c r="V509" s="306" t="s">
        <v>1013</v>
      </c>
      <c r="W509" s="306" t="s">
        <v>1013</v>
      </c>
      <c r="X509" s="306" t="s">
        <v>1013</v>
      </c>
      <c r="Y509" s="306" t="s">
        <v>2047</v>
      </c>
      <c r="Z509" s="306" t="s">
        <v>1015</v>
      </c>
      <c r="AA509" s="306" t="s">
        <v>1013</v>
      </c>
    </row>
    <row r="510" spans="1:27" hidden="1">
      <c r="A510" s="306" t="s">
        <v>494</v>
      </c>
      <c r="B510" s="306" t="s">
        <v>1003</v>
      </c>
      <c r="C510" s="306" t="s">
        <v>1004</v>
      </c>
      <c r="D510" s="306" t="s">
        <v>1031</v>
      </c>
      <c r="E510" s="306" t="s">
        <v>2050</v>
      </c>
      <c r="F510" s="306" t="s">
        <v>1007</v>
      </c>
      <c r="G510" s="308">
        <v>46022</v>
      </c>
      <c r="H510" s="308">
        <v>46022</v>
      </c>
      <c r="I510" s="309">
        <v>86626.12</v>
      </c>
      <c r="J510" s="306" t="s">
        <v>1008</v>
      </c>
      <c r="K510" s="309">
        <v>86626.12</v>
      </c>
      <c r="L510" s="306" t="s">
        <v>1008</v>
      </c>
      <c r="M510" s="306" t="s">
        <v>2036</v>
      </c>
      <c r="N510" s="306" t="s">
        <v>2036</v>
      </c>
      <c r="O510" s="306" t="s">
        <v>2051</v>
      </c>
      <c r="P510" s="306" t="s">
        <v>222</v>
      </c>
      <c r="Q510" s="306" t="s">
        <v>1013</v>
      </c>
      <c r="R510" s="306" t="s">
        <v>1013</v>
      </c>
      <c r="S510" s="306" t="s">
        <v>1013</v>
      </c>
      <c r="T510" s="306" t="s">
        <v>1036</v>
      </c>
      <c r="U510" s="306" t="s">
        <v>1013</v>
      </c>
      <c r="V510" s="306" t="s">
        <v>1013</v>
      </c>
      <c r="W510" s="306" t="s">
        <v>1013</v>
      </c>
      <c r="X510" s="306" t="s">
        <v>1013</v>
      </c>
      <c r="Y510" s="306" t="s">
        <v>1036</v>
      </c>
      <c r="Z510" s="306" t="s">
        <v>1015</v>
      </c>
      <c r="AA510" s="306" t="s">
        <v>1013</v>
      </c>
    </row>
    <row r="511" spans="1:27" hidden="1">
      <c r="A511" s="306" t="s">
        <v>494</v>
      </c>
      <c r="B511" s="306" t="s">
        <v>1003</v>
      </c>
      <c r="C511" s="306" t="s">
        <v>1004</v>
      </c>
      <c r="D511" s="306" t="s">
        <v>1005</v>
      </c>
      <c r="E511" s="306" t="s">
        <v>2052</v>
      </c>
      <c r="F511" s="306" t="s">
        <v>1007</v>
      </c>
      <c r="G511" s="308">
        <v>46022</v>
      </c>
      <c r="H511" s="308">
        <v>46022</v>
      </c>
      <c r="I511" s="309">
        <v>1103926.6000000001</v>
      </c>
      <c r="J511" s="306" t="s">
        <v>1008</v>
      </c>
      <c r="K511" s="309">
        <v>1103926.6000000001</v>
      </c>
      <c r="L511" s="306" t="s">
        <v>1008</v>
      </c>
      <c r="M511" s="306" t="s">
        <v>2045</v>
      </c>
      <c r="N511" s="306" t="s">
        <v>2045</v>
      </c>
      <c r="O511" s="306" t="s">
        <v>2053</v>
      </c>
      <c r="P511" s="306" t="s">
        <v>164</v>
      </c>
      <c r="Q511" s="306" t="s">
        <v>1013</v>
      </c>
      <c r="R511" s="306" t="s">
        <v>1013</v>
      </c>
      <c r="S511" s="306" t="s">
        <v>1013</v>
      </c>
      <c r="T511" s="306" t="s">
        <v>2047</v>
      </c>
      <c r="U511" s="306" t="s">
        <v>1013</v>
      </c>
      <c r="V511" s="306" t="s">
        <v>1013</v>
      </c>
      <c r="W511" s="306" t="s">
        <v>1013</v>
      </c>
      <c r="X511" s="306" t="s">
        <v>1013</v>
      </c>
      <c r="Y511" s="306" t="s">
        <v>2047</v>
      </c>
      <c r="Z511" s="306" t="s">
        <v>1015</v>
      </c>
      <c r="AA511" s="306" t="s">
        <v>1013</v>
      </c>
    </row>
    <row r="512" spans="1:27" hidden="1">
      <c r="A512" s="306" t="s">
        <v>494</v>
      </c>
      <c r="B512" s="306" t="s">
        <v>1003</v>
      </c>
      <c r="C512" s="306" t="s">
        <v>1004</v>
      </c>
      <c r="D512" s="306" t="s">
        <v>1005</v>
      </c>
      <c r="E512" s="306" t="s">
        <v>2054</v>
      </c>
      <c r="F512" s="306" t="s">
        <v>1007</v>
      </c>
      <c r="G512" s="308">
        <v>46022</v>
      </c>
      <c r="H512" s="308">
        <v>46022</v>
      </c>
      <c r="I512" s="309">
        <v>-284666.26</v>
      </c>
      <c r="J512" s="306" t="s">
        <v>1008</v>
      </c>
      <c r="K512" s="309">
        <v>-284666.26</v>
      </c>
      <c r="L512" s="306" t="s">
        <v>1008</v>
      </c>
      <c r="M512" s="306" t="s">
        <v>2055</v>
      </c>
      <c r="N512" s="306" t="s">
        <v>2056</v>
      </c>
      <c r="O512" s="306" t="s">
        <v>2057</v>
      </c>
      <c r="P512" s="306" t="s">
        <v>188</v>
      </c>
      <c r="Q512" s="306" t="s">
        <v>1013</v>
      </c>
      <c r="R512" s="306" t="s">
        <v>1013</v>
      </c>
      <c r="S512" s="306" t="s">
        <v>1013</v>
      </c>
      <c r="T512" s="306" t="s">
        <v>2058</v>
      </c>
      <c r="U512" s="306" t="s">
        <v>1013</v>
      </c>
      <c r="V512" s="306" t="s">
        <v>1013</v>
      </c>
      <c r="W512" s="306" t="s">
        <v>1013</v>
      </c>
      <c r="X512" s="306" t="s">
        <v>1013</v>
      </c>
      <c r="Y512" s="306" t="s">
        <v>2058</v>
      </c>
      <c r="Z512" s="306" t="s">
        <v>1015</v>
      </c>
      <c r="AA512" s="306" t="s">
        <v>1013</v>
      </c>
    </row>
    <row r="513" spans="1:27" hidden="1">
      <c r="A513" s="306" t="s">
        <v>494</v>
      </c>
      <c r="B513" s="306" t="s">
        <v>1003</v>
      </c>
      <c r="C513" s="306" t="s">
        <v>1004</v>
      </c>
      <c r="D513" s="306" t="s">
        <v>1019</v>
      </c>
      <c r="E513" s="306" t="s">
        <v>2059</v>
      </c>
      <c r="F513" s="306" t="s">
        <v>1007</v>
      </c>
      <c r="G513" s="308">
        <v>46022</v>
      </c>
      <c r="H513" s="308">
        <v>46022</v>
      </c>
      <c r="I513" s="309">
        <v>-85247.53</v>
      </c>
      <c r="J513" s="306" t="s">
        <v>1008</v>
      </c>
      <c r="K513" s="309">
        <v>-85247.53</v>
      </c>
      <c r="L513" s="306" t="s">
        <v>1008</v>
      </c>
      <c r="M513" s="306" t="s">
        <v>2060</v>
      </c>
      <c r="N513" s="306" t="s">
        <v>2060</v>
      </c>
      <c r="O513" s="306" t="s">
        <v>2061</v>
      </c>
      <c r="P513" s="306" t="s">
        <v>164</v>
      </c>
      <c r="Q513" s="306" t="s">
        <v>1013</v>
      </c>
      <c r="R513" s="306" t="s">
        <v>1013</v>
      </c>
      <c r="S513" s="306" t="s">
        <v>1013</v>
      </c>
      <c r="T513" s="306" t="s">
        <v>2047</v>
      </c>
      <c r="U513" s="306" t="s">
        <v>1013</v>
      </c>
      <c r="V513" s="306" t="s">
        <v>1013</v>
      </c>
      <c r="W513" s="306" t="s">
        <v>1013</v>
      </c>
      <c r="X513" s="306" t="s">
        <v>1013</v>
      </c>
      <c r="Y513" s="306" t="s">
        <v>2047</v>
      </c>
      <c r="Z513" s="306" t="s">
        <v>1015</v>
      </c>
      <c r="AA513" s="306" t="s">
        <v>1013</v>
      </c>
    </row>
    <row r="514" spans="1:27" hidden="1">
      <c r="A514" s="306" t="s">
        <v>494</v>
      </c>
      <c r="B514" s="306" t="s">
        <v>1003</v>
      </c>
      <c r="C514" s="306" t="s">
        <v>1004</v>
      </c>
      <c r="D514" s="306" t="s">
        <v>1019</v>
      </c>
      <c r="E514" s="306" t="s">
        <v>2062</v>
      </c>
      <c r="F514" s="306" t="s">
        <v>1007</v>
      </c>
      <c r="G514" s="308">
        <v>46022</v>
      </c>
      <c r="H514" s="308">
        <v>46022</v>
      </c>
      <c r="I514" s="309">
        <v>-1874868.48</v>
      </c>
      <c r="J514" s="306" t="s">
        <v>1008</v>
      </c>
      <c r="K514" s="309">
        <v>-1874868.48</v>
      </c>
      <c r="L514" s="306" t="s">
        <v>1008</v>
      </c>
      <c r="M514" s="306" t="s">
        <v>1168</v>
      </c>
      <c r="N514" s="306" t="s">
        <v>1151</v>
      </c>
      <c r="O514" s="306" t="s">
        <v>1224</v>
      </c>
      <c r="P514" s="306" t="s">
        <v>244</v>
      </c>
      <c r="Q514" s="306" t="s">
        <v>1013</v>
      </c>
      <c r="R514" s="306" t="s">
        <v>1013</v>
      </c>
      <c r="S514" s="306" t="s">
        <v>1013</v>
      </c>
      <c r="T514" s="306" t="s">
        <v>1153</v>
      </c>
      <c r="U514" s="306" t="s">
        <v>1013</v>
      </c>
      <c r="V514" s="306" t="s">
        <v>1013</v>
      </c>
      <c r="W514" s="306" t="s">
        <v>1013</v>
      </c>
      <c r="X514" s="306" t="s">
        <v>1013</v>
      </c>
      <c r="Y514" s="306" t="s">
        <v>1153</v>
      </c>
      <c r="Z514" s="306" t="s">
        <v>1015</v>
      </c>
      <c r="AA514" s="306" t="s">
        <v>1013</v>
      </c>
    </row>
    <row r="515" spans="1:27" hidden="1">
      <c r="A515" s="306" t="s">
        <v>494</v>
      </c>
      <c r="B515" s="306" t="s">
        <v>1003</v>
      </c>
      <c r="C515" s="306" t="s">
        <v>1004</v>
      </c>
      <c r="D515" s="306" t="s">
        <v>1019</v>
      </c>
      <c r="E515" s="306" t="s">
        <v>2063</v>
      </c>
      <c r="F515" s="306" t="s">
        <v>1007</v>
      </c>
      <c r="G515" s="308">
        <v>46022</v>
      </c>
      <c r="H515" s="308">
        <v>46022</v>
      </c>
      <c r="I515" s="309">
        <v>-2137.5500000000002</v>
      </c>
      <c r="J515" s="306" t="s">
        <v>1008</v>
      </c>
      <c r="K515" s="309">
        <v>-2137.5500000000002</v>
      </c>
      <c r="L515" s="306" t="s">
        <v>1008</v>
      </c>
      <c r="M515" s="306" t="s">
        <v>1738</v>
      </c>
      <c r="N515" s="306" t="s">
        <v>1694</v>
      </c>
      <c r="O515" s="306" t="s">
        <v>1224</v>
      </c>
      <c r="P515" s="306" t="s">
        <v>1696</v>
      </c>
      <c r="Q515" s="306" t="s">
        <v>1013</v>
      </c>
      <c r="R515" s="306" t="s">
        <v>1013</v>
      </c>
      <c r="S515" s="306" t="s">
        <v>1013</v>
      </c>
      <c r="T515" s="306" t="s">
        <v>1697</v>
      </c>
      <c r="U515" s="306" t="s">
        <v>1013</v>
      </c>
      <c r="V515" s="306" t="s">
        <v>1013</v>
      </c>
      <c r="W515" s="306" t="s">
        <v>1013</v>
      </c>
      <c r="X515" s="306" t="s">
        <v>1013</v>
      </c>
      <c r="Y515" s="306" t="s">
        <v>1697</v>
      </c>
      <c r="Z515" s="306" t="s">
        <v>1015</v>
      </c>
      <c r="AA515" s="306" t="s">
        <v>1013</v>
      </c>
    </row>
    <row r="516" spans="1:27" hidden="1">
      <c r="A516" s="306" t="s">
        <v>494</v>
      </c>
      <c r="B516" s="306" t="s">
        <v>1003</v>
      </c>
      <c r="C516" s="306" t="s">
        <v>1004</v>
      </c>
      <c r="D516" s="306" t="s">
        <v>1019</v>
      </c>
      <c r="E516" s="306" t="s">
        <v>2064</v>
      </c>
      <c r="F516" s="306" t="s">
        <v>1007</v>
      </c>
      <c r="G516" s="308">
        <v>46022</v>
      </c>
      <c r="H516" s="308">
        <v>46022</v>
      </c>
      <c r="I516" s="309">
        <v>-1733915.86</v>
      </c>
      <c r="J516" s="306" t="s">
        <v>1008</v>
      </c>
      <c r="K516" s="309">
        <v>-1733915.86</v>
      </c>
      <c r="L516" s="306" t="s">
        <v>1008</v>
      </c>
      <c r="M516" s="306" t="s">
        <v>1738</v>
      </c>
      <c r="N516" s="306" t="s">
        <v>1694</v>
      </c>
      <c r="O516" s="306" t="s">
        <v>1224</v>
      </c>
      <c r="P516" s="306" t="s">
        <v>1696</v>
      </c>
      <c r="Q516" s="306" t="s">
        <v>1013</v>
      </c>
      <c r="R516" s="306" t="s">
        <v>1013</v>
      </c>
      <c r="S516" s="306" t="s">
        <v>1013</v>
      </c>
      <c r="T516" s="306" t="s">
        <v>1697</v>
      </c>
      <c r="U516" s="306" t="s">
        <v>1013</v>
      </c>
      <c r="V516" s="306" t="s">
        <v>1013</v>
      </c>
      <c r="W516" s="306" t="s">
        <v>1013</v>
      </c>
      <c r="X516" s="306" t="s">
        <v>1013</v>
      </c>
      <c r="Y516" s="306" t="s">
        <v>1697</v>
      </c>
      <c r="Z516" s="306" t="s">
        <v>1015</v>
      </c>
      <c r="AA516" s="306" t="s">
        <v>1013</v>
      </c>
    </row>
    <row r="517" spans="1:27" hidden="1">
      <c r="A517" s="306" t="s">
        <v>494</v>
      </c>
      <c r="B517" s="306" t="s">
        <v>1003</v>
      </c>
      <c r="C517" s="306" t="s">
        <v>1004</v>
      </c>
      <c r="D517" s="306" t="s">
        <v>1019</v>
      </c>
      <c r="E517" s="306" t="s">
        <v>2065</v>
      </c>
      <c r="F517" s="306" t="s">
        <v>1007</v>
      </c>
      <c r="G517" s="308">
        <v>46022</v>
      </c>
      <c r="H517" s="308">
        <v>46022</v>
      </c>
      <c r="I517" s="309">
        <v>-1818274.22</v>
      </c>
      <c r="J517" s="306" t="s">
        <v>1008</v>
      </c>
      <c r="K517" s="309">
        <v>-1818274.22</v>
      </c>
      <c r="L517" s="306" t="s">
        <v>1008</v>
      </c>
      <c r="M517" s="306" t="s">
        <v>1562</v>
      </c>
      <c r="N517" s="306" t="s">
        <v>1535</v>
      </c>
      <c r="O517" s="306" t="s">
        <v>1224</v>
      </c>
      <c r="P517" s="306" t="s">
        <v>263</v>
      </c>
      <c r="Q517" s="306" t="s">
        <v>1013</v>
      </c>
      <c r="R517" s="306" t="s">
        <v>1013</v>
      </c>
      <c r="S517" s="306" t="s">
        <v>1013</v>
      </c>
      <c r="T517" s="306" t="s">
        <v>1537</v>
      </c>
      <c r="U517" s="306" t="s">
        <v>1013</v>
      </c>
      <c r="V517" s="306" t="s">
        <v>1013</v>
      </c>
      <c r="W517" s="306" t="s">
        <v>1013</v>
      </c>
      <c r="X517" s="306" t="s">
        <v>1013</v>
      </c>
      <c r="Y517" s="306" t="s">
        <v>1537</v>
      </c>
      <c r="Z517" s="306" t="s">
        <v>1015</v>
      </c>
      <c r="AA517" s="306" t="s">
        <v>1013</v>
      </c>
    </row>
    <row r="518" spans="1:27" hidden="1">
      <c r="A518" s="306" t="s">
        <v>494</v>
      </c>
      <c r="B518" s="306" t="s">
        <v>1003</v>
      </c>
      <c r="C518" s="306" t="s">
        <v>1004</v>
      </c>
      <c r="D518" s="306" t="s">
        <v>1019</v>
      </c>
      <c r="E518" s="306" t="s">
        <v>2066</v>
      </c>
      <c r="F518" s="306" t="s">
        <v>1007</v>
      </c>
      <c r="G518" s="308">
        <v>46022</v>
      </c>
      <c r="H518" s="308">
        <v>46022</v>
      </c>
      <c r="I518" s="309">
        <v>-1870486.97</v>
      </c>
      <c r="J518" s="306" t="s">
        <v>1008</v>
      </c>
      <c r="K518" s="309">
        <v>-1870486.97</v>
      </c>
      <c r="L518" s="306" t="s">
        <v>1008</v>
      </c>
      <c r="M518" s="306" t="s">
        <v>1421</v>
      </c>
      <c r="N518" s="306" t="s">
        <v>1403</v>
      </c>
      <c r="O518" s="306" t="s">
        <v>1224</v>
      </c>
      <c r="P518" s="306" t="s">
        <v>1405</v>
      </c>
      <c r="Q518" s="306" t="s">
        <v>1013</v>
      </c>
      <c r="R518" s="306" t="s">
        <v>1013</v>
      </c>
      <c r="S518" s="306" t="s">
        <v>1013</v>
      </c>
      <c r="T518" s="306" t="s">
        <v>1406</v>
      </c>
      <c r="U518" s="306" t="s">
        <v>1013</v>
      </c>
      <c r="V518" s="306" t="s">
        <v>1013</v>
      </c>
      <c r="W518" s="306" t="s">
        <v>1013</v>
      </c>
      <c r="X518" s="306" t="s">
        <v>1013</v>
      </c>
      <c r="Y518" s="306" t="s">
        <v>1406</v>
      </c>
      <c r="Z518" s="306" t="s">
        <v>1015</v>
      </c>
      <c r="AA518" s="306" t="s">
        <v>1013</v>
      </c>
    </row>
    <row r="519" spans="1:27" hidden="1">
      <c r="A519" s="306" t="s">
        <v>494</v>
      </c>
      <c r="B519" s="306" t="s">
        <v>1003</v>
      </c>
      <c r="C519" s="306" t="s">
        <v>1004</v>
      </c>
      <c r="D519" s="306" t="s">
        <v>1019</v>
      </c>
      <c r="E519" s="306" t="s">
        <v>2067</v>
      </c>
      <c r="F519" s="306" t="s">
        <v>1007</v>
      </c>
      <c r="G519" s="308">
        <v>46022</v>
      </c>
      <c r="H519" s="308">
        <v>46022</v>
      </c>
      <c r="I519" s="309">
        <v>-780837.27</v>
      </c>
      <c r="J519" s="306" t="s">
        <v>1008</v>
      </c>
      <c r="K519" s="309">
        <v>-780837.27</v>
      </c>
      <c r="L519" s="306" t="s">
        <v>1008</v>
      </c>
      <c r="M519" s="306" t="s">
        <v>2060</v>
      </c>
      <c r="N519" s="306" t="s">
        <v>2060</v>
      </c>
      <c r="O519" s="306" t="s">
        <v>2068</v>
      </c>
      <c r="P519" s="306" t="s">
        <v>164</v>
      </c>
      <c r="Q519" s="306" t="s">
        <v>1013</v>
      </c>
      <c r="R519" s="306" t="s">
        <v>1013</v>
      </c>
      <c r="S519" s="306" t="s">
        <v>1013</v>
      </c>
      <c r="T519" s="306" t="s">
        <v>2047</v>
      </c>
      <c r="U519" s="306" t="s">
        <v>1013</v>
      </c>
      <c r="V519" s="306" t="s">
        <v>1013</v>
      </c>
      <c r="W519" s="306" t="s">
        <v>1013</v>
      </c>
      <c r="X519" s="306" t="s">
        <v>1013</v>
      </c>
      <c r="Y519" s="306" t="s">
        <v>2047</v>
      </c>
      <c r="Z519" s="306" t="s">
        <v>1015</v>
      </c>
      <c r="AA519" s="306" t="s">
        <v>1013</v>
      </c>
    </row>
    <row r="520" spans="1:27" hidden="1">
      <c r="A520" s="306" t="s">
        <v>494</v>
      </c>
      <c r="B520" s="306" t="s">
        <v>1003</v>
      </c>
      <c r="C520" s="306" t="s">
        <v>1004</v>
      </c>
      <c r="D520" s="306" t="s">
        <v>1005</v>
      </c>
      <c r="E520" s="306" t="s">
        <v>2069</v>
      </c>
      <c r="F520" s="306" t="s">
        <v>1007</v>
      </c>
      <c r="G520" s="308">
        <v>46022</v>
      </c>
      <c r="H520" s="308">
        <v>46022</v>
      </c>
      <c r="I520" s="309">
        <v>-338532.11</v>
      </c>
      <c r="J520" s="306" t="s">
        <v>1008</v>
      </c>
      <c r="K520" s="309">
        <v>-338532.11</v>
      </c>
      <c r="L520" s="306" t="s">
        <v>1008</v>
      </c>
      <c r="M520" s="306" t="s">
        <v>2027</v>
      </c>
      <c r="N520" s="306" t="s">
        <v>2027</v>
      </c>
      <c r="O520" s="306" t="s">
        <v>2070</v>
      </c>
      <c r="P520" s="306" t="s">
        <v>222</v>
      </c>
      <c r="Q520" s="306" t="s">
        <v>1013</v>
      </c>
      <c r="R520" s="306" t="s">
        <v>1013</v>
      </c>
      <c r="S520" s="306" t="s">
        <v>1013</v>
      </c>
      <c r="T520" s="306" t="s">
        <v>1036</v>
      </c>
      <c r="U520" s="306" t="s">
        <v>1013</v>
      </c>
      <c r="V520" s="306" t="s">
        <v>1013</v>
      </c>
      <c r="W520" s="306" t="s">
        <v>1013</v>
      </c>
      <c r="X520" s="306" t="s">
        <v>1013</v>
      </c>
      <c r="Y520" s="306" t="s">
        <v>1036</v>
      </c>
      <c r="Z520" s="306" t="s">
        <v>1015</v>
      </c>
      <c r="AA520" s="306" t="s">
        <v>1013</v>
      </c>
    </row>
    <row r="521" spans="1:27" hidden="1">
      <c r="A521" s="306" t="s">
        <v>494</v>
      </c>
      <c r="B521" s="306" t="s">
        <v>1003</v>
      </c>
      <c r="C521" s="306" t="s">
        <v>1004</v>
      </c>
      <c r="D521" s="306" t="s">
        <v>1005</v>
      </c>
      <c r="E521" s="306" t="s">
        <v>2071</v>
      </c>
      <c r="F521" s="306" t="s">
        <v>1007</v>
      </c>
      <c r="G521" s="308">
        <v>46022</v>
      </c>
      <c r="H521" s="308">
        <v>46022</v>
      </c>
      <c r="I521" s="309">
        <v>-64067.47</v>
      </c>
      <c r="J521" s="306" t="s">
        <v>1008</v>
      </c>
      <c r="K521" s="309">
        <v>-64067.47</v>
      </c>
      <c r="L521" s="306" t="s">
        <v>1008</v>
      </c>
      <c r="M521" s="306" t="s">
        <v>2027</v>
      </c>
      <c r="N521" s="306" t="s">
        <v>2027</v>
      </c>
      <c r="O521" s="306" t="s">
        <v>2072</v>
      </c>
      <c r="P521" s="306" t="s">
        <v>222</v>
      </c>
      <c r="Q521" s="306" t="s">
        <v>1013</v>
      </c>
      <c r="R521" s="306" t="s">
        <v>1013</v>
      </c>
      <c r="S521" s="306" t="s">
        <v>1013</v>
      </c>
      <c r="T521" s="306" t="s">
        <v>1036</v>
      </c>
      <c r="U521" s="306" t="s">
        <v>1013</v>
      </c>
      <c r="V521" s="306" t="s">
        <v>1013</v>
      </c>
      <c r="W521" s="306" t="s">
        <v>1013</v>
      </c>
      <c r="X521" s="306" t="s">
        <v>1013</v>
      </c>
      <c r="Y521" s="306" t="s">
        <v>1036</v>
      </c>
      <c r="Z521" s="306" t="s">
        <v>1015</v>
      </c>
      <c r="AA521" s="306" t="s">
        <v>1013</v>
      </c>
    </row>
    <row r="522" spans="1:27" hidden="1">
      <c r="A522" s="306" t="s">
        <v>494</v>
      </c>
      <c r="B522" s="306" t="s">
        <v>1003</v>
      </c>
      <c r="C522" s="306" t="s">
        <v>1004</v>
      </c>
      <c r="D522" s="306" t="s">
        <v>1031</v>
      </c>
      <c r="E522" s="306" t="s">
        <v>2073</v>
      </c>
      <c r="F522" s="306" t="s">
        <v>1007</v>
      </c>
      <c r="G522" s="308">
        <v>46022</v>
      </c>
      <c r="H522" s="308">
        <v>46022</v>
      </c>
      <c r="I522" s="309">
        <v>-150950.93</v>
      </c>
      <c r="J522" s="306" t="s">
        <v>1008</v>
      </c>
      <c r="K522" s="309">
        <v>-150950.93</v>
      </c>
      <c r="L522" s="306" t="s">
        <v>1008</v>
      </c>
      <c r="M522" s="306" t="s">
        <v>2074</v>
      </c>
      <c r="N522" s="306" t="s">
        <v>2075</v>
      </c>
      <c r="O522" s="306" t="s">
        <v>2076</v>
      </c>
      <c r="P522" s="306" t="s">
        <v>188</v>
      </c>
      <c r="Q522" s="306" t="s">
        <v>1013</v>
      </c>
      <c r="R522" s="306" t="s">
        <v>1013</v>
      </c>
      <c r="S522" s="306" t="s">
        <v>1013</v>
      </c>
      <c r="T522" s="306" t="s">
        <v>2077</v>
      </c>
      <c r="U522" s="306" t="s">
        <v>1013</v>
      </c>
      <c r="V522" s="306" t="s">
        <v>1013</v>
      </c>
      <c r="W522" s="306" t="s">
        <v>1013</v>
      </c>
      <c r="X522" s="306" t="s">
        <v>1013</v>
      </c>
      <c r="Y522" s="306" t="s">
        <v>2077</v>
      </c>
      <c r="Z522" s="306" t="s">
        <v>1015</v>
      </c>
      <c r="AA522" s="306" t="s">
        <v>1013</v>
      </c>
    </row>
    <row r="523" spans="1:27" hidden="1">
      <c r="A523" s="306" t="s">
        <v>494</v>
      </c>
      <c r="B523" s="306" t="s">
        <v>1003</v>
      </c>
      <c r="C523" s="306" t="s">
        <v>1004</v>
      </c>
      <c r="D523" s="306" t="s">
        <v>1031</v>
      </c>
      <c r="E523" s="306" t="s">
        <v>2078</v>
      </c>
      <c r="F523" s="306" t="s">
        <v>1007</v>
      </c>
      <c r="G523" s="308">
        <v>46022</v>
      </c>
      <c r="H523" s="308">
        <v>46022</v>
      </c>
      <c r="I523" s="309">
        <v>-37190.269999999997</v>
      </c>
      <c r="J523" s="306" t="s">
        <v>1008</v>
      </c>
      <c r="K523" s="309">
        <v>-37190.269999999997</v>
      </c>
      <c r="L523" s="306" t="s">
        <v>1008</v>
      </c>
      <c r="M523" s="306" t="s">
        <v>1410</v>
      </c>
      <c r="N523" s="306" t="s">
        <v>1403</v>
      </c>
      <c r="O523" s="306" t="s">
        <v>2079</v>
      </c>
      <c r="P523" s="306" t="s">
        <v>1405</v>
      </c>
      <c r="Q523" s="306" t="s">
        <v>1013</v>
      </c>
      <c r="R523" s="306" t="s">
        <v>1013</v>
      </c>
      <c r="S523" s="306" t="s">
        <v>1013</v>
      </c>
      <c r="T523" s="306" t="s">
        <v>1406</v>
      </c>
      <c r="U523" s="306" t="s">
        <v>1013</v>
      </c>
      <c r="V523" s="306" t="s">
        <v>1013</v>
      </c>
      <c r="W523" s="306" t="s">
        <v>1013</v>
      </c>
      <c r="X523" s="306" t="s">
        <v>1013</v>
      </c>
      <c r="Y523" s="306" t="s">
        <v>1406</v>
      </c>
      <c r="Z523" s="306" t="s">
        <v>1015</v>
      </c>
      <c r="AA523" s="306" t="s">
        <v>1013</v>
      </c>
    </row>
    <row r="524" spans="1:27" hidden="1">
      <c r="A524" s="306" t="s">
        <v>494</v>
      </c>
      <c r="B524" s="306" t="s">
        <v>1003</v>
      </c>
      <c r="C524" s="306" t="s">
        <v>1004</v>
      </c>
      <c r="D524" s="306" t="s">
        <v>1019</v>
      </c>
      <c r="E524" s="306" t="s">
        <v>2080</v>
      </c>
      <c r="F524" s="306" t="s">
        <v>1007</v>
      </c>
      <c r="G524" s="308">
        <v>46022</v>
      </c>
      <c r="H524" s="308">
        <v>46022</v>
      </c>
      <c r="I524" s="309">
        <v>-2138561.15</v>
      </c>
      <c r="J524" s="306" t="s">
        <v>1008</v>
      </c>
      <c r="K524" s="309">
        <v>-2138561.15</v>
      </c>
      <c r="L524" s="306" t="s">
        <v>1008</v>
      </c>
      <c r="M524" s="306" t="s">
        <v>2081</v>
      </c>
      <c r="N524" s="306" t="s">
        <v>2075</v>
      </c>
      <c r="O524" s="306" t="s">
        <v>2082</v>
      </c>
      <c r="P524" s="306" t="s">
        <v>188</v>
      </c>
      <c r="Q524" s="306" t="s">
        <v>1013</v>
      </c>
      <c r="R524" s="306" t="s">
        <v>1013</v>
      </c>
      <c r="S524" s="306" t="s">
        <v>1013</v>
      </c>
      <c r="T524" s="306" t="s">
        <v>2077</v>
      </c>
      <c r="U524" s="306" t="s">
        <v>1013</v>
      </c>
      <c r="V524" s="306" t="s">
        <v>1013</v>
      </c>
      <c r="W524" s="306" t="s">
        <v>1013</v>
      </c>
      <c r="X524" s="306" t="s">
        <v>1013</v>
      </c>
      <c r="Y524" s="306" t="s">
        <v>2077</v>
      </c>
      <c r="Z524" s="306" t="s">
        <v>1015</v>
      </c>
      <c r="AA524" s="306" t="s">
        <v>1013</v>
      </c>
    </row>
    <row r="525" spans="1:27" hidden="1">
      <c r="A525" s="306" t="s">
        <v>494</v>
      </c>
      <c r="B525" s="306" t="s">
        <v>1003</v>
      </c>
      <c r="C525" s="306" t="s">
        <v>1004</v>
      </c>
      <c r="D525" s="306" t="s">
        <v>1019</v>
      </c>
      <c r="E525" s="306" t="s">
        <v>2083</v>
      </c>
      <c r="F525" s="306" t="s">
        <v>1007</v>
      </c>
      <c r="G525" s="308">
        <v>46022</v>
      </c>
      <c r="H525" s="308">
        <v>46022</v>
      </c>
      <c r="I525" s="309">
        <v>-4043.51</v>
      </c>
      <c r="J525" s="306" t="s">
        <v>1008</v>
      </c>
      <c r="K525" s="309">
        <v>-4043.51</v>
      </c>
      <c r="L525" s="306" t="s">
        <v>1008</v>
      </c>
      <c r="M525" s="306" t="s">
        <v>1168</v>
      </c>
      <c r="N525" s="306" t="s">
        <v>1151</v>
      </c>
      <c r="O525" s="306" t="s">
        <v>2084</v>
      </c>
      <c r="P525" s="306" t="s">
        <v>244</v>
      </c>
      <c r="Q525" s="306" t="s">
        <v>1013</v>
      </c>
      <c r="R525" s="306" t="s">
        <v>1013</v>
      </c>
      <c r="S525" s="306" t="s">
        <v>1013</v>
      </c>
      <c r="T525" s="306" t="s">
        <v>1153</v>
      </c>
      <c r="U525" s="306" t="s">
        <v>1013</v>
      </c>
      <c r="V525" s="306" t="s">
        <v>1013</v>
      </c>
      <c r="W525" s="306" t="s">
        <v>1013</v>
      </c>
      <c r="X525" s="306" t="s">
        <v>1013</v>
      </c>
      <c r="Y525" s="306" t="s">
        <v>1153</v>
      </c>
      <c r="Z525" s="306" t="s">
        <v>1015</v>
      </c>
      <c r="AA525" s="306" t="s">
        <v>1013</v>
      </c>
    </row>
    <row r="526" spans="1:27" hidden="1">
      <c r="A526" s="306" t="s">
        <v>494</v>
      </c>
      <c r="B526" s="306" t="s">
        <v>1003</v>
      </c>
      <c r="C526" s="306" t="s">
        <v>1004</v>
      </c>
      <c r="D526" s="306" t="s">
        <v>1005</v>
      </c>
      <c r="E526" s="306" t="s">
        <v>2085</v>
      </c>
      <c r="F526" s="306" t="s">
        <v>1007</v>
      </c>
      <c r="G526" s="308">
        <v>46022</v>
      </c>
      <c r="H526" s="308">
        <v>46022</v>
      </c>
      <c r="I526" s="309">
        <v>-2045188.25</v>
      </c>
      <c r="J526" s="306" t="s">
        <v>1008</v>
      </c>
      <c r="K526" s="309">
        <v>-2045188.25</v>
      </c>
      <c r="L526" s="306" t="s">
        <v>1008</v>
      </c>
      <c r="M526" s="306" t="s">
        <v>2086</v>
      </c>
      <c r="N526" s="306" t="s">
        <v>2086</v>
      </c>
      <c r="O526" s="306" t="s">
        <v>2087</v>
      </c>
      <c r="P526" s="306" t="s">
        <v>188</v>
      </c>
      <c r="Q526" s="306" t="s">
        <v>1013</v>
      </c>
      <c r="R526" s="306" t="s">
        <v>1013</v>
      </c>
      <c r="S526" s="306" t="s">
        <v>1013</v>
      </c>
      <c r="T526" s="306" t="s">
        <v>2077</v>
      </c>
      <c r="U526" s="306" t="s">
        <v>1013</v>
      </c>
      <c r="V526" s="306" t="s">
        <v>1013</v>
      </c>
      <c r="W526" s="306" t="s">
        <v>1013</v>
      </c>
      <c r="X526" s="306" t="s">
        <v>1013</v>
      </c>
      <c r="Y526" s="306" t="s">
        <v>2077</v>
      </c>
      <c r="Z526" s="306" t="s">
        <v>1071</v>
      </c>
      <c r="AA526" s="306" t="s">
        <v>1013</v>
      </c>
    </row>
    <row r="527" spans="1:27" hidden="1">
      <c r="A527" s="306" t="s">
        <v>494</v>
      </c>
      <c r="B527" s="306" t="s">
        <v>1003</v>
      </c>
      <c r="C527" s="306" t="s">
        <v>1004</v>
      </c>
      <c r="D527" s="306" t="s">
        <v>1019</v>
      </c>
      <c r="E527" s="306" t="s">
        <v>2088</v>
      </c>
      <c r="F527" s="306" t="s">
        <v>1007</v>
      </c>
      <c r="G527" s="308">
        <v>46022</v>
      </c>
      <c r="H527" s="308">
        <v>46022</v>
      </c>
      <c r="I527" s="309">
        <v>-10250</v>
      </c>
      <c r="J527" s="306" t="s">
        <v>1008</v>
      </c>
      <c r="K527" s="309">
        <v>-10250</v>
      </c>
      <c r="L527" s="306" t="s">
        <v>1008</v>
      </c>
      <c r="M527" s="306" t="s">
        <v>2089</v>
      </c>
      <c r="N527" s="306" t="s">
        <v>2089</v>
      </c>
      <c r="O527" s="306" t="s">
        <v>1129</v>
      </c>
      <c r="P527" s="306" t="s">
        <v>164</v>
      </c>
      <c r="Q527" s="306" t="s">
        <v>1013</v>
      </c>
      <c r="R527" s="306" t="s">
        <v>1013</v>
      </c>
      <c r="S527" s="306" t="s">
        <v>1013</v>
      </c>
      <c r="T527" s="306" t="s">
        <v>2047</v>
      </c>
      <c r="U527" s="306" t="s">
        <v>1013</v>
      </c>
      <c r="V527" s="306" t="s">
        <v>1013</v>
      </c>
      <c r="W527" s="306" t="s">
        <v>1013</v>
      </c>
      <c r="X527" s="306" t="s">
        <v>1013</v>
      </c>
      <c r="Y527" s="306" t="s">
        <v>2047</v>
      </c>
      <c r="Z527" s="306" t="s">
        <v>1071</v>
      </c>
      <c r="AA527" s="306" t="s">
        <v>1013</v>
      </c>
    </row>
    <row r="528" spans="1:27" hidden="1">
      <c r="A528" s="306" t="s">
        <v>494</v>
      </c>
      <c r="B528" s="306" t="s">
        <v>1003</v>
      </c>
      <c r="C528" s="306" t="s">
        <v>1004</v>
      </c>
      <c r="D528" s="306" t="s">
        <v>1019</v>
      </c>
      <c r="E528" s="306" t="s">
        <v>2090</v>
      </c>
      <c r="F528" s="306" t="s">
        <v>1007</v>
      </c>
      <c r="G528" s="308">
        <v>46022</v>
      </c>
      <c r="H528" s="308">
        <v>46022</v>
      </c>
      <c r="I528" s="309">
        <v>-53584.91</v>
      </c>
      <c r="J528" s="306" t="s">
        <v>1008</v>
      </c>
      <c r="K528" s="309">
        <v>-53584.91</v>
      </c>
      <c r="L528" s="306" t="s">
        <v>1008</v>
      </c>
      <c r="M528" s="306" t="s">
        <v>2091</v>
      </c>
      <c r="N528" s="306" t="s">
        <v>2092</v>
      </c>
      <c r="O528" s="306" t="s">
        <v>2093</v>
      </c>
      <c r="P528" s="306" t="s">
        <v>1069</v>
      </c>
      <c r="Q528" s="306" t="s">
        <v>1013</v>
      </c>
      <c r="R528" s="306" t="s">
        <v>1013</v>
      </c>
      <c r="S528" s="306" t="s">
        <v>1013</v>
      </c>
      <c r="T528" s="306" t="s">
        <v>2094</v>
      </c>
      <c r="U528" s="306" t="s">
        <v>1013</v>
      </c>
      <c r="V528" s="306" t="s">
        <v>1013</v>
      </c>
      <c r="W528" s="306" t="s">
        <v>1013</v>
      </c>
      <c r="X528" s="306" t="s">
        <v>1013</v>
      </c>
      <c r="Y528" s="306" t="s">
        <v>2094</v>
      </c>
      <c r="Z528" s="306" t="s">
        <v>1015</v>
      </c>
      <c r="AA528" s="306" t="s">
        <v>1013</v>
      </c>
    </row>
    <row r="529" spans="1:27" hidden="1">
      <c r="A529" s="306" t="s">
        <v>494</v>
      </c>
      <c r="B529" s="306" t="s">
        <v>1003</v>
      </c>
      <c r="C529" s="306" t="s">
        <v>1004</v>
      </c>
      <c r="D529" s="306" t="s">
        <v>1019</v>
      </c>
      <c r="E529" s="306" t="s">
        <v>2095</v>
      </c>
      <c r="F529" s="306" t="s">
        <v>1007</v>
      </c>
      <c r="G529" s="308">
        <v>46022</v>
      </c>
      <c r="H529" s="308">
        <v>46022</v>
      </c>
      <c r="I529" s="309">
        <v>-96855.35</v>
      </c>
      <c r="J529" s="306" t="s">
        <v>1008</v>
      </c>
      <c r="K529" s="309">
        <v>-96855.35</v>
      </c>
      <c r="L529" s="306" t="s">
        <v>1008</v>
      </c>
      <c r="M529" s="306" t="s">
        <v>2096</v>
      </c>
      <c r="N529" s="306" t="s">
        <v>2097</v>
      </c>
      <c r="O529" s="306" t="s">
        <v>2098</v>
      </c>
      <c r="P529" s="306" t="s">
        <v>1069</v>
      </c>
      <c r="Q529" s="306" t="s">
        <v>1013</v>
      </c>
      <c r="R529" s="306" t="s">
        <v>1013</v>
      </c>
      <c r="S529" s="306" t="s">
        <v>1013</v>
      </c>
      <c r="T529" s="306" t="s">
        <v>2003</v>
      </c>
      <c r="U529" s="306" t="s">
        <v>1013</v>
      </c>
      <c r="V529" s="306" t="s">
        <v>1013</v>
      </c>
      <c r="W529" s="306" t="s">
        <v>1013</v>
      </c>
      <c r="X529" s="306" t="s">
        <v>1013</v>
      </c>
      <c r="Y529" s="306" t="s">
        <v>2003</v>
      </c>
      <c r="Z529" s="306" t="s">
        <v>1015</v>
      </c>
      <c r="AA529" s="306" t="s">
        <v>1013</v>
      </c>
    </row>
    <row r="530" spans="1:27" hidden="1">
      <c r="A530" s="306" t="s">
        <v>494</v>
      </c>
      <c r="B530" s="306" t="s">
        <v>1003</v>
      </c>
      <c r="C530" s="306" t="s">
        <v>1004</v>
      </c>
      <c r="D530" s="306" t="s">
        <v>1019</v>
      </c>
      <c r="E530" s="306" t="s">
        <v>2099</v>
      </c>
      <c r="F530" s="306" t="s">
        <v>1007</v>
      </c>
      <c r="G530" s="308">
        <v>46022</v>
      </c>
      <c r="H530" s="308">
        <v>46022</v>
      </c>
      <c r="I530" s="309">
        <v>74825</v>
      </c>
      <c r="J530" s="306" t="s">
        <v>1008</v>
      </c>
      <c r="K530" s="309">
        <v>74825</v>
      </c>
      <c r="L530" s="306" t="s">
        <v>1008</v>
      </c>
      <c r="M530" s="306" t="s">
        <v>2100</v>
      </c>
      <c r="N530" s="306" t="s">
        <v>2100</v>
      </c>
      <c r="O530" s="306" t="s">
        <v>1129</v>
      </c>
      <c r="P530" s="306" t="s">
        <v>222</v>
      </c>
      <c r="Q530" s="306" t="s">
        <v>1013</v>
      </c>
      <c r="R530" s="306" t="s">
        <v>1013</v>
      </c>
      <c r="S530" s="306" t="s">
        <v>1013</v>
      </c>
      <c r="T530" s="306" t="s">
        <v>2101</v>
      </c>
      <c r="U530" s="306" t="s">
        <v>1013</v>
      </c>
      <c r="V530" s="306" t="s">
        <v>1013</v>
      </c>
      <c r="W530" s="306" t="s">
        <v>1013</v>
      </c>
      <c r="X530" s="306" t="s">
        <v>1013</v>
      </c>
      <c r="Y530" s="306" t="s">
        <v>2101</v>
      </c>
      <c r="Z530" s="306" t="s">
        <v>1015</v>
      </c>
      <c r="AA530" s="306" t="s">
        <v>1013</v>
      </c>
    </row>
    <row r="531" spans="1:27" hidden="1">
      <c r="A531" s="306" t="s">
        <v>494</v>
      </c>
      <c r="B531" s="306" t="s">
        <v>1003</v>
      </c>
      <c r="C531" s="306" t="s">
        <v>1004</v>
      </c>
      <c r="D531" s="306" t="s">
        <v>1019</v>
      </c>
      <c r="E531" s="306" t="s">
        <v>2102</v>
      </c>
      <c r="F531" s="306" t="s">
        <v>1007</v>
      </c>
      <c r="G531" s="308">
        <v>46022</v>
      </c>
      <c r="H531" s="308">
        <v>46022</v>
      </c>
      <c r="I531" s="309">
        <v>1036892.67</v>
      </c>
      <c r="J531" s="306" t="s">
        <v>1008</v>
      </c>
      <c r="K531" s="309">
        <v>1036892.67</v>
      </c>
      <c r="L531" s="306" t="s">
        <v>1008</v>
      </c>
      <c r="M531" s="306" t="s">
        <v>2100</v>
      </c>
      <c r="N531" s="306" t="s">
        <v>2100</v>
      </c>
      <c r="O531" s="306" t="s">
        <v>2103</v>
      </c>
      <c r="P531" s="306" t="s">
        <v>222</v>
      </c>
      <c r="Q531" s="306" t="s">
        <v>1013</v>
      </c>
      <c r="R531" s="306" t="s">
        <v>1013</v>
      </c>
      <c r="S531" s="306" t="s">
        <v>1013</v>
      </c>
      <c r="T531" s="306" t="s">
        <v>2101</v>
      </c>
      <c r="U531" s="306" t="s">
        <v>1013</v>
      </c>
      <c r="V531" s="306" t="s">
        <v>1013</v>
      </c>
      <c r="W531" s="306" t="s">
        <v>1013</v>
      </c>
      <c r="X531" s="306" t="s">
        <v>1013</v>
      </c>
      <c r="Y531" s="306" t="s">
        <v>2101</v>
      </c>
      <c r="Z531" s="306" t="s">
        <v>1015</v>
      </c>
      <c r="AA531" s="306" t="s">
        <v>1013</v>
      </c>
    </row>
    <row r="532" spans="1:27" hidden="1">
      <c r="A532" s="306" t="s">
        <v>494</v>
      </c>
      <c r="B532" s="306" t="s">
        <v>1003</v>
      </c>
      <c r="C532" s="306" t="s">
        <v>1004</v>
      </c>
      <c r="D532" s="306" t="s">
        <v>1019</v>
      </c>
      <c r="E532" s="306" t="s">
        <v>2104</v>
      </c>
      <c r="F532" s="306" t="s">
        <v>1007</v>
      </c>
      <c r="G532" s="308">
        <v>46022</v>
      </c>
      <c r="H532" s="308">
        <v>46022</v>
      </c>
      <c r="I532" s="309">
        <v>5310320</v>
      </c>
      <c r="J532" s="306" t="s">
        <v>1008</v>
      </c>
      <c r="K532" s="309">
        <v>5310320</v>
      </c>
      <c r="L532" s="306" t="s">
        <v>1008</v>
      </c>
      <c r="M532" s="306" t="s">
        <v>2100</v>
      </c>
      <c r="N532" s="306" t="s">
        <v>2100</v>
      </c>
      <c r="O532" s="306" t="s">
        <v>2105</v>
      </c>
      <c r="P532" s="306" t="s">
        <v>222</v>
      </c>
      <c r="Q532" s="306" t="s">
        <v>1013</v>
      </c>
      <c r="R532" s="306" t="s">
        <v>1013</v>
      </c>
      <c r="S532" s="306" t="s">
        <v>1013</v>
      </c>
      <c r="T532" s="306" t="s">
        <v>2101</v>
      </c>
      <c r="U532" s="306" t="s">
        <v>1013</v>
      </c>
      <c r="V532" s="306" t="s">
        <v>1013</v>
      </c>
      <c r="W532" s="306" t="s">
        <v>1013</v>
      </c>
      <c r="X532" s="306" t="s">
        <v>1013</v>
      </c>
      <c r="Y532" s="306" t="s">
        <v>2101</v>
      </c>
      <c r="Z532" s="306" t="s">
        <v>1015</v>
      </c>
      <c r="AA532" s="306" t="s">
        <v>1013</v>
      </c>
    </row>
    <row r="533" spans="1:27" hidden="1">
      <c r="A533" s="306" t="s">
        <v>494</v>
      </c>
      <c r="B533" s="306" t="s">
        <v>1003</v>
      </c>
      <c r="C533" s="306" t="s">
        <v>1004</v>
      </c>
      <c r="D533" s="306" t="s">
        <v>1019</v>
      </c>
      <c r="E533" s="306" t="s">
        <v>2106</v>
      </c>
      <c r="F533" s="306" t="s">
        <v>1007</v>
      </c>
      <c r="G533" s="308">
        <v>46022</v>
      </c>
      <c r="H533" s="308">
        <v>46022</v>
      </c>
      <c r="I533" s="309">
        <v>30750</v>
      </c>
      <c r="J533" s="306" t="s">
        <v>1008</v>
      </c>
      <c r="K533" s="309">
        <v>30750</v>
      </c>
      <c r="L533" s="306" t="s">
        <v>1008</v>
      </c>
      <c r="M533" s="306" t="s">
        <v>2100</v>
      </c>
      <c r="N533" s="306" t="s">
        <v>2100</v>
      </c>
      <c r="O533" s="306" t="s">
        <v>2107</v>
      </c>
      <c r="P533" s="306" t="s">
        <v>222</v>
      </c>
      <c r="Q533" s="306" t="s">
        <v>1013</v>
      </c>
      <c r="R533" s="306" t="s">
        <v>1013</v>
      </c>
      <c r="S533" s="306" t="s">
        <v>1013</v>
      </c>
      <c r="T533" s="306" t="s">
        <v>2101</v>
      </c>
      <c r="U533" s="306" t="s">
        <v>1013</v>
      </c>
      <c r="V533" s="306" t="s">
        <v>1013</v>
      </c>
      <c r="W533" s="306" t="s">
        <v>1013</v>
      </c>
      <c r="X533" s="306" t="s">
        <v>1013</v>
      </c>
      <c r="Y533" s="306" t="s">
        <v>2101</v>
      </c>
      <c r="Z533" s="306" t="s">
        <v>1015</v>
      </c>
      <c r="AA533" s="306" t="s">
        <v>1013</v>
      </c>
    </row>
    <row r="534" spans="1:27" hidden="1">
      <c r="A534" s="306" t="s">
        <v>494</v>
      </c>
      <c r="B534" s="306" t="s">
        <v>1003</v>
      </c>
      <c r="C534" s="306" t="s">
        <v>1004</v>
      </c>
      <c r="D534" s="306" t="s">
        <v>1019</v>
      </c>
      <c r="E534" s="306" t="s">
        <v>2108</v>
      </c>
      <c r="F534" s="306" t="s">
        <v>1007</v>
      </c>
      <c r="G534" s="308">
        <v>46022</v>
      </c>
      <c r="H534" s="308">
        <v>46022</v>
      </c>
      <c r="I534" s="309">
        <v>30750</v>
      </c>
      <c r="J534" s="306" t="s">
        <v>1008</v>
      </c>
      <c r="K534" s="309">
        <v>30750</v>
      </c>
      <c r="L534" s="306" t="s">
        <v>1008</v>
      </c>
      <c r="M534" s="306" t="s">
        <v>2100</v>
      </c>
      <c r="N534" s="306" t="s">
        <v>2100</v>
      </c>
      <c r="O534" s="306" t="s">
        <v>2109</v>
      </c>
      <c r="P534" s="306" t="s">
        <v>222</v>
      </c>
      <c r="Q534" s="306" t="s">
        <v>1013</v>
      </c>
      <c r="R534" s="306" t="s">
        <v>1013</v>
      </c>
      <c r="S534" s="306" t="s">
        <v>1013</v>
      </c>
      <c r="T534" s="306" t="s">
        <v>2101</v>
      </c>
      <c r="U534" s="306" t="s">
        <v>1013</v>
      </c>
      <c r="V534" s="306" t="s">
        <v>1013</v>
      </c>
      <c r="W534" s="306" t="s">
        <v>1013</v>
      </c>
      <c r="X534" s="306" t="s">
        <v>1013</v>
      </c>
      <c r="Y534" s="306" t="s">
        <v>2101</v>
      </c>
      <c r="Z534" s="306" t="s">
        <v>1015</v>
      </c>
      <c r="AA534" s="306" t="s">
        <v>1013</v>
      </c>
    </row>
    <row r="535" spans="1:27" hidden="1">
      <c r="A535" s="306" t="s">
        <v>494</v>
      </c>
      <c r="B535" s="306" t="s">
        <v>1003</v>
      </c>
      <c r="C535" s="306" t="s">
        <v>1004</v>
      </c>
      <c r="D535" s="306" t="s">
        <v>1019</v>
      </c>
      <c r="E535" s="306" t="s">
        <v>2110</v>
      </c>
      <c r="F535" s="306" t="s">
        <v>1007</v>
      </c>
      <c r="G535" s="308">
        <v>46022</v>
      </c>
      <c r="H535" s="308">
        <v>46022</v>
      </c>
      <c r="I535" s="309">
        <v>252081.54</v>
      </c>
      <c r="J535" s="306" t="s">
        <v>1008</v>
      </c>
      <c r="K535" s="309">
        <v>252081.54</v>
      </c>
      <c r="L535" s="306" t="s">
        <v>1008</v>
      </c>
      <c r="M535" s="306" t="s">
        <v>2100</v>
      </c>
      <c r="N535" s="306" t="s">
        <v>2100</v>
      </c>
      <c r="O535" s="306" t="s">
        <v>2111</v>
      </c>
      <c r="P535" s="306" t="s">
        <v>222</v>
      </c>
      <c r="Q535" s="306" t="s">
        <v>1013</v>
      </c>
      <c r="R535" s="306" t="s">
        <v>1013</v>
      </c>
      <c r="S535" s="306" t="s">
        <v>1013</v>
      </c>
      <c r="T535" s="306" t="s">
        <v>2101</v>
      </c>
      <c r="U535" s="306" t="s">
        <v>1013</v>
      </c>
      <c r="V535" s="306" t="s">
        <v>1013</v>
      </c>
      <c r="W535" s="306" t="s">
        <v>1013</v>
      </c>
      <c r="X535" s="306" t="s">
        <v>1013</v>
      </c>
      <c r="Y535" s="306" t="s">
        <v>2101</v>
      </c>
      <c r="Z535" s="306" t="s">
        <v>1015</v>
      </c>
      <c r="AA535" s="306" t="s">
        <v>1013</v>
      </c>
    </row>
    <row r="536" spans="1:27" hidden="1">
      <c r="A536" s="306" t="s">
        <v>494</v>
      </c>
      <c r="B536" s="306" t="s">
        <v>1003</v>
      </c>
      <c r="C536" s="306" t="s">
        <v>1004</v>
      </c>
      <c r="D536" s="306" t="s">
        <v>1019</v>
      </c>
      <c r="E536" s="306" t="s">
        <v>2112</v>
      </c>
      <c r="F536" s="306" t="s">
        <v>1007</v>
      </c>
      <c r="G536" s="308">
        <v>46022</v>
      </c>
      <c r="H536" s="308">
        <v>46022</v>
      </c>
      <c r="I536" s="309">
        <v>184120.38</v>
      </c>
      <c r="J536" s="306" t="s">
        <v>1008</v>
      </c>
      <c r="K536" s="309">
        <v>184120.38</v>
      </c>
      <c r="L536" s="306" t="s">
        <v>1008</v>
      </c>
      <c r="M536" s="306" t="s">
        <v>2100</v>
      </c>
      <c r="N536" s="306" t="s">
        <v>2100</v>
      </c>
      <c r="O536" s="306" t="s">
        <v>2113</v>
      </c>
      <c r="P536" s="306" t="s">
        <v>222</v>
      </c>
      <c r="Q536" s="306" t="s">
        <v>1013</v>
      </c>
      <c r="R536" s="306" t="s">
        <v>1013</v>
      </c>
      <c r="S536" s="306" t="s">
        <v>1013</v>
      </c>
      <c r="T536" s="306" t="s">
        <v>2101</v>
      </c>
      <c r="U536" s="306" t="s">
        <v>1013</v>
      </c>
      <c r="V536" s="306" t="s">
        <v>1013</v>
      </c>
      <c r="W536" s="306" t="s">
        <v>1013</v>
      </c>
      <c r="X536" s="306" t="s">
        <v>1013</v>
      </c>
      <c r="Y536" s="306" t="s">
        <v>2101</v>
      </c>
      <c r="Z536" s="306" t="s">
        <v>1015</v>
      </c>
      <c r="AA536" s="306" t="s">
        <v>1013</v>
      </c>
    </row>
    <row r="537" spans="1:27" hidden="1">
      <c r="A537" s="306" t="s">
        <v>494</v>
      </c>
      <c r="B537" s="306" t="s">
        <v>1003</v>
      </c>
      <c r="C537" s="306" t="s">
        <v>1004</v>
      </c>
      <c r="D537" s="306" t="s">
        <v>1019</v>
      </c>
      <c r="E537" s="306" t="s">
        <v>2114</v>
      </c>
      <c r="F537" s="306" t="s">
        <v>1007</v>
      </c>
      <c r="G537" s="308">
        <v>46022</v>
      </c>
      <c r="H537" s="308">
        <v>46022</v>
      </c>
      <c r="I537" s="309">
        <v>-78475</v>
      </c>
      <c r="J537" s="306" t="s">
        <v>1008</v>
      </c>
      <c r="K537" s="309">
        <v>-78475</v>
      </c>
      <c r="L537" s="306" t="s">
        <v>1008</v>
      </c>
      <c r="M537" s="306" t="s">
        <v>2115</v>
      </c>
      <c r="N537" s="306" t="s">
        <v>2116</v>
      </c>
      <c r="O537" s="306" t="s">
        <v>1129</v>
      </c>
      <c r="P537" s="306" t="s">
        <v>1012</v>
      </c>
      <c r="Q537" s="306" t="s">
        <v>1013</v>
      </c>
      <c r="R537" s="306" t="s">
        <v>1013</v>
      </c>
      <c r="S537" s="306" t="s">
        <v>1013</v>
      </c>
      <c r="T537" s="306" t="s">
        <v>2101</v>
      </c>
      <c r="U537" s="306" t="s">
        <v>1013</v>
      </c>
      <c r="V537" s="306" t="s">
        <v>1013</v>
      </c>
      <c r="W537" s="306" t="s">
        <v>1013</v>
      </c>
      <c r="X537" s="306" t="s">
        <v>1013</v>
      </c>
      <c r="Y537" s="306" t="s">
        <v>2101</v>
      </c>
      <c r="Z537" s="306" t="s">
        <v>1015</v>
      </c>
      <c r="AA537" s="306" t="s">
        <v>1013</v>
      </c>
    </row>
    <row r="538" spans="1:27" hidden="1">
      <c r="A538" s="306" t="s">
        <v>494</v>
      </c>
      <c r="B538" s="306" t="s">
        <v>1003</v>
      </c>
      <c r="C538" s="306" t="s">
        <v>1004</v>
      </c>
      <c r="D538" s="306" t="s">
        <v>1019</v>
      </c>
      <c r="E538" s="306" t="s">
        <v>2117</v>
      </c>
      <c r="F538" s="306" t="s">
        <v>1007</v>
      </c>
      <c r="G538" s="308">
        <v>46022</v>
      </c>
      <c r="H538" s="308">
        <v>46022</v>
      </c>
      <c r="I538" s="309">
        <v>-107500</v>
      </c>
      <c r="J538" s="306" t="s">
        <v>1008</v>
      </c>
      <c r="K538" s="309">
        <v>-107500</v>
      </c>
      <c r="L538" s="306" t="s">
        <v>1008</v>
      </c>
      <c r="M538" s="306" t="s">
        <v>2115</v>
      </c>
      <c r="N538" s="306" t="s">
        <v>2116</v>
      </c>
      <c r="O538" s="306" t="s">
        <v>2103</v>
      </c>
      <c r="P538" s="306" t="s">
        <v>1012</v>
      </c>
      <c r="Q538" s="306" t="s">
        <v>1013</v>
      </c>
      <c r="R538" s="306" t="s">
        <v>1013</v>
      </c>
      <c r="S538" s="306" t="s">
        <v>1013</v>
      </c>
      <c r="T538" s="306" t="s">
        <v>2101</v>
      </c>
      <c r="U538" s="306" t="s">
        <v>1013</v>
      </c>
      <c r="V538" s="306" t="s">
        <v>1013</v>
      </c>
      <c r="W538" s="306" t="s">
        <v>1013</v>
      </c>
      <c r="X538" s="306" t="s">
        <v>1013</v>
      </c>
      <c r="Y538" s="306" t="s">
        <v>2101</v>
      </c>
      <c r="Z538" s="306" t="s">
        <v>1015</v>
      </c>
      <c r="AA538" s="306" t="s">
        <v>1013</v>
      </c>
    </row>
    <row r="539" spans="1:27" hidden="1">
      <c r="A539" s="306" t="s">
        <v>494</v>
      </c>
      <c r="B539" s="306" t="s">
        <v>1003</v>
      </c>
      <c r="C539" s="306" t="s">
        <v>1004</v>
      </c>
      <c r="D539" s="306" t="s">
        <v>1019</v>
      </c>
      <c r="E539" s="306" t="s">
        <v>2118</v>
      </c>
      <c r="F539" s="306" t="s">
        <v>1007</v>
      </c>
      <c r="G539" s="308">
        <v>46022</v>
      </c>
      <c r="H539" s="308">
        <v>46022</v>
      </c>
      <c r="I539" s="309">
        <v>-3691406.67</v>
      </c>
      <c r="J539" s="306" t="s">
        <v>1008</v>
      </c>
      <c r="K539" s="309">
        <v>-3691406.67</v>
      </c>
      <c r="L539" s="306" t="s">
        <v>1008</v>
      </c>
      <c r="M539" s="306" t="s">
        <v>2115</v>
      </c>
      <c r="N539" s="306" t="s">
        <v>2116</v>
      </c>
      <c r="O539" s="306" t="s">
        <v>2105</v>
      </c>
      <c r="P539" s="306" t="s">
        <v>1012</v>
      </c>
      <c r="Q539" s="306" t="s">
        <v>1013</v>
      </c>
      <c r="R539" s="306" t="s">
        <v>1013</v>
      </c>
      <c r="S539" s="306" t="s">
        <v>1013</v>
      </c>
      <c r="T539" s="306" t="s">
        <v>2101</v>
      </c>
      <c r="U539" s="306" t="s">
        <v>1013</v>
      </c>
      <c r="V539" s="306" t="s">
        <v>1013</v>
      </c>
      <c r="W539" s="306" t="s">
        <v>1013</v>
      </c>
      <c r="X539" s="306" t="s">
        <v>1013</v>
      </c>
      <c r="Y539" s="306" t="s">
        <v>2101</v>
      </c>
      <c r="Z539" s="306" t="s">
        <v>1015</v>
      </c>
      <c r="AA539" s="306" t="s">
        <v>1013</v>
      </c>
    </row>
    <row r="540" spans="1:27" hidden="1">
      <c r="A540" s="306" t="s">
        <v>494</v>
      </c>
      <c r="B540" s="306" t="s">
        <v>1003</v>
      </c>
      <c r="C540" s="306" t="s">
        <v>1004</v>
      </c>
      <c r="D540" s="306" t="s">
        <v>1019</v>
      </c>
      <c r="E540" s="306" t="s">
        <v>2119</v>
      </c>
      <c r="F540" s="306" t="s">
        <v>1007</v>
      </c>
      <c r="G540" s="308">
        <v>46022</v>
      </c>
      <c r="H540" s="308">
        <v>46022</v>
      </c>
      <c r="I540" s="309">
        <v>-1877953.33</v>
      </c>
      <c r="J540" s="306" t="s">
        <v>1008</v>
      </c>
      <c r="K540" s="309">
        <v>-1877953.33</v>
      </c>
      <c r="L540" s="306" t="s">
        <v>1008</v>
      </c>
      <c r="M540" s="306" t="s">
        <v>2116</v>
      </c>
      <c r="N540" s="306" t="s">
        <v>2116</v>
      </c>
      <c r="O540" s="306" t="s">
        <v>2105</v>
      </c>
      <c r="P540" s="306" t="s">
        <v>696</v>
      </c>
      <c r="Q540" s="306" t="s">
        <v>1013</v>
      </c>
      <c r="R540" s="306" t="s">
        <v>1013</v>
      </c>
      <c r="S540" s="306" t="s">
        <v>1013</v>
      </c>
      <c r="T540" s="306" t="s">
        <v>2101</v>
      </c>
      <c r="U540" s="306" t="s">
        <v>1013</v>
      </c>
      <c r="V540" s="306" t="s">
        <v>1013</v>
      </c>
      <c r="W540" s="306" t="s">
        <v>1013</v>
      </c>
      <c r="X540" s="306" t="s">
        <v>1013</v>
      </c>
      <c r="Y540" s="306" t="s">
        <v>2101</v>
      </c>
      <c r="Z540" s="306" t="s">
        <v>1015</v>
      </c>
      <c r="AA540" s="306" t="s">
        <v>1013</v>
      </c>
    </row>
    <row r="541" spans="1:27" hidden="1">
      <c r="A541" s="306" t="s">
        <v>494</v>
      </c>
      <c r="B541" s="306" t="s">
        <v>1003</v>
      </c>
      <c r="C541" s="306" t="s">
        <v>1004</v>
      </c>
      <c r="D541" s="306" t="s">
        <v>1019</v>
      </c>
      <c r="E541" s="306" t="s">
        <v>2120</v>
      </c>
      <c r="F541" s="306" t="s">
        <v>1007</v>
      </c>
      <c r="G541" s="308">
        <v>46022</v>
      </c>
      <c r="H541" s="308">
        <v>46022</v>
      </c>
      <c r="I541" s="309">
        <v>-32250</v>
      </c>
      <c r="J541" s="306" t="s">
        <v>1008</v>
      </c>
      <c r="K541" s="309">
        <v>-32250</v>
      </c>
      <c r="L541" s="306" t="s">
        <v>1008</v>
      </c>
      <c r="M541" s="306" t="s">
        <v>2115</v>
      </c>
      <c r="N541" s="306" t="s">
        <v>2116</v>
      </c>
      <c r="O541" s="306" t="s">
        <v>2107</v>
      </c>
      <c r="P541" s="306" t="s">
        <v>1012</v>
      </c>
      <c r="Q541" s="306" t="s">
        <v>1013</v>
      </c>
      <c r="R541" s="306" t="s">
        <v>1013</v>
      </c>
      <c r="S541" s="306" t="s">
        <v>1013</v>
      </c>
      <c r="T541" s="306" t="s">
        <v>2101</v>
      </c>
      <c r="U541" s="306" t="s">
        <v>1013</v>
      </c>
      <c r="V541" s="306" t="s">
        <v>1013</v>
      </c>
      <c r="W541" s="306" t="s">
        <v>1013</v>
      </c>
      <c r="X541" s="306" t="s">
        <v>1013</v>
      </c>
      <c r="Y541" s="306" t="s">
        <v>2101</v>
      </c>
      <c r="Z541" s="306" t="s">
        <v>1015</v>
      </c>
      <c r="AA541" s="306" t="s">
        <v>1013</v>
      </c>
    </row>
    <row r="542" spans="1:27" hidden="1">
      <c r="A542" s="306" t="s">
        <v>494</v>
      </c>
      <c r="B542" s="306" t="s">
        <v>1003</v>
      </c>
      <c r="C542" s="306" t="s">
        <v>1004</v>
      </c>
      <c r="D542" s="306" t="s">
        <v>1019</v>
      </c>
      <c r="E542" s="306" t="s">
        <v>2121</v>
      </c>
      <c r="F542" s="306" t="s">
        <v>1007</v>
      </c>
      <c r="G542" s="308">
        <v>46022</v>
      </c>
      <c r="H542" s="308">
        <v>46022</v>
      </c>
      <c r="I542" s="309">
        <v>-32250</v>
      </c>
      <c r="J542" s="306" t="s">
        <v>1008</v>
      </c>
      <c r="K542" s="309">
        <v>-32250</v>
      </c>
      <c r="L542" s="306" t="s">
        <v>1008</v>
      </c>
      <c r="M542" s="306" t="s">
        <v>2115</v>
      </c>
      <c r="N542" s="306" t="s">
        <v>2116</v>
      </c>
      <c r="O542" s="306" t="s">
        <v>2109</v>
      </c>
      <c r="P542" s="306" t="s">
        <v>1012</v>
      </c>
      <c r="Q542" s="306" t="s">
        <v>1013</v>
      </c>
      <c r="R542" s="306" t="s">
        <v>1013</v>
      </c>
      <c r="S542" s="306" t="s">
        <v>1013</v>
      </c>
      <c r="T542" s="306" t="s">
        <v>2101</v>
      </c>
      <c r="U542" s="306" t="s">
        <v>1013</v>
      </c>
      <c r="V542" s="306" t="s">
        <v>1013</v>
      </c>
      <c r="W542" s="306" t="s">
        <v>1013</v>
      </c>
      <c r="X542" s="306" t="s">
        <v>1013</v>
      </c>
      <c r="Y542" s="306" t="s">
        <v>2101</v>
      </c>
      <c r="Z542" s="306" t="s">
        <v>1015</v>
      </c>
      <c r="AA542" s="306" t="s">
        <v>1013</v>
      </c>
    </row>
    <row r="543" spans="1:27" hidden="1">
      <c r="A543" s="306" t="s">
        <v>494</v>
      </c>
      <c r="B543" s="306" t="s">
        <v>1003</v>
      </c>
      <c r="C543" s="306" t="s">
        <v>1004</v>
      </c>
      <c r="D543" s="306" t="s">
        <v>1019</v>
      </c>
      <c r="E543" s="306" t="s">
        <v>2122</v>
      </c>
      <c r="F543" s="306" t="s">
        <v>1007</v>
      </c>
      <c r="G543" s="308">
        <v>46022</v>
      </c>
      <c r="H543" s="308">
        <v>46022</v>
      </c>
      <c r="I543" s="309">
        <v>-176252.13</v>
      </c>
      <c r="J543" s="306" t="s">
        <v>1008</v>
      </c>
      <c r="K543" s="309">
        <v>-176252.13</v>
      </c>
      <c r="L543" s="306" t="s">
        <v>1008</v>
      </c>
      <c r="M543" s="306" t="s">
        <v>2115</v>
      </c>
      <c r="N543" s="306" t="s">
        <v>2116</v>
      </c>
      <c r="O543" s="306" t="s">
        <v>2111</v>
      </c>
      <c r="P543" s="306" t="s">
        <v>1012</v>
      </c>
      <c r="Q543" s="306" t="s">
        <v>1013</v>
      </c>
      <c r="R543" s="306" t="s">
        <v>1013</v>
      </c>
      <c r="S543" s="306" t="s">
        <v>1013</v>
      </c>
      <c r="T543" s="306" t="s">
        <v>2101</v>
      </c>
      <c r="U543" s="306" t="s">
        <v>1013</v>
      </c>
      <c r="V543" s="306" t="s">
        <v>1013</v>
      </c>
      <c r="W543" s="306" t="s">
        <v>1013</v>
      </c>
      <c r="X543" s="306" t="s">
        <v>1013</v>
      </c>
      <c r="Y543" s="306" t="s">
        <v>2101</v>
      </c>
      <c r="Z543" s="306" t="s">
        <v>1015</v>
      </c>
      <c r="AA543" s="306" t="s">
        <v>1013</v>
      </c>
    </row>
    <row r="544" spans="1:27" hidden="1">
      <c r="A544" s="306" t="s">
        <v>494</v>
      </c>
      <c r="B544" s="306" t="s">
        <v>1003</v>
      </c>
      <c r="C544" s="306" t="s">
        <v>1004</v>
      </c>
      <c r="D544" s="306" t="s">
        <v>1019</v>
      </c>
      <c r="E544" s="306" t="s">
        <v>2123</v>
      </c>
      <c r="F544" s="306" t="s">
        <v>1007</v>
      </c>
      <c r="G544" s="308">
        <v>46022</v>
      </c>
      <c r="H544" s="308">
        <v>46022</v>
      </c>
      <c r="I544" s="309">
        <v>-88126.07</v>
      </c>
      <c r="J544" s="306" t="s">
        <v>1008</v>
      </c>
      <c r="K544" s="309">
        <v>-88126.07</v>
      </c>
      <c r="L544" s="306" t="s">
        <v>1008</v>
      </c>
      <c r="M544" s="306" t="s">
        <v>2116</v>
      </c>
      <c r="N544" s="306" t="s">
        <v>2116</v>
      </c>
      <c r="O544" s="306" t="s">
        <v>2111</v>
      </c>
      <c r="P544" s="306" t="s">
        <v>696</v>
      </c>
      <c r="Q544" s="306" t="s">
        <v>1013</v>
      </c>
      <c r="R544" s="306" t="s">
        <v>1013</v>
      </c>
      <c r="S544" s="306" t="s">
        <v>1013</v>
      </c>
      <c r="T544" s="306" t="s">
        <v>2101</v>
      </c>
      <c r="U544" s="306" t="s">
        <v>1013</v>
      </c>
      <c r="V544" s="306" t="s">
        <v>1013</v>
      </c>
      <c r="W544" s="306" t="s">
        <v>1013</v>
      </c>
      <c r="X544" s="306" t="s">
        <v>1013</v>
      </c>
      <c r="Y544" s="306" t="s">
        <v>2101</v>
      </c>
      <c r="Z544" s="306" t="s">
        <v>1015</v>
      </c>
      <c r="AA544" s="306" t="s">
        <v>1013</v>
      </c>
    </row>
    <row r="545" spans="1:27" hidden="1">
      <c r="A545" s="306" t="s">
        <v>494</v>
      </c>
      <c r="B545" s="306" t="s">
        <v>1003</v>
      </c>
      <c r="C545" s="306" t="s">
        <v>1004</v>
      </c>
      <c r="D545" s="306" t="s">
        <v>1019</v>
      </c>
      <c r="E545" s="306" t="s">
        <v>2124</v>
      </c>
      <c r="F545" s="306" t="s">
        <v>1007</v>
      </c>
      <c r="G545" s="308">
        <v>46022</v>
      </c>
      <c r="H545" s="308">
        <v>46022</v>
      </c>
      <c r="I545" s="309">
        <v>-128734.57</v>
      </c>
      <c r="J545" s="306" t="s">
        <v>1008</v>
      </c>
      <c r="K545" s="309">
        <v>-128734.57</v>
      </c>
      <c r="L545" s="306" t="s">
        <v>1008</v>
      </c>
      <c r="M545" s="306" t="s">
        <v>2115</v>
      </c>
      <c r="N545" s="306" t="s">
        <v>2116</v>
      </c>
      <c r="O545" s="306" t="s">
        <v>2113</v>
      </c>
      <c r="P545" s="306" t="s">
        <v>1012</v>
      </c>
      <c r="Q545" s="306" t="s">
        <v>1013</v>
      </c>
      <c r="R545" s="306" t="s">
        <v>1013</v>
      </c>
      <c r="S545" s="306" t="s">
        <v>1013</v>
      </c>
      <c r="T545" s="306" t="s">
        <v>2101</v>
      </c>
      <c r="U545" s="306" t="s">
        <v>1013</v>
      </c>
      <c r="V545" s="306" t="s">
        <v>1013</v>
      </c>
      <c r="W545" s="306" t="s">
        <v>1013</v>
      </c>
      <c r="X545" s="306" t="s">
        <v>1013</v>
      </c>
      <c r="Y545" s="306" t="s">
        <v>2101</v>
      </c>
      <c r="Z545" s="306" t="s">
        <v>1015</v>
      </c>
      <c r="AA545" s="306" t="s">
        <v>1013</v>
      </c>
    </row>
    <row r="546" spans="1:27" hidden="1">
      <c r="A546" s="306" t="s">
        <v>494</v>
      </c>
      <c r="B546" s="306" t="s">
        <v>1003</v>
      </c>
      <c r="C546" s="306" t="s">
        <v>1004</v>
      </c>
      <c r="D546" s="306" t="s">
        <v>1019</v>
      </c>
      <c r="E546" s="306" t="s">
        <v>2125</v>
      </c>
      <c r="F546" s="306" t="s">
        <v>1007</v>
      </c>
      <c r="G546" s="308">
        <v>46022</v>
      </c>
      <c r="H546" s="308">
        <v>46022</v>
      </c>
      <c r="I546" s="309">
        <v>-64367.29</v>
      </c>
      <c r="J546" s="306" t="s">
        <v>1008</v>
      </c>
      <c r="K546" s="309">
        <v>-64367.29</v>
      </c>
      <c r="L546" s="306" t="s">
        <v>1008</v>
      </c>
      <c r="M546" s="306" t="s">
        <v>2116</v>
      </c>
      <c r="N546" s="306" t="s">
        <v>2116</v>
      </c>
      <c r="O546" s="306" t="s">
        <v>2113</v>
      </c>
      <c r="P546" s="306" t="s">
        <v>696</v>
      </c>
      <c r="Q546" s="306" t="s">
        <v>1013</v>
      </c>
      <c r="R546" s="306" t="s">
        <v>1013</v>
      </c>
      <c r="S546" s="306" t="s">
        <v>1013</v>
      </c>
      <c r="T546" s="306" t="s">
        <v>2101</v>
      </c>
      <c r="U546" s="306" t="s">
        <v>1013</v>
      </c>
      <c r="V546" s="306" t="s">
        <v>1013</v>
      </c>
      <c r="W546" s="306" t="s">
        <v>1013</v>
      </c>
      <c r="X546" s="306" t="s">
        <v>1013</v>
      </c>
      <c r="Y546" s="306" t="s">
        <v>2101</v>
      </c>
      <c r="Z546" s="306" t="s">
        <v>1015</v>
      </c>
      <c r="AA546" s="306" t="s">
        <v>1013</v>
      </c>
    </row>
    <row r="547" spans="1:27" hidden="1">
      <c r="A547" s="306" t="s">
        <v>494</v>
      </c>
      <c r="B547" s="306" t="s">
        <v>1003</v>
      </c>
      <c r="C547" s="306" t="s">
        <v>1004</v>
      </c>
      <c r="D547" s="306" t="s">
        <v>1019</v>
      </c>
      <c r="E547" s="306" t="s">
        <v>2126</v>
      </c>
      <c r="F547" s="306" t="s">
        <v>1007</v>
      </c>
      <c r="G547" s="308">
        <v>46022</v>
      </c>
      <c r="H547" s="308">
        <v>46022</v>
      </c>
      <c r="I547" s="309">
        <v>-298056.78000000003</v>
      </c>
      <c r="J547" s="306" t="s">
        <v>1008</v>
      </c>
      <c r="K547" s="309">
        <v>-298056.78000000003</v>
      </c>
      <c r="L547" s="306" t="s">
        <v>1008</v>
      </c>
      <c r="M547" s="306" t="s">
        <v>2127</v>
      </c>
      <c r="N547" s="306" t="s">
        <v>2127</v>
      </c>
      <c r="O547" s="306" t="s">
        <v>2128</v>
      </c>
      <c r="P547" s="306" t="s">
        <v>280</v>
      </c>
      <c r="Q547" s="306" t="s">
        <v>1013</v>
      </c>
      <c r="R547" s="306" t="s">
        <v>1013</v>
      </c>
      <c r="S547" s="306" t="s">
        <v>1013</v>
      </c>
      <c r="T547" s="306" t="s">
        <v>2129</v>
      </c>
      <c r="U547" s="306" t="s">
        <v>1013</v>
      </c>
      <c r="V547" s="306" t="s">
        <v>1013</v>
      </c>
      <c r="W547" s="306" t="s">
        <v>1013</v>
      </c>
      <c r="X547" s="306" t="s">
        <v>1013</v>
      </c>
      <c r="Y547" s="306" t="s">
        <v>2129</v>
      </c>
      <c r="Z547" s="306" t="s">
        <v>1015</v>
      </c>
      <c r="AA547" s="306" t="s">
        <v>1013</v>
      </c>
    </row>
    <row r="548" spans="1:27" hidden="1">
      <c r="A548" s="306" t="s">
        <v>494</v>
      </c>
      <c r="B548" s="306" t="s">
        <v>1003</v>
      </c>
      <c r="C548" s="306" t="s">
        <v>1004</v>
      </c>
      <c r="D548" s="306" t="s">
        <v>1818</v>
      </c>
      <c r="E548" s="306" t="s">
        <v>2130</v>
      </c>
      <c r="F548" s="306" t="s">
        <v>1007</v>
      </c>
      <c r="G548" s="308">
        <v>46022</v>
      </c>
      <c r="H548" s="308">
        <v>46022</v>
      </c>
      <c r="I548" s="309">
        <v>-74704.100000000006</v>
      </c>
      <c r="J548" s="306" t="s">
        <v>1008</v>
      </c>
      <c r="K548" s="309">
        <v>-74704.100000000006</v>
      </c>
      <c r="L548" s="306" t="s">
        <v>1008</v>
      </c>
      <c r="M548" s="306" t="s">
        <v>2131</v>
      </c>
      <c r="N548" s="306" t="s">
        <v>2132</v>
      </c>
      <c r="O548" s="306" t="s">
        <v>1822</v>
      </c>
      <c r="P548" s="306" t="s">
        <v>696</v>
      </c>
      <c r="Q548" s="306" t="s">
        <v>1013</v>
      </c>
      <c r="R548" s="306" t="s">
        <v>1013</v>
      </c>
      <c r="S548" s="306" t="s">
        <v>1013</v>
      </c>
      <c r="T548" s="306" t="s">
        <v>1013</v>
      </c>
      <c r="U548" s="306" t="s">
        <v>1013</v>
      </c>
      <c r="V548" s="306" t="s">
        <v>1013</v>
      </c>
      <c r="W548" s="306" t="s">
        <v>1013</v>
      </c>
      <c r="X548" s="306" t="s">
        <v>1013</v>
      </c>
      <c r="Y548" s="306" t="s">
        <v>1013</v>
      </c>
      <c r="Z548" s="306" t="s">
        <v>1015</v>
      </c>
      <c r="AA548" s="306" t="s">
        <v>1013</v>
      </c>
    </row>
    <row r="549" spans="1:27" hidden="1">
      <c r="A549" s="306" t="s">
        <v>494</v>
      </c>
      <c r="B549" s="306" t="s">
        <v>1003</v>
      </c>
      <c r="C549" s="306" t="s">
        <v>1004</v>
      </c>
      <c r="D549" s="306" t="s">
        <v>1818</v>
      </c>
      <c r="E549" s="306" t="s">
        <v>2133</v>
      </c>
      <c r="F549" s="306" t="s">
        <v>1007</v>
      </c>
      <c r="G549" s="308">
        <v>46022</v>
      </c>
      <c r="H549" s="308">
        <v>46022</v>
      </c>
      <c r="I549" s="309">
        <v>-47786.02</v>
      </c>
      <c r="J549" s="306" t="s">
        <v>1008</v>
      </c>
      <c r="K549" s="309">
        <v>-47786.02</v>
      </c>
      <c r="L549" s="306" t="s">
        <v>1008</v>
      </c>
      <c r="M549" s="306" t="s">
        <v>2134</v>
      </c>
      <c r="N549" s="306" t="s">
        <v>2134</v>
      </c>
      <c r="O549" s="306" t="s">
        <v>1822</v>
      </c>
      <c r="P549" s="306" t="s">
        <v>250</v>
      </c>
      <c r="Q549" s="306" t="s">
        <v>1013</v>
      </c>
      <c r="R549" s="306" t="s">
        <v>1013</v>
      </c>
      <c r="S549" s="306" t="s">
        <v>1013</v>
      </c>
      <c r="T549" s="306" t="s">
        <v>1013</v>
      </c>
      <c r="U549" s="306" t="s">
        <v>1013</v>
      </c>
      <c r="V549" s="306" t="s">
        <v>1013</v>
      </c>
      <c r="W549" s="306" t="s">
        <v>1013</v>
      </c>
      <c r="X549" s="306" t="s">
        <v>1013</v>
      </c>
      <c r="Y549" s="306" t="s">
        <v>2135</v>
      </c>
      <c r="Z549" s="306" t="s">
        <v>1015</v>
      </c>
      <c r="AA549" s="306" t="s">
        <v>1013</v>
      </c>
    </row>
    <row r="550" spans="1:27" hidden="1">
      <c r="A550" s="306" t="s">
        <v>494</v>
      </c>
      <c r="B550" s="306" t="s">
        <v>1003</v>
      </c>
      <c r="C550" s="306" t="s">
        <v>1004</v>
      </c>
      <c r="D550" s="306" t="s">
        <v>1818</v>
      </c>
      <c r="E550" s="306" t="s">
        <v>2136</v>
      </c>
      <c r="F550" s="306" t="s">
        <v>1007</v>
      </c>
      <c r="G550" s="308">
        <v>46022</v>
      </c>
      <c r="H550" s="308">
        <v>46022</v>
      </c>
      <c r="I550" s="309">
        <v>-31788.38</v>
      </c>
      <c r="J550" s="306" t="s">
        <v>1008</v>
      </c>
      <c r="K550" s="309">
        <v>-31788.38</v>
      </c>
      <c r="L550" s="306" t="s">
        <v>1008</v>
      </c>
      <c r="M550" s="306" t="s">
        <v>2137</v>
      </c>
      <c r="N550" s="306" t="s">
        <v>259</v>
      </c>
      <c r="O550" s="306" t="s">
        <v>1822</v>
      </c>
      <c r="P550" s="306" t="s">
        <v>188</v>
      </c>
      <c r="Q550" s="306" t="s">
        <v>1013</v>
      </c>
      <c r="R550" s="306" t="s">
        <v>1013</v>
      </c>
      <c r="S550" s="306" t="s">
        <v>1013</v>
      </c>
      <c r="T550" s="306" t="s">
        <v>1013</v>
      </c>
      <c r="U550" s="306" t="s">
        <v>1013</v>
      </c>
      <c r="V550" s="306" t="s">
        <v>1013</v>
      </c>
      <c r="W550" s="306" t="s">
        <v>1013</v>
      </c>
      <c r="X550" s="306" t="s">
        <v>1013</v>
      </c>
      <c r="Y550" s="306" t="s">
        <v>1998</v>
      </c>
      <c r="Z550" s="306" t="s">
        <v>1015</v>
      </c>
      <c r="AA550" s="306" t="s">
        <v>1013</v>
      </c>
    </row>
    <row r="551" spans="1:27" hidden="1">
      <c r="A551" s="306" t="s">
        <v>494</v>
      </c>
      <c r="B551" s="306" t="s">
        <v>1003</v>
      </c>
      <c r="C551" s="306" t="s">
        <v>1004</v>
      </c>
      <c r="D551" s="306" t="s">
        <v>1818</v>
      </c>
      <c r="E551" s="306" t="s">
        <v>2138</v>
      </c>
      <c r="F551" s="306" t="s">
        <v>1007</v>
      </c>
      <c r="G551" s="308">
        <v>46022</v>
      </c>
      <c r="H551" s="308">
        <v>46022</v>
      </c>
      <c r="I551" s="309">
        <v>-65705.72</v>
      </c>
      <c r="J551" s="306" t="s">
        <v>1008</v>
      </c>
      <c r="K551" s="309">
        <v>-65705.72</v>
      </c>
      <c r="L551" s="306" t="s">
        <v>1008</v>
      </c>
      <c r="M551" s="306" t="s">
        <v>2139</v>
      </c>
      <c r="N551" s="306" t="s">
        <v>260</v>
      </c>
      <c r="O551" s="306" t="s">
        <v>1822</v>
      </c>
      <c r="P551" s="306" t="s">
        <v>188</v>
      </c>
      <c r="Q551" s="306" t="s">
        <v>1013</v>
      </c>
      <c r="R551" s="306" t="s">
        <v>1013</v>
      </c>
      <c r="S551" s="306" t="s">
        <v>1013</v>
      </c>
      <c r="T551" s="306" t="s">
        <v>1013</v>
      </c>
      <c r="U551" s="306" t="s">
        <v>1013</v>
      </c>
      <c r="V551" s="306" t="s">
        <v>1013</v>
      </c>
      <c r="W551" s="306" t="s">
        <v>1013</v>
      </c>
      <c r="X551" s="306" t="s">
        <v>1013</v>
      </c>
      <c r="Y551" s="306" t="s">
        <v>1998</v>
      </c>
      <c r="Z551" s="306" t="s">
        <v>1015</v>
      </c>
      <c r="AA551" s="306" t="s">
        <v>1013</v>
      </c>
    </row>
    <row r="552" spans="1:27" hidden="1">
      <c r="A552" s="306" t="s">
        <v>494</v>
      </c>
      <c r="B552" s="306" t="s">
        <v>1003</v>
      </c>
      <c r="C552" s="306" t="s">
        <v>1004</v>
      </c>
      <c r="D552" s="306" t="s">
        <v>1005</v>
      </c>
      <c r="E552" s="306" t="s">
        <v>2140</v>
      </c>
      <c r="F552" s="306" t="s">
        <v>1007</v>
      </c>
      <c r="G552" s="308">
        <v>46022</v>
      </c>
      <c r="H552" s="308">
        <v>46022</v>
      </c>
      <c r="I552" s="309">
        <v>-4795871.5599999996</v>
      </c>
      <c r="J552" s="306" t="s">
        <v>1008</v>
      </c>
      <c r="K552" s="309">
        <v>-4795871.5599999996</v>
      </c>
      <c r="L552" s="306" t="s">
        <v>1008</v>
      </c>
      <c r="M552" s="306" t="s">
        <v>1157</v>
      </c>
      <c r="N552" s="306" t="s">
        <v>1151</v>
      </c>
      <c r="O552" s="306" t="s">
        <v>2141</v>
      </c>
      <c r="P552" s="306" t="s">
        <v>244</v>
      </c>
      <c r="Q552" s="306" t="s">
        <v>1013</v>
      </c>
      <c r="R552" s="306" t="s">
        <v>1013</v>
      </c>
      <c r="S552" s="306" t="s">
        <v>1013</v>
      </c>
      <c r="T552" s="306" t="s">
        <v>1153</v>
      </c>
      <c r="U552" s="306" t="s">
        <v>1013</v>
      </c>
      <c r="V552" s="306" t="s">
        <v>1013</v>
      </c>
      <c r="W552" s="306" t="s">
        <v>1013</v>
      </c>
      <c r="X552" s="306" t="s">
        <v>1013</v>
      </c>
      <c r="Y552" s="306" t="s">
        <v>1153</v>
      </c>
      <c r="Z552" s="306" t="s">
        <v>1015</v>
      </c>
      <c r="AA552" s="306" t="s">
        <v>1013</v>
      </c>
    </row>
    <row r="553" spans="1:27" hidden="1">
      <c r="A553" s="306" t="s">
        <v>494</v>
      </c>
      <c r="B553" s="306" t="s">
        <v>1003</v>
      </c>
      <c r="C553" s="306" t="s">
        <v>1004</v>
      </c>
      <c r="D553" s="306" t="s">
        <v>1005</v>
      </c>
      <c r="E553" s="306" t="s">
        <v>2142</v>
      </c>
      <c r="F553" s="306" t="s">
        <v>1007</v>
      </c>
      <c r="G553" s="308">
        <v>46022</v>
      </c>
      <c r="H553" s="308">
        <v>46022</v>
      </c>
      <c r="I553" s="309">
        <v>-3534839.45</v>
      </c>
      <c r="J553" s="306" t="s">
        <v>1008</v>
      </c>
      <c r="K553" s="309">
        <v>-3534839.45</v>
      </c>
      <c r="L553" s="306" t="s">
        <v>1008</v>
      </c>
      <c r="M553" s="306" t="s">
        <v>1157</v>
      </c>
      <c r="N553" s="306" t="s">
        <v>1151</v>
      </c>
      <c r="O553" s="306" t="s">
        <v>2141</v>
      </c>
      <c r="P553" s="306" t="s">
        <v>244</v>
      </c>
      <c r="Q553" s="306" t="s">
        <v>1013</v>
      </c>
      <c r="R553" s="306" t="s">
        <v>1013</v>
      </c>
      <c r="S553" s="306" t="s">
        <v>1013</v>
      </c>
      <c r="T553" s="306" t="s">
        <v>1153</v>
      </c>
      <c r="U553" s="306" t="s">
        <v>1013</v>
      </c>
      <c r="V553" s="306" t="s">
        <v>1013</v>
      </c>
      <c r="W553" s="306" t="s">
        <v>1013</v>
      </c>
      <c r="X553" s="306" t="s">
        <v>1013</v>
      </c>
      <c r="Y553" s="306" t="s">
        <v>1153</v>
      </c>
      <c r="Z553" s="306" t="s">
        <v>1015</v>
      </c>
      <c r="AA553" s="306" t="s">
        <v>1013</v>
      </c>
    </row>
    <row r="554" spans="1:27" hidden="1">
      <c r="A554" s="306" t="s">
        <v>494</v>
      </c>
      <c r="B554" s="306" t="s">
        <v>1003</v>
      </c>
      <c r="C554" s="306" t="s">
        <v>1004</v>
      </c>
      <c r="D554" s="306" t="s">
        <v>1005</v>
      </c>
      <c r="E554" s="306" t="s">
        <v>2143</v>
      </c>
      <c r="F554" s="306" t="s">
        <v>1007</v>
      </c>
      <c r="G554" s="308">
        <v>46022</v>
      </c>
      <c r="H554" s="308">
        <v>46022</v>
      </c>
      <c r="I554" s="309">
        <v>-2426146.79</v>
      </c>
      <c r="J554" s="306" t="s">
        <v>1008</v>
      </c>
      <c r="K554" s="309">
        <v>-2426146.79</v>
      </c>
      <c r="L554" s="306" t="s">
        <v>1008</v>
      </c>
      <c r="M554" s="306" t="s">
        <v>1157</v>
      </c>
      <c r="N554" s="306" t="s">
        <v>1151</v>
      </c>
      <c r="O554" s="306" t="s">
        <v>2141</v>
      </c>
      <c r="P554" s="306" t="s">
        <v>244</v>
      </c>
      <c r="Q554" s="306" t="s">
        <v>1013</v>
      </c>
      <c r="R554" s="306" t="s">
        <v>1013</v>
      </c>
      <c r="S554" s="306" t="s">
        <v>1013</v>
      </c>
      <c r="T554" s="306" t="s">
        <v>1153</v>
      </c>
      <c r="U554" s="306" t="s">
        <v>1013</v>
      </c>
      <c r="V554" s="306" t="s">
        <v>1013</v>
      </c>
      <c r="W554" s="306" t="s">
        <v>1013</v>
      </c>
      <c r="X554" s="306" t="s">
        <v>1013</v>
      </c>
      <c r="Y554" s="306" t="s">
        <v>1153</v>
      </c>
      <c r="Z554" s="306" t="s">
        <v>1015</v>
      </c>
      <c r="AA554" s="306" t="s">
        <v>1013</v>
      </c>
    </row>
    <row r="555" spans="1:27" hidden="1">
      <c r="A555" s="306" t="s">
        <v>494</v>
      </c>
      <c r="B555" s="306" t="s">
        <v>1003</v>
      </c>
      <c r="C555" s="306" t="s">
        <v>1004</v>
      </c>
      <c r="D555" s="306" t="s">
        <v>1031</v>
      </c>
      <c r="E555" s="306" t="s">
        <v>2144</v>
      </c>
      <c r="F555" s="306" t="s">
        <v>1007</v>
      </c>
      <c r="G555" s="308">
        <v>46022</v>
      </c>
      <c r="H555" s="308">
        <v>46022</v>
      </c>
      <c r="I555" s="309">
        <v>-767909.18</v>
      </c>
      <c r="J555" s="306" t="s">
        <v>1008</v>
      </c>
      <c r="K555" s="309">
        <v>-767909.18</v>
      </c>
      <c r="L555" s="306" t="s">
        <v>1008</v>
      </c>
      <c r="M555" s="306" t="s">
        <v>1150</v>
      </c>
      <c r="N555" s="306" t="s">
        <v>1151</v>
      </c>
      <c r="O555" s="306" t="s">
        <v>2145</v>
      </c>
      <c r="P555" s="306" t="s">
        <v>244</v>
      </c>
      <c r="Q555" s="306" t="s">
        <v>1013</v>
      </c>
      <c r="R555" s="306" t="s">
        <v>1013</v>
      </c>
      <c r="S555" s="306" t="s">
        <v>1013</v>
      </c>
      <c r="T555" s="306" t="s">
        <v>1153</v>
      </c>
      <c r="U555" s="306" t="s">
        <v>1013</v>
      </c>
      <c r="V555" s="306" t="s">
        <v>1013</v>
      </c>
      <c r="W555" s="306" t="s">
        <v>1013</v>
      </c>
      <c r="X555" s="306" t="s">
        <v>1013</v>
      </c>
      <c r="Y555" s="306" t="s">
        <v>1153</v>
      </c>
      <c r="Z555" s="306" t="s">
        <v>1015</v>
      </c>
      <c r="AA555" s="306" t="s">
        <v>1013</v>
      </c>
    </row>
    <row r="556" spans="1:27" hidden="1">
      <c r="A556" s="306" t="s">
        <v>494</v>
      </c>
      <c r="B556" s="306" t="s">
        <v>1003</v>
      </c>
      <c r="C556" s="306" t="s">
        <v>1004</v>
      </c>
      <c r="D556" s="306" t="s">
        <v>1031</v>
      </c>
      <c r="E556" s="306" t="s">
        <v>2146</v>
      </c>
      <c r="F556" s="306" t="s">
        <v>1007</v>
      </c>
      <c r="G556" s="308">
        <v>46022</v>
      </c>
      <c r="H556" s="308">
        <v>46022</v>
      </c>
      <c r="I556" s="309">
        <v>-42797.61</v>
      </c>
      <c r="J556" s="306" t="s">
        <v>1008</v>
      </c>
      <c r="K556" s="309">
        <v>-42797.61</v>
      </c>
      <c r="L556" s="306" t="s">
        <v>1008</v>
      </c>
      <c r="M556" s="306" t="s">
        <v>1150</v>
      </c>
      <c r="N556" s="306" t="s">
        <v>1151</v>
      </c>
      <c r="O556" s="306" t="s">
        <v>2147</v>
      </c>
      <c r="P556" s="306" t="s">
        <v>244</v>
      </c>
      <c r="Q556" s="306" t="s">
        <v>1013</v>
      </c>
      <c r="R556" s="306" t="s">
        <v>1013</v>
      </c>
      <c r="S556" s="306" t="s">
        <v>1013</v>
      </c>
      <c r="T556" s="306" t="s">
        <v>1153</v>
      </c>
      <c r="U556" s="306" t="s">
        <v>1013</v>
      </c>
      <c r="V556" s="306" t="s">
        <v>1013</v>
      </c>
      <c r="W556" s="306" t="s">
        <v>1013</v>
      </c>
      <c r="X556" s="306" t="s">
        <v>1013</v>
      </c>
      <c r="Y556" s="306" t="s">
        <v>1153</v>
      </c>
      <c r="Z556" s="306" t="s">
        <v>1015</v>
      </c>
      <c r="AA556" s="306" t="s">
        <v>1013</v>
      </c>
    </row>
    <row r="557" spans="1:27" hidden="1">
      <c r="A557" s="306" t="s">
        <v>494</v>
      </c>
      <c r="B557" s="306" t="s">
        <v>1003</v>
      </c>
      <c r="C557" s="306" t="s">
        <v>1004</v>
      </c>
      <c r="D557" s="306" t="s">
        <v>1031</v>
      </c>
      <c r="E557" s="306" t="s">
        <v>2148</v>
      </c>
      <c r="F557" s="306" t="s">
        <v>1007</v>
      </c>
      <c r="G557" s="308">
        <v>46022</v>
      </c>
      <c r="H557" s="308">
        <v>46022</v>
      </c>
      <c r="I557" s="309">
        <v>-317296.46000000002</v>
      </c>
      <c r="J557" s="306" t="s">
        <v>1008</v>
      </c>
      <c r="K557" s="309">
        <v>-317296.46000000002</v>
      </c>
      <c r="L557" s="306" t="s">
        <v>1008</v>
      </c>
      <c r="M557" s="306" t="s">
        <v>1150</v>
      </c>
      <c r="N557" s="306" t="s">
        <v>1151</v>
      </c>
      <c r="O557" s="306" t="s">
        <v>2149</v>
      </c>
      <c r="P557" s="306" t="s">
        <v>244</v>
      </c>
      <c r="Q557" s="306" t="s">
        <v>1013</v>
      </c>
      <c r="R557" s="306" t="s">
        <v>1013</v>
      </c>
      <c r="S557" s="306" t="s">
        <v>1013</v>
      </c>
      <c r="T557" s="306" t="s">
        <v>1153</v>
      </c>
      <c r="U557" s="306" t="s">
        <v>1013</v>
      </c>
      <c r="V557" s="306" t="s">
        <v>1013</v>
      </c>
      <c r="W557" s="306" t="s">
        <v>1013</v>
      </c>
      <c r="X557" s="306" t="s">
        <v>1013</v>
      </c>
      <c r="Y557" s="306" t="s">
        <v>1153</v>
      </c>
      <c r="Z557" s="306" t="s">
        <v>1015</v>
      </c>
      <c r="AA557" s="306" t="s">
        <v>1013</v>
      </c>
    </row>
    <row r="558" spans="1:27" hidden="1">
      <c r="A558" s="306" t="s">
        <v>494</v>
      </c>
      <c r="B558" s="306" t="s">
        <v>1003</v>
      </c>
      <c r="C558" s="306" t="s">
        <v>1004</v>
      </c>
      <c r="D558" s="306" t="s">
        <v>1019</v>
      </c>
      <c r="E558" s="306" t="s">
        <v>2150</v>
      </c>
      <c r="F558" s="306" t="s">
        <v>1007</v>
      </c>
      <c r="G558" s="308">
        <v>46022</v>
      </c>
      <c r="H558" s="308">
        <v>46022</v>
      </c>
      <c r="I558" s="309">
        <v>-47958.71</v>
      </c>
      <c r="J558" s="306" t="s">
        <v>1008</v>
      </c>
      <c r="K558" s="309">
        <v>-47958.71</v>
      </c>
      <c r="L558" s="306" t="s">
        <v>1008</v>
      </c>
      <c r="M558" s="306" t="s">
        <v>1168</v>
      </c>
      <c r="N558" s="306" t="s">
        <v>1151</v>
      </c>
      <c r="O558" s="306" t="s">
        <v>2151</v>
      </c>
      <c r="P558" s="306" t="s">
        <v>244</v>
      </c>
      <c r="Q558" s="306" t="s">
        <v>1013</v>
      </c>
      <c r="R558" s="306" t="s">
        <v>1013</v>
      </c>
      <c r="S558" s="306" t="s">
        <v>1013</v>
      </c>
      <c r="T558" s="306" t="s">
        <v>1153</v>
      </c>
      <c r="U558" s="306" t="s">
        <v>1013</v>
      </c>
      <c r="V558" s="306" t="s">
        <v>1013</v>
      </c>
      <c r="W558" s="306" t="s">
        <v>1013</v>
      </c>
      <c r="X558" s="306" t="s">
        <v>1013</v>
      </c>
      <c r="Y558" s="306" t="s">
        <v>1153</v>
      </c>
      <c r="Z558" s="306" t="s">
        <v>1015</v>
      </c>
      <c r="AA558" s="306" t="s">
        <v>1013</v>
      </c>
    </row>
    <row r="559" spans="1:27" hidden="1">
      <c r="A559" s="306" t="s">
        <v>494</v>
      </c>
      <c r="B559" s="306" t="s">
        <v>1003</v>
      </c>
      <c r="C559" s="306" t="s">
        <v>1004</v>
      </c>
      <c r="D559" s="306" t="s">
        <v>1031</v>
      </c>
      <c r="E559" s="306" t="s">
        <v>2152</v>
      </c>
      <c r="F559" s="306" t="s">
        <v>1007</v>
      </c>
      <c r="G559" s="308">
        <v>46022</v>
      </c>
      <c r="H559" s="308">
        <v>46022</v>
      </c>
      <c r="I559" s="309">
        <v>-1696338.88</v>
      </c>
      <c r="J559" s="306" t="s">
        <v>1008</v>
      </c>
      <c r="K559" s="309">
        <v>-1696338.88</v>
      </c>
      <c r="L559" s="306" t="s">
        <v>1008</v>
      </c>
      <c r="M559" s="306" t="s">
        <v>1150</v>
      </c>
      <c r="N559" s="306" t="s">
        <v>1151</v>
      </c>
      <c r="O559" s="306" t="s">
        <v>2153</v>
      </c>
      <c r="P559" s="306" t="s">
        <v>244</v>
      </c>
      <c r="Q559" s="306" t="s">
        <v>1013</v>
      </c>
      <c r="R559" s="306" t="s">
        <v>1013</v>
      </c>
      <c r="S559" s="306" t="s">
        <v>1013</v>
      </c>
      <c r="T559" s="306" t="s">
        <v>1153</v>
      </c>
      <c r="U559" s="306" t="s">
        <v>1013</v>
      </c>
      <c r="V559" s="306" t="s">
        <v>1013</v>
      </c>
      <c r="W559" s="306" t="s">
        <v>1013</v>
      </c>
      <c r="X559" s="306" t="s">
        <v>1013</v>
      </c>
      <c r="Y559" s="306" t="s">
        <v>1153</v>
      </c>
      <c r="Z559" s="306" t="s">
        <v>1015</v>
      </c>
      <c r="AA559" s="306" t="s">
        <v>1013</v>
      </c>
    </row>
    <row r="560" spans="1:27" hidden="1">
      <c r="A560" s="306" t="s">
        <v>494</v>
      </c>
      <c r="B560" s="306" t="s">
        <v>1003</v>
      </c>
      <c r="C560" s="306" t="s">
        <v>1004</v>
      </c>
      <c r="D560" s="306" t="s">
        <v>1031</v>
      </c>
      <c r="E560" s="306" t="s">
        <v>2154</v>
      </c>
      <c r="F560" s="306" t="s">
        <v>1007</v>
      </c>
      <c r="G560" s="308">
        <v>46022</v>
      </c>
      <c r="H560" s="308">
        <v>46022</v>
      </c>
      <c r="I560" s="309">
        <v>-313486.73</v>
      </c>
      <c r="J560" s="306" t="s">
        <v>1008</v>
      </c>
      <c r="K560" s="309">
        <v>-313486.73</v>
      </c>
      <c r="L560" s="306" t="s">
        <v>1008</v>
      </c>
      <c r="M560" s="306" t="s">
        <v>1150</v>
      </c>
      <c r="N560" s="306" t="s">
        <v>1151</v>
      </c>
      <c r="O560" s="306" t="s">
        <v>2155</v>
      </c>
      <c r="P560" s="306" t="s">
        <v>244</v>
      </c>
      <c r="Q560" s="306" t="s">
        <v>1013</v>
      </c>
      <c r="R560" s="306" t="s">
        <v>1013</v>
      </c>
      <c r="S560" s="306" t="s">
        <v>1013</v>
      </c>
      <c r="T560" s="306" t="s">
        <v>1153</v>
      </c>
      <c r="U560" s="306" t="s">
        <v>1013</v>
      </c>
      <c r="V560" s="306" t="s">
        <v>1013</v>
      </c>
      <c r="W560" s="306" t="s">
        <v>1013</v>
      </c>
      <c r="X560" s="306" t="s">
        <v>1013</v>
      </c>
      <c r="Y560" s="306" t="s">
        <v>1153</v>
      </c>
      <c r="Z560" s="306" t="s">
        <v>1015</v>
      </c>
      <c r="AA560" s="306" t="s">
        <v>1013</v>
      </c>
    </row>
    <row r="561" spans="1:27" hidden="1">
      <c r="A561" s="306" t="s">
        <v>494</v>
      </c>
      <c r="B561" s="306" t="s">
        <v>1003</v>
      </c>
      <c r="C561" s="306" t="s">
        <v>1004</v>
      </c>
      <c r="D561" s="306" t="s">
        <v>1031</v>
      </c>
      <c r="E561" s="306" t="s">
        <v>2156</v>
      </c>
      <c r="F561" s="306" t="s">
        <v>1007</v>
      </c>
      <c r="G561" s="308">
        <v>46022</v>
      </c>
      <c r="H561" s="308">
        <v>46022</v>
      </c>
      <c r="I561" s="309">
        <v>-42737.38</v>
      </c>
      <c r="J561" s="306" t="s">
        <v>1008</v>
      </c>
      <c r="K561" s="309">
        <v>-42737.38</v>
      </c>
      <c r="L561" s="306" t="s">
        <v>1008</v>
      </c>
      <c r="M561" s="306" t="s">
        <v>1150</v>
      </c>
      <c r="N561" s="306" t="s">
        <v>1151</v>
      </c>
      <c r="O561" s="306" t="s">
        <v>2157</v>
      </c>
      <c r="P561" s="306" t="s">
        <v>244</v>
      </c>
      <c r="Q561" s="306" t="s">
        <v>1013</v>
      </c>
      <c r="R561" s="306" t="s">
        <v>1013</v>
      </c>
      <c r="S561" s="306" t="s">
        <v>1013</v>
      </c>
      <c r="T561" s="306" t="s">
        <v>1153</v>
      </c>
      <c r="U561" s="306" t="s">
        <v>1013</v>
      </c>
      <c r="V561" s="306" t="s">
        <v>1013</v>
      </c>
      <c r="W561" s="306" t="s">
        <v>1013</v>
      </c>
      <c r="X561" s="306" t="s">
        <v>1013</v>
      </c>
      <c r="Y561" s="306" t="s">
        <v>1153</v>
      </c>
      <c r="Z561" s="306" t="s">
        <v>1015</v>
      </c>
      <c r="AA561" s="306" t="s">
        <v>1013</v>
      </c>
    </row>
    <row r="562" spans="1:27" hidden="1">
      <c r="A562" s="306" t="s">
        <v>494</v>
      </c>
      <c r="B562" s="306" t="s">
        <v>1003</v>
      </c>
      <c r="C562" s="306" t="s">
        <v>1004</v>
      </c>
      <c r="D562" s="306" t="s">
        <v>1031</v>
      </c>
      <c r="E562" s="306" t="s">
        <v>2158</v>
      </c>
      <c r="F562" s="306" t="s">
        <v>1007</v>
      </c>
      <c r="G562" s="308">
        <v>46022</v>
      </c>
      <c r="H562" s="308">
        <v>46022</v>
      </c>
      <c r="I562" s="309">
        <v>-28654.639999999999</v>
      </c>
      <c r="J562" s="306" t="s">
        <v>1008</v>
      </c>
      <c r="K562" s="309">
        <v>-28654.639999999999</v>
      </c>
      <c r="L562" s="306" t="s">
        <v>1008</v>
      </c>
      <c r="M562" s="306" t="s">
        <v>1150</v>
      </c>
      <c r="N562" s="306" t="s">
        <v>1151</v>
      </c>
      <c r="O562" s="306" t="s">
        <v>2159</v>
      </c>
      <c r="P562" s="306" t="s">
        <v>244</v>
      </c>
      <c r="Q562" s="306" t="s">
        <v>1013</v>
      </c>
      <c r="R562" s="306" t="s">
        <v>1013</v>
      </c>
      <c r="S562" s="306" t="s">
        <v>1013</v>
      </c>
      <c r="T562" s="306" t="s">
        <v>1153</v>
      </c>
      <c r="U562" s="306" t="s">
        <v>1013</v>
      </c>
      <c r="V562" s="306" t="s">
        <v>1013</v>
      </c>
      <c r="W562" s="306" t="s">
        <v>1013</v>
      </c>
      <c r="X562" s="306" t="s">
        <v>1013</v>
      </c>
      <c r="Y562" s="306" t="s">
        <v>1153</v>
      </c>
      <c r="Z562" s="306" t="s">
        <v>1015</v>
      </c>
      <c r="AA562" s="306" t="s">
        <v>1013</v>
      </c>
    </row>
    <row r="563" spans="1:27" hidden="1">
      <c r="A563" s="306" t="s">
        <v>494</v>
      </c>
      <c r="B563" s="306" t="s">
        <v>1003</v>
      </c>
      <c r="C563" s="306" t="s">
        <v>1004</v>
      </c>
      <c r="D563" s="306" t="s">
        <v>1031</v>
      </c>
      <c r="E563" s="306" t="s">
        <v>2160</v>
      </c>
      <c r="F563" s="306" t="s">
        <v>1007</v>
      </c>
      <c r="G563" s="308">
        <v>46022</v>
      </c>
      <c r="H563" s="308">
        <v>46022</v>
      </c>
      <c r="I563" s="309">
        <v>-69842.509999999995</v>
      </c>
      <c r="J563" s="306" t="s">
        <v>1008</v>
      </c>
      <c r="K563" s="309">
        <v>-69842.509999999995</v>
      </c>
      <c r="L563" s="306" t="s">
        <v>1008</v>
      </c>
      <c r="M563" s="306" t="s">
        <v>1150</v>
      </c>
      <c r="N563" s="306" t="s">
        <v>1151</v>
      </c>
      <c r="O563" s="306" t="s">
        <v>2161</v>
      </c>
      <c r="P563" s="306" t="s">
        <v>244</v>
      </c>
      <c r="Q563" s="306" t="s">
        <v>1013</v>
      </c>
      <c r="R563" s="306" t="s">
        <v>1013</v>
      </c>
      <c r="S563" s="306" t="s">
        <v>1013</v>
      </c>
      <c r="T563" s="306" t="s">
        <v>1153</v>
      </c>
      <c r="U563" s="306" t="s">
        <v>1013</v>
      </c>
      <c r="V563" s="306" t="s">
        <v>1013</v>
      </c>
      <c r="W563" s="306" t="s">
        <v>1013</v>
      </c>
      <c r="X563" s="306" t="s">
        <v>1013</v>
      </c>
      <c r="Y563" s="306" t="s">
        <v>1153</v>
      </c>
      <c r="Z563" s="306" t="s">
        <v>1015</v>
      </c>
      <c r="AA563" s="306" t="s">
        <v>1013</v>
      </c>
    </row>
    <row r="564" spans="1:27" hidden="1">
      <c r="A564" s="306" t="s">
        <v>494</v>
      </c>
      <c r="B564" s="306" t="s">
        <v>1003</v>
      </c>
      <c r="C564" s="306" t="s">
        <v>1004</v>
      </c>
      <c r="D564" s="306" t="s">
        <v>1019</v>
      </c>
      <c r="E564" s="306" t="s">
        <v>2162</v>
      </c>
      <c r="F564" s="306" t="s">
        <v>1007</v>
      </c>
      <c r="G564" s="308">
        <v>46022</v>
      </c>
      <c r="H564" s="308">
        <v>46022</v>
      </c>
      <c r="I564" s="309">
        <v>-19504.86</v>
      </c>
      <c r="J564" s="306" t="s">
        <v>1008</v>
      </c>
      <c r="K564" s="309">
        <v>-19504.86</v>
      </c>
      <c r="L564" s="306" t="s">
        <v>1008</v>
      </c>
      <c r="M564" s="306" t="s">
        <v>1168</v>
      </c>
      <c r="N564" s="306" t="s">
        <v>1151</v>
      </c>
      <c r="O564" s="306" t="s">
        <v>2163</v>
      </c>
      <c r="P564" s="306" t="s">
        <v>244</v>
      </c>
      <c r="Q564" s="306" t="s">
        <v>1013</v>
      </c>
      <c r="R564" s="306" t="s">
        <v>1013</v>
      </c>
      <c r="S564" s="306" t="s">
        <v>1013</v>
      </c>
      <c r="T564" s="306" t="s">
        <v>1153</v>
      </c>
      <c r="U564" s="306" t="s">
        <v>1013</v>
      </c>
      <c r="V564" s="306" t="s">
        <v>1013</v>
      </c>
      <c r="W564" s="306" t="s">
        <v>1013</v>
      </c>
      <c r="X564" s="306" t="s">
        <v>1013</v>
      </c>
      <c r="Y564" s="306" t="s">
        <v>1153</v>
      </c>
      <c r="Z564" s="306" t="s">
        <v>1015</v>
      </c>
      <c r="AA564" s="306" t="s">
        <v>1013</v>
      </c>
    </row>
    <row r="565" spans="1:27" hidden="1">
      <c r="A565" s="306" t="s">
        <v>494</v>
      </c>
      <c r="B565" s="306" t="s">
        <v>1003</v>
      </c>
      <c r="C565" s="306" t="s">
        <v>1004</v>
      </c>
      <c r="D565" s="306" t="s">
        <v>1031</v>
      </c>
      <c r="E565" s="306" t="s">
        <v>2164</v>
      </c>
      <c r="F565" s="306" t="s">
        <v>1007</v>
      </c>
      <c r="G565" s="308">
        <v>46022</v>
      </c>
      <c r="H565" s="308">
        <v>46022</v>
      </c>
      <c r="I565" s="309">
        <v>-495857</v>
      </c>
      <c r="J565" s="306" t="s">
        <v>1008</v>
      </c>
      <c r="K565" s="309">
        <v>-495857</v>
      </c>
      <c r="L565" s="306" t="s">
        <v>1008</v>
      </c>
      <c r="M565" s="306" t="s">
        <v>1150</v>
      </c>
      <c r="N565" s="306" t="s">
        <v>1151</v>
      </c>
      <c r="O565" s="306" t="s">
        <v>2165</v>
      </c>
      <c r="P565" s="306" t="s">
        <v>244</v>
      </c>
      <c r="Q565" s="306" t="s">
        <v>1013</v>
      </c>
      <c r="R565" s="306" t="s">
        <v>1013</v>
      </c>
      <c r="S565" s="306" t="s">
        <v>1013</v>
      </c>
      <c r="T565" s="306" t="s">
        <v>1153</v>
      </c>
      <c r="U565" s="306" t="s">
        <v>1013</v>
      </c>
      <c r="V565" s="306" t="s">
        <v>1013</v>
      </c>
      <c r="W565" s="306" t="s">
        <v>1013</v>
      </c>
      <c r="X565" s="306" t="s">
        <v>1013</v>
      </c>
      <c r="Y565" s="306" t="s">
        <v>1153</v>
      </c>
      <c r="Z565" s="306" t="s">
        <v>1015</v>
      </c>
      <c r="AA565" s="306" t="s">
        <v>1013</v>
      </c>
    </row>
    <row r="566" spans="1:27" hidden="1">
      <c r="A566" s="306" t="s">
        <v>494</v>
      </c>
      <c r="B566" s="306" t="s">
        <v>1003</v>
      </c>
      <c r="C566" s="306" t="s">
        <v>1004</v>
      </c>
      <c r="D566" s="306" t="s">
        <v>1031</v>
      </c>
      <c r="E566" s="306" t="s">
        <v>2166</v>
      </c>
      <c r="F566" s="306" t="s">
        <v>1007</v>
      </c>
      <c r="G566" s="308">
        <v>46022</v>
      </c>
      <c r="H566" s="308">
        <v>46022</v>
      </c>
      <c r="I566" s="309">
        <v>-795580.11</v>
      </c>
      <c r="J566" s="306" t="s">
        <v>1008</v>
      </c>
      <c r="K566" s="309">
        <v>-795580.11</v>
      </c>
      <c r="L566" s="306" t="s">
        <v>1008</v>
      </c>
      <c r="M566" s="306" t="s">
        <v>1150</v>
      </c>
      <c r="N566" s="306" t="s">
        <v>1151</v>
      </c>
      <c r="O566" s="306" t="s">
        <v>2167</v>
      </c>
      <c r="P566" s="306" t="s">
        <v>244</v>
      </c>
      <c r="Q566" s="306" t="s">
        <v>1013</v>
      </c>
      <c r="R566" s="306" t="s">
        <v>1013</v>
      </c>
      <c r="S566" s="306" t="s">
        <v>1013</v>
      </c>
      <c r="T566" s="306" t="s">
        <v>1153</v>
      </c>
      <c r="U566" s="306" t="s">
        <v>1013</v>
      </c>
      <c r="V566" s="306" t="s">
        <v>1013</v>
      </c>
      <c r="W566" s="306" t="s">
        <v>1013</v>
      </c>
      <c r="X566" s="306" t="s">
        <v>1013</v>
      </c>
      <c r="Y566" s="306" t="s">
        <v>1153</v>
      </c>
      <c r="Z566" s="306" t="s">
        <v>1015</v>
      </c>
      <c r="AA566" s="306" t="s">
        <v>1013</v>
      </c>
    </row>
    <row r="567" spans="1:27" hidden="1">
      <c r="A567" s="306" t="s">
        <v>494</v>
      </c>
      <c r="B567" s="306" t="s">
        <v>1003</v>
      </c>
      <c r="C567" s="306" t="s">
        <v>1004</v>
      </c>
      <c r="D567" s="306" t="s">
        <v>1005</v>
      </c>
      <c r="E567" s="306" t="s">
        <v>2168</v>
      </c>
      <c r="F567" s="306" t="s">
        <v>1007</v>
      </c>
      <c r="G567" s="308">
        <v>46022</v>
      </c>
      <c r="H567" s="308">
        <v>46022</v>
      </c>
      <c r="I567" s="309">
        <v>-6278962.75</v>
      </c>
      <c r="J567" s="306" t="s">
        <v>1008</v>
      </c>
      <c r="K567" s="309">
        <v>-6278962.75</v>
      </c>
      <c r="L567" s="306" t="s">
        <v>1008</v>
      </c>
      <c r="M567" s="306" t="s">
        <v>1157</v>
      </c>
      <c r="N567" s="306" t="s">
        <v>1151</v>
      </c>
      <c r="O567" s="306" t="s">
        <v>2169</v>
      </c>
      <c r="P567" s="306" t="s">
        <v>244</v>
      </c>
      <c r="Q567" s="306" t="s">
        <v>1013</v>
      </c>
      <c r="R567" s="306" t="s">
        <v>1013</v>
      </c>
      <c r="S567" s="306" t="s">
        <v>1013</v>
      </c>
      <c r="T567" s="306" t="s">
        <v>1153</v>
      </c>
      <c r="U567" s="306" t="s">
        <v>1013</v>
      </c>
      <c r="V567" s="306" t="s">
        <v>1013</v>
      </c>
      <c r="W567" s="306" t="s">
        <v>1013</v>
      </c>
      <c r="X567" s="306" t="s">
        <v>1013</v>
      </c>
      <c r="Y567" s="306" t="s">
        <v>1153</v>
      </c>
      <c r="Z567" s="306" t="s">
        <v>1015</v>
      </c>
      <c r="AA567" s="306" t="s">
        <v>1013</v>
      </c>
    </row>
    <row r="568" spans="1:27" hidden="1">
      <c r="A568" s="306" t="s">
        <v>494</v>
      </c>
      <c r="B568" s="306" t="s">
        <v>1003</v>
      </c>
      <c r="C568" s="306" t="s">
        <v>1004</v>
      </c>
      <c r="D568" s="306" t="s">
        <v>1019</v>
      </c>
      <c r="E568" s="306" t="s">
        <v>2170</v>
      </c>
      <c r="F568" s="306" t="s">
        <v>1007</v>
      </c>
      <c r="G568" s="308">
        <v>46022</v>
      </c>
      <c r="H568" s="308">
        <v>46022</v>
      </c>
      <c r="I568" s="309">
        <v>-4654260.53</v>
      </c>
      <c r="J568" s="306" t="s">
        <v>1008</v>
      </c>
      <c r="K568" s="309">
        <v>-4654260.53</v>
      </c>
      <c r="L568" s="306" t="s">
        <v>1008</v>
      </c>
      <c r="M568" s="306" t="s">
        <v>1168</v>
      </c>
      <c r="N568" s="306" t="s">
        <v>1151</v>
      </c>
      <c r="O568" s="306" t="s">
        <v>2171</v>
      </c>
      <c r="P568" s="306" t="s">
        <v>244</v>
      </c>
      <c r="Q568" s="306" t="s">
        <v>1013</v>
      </c>
      <c r="R568" s="306" t="s">
        <v>1013</v>
      </c>
      <c r="S568" s="306" t="s">
        <v>1013</v>
      </c>
      <c r="T568" s="306" t="s">
        <v>1153</v>
      </c>
      <c r="U568" s="306" t="s">
        <v>1013</v>
      </c>
      <c r="V568" s="306" t="s">
        <v>1013</v>
      </c>
      <c r="W568" s="306" t="s">
        <v>1013</v>
      </c>
      <c r="X568" s="306" t="s">
        <v>1013</v>
      </c>
      <c r="Y568" s="306" t="s">
        <v>1153</v>
      </c>
      <c r="Z568" s="306" t="s">
        <v>1015</v>
      </c>
      <c r="AA568" s="306" t="s">
        <v>1013</v>
      </c>
    </row>
    <row r="569" spans="1:27" hidden="1">
      <c r="A569" s="306" t="s">
        <v>494</v>
      </c>
      <c r="B569" s="306" t="s">
        <v>1003</v>
      </c>
      <c r="C569" s="306" t="s">
        <v>1004</v>
      </c>
      <c r="D569" s="306" t="s">
        <v>1019</v>
      </c>
      <c r="E569" s="306" t="s">
        <v>2172</v>
      </c>
      <c r="F569" s="306" t="s">
        <v>1007</v>
      </c>
      <c r="G569" s="308">
        <v>46022</v>
      </c>
      <c r="H569" s="308">
        <v>46022</v>
      </c>
      <c r="I569" s="309">
        <v>-11557.98</v>
      </c>
      <c r="J569" s="306" t="s">
        <v>1008</v>
      </c>
      <c r="K569" s="309">
        <v>-11557.98</v>
      </c>
      <c r="L569" s="306" t="s">
        <v>1008</v>
      </c>
      <c r="M569" s="306" t="s">
        <v>1562</v>
      </c>
      <c r="N569" s="306" t="s">
        <v>1535</v>
      </c>
      <c r="O569" s="306" t="s">
        <v>2173</v>
      </c>
      <c r="P569" s="306" t="s">
        <v>263</v>
      </c>
      <c r="Q569" s="306" t="s">
        <v>1013</v>
      </c>
      <c r="R569" s="306" t="s">
        <v>1013</v>
      </c>
      <c r="S569" s="306" t="s">
        <v>1013</v>
      </c>
      <c r="T569" s="306" t="s">
        <v>1537</v>
      </c>
      <c r="U569" s="306" t="s">
        <v>1013</v>
      </c>
      <c r="V569" s="306" t="s">
        <v>1013</v>
      </c>
      <c r="W569" s="306" t="s">
        <v>1013</v>
      </c>
      <c r="X569" s="306" t="s">
        <v>1013</v>
      </c>
      <c r="Y569" s="306" t="s">
        <v>1537</v>
      </c>
      <c r="Z569" s="306" t="s">
        <v>1015</v>
      </c>
      <c r="AA569" s="306" t="s">
        <v>1013</v>
      </c>
    </row>
    <row r="570" spans="1:27" hidden="1">
      <c r="A570" s="306" t="s">
        <v>494</v>
      </c>
      <c r="B570" s="306" t="s">
        <v>1003</v>
      </c>
      <c r="C570" s="306" t="s">
        <v>1004</v>
      </c>
      <c r="D570" s="306" t="s">
        <v>1005</v>
      </c>
      <c r="E570" s="306" t="s">
        <v>2174</v>
      </c>
      <c r="F570" s="306" t="s">
        <v>1007</v>
      </c>
      <c r="G570" s="308">
        <v>46022</v>
      </c>
      <c r="H570" s="308">
        <v>46022</v>
      </c>
      <c r="I570" s="309">
        <v>6217699.8600000003</v>
      </c>
      <c r="J570" s="306" t="s">
        <v>1008</v>
      </c>
      <c r="K570" s="309">
        <v>6217699.8600000003</v>
      </c>
      <c r="L570" s="306" t="s">
        <v>1008</v>
      </c>
      <c r="M570" s="306" t="s">
        <v>1553</v>
      </c>
      <c r="N570" s="306" t="s">
        <v>1535</v>
      </c>
      <c r="O570" s="306" t="s">
        <v>1556</v>
      </c>
      <c r="P570" s="306" t="s">
        <v>263</v>
      </c>
      <c r="Q570" s="306" t="s">
        <v>1013</v>
      </c>
      <c r="R570" s="306" t="s">
        <v>1013</v>
      </c>
      <c r="S570" s="306" t="s">
        <v>1013</v>
      </c>
      <c r="T570" s="306" t="s">
        <v>1537</v>
      </c>
      <c r="U570" s="306" t="s">
        <v>1013</v>
      </c>
      <c r="V570" s="306" t="s">
        <v>1013</v>
      </c>
      <c r="W570" s="306" t="s">
        <v>1013</v>
      </c>
      <c r="X570" s="306" t="s">
        <v>1013</v>
      </c>
      <c r="Y570" s="306" t="s">
        <v>1537</v>
      </c>
      <c r="Z570" s="306" t="s">
        <v>1015</v>
      </c>
      <c r="AA570" s="306" t="s">
        <v>1013</v>
      </c>
    </row>
    <row r="571" spans="1:27" hidden="1">
      <c r="A571" s="306" t="s">
        <v>494</v>
      </c>
      <c r="B571" s="306" t="s">
        <v>1003</v>
      </c>
      <c r="C571" s="306" t="s">
        <v>1004</v>
      </c>
      <c r="D571" s="306" t="s">
        <v>1031</v>
      </c>
      <c r="E571" s="306" t="s">
        <v>2175</v>
      </c>
      <c r="F571" s="306" t="s">
        <v>1007</v>
      </c>
      <c r="G571" s="308">
        <v>46022</v>
      </c>
      <c r="H571" s="308">
        <v>46022</v>
      </c>
      <c r="I571" s="309">
        <v>-1267235.6299999999</v>
      </c>
      <c r="J571" s="306" t="s">
        <v>1008</v>
      </c>
      <c r="K571" s="309">
        <v>-1267235.6299999999</v>
      </c>
      <c r="L571" s="306" t="s">
        <v>1008</v>
      </c>
      <c r="M571" s="306" t="s">
        <v>1534</v>
      </c>
      <c r="N571" s="306" t="s">
        <v>1535</v>
      </c>
      <c r="O571" s="306" t="s">
        <v>2167</v>
      </c>
      <c r="P571" s="306" t="s">
        <v>263</v>
      </c>
      <c r="Q571" s="306" t="s">
        <v>1013</v>
      </c>
      <c r="R571" s="306" t="s">
        <v>1013</v>
      </c>
      <c r="S571" s="306" t="s">
        <v>1013</v>
      </c>
      <c r="T571" s="306" t="s">
        <v>1537</v>
      </c>
      <c r="U571" s="306" t="s">
        <v>1013</v>
      </c>
      <c r="V571" s="306" t="s">
        <v>1013</v>
      </c>
      <c r="W571" s="306" t="s">
        <v>1013</v>
      </c>
      <c r="X571" s="306" t="s">
        <v>1013</v>
      </c>
      <c r="Y571" s="306" t="s">
        <v>1537</v>
      </c>
      <c r="Z571" s="306" t="s">
        <v>1015</v>
      </c>
      <c r="AA571" s="306" t="s">
        <v>1013</v>
      </c>
    </row>
    <row r="572" spans="1:27" hidden="1">
      <c r="A572" s="306" t="s">
        <v>494</v>
      </c>
      <c r="B572" s="306" t="s">
        <v>1003</v>
      </c>
      <c r="C572" s="306" t="s">
        <v>1004</v>
      </c>
      <c r="D572" s="306" t="s">
        <v>1019</v>
      </c>
      <c r="E572" s="306" t="s">
        <v>2176</v>
      </c>
      <c r="F572" s="306" t="s">
        <v>1007</v>
      </c>
      <c r="G572" s="308">
        <v>46022</v>
      </c>
      <c r="H572" s="308">
        <v>46022</v>
      </c>
      <c r="I572" s="309">
        <v>-4698725.0999999996</v>
      </c>
      <c r="J572" s="306" t="s">
        <v>1008</v>
      </c>
      <c r="K572" s="309">
        <v>-4698725.0999999996</v>
      </c>
      <c r="L572" s="306" t="s">
        <v>1008</v>
      </c>
      <c r="M572" s="306" t="s">
        <v>1562</v>
      </c>
      <c r="N572" s="306" t="s">
        <v>1535</v>
      </c>
      <c r="O572" s="306" t="s">
        <v>2171</v>
      </c>
      <c r="P572" s="306" t="s">
        <v>263</v>
      </c>
      <c r="Q572" s="306" t="s">
        <v>1013</v>
      </c>
      <c r="R572" s="306" t="s">
        <v>1013</v>
      </c>
      <c r="S572" s="306" t="s">
        <v>1013</v>
      </c>
      <c r="T572" s="306" t="s">
        <v>1537</v>
      </c>
      <c r="U572" s="306" t="s">
        <v>1013</v>
      </c>
      <c r="V572" s="306" t="s">
        <v>1013</v>
      </c>
      <c r="W572" s="306" t="s">
        <v>1013</v>
      </c>
      <c r="X572" s="306" t="s">
        <v>1013</v>
      </c>
      <c r="Y572" s="306" t="s">
        <v>1537</v>
      </c>
      <c r="Z572" s="306" t="s">
        <v>1015</v>
      </c>
      <c r="AA572" s="306" t="s">
        <v>1013</v>
      </c>
    </row>
    <row r="573" spans="1:27" hidden="1">
      <c r="A573" s="306" t="s">
        <v>494</v>
      </c>
      <c r="B573" s="306" t="s">
        <v>1003</v>
      </c>
      <c r="C573" s="306" t="s">
        <v>1004</v>
      </c>
      <c r="D573" s="306" t="s">
        <v>1019</v>
      </c>
      <c r="E573" s="306" t="s">
        <v>2177</v>
      </c>
      <c r="F573" s="306" t="s">
        <v>1007</v>
      </c>
      <c r="G573" s="308">
        <v>46022</v>
      </c>
      <c r="H573" s="308">
        <v>46022</v>
      </c>
      <c r="I573" s="309">
        <v>-15582051.85</v>
      </c>
      <c r="J573" s="306" t="s">
        <v>1008</v>
      </c>
      <c r="K573" s="309">
        <v>-15582051.85</v>
      </c>
      <c r="L573" s="306" t="s">
        <v>1008</v>
      </c>
      <c r="M573" s="306" t="s">
        <v>1562</v>
      </c>
      <c r="N573" s="306" t="s">
        <v>1535</v>
      </c>
      <c r="O573" s="306" t="s">
        <v>2178</v>
      </c>
      <c r="P573" s="306" t="s">
        <v>263</v>
      </c>
      <c r="Q573" s="306" t="s">
        <v>1013</v>
      </c>
      <c r="R573" s="306" t="s">
        <v>1013</v>
      </c>
      <c r="S573" s="306" t="s">
        <v>1013</v>
      </c>
      <c r="T573" s="306" t="s">
        <v>1537</v>
      </c>
      <c r="U573" s="306" t="s">
        <v>1013</v>
      </c>
      <c r="V573" s="306" t="s">
        <v>1013</v>
      </c>
      <c r="W573" s="306" t="s">
        <v>1013</v>
      </c>
      <c r="X573" s="306" t="s">
        <v>1013</v>
      </c>
      <c r="Y573" s="306" t="s">
        <v>1537</v>
      </c>
      <c r="Z573" s="306" t="s">
        <v>1015</v>
      </c>
      <c r="AA573" s="306" t="s">
        <v>1013</v>
      </c>
    </row>
    <row r="574" spans="1:27" hidden="1">
      <c r="A574" s="306" t="s">
        <v>494</v>
      </c>
      <c r="B574" s="306" t="s">
        <v>1003</v>
      </c>
      <c r="C574" s="306" t="s">
        <v>1004</v>
      </c>
      <c r="D574" s="306" t="s">
        <v>1031</v>
      </c>
      <c r="E574" s="306" t="s">
        <v>2179</v>
      </c>
      <c r="F574" s="306" t="s">
        <v>1007</v>
      </c>
      <c r="G574" s="308">
        <v>46022</v>
      </c>
      <c r="H574" s="308">
        <v>46022</v>
      </c>
      <c r="I574" s="309">
        <v>-7860119.8499999996</v>
      </c>
      <c r="J574" s="306" t="s">
        <v>1008</v>
      </c>
      <c r="K574" s="309">
        <v>-7860119.8499999996</v>
      </c>
      <c r="L574" s="306" t="s">
        <v>1008</v>
      </c>
      <c r="M574" s="306" t="s">
        <v>1824</v>
      </c>
      <c r="N574" s="306" t="s">
        <v>1825</v>
      </c>
      <c r="O574" s="306" t="s">
        <v>2180</v>
      </c>
      <c r="P574" s="306" t="s">
        <v>270</v>
      </c>
      <c r="Q574" s="306" t="s">
        <v>1013</v>
      </c>
      <c r="R574" s="306" t="s">
        <v>1013</v>
      </c>
      <c r="S574" s="306" t="s">
        <v>1013</v>
      </c>
      <c r="T574" s="306" t="s">
        <v>1812</v>
      </c>
      <c r="U574" s="306" t="s">
        <v>1013</v>
      </c>
      <c r="V574" s="306" t="s">
        <v>1013</v>
      </c>
      <c r="W574" s="306" t="s">
        <v>1013</v>
      </c>
      <c r="X574" s="306" t="s">
        <v>1013</v>
      </c>
      <c r="Y574" s="306" t="s">
        <v>1812</v>
      </c>
      <c r="Z574" s="306" t="s">
        <v>1015</v>
      </c>
      <c r="AA574" s="306" t="s">
        <v>1013</v>
      </c>
    </row>
    <row r="575" spans="1:27" hidden="1">
      <c r="A575" s="306" t="s">
        <v>494</v>
      </c>
      <c r="B575" s="306" t="s">
        <v>1003</v>
      </c>
      <c r="C575" s="306" t="s">
        <v>1004</v>
      </c>
      <c r="D575" s="306" t="s">
        <v>1005</v>
      </c>
      <c r="E575" s="306" t="s">
        <v>2181</v>
      </c>
      <c r="F575" s="306" t="s">
        <v>1007</v>
      </c>
      <c r="G575" s="308">
        <v>46022</v>
      </c>
      <c r="H575" s="308">
        <v>46022</v>
      </c>
      <c r="I575" s="309">
        <v>-142344048.18000001</v>
      </c>
      <c r="J575" s="306" t="s">
        <v>1008</v>
      </c>
      <c r="K575" s="309">
        <v>-142344048.18000001</v>
      </c>
      <c r="L575" s="306" t="s">
        <v>1008</v>
      </c>
      <c r="M575" s="306" t="s">
        <v>1836</v>
      </c>
      <c r="N575" s="306" t="s">
        <v>1837</v>
      </c>
      <c r="O575" s="306" t="s">
        <v>2182</v>
      </c>
      <c r="P575" s="306" t="s">
        <v>270</v>
      </c>
      <c r="Q575" s="306" t="s">
        <v>1013</v>
      </c>
      <c r="R575" s="306" t="s">
        <v>1013</v>
      </c>
      <c r="S575" s="306" t="s">
        <v>1013</v>
      </c>
      <c r="T575" s="306" t="s">
        <v>1812</v>
      </c>
      <c r="U575" s="306" t="s">
        <v>1013</v>
      </c>
      <c r="V575" s="306" t="s">
        <v>1013</v>
      </c>
      <c r="W575" s="306" t="s">
        <v>1013</v>
      </c>
      <c r="X575" s="306" t="s">
        <v>1013</v>
      </c>
      <c r="Y575" s="306" t="s">
        <v>1812</v>
      </c>
      <c r="Z575" s="306" t="s">
        <v>1015</v>
      </c>
      <c r="AA575" s="306" t="s">
        <v>1013</v>
      </c>
    </row>
    <row r="576" spans="1:27" hidden="1">
      <c r="A576" s="306" t="s">
        <v>494</v>
      </c>
      <c r="B576" s="306" t="s">
        <v>1003</v>
      </c>
      <c r="C576" s="306" t="s">
        <v>1004</v>
      </c>
      <c r="D576" s="306" t="s">
        <v>1031</v>
      </c>
      <c r="E576" s="306" t="s">
        <v>2183</v>
      </c>
      <c r="F576" s="306" t="s">
        <v>1007</v>
      </c>
      <c r="G576" s="308">
        <v>46022</v>
      </c>
      <c r="H576" s="308">
        <v>46022</v>
      </c>
      <c r="I576" s="309">
        <v>-850308338.15999997</v>
      </c>
      <c r="J576" s="306" t="s">
        <v>1008</v>
      </c>
      <c r="K576" s="309">
        <v>-850308338.15999997</v>
      </c>
      <c r="L576" s="306" t="s">
        <v>1008</v>
      </c>
      <c r="M576" s="306" t="s">
        <v>1824</v>
      </c>
      <c r="N576" s="306" t="s">
        <v>1825</v>
      </c>
      <c r="O576" s="306" t="s">
        <v>1249</v>
      </c>
      <c r="P576" s="306" t="s">
        <v>270</v>
      </c>
      <c r="Q576" s="306" t="s">
        <v>1013</v>
      </c>
      <c r="R576" s="306" t="s">
        <v>1013</v>
      </c>
      <c r="S576" s="306" t="s">
        <v>1013</v>
      </c>
      <c r="T576" s="306" t="s">
        <v>1812</v>
      </c>
      <c r="U576" s="306" t="s">
        <v>1013</v>
      </c>
      <c r="V576" s="306" t="s">
        <v>1013</v>
      </c>
      <c r="W576" s="306" t="s">
        <v>1013</v>
      </c>
      <c r="X576" s="306" t="s">
        <v>1013</v>
      </c>
      <c r="Y576" s="306" t="s">
        <v>1812</v>
      </c>
      <c r="Z576" s="306" t="s">
        <v>1015</v>
      </c>
      <c r="AA576" s="306" t="s">
        <v>1013</v>
      </c>
    </row>
    <row r="577" spans="1:27" hidden="1">
      <c r="A577" s="306" t="s">
        <v>494</v>
      </c>
      <c r="B577" s="306" t="s">
        <v>1003</v>
      </c>
      <c r="C577" s="306" t="s">
        <v>1004</v>
      </c>
      <c r="D577" s="306" t="s">
        <v>1019</v>
      </c>
      <c r="E577" s="306" t="s">
        <v>2184</v>
      </c>
      <c r="F577" s="306" t="s">
        <v>1007</v>
      </c>
      <c r="G577" s="308">
        <v>46022</v>
      </c>
      <c r="H577" s="308">
        <v>46022</v>
      </c>
      <c r="I577" s="309">
        <v>-59821.78</v>
      </c>
      <c r="J577" s="306" t="s">
        <v>1008</v>
      </c>
      <c r="K577" s="309">
        <v>-59821.78</v>
      </c>
      <c r="L577" s="306" t="s">
        <v>1008</v>
      </c>
      <c r="M577" s="306" t="s">
        <v>2185</v>
      </c>
      <c r="N577" s="306" t="s">
        <v>2185</v>
      </c>
      <c r="O577" s="306" t="s">
        <v>2186</v>
      </c>
      <c r="P577" s="306" t="s">
        <v>222</v>
      </c>
      <c r="Q577" s="306" t="s">
        <v>1013</v>
      </c>
      <c r="R577" s="306" t="s">
        <v>1013</v>
      </c>
      <c r="S577" s="306" t="s">
        <v>1013</v>
      </c>
      <c r="T577" s="306" t="s">
        <v>2187</v>
      </c>
      <c r="U577" s="306" t="s">
        <v>1013</v>
      </c>
      <c r="V577" s="306" t="s">
        <v>1013</v>
      </c>
      <c r="W577" s="306" t="s">
        <v>1013</v>
      </c>
      <c r="X577" s="306" t="s">
        <v>1013</v>
      </c>
      <c r="Y577" s="306" t="s">
        <v>2187</v>
      </c>
      <c r="Z577" s="306" t="s">
        <v>1015</v>
      </c>
      <c r="AA577" s="306" t="s">
        <v>1013</v>
      </c>
    </row>
    <row r="578" spans="1:27" hidden="1">
      <c r="A578" s="306" t="s">
        <v>494</v>
      </c>
      <c r="B578" s="306" t="s">
        <v>1003</v>
      </c>
      <c r="C578" s="306" t="s">
        <v>1004</v>
      </c>
      <c r="D578" s="306" t="s">
        <v>1019</v>
      </c>
      <c r="E578" s="306" t="s">
        <v>2188</v>
      </c>
      <c r="F578" s="306" t="s">
        <v>1007</v>
      </c>
      <c r="G578" s="308">
        <v>46022</v>
      </c>
      <c r="H578" s="308">
        <v>46022</v>
      </c>
      <c r="I578" s="309">
        <v>-3655188.68</v>
      </c>
      <c r="J578" s="306" t="s">
        <v>1008</v>
      </c>
      <c r="K578" s="309">
        <v>-3655188.68</v>
      </c>
      <c r="L578" s="306" t="s">
        <v>1008</v>
      </c>
      <c r="M578" s="306" t="s">
        <v>2189</v>
      </c>
      <c r="N578" s="306" t="s">
        <v>2189</v>
      </c>
      <c r="O578" s="306" t="s">
        <v>2190</v>
      </c>
      <c r="P578" s="306" t="s">
        <v>222</v>
      </c>
      <c r="Q578" s="306" t="s">
        <v>1013</v>
      </c>
      <c r="R578" s="306" t="s">
        <v>1013</v>
      </c>
      <c r="S578" s="306" t="s">
        <v>1013</v>
      </c>
      <c r="T578" s="306" t="s">
        <v>2187</v>
      </c>
      <c r="U578" s="306" t="s">
        <v>1013</v>
      </c>
      <c r="V578" s="306" t="s">
        <v>1013</v>
      </c>
      <c r="W578" s="306" t="s">
        <v>1013</v>
      </c>
      <c r="X578" s="306" t="s">
        <v>1013</v>
      </c>
      <c r="Y578" s="306" t="s">
        <v>2187</v>
      </c>
      <c r="Z578" s="306" t="s">
        <v>1015</v>
      </c>
      <c r="AA578" s="306" t="s">
        <v>1013</v>
      </c>
    </row>
    <row r="579" spans="1:27" hidden="1">
      <c r="A579" s="306" t="s">
        <v>494</v>
      </c>
      <c r="B579" s="306" t="s">
        <v>1003</v>
      </c>
      <c r="C579" s="306" t="s">
        <v>1004</v>
      </c>
      <c r="D579" s="306" t="s">
        <v>1019</v>
      </c>
      <c r="E579" s="306" t="s">
        <v>2191</v>
      </c>
      <c r="F579" s="306" t="s">
        <v>1007</v>
      </c>
      <c r="G579" s="308">
        <v>46022</v>
      </c>
      <c r="H579" s="308">
        <v>46022</v>
      </c>
      <c r="I579" s="309">
        <v>-61500</v>
      </c>
      <c r="J579" s="306" t="s">
        <v>1008</v>
      </c>
      <c r="K579" s="309">
        <v>-61500</v>
      </c>
      <c r="L579" s="306" t="s">
        <v>1008</v>
      </c>
      <c r="M579" s="306" t="s">
        <v>2192</v>
      </c>
      <c r="N579" s="306" t="s">
        <v>2192</v>
      </c>
      <c r="O579" s="306" t="s">
        <v>2193</v>
      </c>
      <c r="P579" s="306" t="s">
        <v>222</v>
      </c>
      <c r="Q579" s="306" t="s">
        <v>1013</v>
      </c>
      <c r="R579" s="306" t="s">
        <v>1013</v>
      </c>
      <c r="S579" s="306" t="s">
        <v>1013</v>
      </c>
      <c r="T579" s="306" t="s">
        <v>2187</v>
      </c>
      <c r="U579" s="306" t="s">
        <v>1013</v>
      </c>
      <c r="V579" s="306" t="s">
        <v>1013</v>
      </c>
      <c r="W579" s="306" t="s">
        <v>1013</v>
      </c>
      <c r="X579" s="306" t="s">
        <v>1013</v>
      </c>
      <c r="Y579" s="306" t="s">
        <v>2187</v>
      </c>
      <c r="Z579" s="306" t="s">
        <v>1015</v>
      </c>
      <c r="AA579" s="306" t="s">
        <v>1013</v>
      </c>
    </row>
    <row r="580" spans="1:27" hidden="1">
      <c r="A580" s="306" t="s">
        <v>494</v>
      </c>
      <c r="B580" s="306" t="s">
        <v>1003</v>
      </c>
      <c r="C580" s="306" t="s">
        <v>1004</v>
      </c>
      <c r="D580" s="306" t="s">
        <v>1005</v>
      </c>
      <c r="E580" s="306" t="s">
        <v>2194</v>
      </c>
      <c r="F580" s="306" t="s">
        <v>1007</v>
      </c>
      <c r="G580" s="308">
        <v>46022</v>
      </c>
      <c r="H580" s="308">
        <v>46022</v>
      </c>
      <c r="I580" s="309">
        <v>113944.18</v>
      </c>
      <c r="J580" s="306" t="s">
        <v>1008</v>
      </c>
      <c r="K580" s="309">
        <v>113944.18</v>
      </c>
      <c r="L580" s="306" t="s">
        <v>1008</v>
      </c>
      <c r="M580" s="306" t="s">
        <v>2027</v>
      </c>
      <c r="N580" s="306" t="s">
        <v>2027</v>
      </c>
      <c r="O580" s="306" t="s">
        <v>2195</v>
      </c>
      <c r="P580" s="306" t="s">
        <v>222</v>
      </c>
      <c r="Q580" s="306" t="s">
        <v>1013</v>
      </c>
      <c r="R580" s="306" t="s">
        <v>1013</v>
      </c>
      <c r="S580" s="306" t="s">
        <v>1013</v>
      </c>
      <c r="T580" s="306" t="s">
        <v>1036</v>
      </c>
      <c r="U580" s="306" t="s">
        <v>1013</v>
      </c>
      <c r="V580" s="306" t="s">
        <v>1013</v>
      </c>
      <c r="W580" s="306" t="s">
        <v>1013</v>
      </c>
      <c r="X580" s="306" t="s">
        <v>1013</v>
      </c>
      <c r="Y580" s="306" t="s">
        <v>1036</v>
      </c>
      <c r="Z580" s="306" t="s">
        <v>1015</v>
      </c>
      <c r="AA580" s="306" t="s">
        <v>1013</v>
      </c>
    </row>
    <row r="581" spans="1:27" hidden="1">
      <c r="A581" s="306" t="s">
        <v>494</v>
      </c>
      <c r="B581" s="306" t="s">
        <v>1003</v>
      </c>
      <c r="C581" s="306" t="s">
        <v>1004</v>
      </c>
      <c r="D581" s="306" t="s">
        <v>1005</v>
      </c>
      <c r="E581" s="306" t="s">
        <v>2196</v>
      </c>
      <c r="F581" s="306" t="s">
        <v>1007</v>
      </c>
      <c r="G581" s="308">
        <v>46022</v>
      </c>
      <c r="H581" s="308">
        <v>46022</v>
      </c>
      <c r="I581" s="309">
        <v>-677436.6</v>
      </c>
      <c r="J581" s="306" t="s">
        <v>1008</v>
      </c>
      <c r="K581" s="309">
        <v>-677436.6</v>
      </c>
      <c r="L581" s="306" t="s">
        <v>1008</v>
      </c>
      <c r="M581" s="306" t="s">
        <v>2027</v>
      </c>
      <c r="N581" s="306" t="s">
        <v>2027</v>
      </c>
      <c r="O581" s="306" t="s">
        <v>2197</v>
      </c>
      <c r="P581" s="306" t="s">
        <v>222</v>
      </c>
      <c r="Q581" s="306" t="s">
        <v>1013</v>
      </c>
      <c r="R581" s="306" t="s">
        <v>1013</v>
      </c>
      <c r="S581" s="306" t="s">
        <v>1013</v>
      </c>
      <c r="T581" s="306" t="s">
        <v>1036</v>
      </c>
      <c r="U581" s="306" t="s">
        <v>1013</v>
      </c>
      <c r="V581" s="306" t="s">
        <v>1013</v>
      </c>
      <c r="W581" s="306" t="s">
        <v>1013</v>
      </c>
      <c r="X581" s="306" t="s">
        <v>1013</v>
      </c>
      <c r="Y581" s="306" t="s">
        <v>1036</v>
      </c>
      <c r="Z581" s="306" t="s">
        <v>1015</v>
      </c>
      <c r="AA581" s="306" t="s">
        <v>1013</v>
      </c>
    </row>
    <row r="582" spans="1:27" hidden="1">
      <c r="A582" s="306" t="s">
        <v>494</v>
      </c>
      <c r="B582" s="306" t="s">
        <v>1003</v>
      </c>
      <c r="C582" s="306" t="s">
        <v>1004</v>
      </c>
      <c r="D582" s="306" t="s">
        <v>1019</v>
      </c>
      <c r="E582" s="306" t="s">
        <v>2198</v>
      </c>
      <c r="F582" s="306" t="s">
        <v>1007</v>
      </c>
      <c r="G582" s="308">
        <v>46022</v>
      </c>
      <c r="H582" s="308">
        <v>46022</v>
      </c>
      <c r="I582" s="309">
        <v>-2806179.25</v>
      </c>
      <c r="J582" s="306" t="s">
        <v>1008</v>
      </c>
      <c r="K582" s="309">
        <v>-2806179.25</v>
      </c>
      <c r="L582" s="306" t="s">
        <v>1008</v>
      </c>
      <c r="M582" s="306" t="s">
        <v>2100</v>
      </c>
      <c r="N582" s="306" t="s">
        <v>2100</v>
      </c>
      <c r="O582" s="306" t="s">
        <v>2199</v>
      </c>
      <c r="P582" s="306" t="s">
        <v>222</v>
      </c>
      <c r="Q582" s="306" t="s">
        <v>1013</v>
      </c>
      <c r="R582" s="306" t="s">
        <v>1013</v>
      </c>
      <c r="S582" s="306" t="s">
        <v>1013</v>
      </c>
      <c r="T582" s="306" t="s">
        <v>1036</v>
      </c>
      <c r="U582" s="306" t="s">
        <v>1013</v>
      </c>
      <c r="V582" s="306" t="s">
        <v>1013</v>
      </c>
      <c r="W582" s="306" t="s">
        <v>1013</v>
      </c>
      <c r="X582" s="306" t="s">
        <v>1013</v>
      </c>
      <c r="Y582" s="306" t="s">
        <v>1036</v>
      </c>
      <c r="Z582" s="306" t="s">
        <v>1015</v>
      </c>
      <c r="AA582" s="306" t="s">
        <v>1013</v>
      </c>
    </row>
    <row r="583" spans="1:27" hidden="1">
      <c r="A583" s="306" t="s">
        <v>494</v>
      </c>
      <c r="B583" s="306" t="s">
        <v>1003</v>
      </c>
      <c r="C583" s="306" t="s">
        <v>1004</v>
      </c>
      <c r="D583" s="306" t="s">
        <v>1019</v>
      </c>
      <c r="E583" s="306" t="s">
        <v>2200</v>
      </c>
      <c r="F583" s="306" t="s">
        <v>1007</v>
      </c>
      <c r="G583" s="308">
        <v>46022</v>
      </c>
      <c r="H583" s="308">
        <v>46022</v>
      </c>
      <c r="I583" s="309">
        <v>-97849.44</v>
      </c>
      <c r="J583" s="306" t="s">
        <v>1008</v>
      </c>
      <c r="K583" s="309">
        <v>-97849.44</v>
      </c>
      <c r="L583" s="306" t="s">
        <v>1008</v>
      </c>
      <c r="M583" s="306" t="s">
        <v>2201</v>
      </c>
      <c r="N583" s="306" t="s">
        <v>2201</v>
      </c>
      <c r="O583" s="306" t="s">
        <v>2202</v>
      </c>
      <c r="P583" s="306" t="s">
        <v>222</v>
      </c>
      <c r="Q583" s="306" t="s">
        <v>1013</v>
      </c>
      <c r="R583" s="306" t="s">
        <v>1013</v>
      </c>
      <c r="S583" s="306" t="s">
        <v>1013</v>
      </c>
      <c r="T583" s="306" t="s">
        <v>1036</v>
      </c>
      <c r="U583" s="306" t="s">
        <v>1013</v>
      </c>
      <c r="V583" s="306" t="s">
        <v>1013</v>
      </c>
      <c r="W583" s="306" t="s">
        <v>1013</v>
      </c>
      <c r="X583" s="306" t="s">
        <v>1013</v>
      </c>
      <c r="Y583" s="306" t="s">
        <v>1036</v>
      </c>
      <c r="Z583" s="306" t="s">
        <v>1015</v>
      </c>
      <c r="AA583" s="306" t="s">
        <v>1013</v>
      </c>
    </row>
    <row r="584" spans="1:27" hidden="1">
      <c r="A584" s="306" t="s">
        <v>494</v>
      </c>
      <c r="B584" s="306" t="s">
        <v>1003</v>
      </c>
      <c r="C584" s="306" t="s">
        <v>1004</v>
      </c>
      <c r="D584" s="306" t="s">
        <v>1019</v>
      </c>
      <c r="E584" s="306" t="s">
        <v>2203</v>
      </c>
      <c r="F584" s="306" t="s">
        <v>1007</v>
      </c>
      <c r="G584" s="308">
        <v>46022</v>
      </c>
      <c r="H584" s="308">
        <v>46022</v>
      </c>
      <c r="I584" s="309">
        <v>-95731.13</v>
      </c>
      <c r="J584" s="306" t="s">
        <v>1008</v>
      </c>
      <c r="K584" s="309">
        <v>-95731.13</v>
      </c>
      <c r="L584" s="306" t="s">
        <v>1008</v>
      </c>
      <c r="M584" s="306" t="s">
        <v>2100</v>
      </c>
      <c r="N584" s="306" t="s">
        <v>2100</v>
      </c>
      <c r="O584" s="306" t="s">
        <v>2204</v>
      </c>
      <c r="P584" s="306" t="s">
        <v>222</v>
      </c>
      <c r="Q584" s="306" t="s">
        <v>1013</v>
      </c>
      <c r="R584" s="306" t="s">
        <v>1013</v>
      </c>
      <c r="S584" s="306" t="s">
        <v>1013</v>
      </c>
      <c r="T584" s="306" t="s">
        <v>1036</v>
      </c>
      <c r="U584" s="306" t="s">
        <v>1013</v>
      </c>
      <c r="V584" s="306" t="s">
        <v>1013</v>
      </c>
      <c r="W584" s="306" t="s">
        <v>1013</v>
      </c>
      <c r="X584" s="306" t="s">
        <v>1013</v>
      </c>
      <c r="Y584" s="306" t="s">
        <v>1036</v>
      </c>
      <c r="Z584" s="306" t="s">
        <v>1015</v>
      </c>
      <c r="AA584" s="306" t="s">
        <v>1013</v>
      </c>
    </row>
    <row r="585" spans="1:27" hidden="1">
      <c r="A585" s="306" t="s">
        <v>494</v>
      </c>
      <c r="B585" s="306" t="s">
        <v>1003</v>
      </c>
      <c r="C585" s="306" t="s">
        <v>1004</v>
      </c>
      <c r="D585" s="306" t="s">
        <v>1019</v>
      </c>
      <c r="E585" s="306" t="s">
        <v>2205</v>
      </c>
      <c r="F585" s="306" t="s">
        <v>1007</v>
      </c>
      <c r="G585" s="308">
        <v>46022</v>
      </c>
      <c r="H585" s="308">
        <v>46022</v>
      </c>
      <c r="I585" s="309">
        <v>-10636.79</v>
      </c>
      <c r="J585" s="306" t="s">
        <v>1008</v>
      </c>
      <c r="K585" s="309">
        <v>-10636.79</v>
      </c>
      <c r="L585" s="306" t="s">
        <v>1008</v>
      </c>
      <c r="M585" s="306" t="s">
        <v>2100</v>
      </c>
      <c r="N585" s="306" t="s">
        <v>2100</v>
      </c>
      <c r="O585" s="306" t="s">
        <v>2206</v>
      </c>
      <c r="P585" s="306" t="s">
        <v>222</v>
      </c>
      <c r="Q585" s="306" t="s">
        <v>1013</v>
      </c>
      <c r="R585" s="306" t="s">
        <v>1013</v>
      </c>
      <c r="S585" s="306" t="s">
        <v>1013</v>
      </c>
      <c r="T585" s="306" t="s">
        <v>1036</v>
      </c>
      <c r="U585" s="306" t="s">
        <v>1013</v>
      </c>
      <c r="V585" s="306" t="s">
        <v>1013</v>
      </c>
      <c r="W585" s="306" t="s">
        <v>1013</v>
      </c>
      <c r="X585" s="306" t="s">
        <v>1013</v>
      </c>
      <c r="Y585" s="306" t="s">
        <v>1036</v>
      </c>
      <c r="Z585" s="306" t="s">
        <v>1015</v>
      </c>
      <c r="AA585" s="306" t="s">
        <v>1013</v>
      </c>
    </row>
    <row r="586" spans="1:27" hidden="1">
      <c r="A586" s="306" t="s">
        <v>494</v>
      </c>
      <c r="B586" s="306" t="s">
        <v>1003</v>
      </c>
      <c r="C586" s="306" t="s">
        <v>1004</v>
      </c>
      <c r="D586" s="306" t="s">
        <v>1031</v>
      </c>
      <c r="E586" s="306" t="s">
        <v>2207</v>
      </c>
      <c r="F586" s="306" t="s">
        <v>1007</v>
      </c>
      <c r="G586" s="308">
        <v>46022</v>
      </c>
      <c r="H586" s="308">
        <v>46022</v>
      </c>
      <c r="I586" s="309">
        <v>-163274.34</v>
      </c>
      <c r="J586" s="306" t="s">
        <v>1008</v>
      </c>
      <c r="K586" s="309">
        <v>-163274.34</v>
      </c>
      <c r="L586" s="306" t="s">
        <v>1008</v>
      </c>
      <c r="M586" s="306" t="s">
        <v>2036</v>
      </c>
      <c r="N586" s="306" t="s">
        <v>2036</v>
      </c>
      <c r="O586" s="306" t="s">
        <v>2208</v>
      </c>
      <c r="P586" s="306" t="s">
        <v>222</v>
      </c>
      <c r="Q586" s="306" t="s">
        <v>1013</v>
      </c>
      <c r="R586" s="306" t="s">
        <v>1013</v>
      </c>
      <c r="S586" s="306" t="s">
        <v>1013</v>
      </c>
      <c r="T586" s="306" t="s">
        <v>1036</v>
      </c>
      <c r="U586" s="306" t="s">
        <v>1013</v>
      </c>
      <c r="V586" s="306" t="s">
        <v>1013</v>
      </c>
      <c r="W586" s="306" t="s">
        <v>1013</v>
      </c>
      <c r="X586" s="306" t="s">
        <v>1013</v>
      </c>
      <c r="Y586" s="306" t="s">
        <v>1036</v>
      </c>
      <c r="Z586" s="306" t="s">
        <v>1015</v>
      </c>
      <c r="AA586" s="306" t="s">
        <v>1013</v>
      </c>
    </row>
    <row r="587" spans="1:27" hidden="1">
      <c r="A587" s="306" t="s">
        <v>494</v>
      </c>
      <c r="B587" s="306" t="s">
        <v>1003</v>
      </c>
      <c r="C587" s="306" t="s">
        <v>1004</v>
      </c>
      <c r="D587" s="306" t="s">
        <v>1005</v>
      </c>
      <c r="E587" s="306" t="s">
        <v>2209</v>
      </c>
      <c r="F587" s="306" t="s">
        <v>1007</v>
      </c>
      <c r="G587" s="308">
        <v>46022</v>
      </c>
      <c r="H587" s="308">
        <v>46022</v>
      </c>
      <c r="I587" s="309">
        <v>-2558917.5499999998</v>
      </c>
      <c r="J587" s="306" t="s">
        <v>1008</v>
      </c>
      <c r="K587" s="309">
        <v>-2558917.5499999998</v>
      </c>
      <c r="L587" s="306" t="s">
        <v>1008</v>
      </c>
      <c r="M587" s="306" t="s">
        <v>2210</v>
      </c>
      <c r="N587" s="306" t="s">
        <v>2210</v>
      </c>
      <c r="O587" s="306" t="s">
        <v>2211</v>
      </c>
      <c r="P587" s="306" t="s">
        <v>222</v>
      </c>
      <c r="Q587" s="306" t="s">
        <v>1013</v>
      </c>
      <c r="R587" s="306" t="s">
        <v>1013</v>
      </c>
      <c r="S587" s="306" t="s">
        <v>1013</v>
      </c>
      <c r="T587" s="306" t="s">
        <v>1036</v>
      </c>
      <c r="U587" s="306" t="s">
        <v>1013</v>
      </c>
      <c r="V587" s="306" t="s">
        <v>1013</v>
      </c>
      <c r="W587" s="306" t="s">
        <v>1013</v>
      </c>
      <c r="X587" s="306" t="s">
        <v>1013</v>
      </c>
      <c r="Y587" s="306" t="s">
        <v>1036</v>
      </c>
      <c r="Z587" s="306" t="s">
        <v>1015</v>
      </c>
      <c r="AA587" s="306" t="s">
        <v>1013</v>
      </c>
    </row>
    <row r="588" spans="1:27" hidden="1">
      <c r="A588" s="306" t="s">
        <v>494</v>
      </c>
      <c r="B588" s="306" t="s">
        <v>1003</v>
      </c>
      <c r="C588" s="306" t="s">
        <v>1004</v>
      </c>
      <c r="D588" s="306" t="s">
        <v>1005</v>
      </c>
      <c r="E588" s="306" t="s">
        <v>2212</v>
      </c>
      <c r="F588" s="306" t="s">
        <v>1007</v>
      </c>
      <c r="G588" s="308">
        <v>46022</v>
      </c>
      <c r="H588" s="308">
        <v>46022</v>
      </c>
      <c r="I588" s="309">
        <v>-1251330.02</v>
      </c>
      <c r="J588" s="306" t="s">
        <v>1008</v>
      </c>
      <c r="K588" s="309">
        <v>-1251330.02</v>
      </c>
      <c r="L588" s="306" t="s">
        <v>1008</v>
      </c>
      <c r="M588" s="306" t="s">
        <v>2027</v>
      </c>
      <c r="N588" s="306" t="s">
        <v>2027</v>
      </c>
      <c r="O588" s="306" t="s">
        <v>2213</v>
      </c>
      <c r="P588" s="306" t="s">
        <v>222</v>
      </c>
      <c r="Q588" s="306" t="s">
        <v>1013</v>
      </c>
      <c r="R588" s="306" t="s">
        <v>1013</v>
      </c>
      <c r="S588" s="306" t="s">
        <v>1013</v>
      </c>
      <c r="T588" s="306" t="s">
        <v>1036</v>
      </c>
      <c r="U588" s="306" t="s">
        <v>1013</v>
      </c>
      <c r="V588" s="306" t="s">
        <v>1013</v>
      </c>
      <c r="W588" s="306" t="s">
        <v>1013</v>
      </c>
      <c r="X588" s="306" t="s">
        <v>1013</v>
      </c>
      <c r="Y588" s="306" t="s">
        <v>1036</v>
      </c>
      <c r="Z588" s="306" t="s">
        <v>1015</v>
      </c>
      <c r="AA588" s="306" t="s">
        <v>1013</v>
      </c>
    </row>
    <row r="589" spans="1:27" hidden="1">
      <c r="A589" s="306" t="s">
        <v>494</v>
      </c>
      <c r="B589" s="306" t="s">
        <v>1003</v>
      </c>
      <c r="C589" s="306" t="s">
        <v>1004</v>
      </c>
      <c r="D589" s="306" t="s">
        <v>1031</v>
      </c>
      <c r="E589" s="306" t="s">
        <v>2214</v>
      </c>
      <c r="F589" s="306" t="s">
        <v>1007</v>
      </c>
      <c r="G589" s="308">
        <v>46022</v>
      </c>
      <c r="H589" s="308">
        <v>46022</v>
      </c>
      <c r="I589" s="309">
        <v>345411.92</v>
      </c>
      <c r="J589" s="306" t="s">
        <v>1008</v>
      </c>
      <c r="K589" s="309">
        <v>345411.92</v>
      </c>
      <c r="L589" s="306" t="s">
        <v>1008</v>
      </c>
      <c r="M589" s="306" t="s">
        <v>2036</v>
      </c>
      <c r="N589" s="306" t="s">
        <v>2036</v>
      </c>
      <c r="O589" s="306" t="s">
        <v>2215</v>
      </c>
      <c r="P589" s="306" t="s">
        <v>222</v>
      </c>
      <c r="Q589" s="306" t="s">
        <v>1013</v>
      </c>
      <c r="R589" s="306" t="s">
        <v>1013</v>
      </c>
      <c r="S589" s="306" t="s">
        <v>1013</v>
      </c>
      <c r="T589" s="306" t="s">
        <v>1036</v>
      </c>
      <c r="U589" s="306" t="s">
        <v>1013</v>
      </c>
      <c r="V589" s="306" t="s">
        <v>1013</v>
      </c>
      <c r="W589" s="306" t="s">
        <v>1013</v>
      </c>
      <c r="X589" s="306" t="s">
        <v>1013</v>
      </c>
      <c r="Y589" s="306" t="s">
        <v>1036</v>
      </c>
      <c r="Z589" s="306" t="s">
        <v>1015</v>
      </c>
      <c r="AA589" s="306" t="s">
        <v>1013</v>
      </c>
    </row>
    <row r="590" spans="1:27" hidden="1">
      <c r="A590" s="306" t="s">
        <v>494</v>
      </c>
      <c r="B590" s="306" t="s">
        <v>1003</v>
      </c>
      <c r="C590" s="306" t="s">
        <v>1004</v>
      </c>
      <c r="D590" s="306" t="s">
        <v>1019</v>
      </c>
      <c r="E590" s="306" t="s">
        <v>2216</v>
      </c>
      <c r="F590" s="306" t="s">
        <v>1007</v>
      </c>
      <c r="G590" s="308">
        <v>46022</v>
      </c>
      <c r="H590" s="308">
        <v>46022</v>
      </c>
      <c r="I590" s="309">
        <v>1788915.05</v>
      </c>
      <c r="J590" s="306" t="s">
        <v>1008</v>
      </c>
      <c r="K590" s="309">
        <v>1788915.05</v>
      </c>
      <c r="L590" s="306" t="s">
        <v>1008</v>
      </c>
      <c r="M590" s="306" t="s">
        <v>2100</v>
      </c>
      <c r="N590" s="306" t="s">
        <v>2100</v>
      </c>
      <c r="O590" s="306" t="s">
        <v>2217</v>
      </c>
      <c r="P590" s="306" t="s">
        <v>222</v>
      </c>
      <c r="Q590" s="306" t="s">
        <v>1013</v>
      </c>
      <c r="R590" s="306" t="s">
        <v>1013</v>
      </c>
      <c r="S590" s="306" t="s">
        <v>1013</v>
      </c>
      <c r="T590" s="306" t="s">
        <v>1036</v>
      </c>
      <c r="U590" s="306" t="s">
        <v>1013</v>
      </c>
      <c r="V590" s="306" t="s">
        <v>1013</v>
      </c>
      <c r="W590" s="306" t="s">
        <v>1013</v>
      </c>
      <c r="X590" s="306" t="s">
        <v>1013</v>
      </c>
      <c r="Y590" s="306" t="s">
        <v>1036</v>
      </c>
      <c r="Z590" s="306" t="s">
        <v>1015</v>
      </c>
      <c r="AA590" s="306" t="s">
        <v>1013</v>
      </c>
    </row>
    <row r="591" spans="1:27" hidden="1">
      <c r="A591" s="306" t="s">
        <v>494</v>
      </c>
      <c r="B591" s="306" t="s">
        <v>1003</v>
      </c>
      <c r="C591" s="306" t="s">
        <v>1004</v>
      </c>
      <c r="D591" s="306" t="s">
        <v>1019</v>
      </c>
      <c r="E591" s="306" t="s">
        <v>2218</v>
      </c>
      <c r="F591" s="306" t="s">
        <v>1007</v>
      </c>
      <c r="G591" s="308">
        <v>46022</v>
      </c>
      <c r="H591" s="308">
        <v>46022</v>
      </c>
      <c r="I591" s="309">
        <v>-28631537.739999998</v>
      </c>
      <c r="J591" s="306" t="s">
        <v>1008</v>
      </c>
      <c r="K591" s="309">
        <v>-28631537.739999998</v>
      </c>
      <c r="L591" s="306" t="s">
        <v>1008</v>
      </c>
      <c r="M591" s="306" t="s">
        <v>2100</v>
      </c>
      <c r="N591" s="306" t="s">
        <v>2100</v>
      </c>
      <c r="O591" s="306" t="s">
        <v>1133</v>
      </c>
      <c r="P591" s="306" t="s">
        <v>222</v>
      </c>
      <c r="Q591" s="306" t="s">
        <v>1013</v>
      </c>
      <c r="R591" s="306" t="s">
        <v>1013</v>
      </c>
      <c r="S591" s="306" t="s">
        <v>1013</v>
      </c>
      <c r="T591" s="306" t="s">
        <v>1036</v>
      </c>
      <c r="U591" s="306" t="s">
        <v>1013</v>
      </c>
      <c r="V591" s="306" t="s">
        <v>1013</v>
      </c>
      <c r="W591" s="306" t="s">
        <v>1013</v>
      </c>
      <c r="X591" s="306" t="s">
        <v>1013</v>
      </c>
      <c r="Y591" s="306" t="s">
        <v>1036</v>
      </c>
      <c r="Z591" s="306" t="s">
        <v>1015</v>
      </c>
      <c r="AA591" s="306" t="s">
        <v>1013</v>
      </c>
    </row>
    <row r="592" spans="1:27" hidden="1">
      <c r="A592" s="306" t="s">
        <v>494</v>
      </c>
      <c r="B592" s="306" t="s">
        <v>1003</v>
      </c>
      <c r="C592" s="306" t="s">
        <v>1004</v>
      </c>
      <c r="D592" s="306" t="s">
        <v>1005</v>
      </c>
      <c r="E592" s="306" t="s">
        <v>2219</v>
      </c>
      <c r="F592" s="306" t="s">
        <v>1007</v>
      </c>
      <c r="G592" s="308">
        <v>46022</v>
      </c>
      <c r="H592" s="308">
        <v>46022</v>
      </c>
      <c r="I592" s="309">
        <v>-1344724.77</v>
      </c>
      <c r="J592" s="306" t="s">
        <v>1008</v>
      </c>
      <c r="K592" s="309">
        <v>-1344724.77</v>
      </c>
      <c r="L592" s="306" t="s">
        <v>1008</v>
      </c>
      <c r="M592" s="306" t="s">
        <v>2027</v>
      </c>
      <c r="N592" s="306" t="s">
        <v>2027</v>
      </c>
      <c r="O592" s="306" t="s">
        <v>1131</v>
      </c>
      <c r="P592" s="306" t="s">
        <v>222</v>
      </c>
      <c r="Q592" s="306" t="s">
        <v>1013</v>
      </c>
      <c r="R592" s="306" t="s">
        <v>1013</v>
      </c>
      <c r="S592" s="306" t="s">
        <v>1013</v>
      </c>
      <c r="T592" s="306" t="s">
        <v>1036</v>
      </c>
      <c r="U592" s="306" t="s">
        <v>1013</v>
      </c>
      <c r="V592" s="306" t="s">
        <v>1013</v>
      </c>
      <c r="W592" s="306" t="s">
        <v>1013</v>
      </c>
      <c r="X592" s="306" t="s">
        <v>1013</v>
      </c>
      <c r="Y592" s="306" t="s">
        <v>1036</v>
      </c>
      <c r="Z592" s="306" t="s">
        <v>1015</v>
      </c>
      <c r="AA592" s="306" t="s">
        <v>1013</v>
      </c>
    </row>
    <row r="593" spans="1:27" hidden="1">
      <c r="A593" s="306" t="s">
        <v>494</v>
      </c>
      <c r="B593" s="306" t="s">
        <v>1003</v>
      </c>
      <c r="C593" s="306" t="s">
        <v>1004</v>
      </c>
      <c r="D593" s="306" t="s">
        <v>1031</v>
      </c>
      <c r="E593" s="306" t="s">
        <v>2220</v>
      </c>
      <c r="F593" s="306" t="s">
        <v>1007</v>
      </c>
      <c r="G593" s="308">
        <v>46022</v>
      </c>
      <c r="H593" s="308">
        <v>46022</v>
      </c>
      <c r="I593" s="309">
        <v>-1014015.26</v>
      </c>
      <c r="J593" s="306" t="s">
        <v>1008</v>
      </c>
      <c r="K593" s="309">
        <v>-1014015.26</v>
      </c>
      <c r="L593" s="306" t="s">
        <v>1008</v>
      </c>
      <c r="M593" s="306" t="s">
        <v>2036</v>
      </c>
      <c r="N593" s="306" t="s">
        <v>2036</v>
      </c>
      <c r="O593" s="306" t="s">
        <v>1136</v>
      </c>
      <c r="P593" s="306" t="s">
        <v>222</v>
      </c>
      <c r="Q593" s="306" t="s">
        <v>1013</v>
      </c>
      <c r="R593" s="306" t="s">
        <v>1013</v>
      </c>
      <c r="S593" s="306" t="s">
        <v>1013</v>
      </c>
      <c r="T593" s="306" t="s">
        <v>1036</v>
      </c>
      <c r="U593" s="306" t="s">
        <v>1013</v>
      </c>
      <c r="V593" s="306" t="s">
        <v>1013</v>
      </c>
      <c r="W593" s="306" t="s">
        <v>1013</v>
      </c>
      <c r="X593" s="306" t="s">
        <v>1013</v>
      </c>
      <c r="Y593" s="306" t="s">
        <v>1036</v>
      </c>
      <c r="Z593" s="306" t="s">
        <v>1015</v>
      </c>
      <c r="AA593" s="306" t="s">
        <v>1013</v>
      </c>
    </row>
    <row r="594" spans="1:27" hidden="1">
      <c r="A594" s="306" t="s">
        <v>494</v>
      </c>
      <c r="B594" s="306" t="s">
        <v>1003</v>
      </c>
      <c r="C594" s="306" t="s">
        <v>1004</v>
      </c>
      <c r="D594" s="306" t="s">
        <v>1031</v>
      </c>
      <c r="E594" s="306" t="s">
        <v>2221</v>
      </c>
      <c r="F594" s="306" t="s">
        <v>1007</v>
      </c>
      <c r="G594" s="308">
        <v>46022</v>
      </c>
      <c r="H594" s="308">
        <v>46022</v>
      </c>
      <c r="I594" s="309">
        <v>-5995164.2199999997</v>
      </c>
      <c r="J594" s="306" t="s">
        <v>1008</v>
      </c>
      <c r="K594" s="309">
        <v>-5995164.2199999997</v>
      </c>
      <c r="L594" s="306" t="s">
        <v>1008</v>
      </c>
      <c r="M594" s="306" t="s">
        <v>2222</v>
      </c>
      <c r="N594" s="306" t="s">
        <v>2223</v>
      </c>
      <c r="O594" s="306" t="s">
        <v>1035</v>
      </c>
      <c r="P594" s="306" t="s">
        <v>222</v>
      </c>
      <c r="Q594" s="306" t="s">
        <v>1013</v>
      </c>
      <c r="R594" s="306" t="s">
        <v>1013</v>
      </c>
      <c r="S594" s="306" t="s">
        <v>1013</v>
      </c>
      <c r="T594" s="306" t="s">
        <v>1036</v>
      </c>
      <c r="U594" s="306" t="s">
        <v>1013</v>
      </c>
      <c r="V594" s="306" t="s">
        <v>1013</v>
      </c>
      <c r="W594" s="306" t="s">
        <v>1013</v>
      </c>
      <c r="X594" s="306" t="s">
        <v>1013</v>
      </c>
      <c r="Y594" s="306" t="s">
        <v>1036</v>
      </c>
      <c r="Z594" s="306" t="s">
        <v>1015</v>
      </c>
      <c r="AA594" s="306" t="s">
        <v>1013</v>
      </c>
    </row>
    <row r="595" spans="1:27" hidden="1">
      <c r="A595" s="306" t="s">
        <v>494</v>
      </c>
      <c r="B595" s="306" t="s">
        <v>1003</v>
      </c>
      <c r="C595" s="306" t="s">
        <v>1004</v>
      </c>
      <c r="D595" s="306" t="s">
        <v>1005</v>
      </c>
      <c r="E595" s="306" t="s">
        <v>2224</v>
      </c>
      <c r="F595" s="306" t="s">
        <v>1007</v>
      </c>
      <c r="G595" s="308">
        <v>46022</v>
      </c>
      <c r="H595" s="308">
        <v>46022</v>
      </c>
      <c r="I595" s="309">
        <v>-498394.49</v>
      </c>
      <c r="J595" s="306" t="s">
        <v>1008</v>
      </c>
      <c r="K595" s="309">
        <v>-498394.49</v>
      </c>
      <c r="L595" s="306" t="s">
        <v>1008</v>
      </c>
      <c r="M595" s="306" t="s">
        <v>2225</v>
      </c>
      <c r="N595" s="306" t="s">
        <v>2223</v>
      </c>
      <c r="O595" s="306" t="s">
        <v>1048</v>
      </c>
      <c r="P595" s="306" t="s">
        <v>222</v>
      </c>
      <c r="Q595" s="306" t="s">
        <v>1013</v>
      </c>
      <c r="R595" s="306" t="s">
        <v>1013</v>
      </c>
      <c r="S595" s="306" t="s">
        <v>1013</v>
      </c>
      <c r="T595" s="306" t="s">
        <v>1036</v>
      </c>
      <c r="U595" s="306" t="s">
        <v>1013</v>
      </c>
      <c r="V595" s="306" t="s">
        <v>1013</v>
      </c>
      <c r="W595" s="306" t="s">
        <v>1013</v>
      </c>
      <c r="X595" s="306" t="s">
        <v>1013</v>
      </c>
      <c r="Y595" s="306" t="s">
        <v>1036</v>
      </c>
      <c r="Z595" s="306" t="s">
        <v>1015</v>
      </c>
      <c r="AA595" s="306" t="s">
        <v>1013</v>
      </c>
    </row>
    <row r="596" spans="1:27" hidden="1">
      <c r="A596" s="306" t="s">
        <v>494</v>
      </c>
      <c r="B596" s="306" t="s">
        <v>1003</v>
      </c>
      <c r="C596" s="306" t="s">
        <v>1004</v>
      </c>
      <c r="D596" s="306" t="s">
        <v>1005</v>
      </c>
      <c r="E596" s="306" t="s">
        <v>2226</v>
      </c>
      <c r="F596" s="306" t="s">
        <v>1007</v>
      </c>
      <c r="G596" s="308">
        <v>46022</v>
      </c>
      <c r="H596" s="308">
        <v>46022</v>
      </c>
      <c r="I596" s="309">
        <v>-249197.25</v>
      </c>
      <c r="J596" s="306" t="s">
        <v>1008</v>
      </c>
      <c r="K596" s="309">
        <v>-249197.25</v>
      </c>
      <c r="L596" s="306" t="s">
        <v>1008</v>
      </c>
      <c r="M596" s="306" t="s">
        <v>2225</v>
      </c>
      <c r="N596" s="306" t="s">
        <v>2223</v>
      </c>
      <c r="O596" s="306" t="s">
        <v>1102</v>
      </c>
      <c r="P596" s="306" t="s">
        <v>222</v>
      </c>
      <c r="Q596" s="306" t="s">
        <v>1013</v>
      </c>
      <c r="R596" s="306" t="s">
        <v>1013</v>
      </c>
      <c r="S596" s="306" t="s">
        <v>1013</v>
      </c>
      <c r="T596" s="306" t="s">
        <v>1036</v>
      </c>
      <c r="U596" s="306" t="s">
        <v>1013</v>
      </c>
      <c r="V596" s="306" t="s">
        <v>1013</v>
      </c>
      <c r="W596" s="306" t="s">
        <v>1013</v>
      </c>
      <c r="X596" s="306" t="s">
        <v>1013</v>
      </c>
      <c r="Y596" s="306" t="s">
        <v>1036</v>
      </c>
      <c r="Z596" s="306" t="s">
        <v>1015</v>
      </c>
      <c r="AA596" s="306" t="s">
        <v>1013</v>
      </c>
    </row>
    <row r="597" spans="1:27" hidden="1">
      <c r="A597" s="306" t="s">
        <v>494</v>
      </c>
      <c r="B597" s="306" t="s">
        <v>1003</v>
      </c>
      <c r="C597" s="306" t="s">
        <v>1004</v>
      </c>
      <c r="D597" s="306" t="s">
        <v>1019</v>
      </c>
      <c r="E597" s="306" t="s">
        <v>2227</v>
      </c>
      <c r="F597" s="306" t="s">
        <v>1007</v>
      </c>
      <c r="G597" s="308">
        <v>46022</v>
      </c>
      <c r="H597" s="308">
        <v>46022</v>
      </c>
      <c r="I597" s="309">
        <v>-61632.959999999999</v>
      </c>
      <c r="J597" s="306" t="s">
        <v>1008</v>
      </c>
      <c r="K597" s="309">
        <v>-61632.959999999999</v>
      </c>
      <c r="L597" s="306" t="s">
        <v>1008</v>
      </c>
      <c r="M597" s="306" t="s">
        <v>1168</v>
      </c>
      <c r="N597" s="306" t="s">
        <v>1151</v>
      </c>
      <c r="O597" s="306" t="s">
        <v>2171</v>
      </c>
      <c r="P597" s="306" t="s">
        <v>244</v>
      </c>
      <c r="Q597" s="306" t="s">
        <v>1013</v>
      </c>
      <c r="R597" s="306" t="s">
        <v>1013</v>
      </c>
      <c r="S597" s="306" t="s">
        <v>1013</v>
      </c>
      <c r="T597" s="306" t="s">
        <v>1153</v>
      </c>
      <c r="U597" s="306" t="s">
        <v>1013</v>
      </c>
      <c r="V597" s="306" t="s">
        <v>1013</v>
      </c>
      <c r="W597" s="306" t="s">
        <v>1013</v>
      </c>
      <c r="X597" s="306" t="s">
        <v>1013</v>
      </c>
      <c r="Y597" s="306" t="s">
        <v>1153</v>
      </c>
      <c r="Z597" s="306" t="s">
        <v>1015</v>
      </c>
      <c r="AA597" s="306" t="s">
        <v>1013</v>
      </c>
    </row>
    <row r="598" spans="1:27" hidden="1">
      <c r="A598" s="306" t="s">
        <v>494</v>
      </c>
      <c r="B598" s="306" t="s">
        <v>1003</v>
      </c>
      <c r="C598" s="306" t="s">
        <v>1004</v>
      </c>
      <c r="D598" s="306" t="s">
        <v>1031</v>
      </c>
      <c r="E598" s="306" t="s">
        <v>2228</v>
      </c>
      <c r="F598" s="306" t="s">
        <v>1007</v>
      </c>
      <c r="G598" s="308">
        <v>45991</v>
      </c>
      <c r="H598" s="308">
        <v>46022</v>
      </c>
      <c r="I598" s="309">
        <v>4578.03</v>
      </c>
      <c r="J598" s="306" t="s">
        <v>1008</v>
      </c>
      <c r="K598" s="309">
        <v>4578.03</v>
      </c>
      <c r="L598" s="306" t="s">
        <v>1008</v>
      </c>
      <c r="M598" s="306" t="s">
        <v>2229</v>
      </c>
      <c r="N598" s="306" t="s">
        <v>2230</v>
      </c>
      <c r="O598" s="306" t="s">
        <v>1643</v>
      </c>
      <c r="P598" s="306" t="s">
        <v>263</v>
      </c>
      <c r="Q598" s="306" t="s">
        <v>1013</v>
      </c>
      <c r="R598" s="306" t="s">
        <v>1013</v>
      </c>
      <c r="S598" s="306" t="s">
        <v>1013</v>
      </c>
      <c r="T598" s="306" t="s">
        <v>1537</v>
      </c>
      <c r="U598" s="306" t="s">
        <v>1013</v>
      </c>
      <c r="V598" s="306" t="s">
        <v>1013</v>
      </c>
      <c r="W598" s="306" t="s">
        <v>1013</v>
      </c>
      <c r="X598" s="306" t="s">
        <v>1013</v>
      </c>
      <c r="Y598" s="306" t="s">
        <v>1537</v>
      </c>
      <c r="Z598" s="306" t="s">
        <v>2231</v>
      </c>
      <c r="AA598" s="306" t="s">
        <v>1013</v>
      </c>
    </row>
    <row r="599" spans="1:27" hidden="1">
      <c r="A599" s="306" t="s">
        <v>494</v>
      </c>
      <c r="B599" s="306" t="s">
        <v>1003</v>
      </c>
      <c r="C599" s="306" t="s">
        <v>1004</v>
      </c>
      <c r="D599" s="306" t="s">
        <v>1031</v>
      </c>
      <c r="E599" s="306" t="s">
        <v>2232</v>
      </c>
      <c r="F599" s="306" t="s">
        <v>1007</v>
      </c>
      <c r="G599" s="308">
        <v>46017</v>
      </c>
      <c r="H599" s="308">
        <v>46022</v>
      </c>
      <c r="I599" s="309">
        <v>9156.06</v>
      </c>
      <c r="J599" s="306" t="s">
        <v>1008</v>
      </c>
      <c r="K599" s="309">
        <v>9156.06</v>
      </c>
      <c r="L599" s="306" t="s">
        <v>1008</v>
      </c>
      <c r="M599" s="306" t="s">
        <v>1642</v>
      </c>
      <c r="N599" s="306" t="s">
        <v>1535</v>
      </c>
      <c r="O599" s="306" t="s">
        <v>1643</v>
      </c>
      <c r="P599" s="306" t="s">
        <v>263</v>
      </c>
      <c r="Q599" s="306" t="s">
        <v>1013</v>
      </c>
      <c r="R599" s="306" t="s">
        <v>1013</v>
      </c>
      <c r="S599" s="306" t="s">
        <v>1013</v>
      </c>
      <c r="T599" s="306" t="s">
        <v>1537</v>
      </c>
      <c r="U599" s="306" t="s">
        <v>1013</v>
      </c>
      <c r="V599" s="306" t="s">
        <v>1013</v>
      </c>
      <c r="W599" s="306" t="s">
        <v>1013</v>
      </c>
      <c r="X599" s="306" t="s">
        <v>1013</v>
      </c>
      <c r="Y599" s="306" t="s">
        <v>1537</v>
      </c>
      <c r="Z599" s="306" t="s">
        <v>2231</v>
      </c>
      <c r="AA599" s="306" t="s">
        <v>1013</v>
      </c>
    </row>
    <row r="600" spans="1:27" hidden="1">
      <c r="A600" s="306" t="s">
        <v>494</v>
      </c>
      <c r="B600" s="306" t="s">
        <v>1003</v>
      </c>
      <c r="C600" s="306" t="s">
        <v>1004</v>
      </c>
      <c r="D600" s="306" t="s">
        <v>1019</v>
      </c>
      <c r="E600" s="306" t="s">
        <v>2233</v>
      </c>
      <c r="F600" s="306" t="s">
        <v>1007</v>
      </c>
      <c r="G600" s="308">
        <v>46017</v>
      </c>
      <c r="H600" s="308">
        <v>46022</v>
      </c>
      <c r="I600" s="309">
        <v>26208.94</v>
      </c>
      <c r="J600" s="306" t="s">
        <v>1008</v>
      </c>
      <c r="K600" s="309">
        <v>26208.94</v>
      </c>
      <c r="L600" s="306" t="s">
        <v>1008</v>
      </c>
      <c r="M600" s="306" t="s">
        <v>1575</v>
      </c>
      <c r="N600" s="306" t="s">
        <v>1535</v>
      </c>
      <c r="O600" s="306" t="s">
        <v>1576</v>
      </c>
      <c r="P600" s="306" t="s">
        <v>263</v>
      </c>
      <c r="Q600" s="306" t="s">
        <v>1013</v>
      </c>
      <c r="R600" s="306" t="s">
        <v>1013</v>
      </c>
      <c r="S600" s="306" t="s">
        <v>1013</v>
      </c>
      <c r="T600" s="306" t="s">
        <v>1537</v>
      </c>
      <c r="U600" s="306" t="s">
        <v>1013</v>
      </c>
      <c r="V600" s="306" t="s">
        <v>1013</v>
      </c>
      <c r="W600" s="306" t="s">
        <v>1013</v>
      </c>
      <c r="X600" s="306" t="s">
        <v>1013</v>
      </c>
      <c r="Y600" s="306" t="s">
        <v>1537</v>
      </c>
      <c r="Z600" s="306" t="s">
        <v>2231</v>
      </c>
      <c r="AA600" s="306" t="s">
        <v>1013</v>
      </c>
    </row>
    <row r="601" spans="1:27" hidden="1">
      <c r="A601" s="306" t="s">
        <v>494</v>
      </c>
      <c r="B601" s="306" t="s">
        <v>1003</v>
      </c>
      <c r="C601" s="306" t="s">
        <v>1004</v>
      </c>
      <c r="D601" s="306" t="s">
        <v>1019</v>
      </c>
      <c r="E601" s="306" t="s">
        <v>2234</v>
      </c>
      <c r="F601" s="306" t="s">
        <v>1007</v>
      </c>
      <c r="G601" s="308">
        <v>46022</v>
      </c>
      <c r="H601" s="308">
        <v>46022</v>
      </c>
      <c r="I601" s="309">
        <v>-13734.09</v>
      </c>
      <c r="J601" s="306" t="s">
        <v>1008</v>
      </c>
      <c r="K601" s="309">
        <v>-13734.09</v>
      </c>
      <c r="L601" s="306" t="s">
        <v>1008</v>
      </c>
      <c r="M601" s="306" t="s">
        <v>1562</v>
      </c>
      <c r="N601" s="306" t="s">
        <v>1535</v>
      </c>
      <c r="O601" s="306" t="s">
        <v>1643</v>
      </c>
      <c r="P601" s="306" t="s">
        <v>263</v>
      </c>
      <c r="Q601" s="306" t="s">
        <v>1013</v>
      </c>
      <c r="R601" s="306" t="s">
        <v>1013</v>
      </c>
      <c r="S601" s="306" t="s">
        <v>1013</v>
      </c>
      <c r="T601" s="306" t="s">
        <v>1537</v>
      </c>
      <c r="U601" s="306" t="s">
        <v>1013</v>
      </c>
      <c r="V601" s="306" t="s">
        <v>1013</v>
      </c>
      <c r="W601" s="306" t="s">
        <v>1013</v>
      </c>
      <c r="X601" s="306" t="s">
        <v>1013</v>
      </c>
      <c r="Y601" s="306" t="s">
        <v>1537</v>
      </c>
      <c r="Z601" s="306" t="s">
        <v>1015</v>
      </c>
      <c r="AA601" s="306" t="s">
        <v>1013</v>
      </c>
    </row>
    <row r="602" spans="1:27" hidden="1">
      <c r="A602" s="306" t="s">
        <v>494</v>
      </c>
      <c r="B602" s="306" t="s">
        <v>1003</v>
      </c>
      <c r="C602" s="306" t="s">
        <v>1004</v>
      </c>
      <c r="D602" s="306" t="s">
        <v>1031</v>
      </c>
      <c r="E602" s="306" t="s">
        <v>2235</v>
      </c>
      <c r="F602" s="306" t="s">
        <v>1007</v>
      </c>
      <c r="G602" s="308">
        <v>46022</v>
      </c>
      <c r="H602" s="308">
        <v>46022</v>
      </c>
      <c r="I602" s="309">
        <v>-26208.94</v>
      </c>
      <c r="J602" s="306" t="s">
        <v>1008</v>
      </c>
      <c r="K602" s="309">
        <v>-26208.94</v>
      </c>
      <c r="L602" s="306" t="s">
        <v>1008</v>
      </c>
      <c r="M602" s="306" t="s">
        <v>1534</v>
      </c>
      <c r="N602" s="306" t="s">
        <v>1535</v>
      </c>
      <c r="O602" s="306" t="s">
        <v>1576</v>
      </c>
      <c r="P602" s="306" t="s">
        <v>263</v>
      </c>
      <c r="Q602" s="306" t="s">
        <v>1013</v>
      </c>
      <c r="R602" s="306" t="s">
        <v>1013</v>
      </c>
      <c r="S602" s="306" t="s">
        <v>1013</v>
      </c>
      <c r="T602" s="306" t="s">
        <v>1537</v>
      </c>
      <c r="U602" s="306" t="s">
        <v>1013</v>
      </c>
      <c r="V602" s="306" t="s">
        <v>1013</v>
      </c>
      <c r="W602" s="306" t="s">
        <v>1013</v>
      </c>
      <c r="X602" s="306" t="s">
        <v>1013</v>
      </c>
      <c r="Y602" s="306" t="s">
        <v>1537</v>
      </c>
      <c r="Z602" s="306" t="s">
        <v>1015</v>
      </c>
      <c r="AA602" s="306" t="s">
        <v>1013</v>
      </c>
    </row>
    <row r="603" spans="1:27" hidden="1">
      <c r="A603" s="306" t="s">
        <v>494</v>
      </c>
      <c r="B603" s="306" t="s">
        <v>1003</v>
      </c>
      <c r="C603" s="306" t="s">
        <v>1004</v>
      </c>
      <c r="D603" s="306" t="s">
        <v>1005</v>
      </c>
      <c r="E603" s="306" t="s">
        <v>2236</v>
      </c>
      <c r="F603" s="306" t="s">
        <v>1007</v>
      </c>
      <c r="G603" s="308">
        <v>46022</v>
      </c>
      <c r="H603" s="308">
        <v>46022</v>
      </c>
      <c r="I603" s="309">
        <v>-577.16</v>
      </c>
      <c r="J603" s="306" t="s">
        <v>1008</v>
      </c>
      <c r="K603" s="309">
        <v>-577.16</v>
      </c>
      <c r="L603" s="306" t="s">
        <v>1008</v>
      </c>
      <c r="M603" s="306" t="s">
        <v>1553</v>
      </c>
      <c r="N603" s="306" t="s">
        <v>1535</v>
      </c>
      <c r="O603" s="306" t="s">
        <v>2169</v>
      </c>
      <c r="P603" s="306" t="s">
        <v>263</v>
      </c>
      <c r="Q603" s="306" t="s">
        <v>1013</v>
      </c>
      <c r="R603" s="306" t="s">
        <v>1013</v>
      </c>
      <c r="S603" s="306" t="s">
        <v>1013</v>
      </c>
      <c r="T603" s="306" t="s">
        <v>1537</v>
      </c>
      <c r="U603" s="306" t="s">
        <v>1013</v>
      </c>
      <c r="V603" s="306" t="s">
        <v>1013</v>
      </c>
      <c r="W603" s="306" t="s">
        <v>1013</v>
      </c>
      <c r="X603" s="306" t="s">
        <v>1013</v>
      </c>
      <c r="Y603" s="306" t="s">
        <v>1537</v>
      </c>
      <c r="Z603" s="306" t="s">
        <v>1015</v>
      </c>
      <c r="AA603" s="306" t="s">
        <v>1013</v>
      </c>
    </row>
    <row r="604" spans="1:27" hidden="1">
      <c r="A604" s="306" t="s">
        <v>494</v>
      </c>
      <c r="B604" s="306" t="s">
        <v>1003</v>
      </c>
      <c r="C604" s="306" t="s">
        <v>1004</v>
      </c>
      <c r="D604" s="306" t="s">
        <v>1019</v>
      </c>
      <c r="E604" s="306" t="s">
        <v>2237</v>
      </c>
      <c r="F604" s="306" t="s">
        <v>1007</v>
      </c>
      <c r="G604" s="308">
        <v>46022</v>
      </c>
      <c r="H604" s="308">
        <v>46022</v>
      </c>
      <c r="I604" s="309">
        <v>297.24</v>
      </c>
      <c r="J604" s="306" t="s">
        <v>1008</v>
      </c>
      <c r="K604" s="309">
        <v>297.24</v>
      </c>
      <c r="L604" s="306" t="s">
        <v>1008</v>
      </c>
      <c r="M604" s="306" t="s">
        <v>1562</v>
      </c>
      <c r="N604" s="306" t="s">
        <v>1535</v>
      </c>
      <c r="O604" s="306" t="s">
        <v>2171</v>
      </c>
      <c r="P604" s="306" t="s">
        <v>263</v>
      </c>
      <c r="Q604" s="306" t="s">
        <v>1013</v>
      </c>
      <c r="R604" s="306" t="s">
        <v>1013</v>
      </c>
      <c r="S604" s="306" t="s">
        <v>1013</v>
      </c>
      <c r="T604" s="306" t="s">
        <v>1537</v>
      </c>
      <c r="U604" s="306" t="s">
        <v>1013</v>
      </c>
      <c r="V604" s="306" t="s">
        <v>1013</v>
      </c>
      <c r="W604" s="306" t="s">
        <v>1013</v>
      </c>
      <c r="X604" s="306" t="s">
        <v>1013</v>
      </c>
      <c r="Y604" s="306" t="s">
        <v>1537</v>
      </c>
      <c r="Z604" s="306" t="s">
        <v>1015</v>
      </c>
      <c r="AA604" s="306" t="s">
        <v>1013</v>
      </c>
    </row>
    <row r="605" spans="1:27" hidden="1">
      <c r="A605" s="306" t="s">
        <v>494</v>
      </c>
      <c r="B605" s="306" t="s">
        <v>1003</v>
      </c>
      <c r="C605" s="306" t="s">
        <v>1004</v>
      </c>
      <c r="D605" s="306" t="s">
        <v>1031</v>
      </c>
      <c r="E605" s="306" t="s">
        <v>2238</v>
      </c>
      <c r="F605" s="306" t="s">
        <v>1007</v>
      </c>
      <c r="G605" s="308">
        <v>46029</v>
      </c>
      <c r="H605" s="308">
        <v>46022</v>
      </c>
      <c r="I605" s="309">
        <v>-291080425.47000003</v>
      </c>
      <c r="J605" s="306" t="s">
        <v>1008</v>
      </c>
      <c r="K605" s="309">
        <v>-291080425.47000003</v>
      </c>
      <c r="L605" s="306" t="s">
        <v>1008</v>
      </c>
      <c r="M605" s="306" t="s">
        <v>1013</v>
      </c>
      <c r="N605" s="306" t="s">
        <v>2239</v>
      </c>
      <c r="O605" s="306" t="s">
        <v>1013</v>
      </c>
      <c r="P605" s="306" t="s">
        <v>1013</v>
      </c>
      <c r="Q605" s="306" t="s">
        <v>1013</v>
      </c>
      <c r="R605" s="306" t="s">
        <v>1013</v>
      </c>
      <c r="S605" s="306" t="s">
        <v>1013</v>
      </c>
      <c r="T605" s="306" t="s">
        <v>2240</v>
      </c>
      <c r="U605" s="306" t="s">
        <v>1013</v>
      </c>
      <c r="V605" s="306" t="s">
        <v>1013</v>
      </c>
      <c r="W605" s="306" t="s">
        <v>1013</v>
      </c>
      <c r="X605" s="306" t="s">
        <v>1013</v>
      </c>
      <c r="Y605" s="306" t="s">
        <v>2240</v>
      </c>
      <c r="Z605" s="306" t="s">
        <v>2241</v>
      </c>
      <c r="AA605" s="306" t="s">
        <v>1013</v>
      </c>
    </row>
    <row r="606" spans="1:27" hidden="1">
      <c r="A606" s="306" t="s">
        <v>494</v>
      </c>
      <c r="B606" s="306" t="s">
        <v>1003</v>
      </c>
      <c r="C606" s="306" t="s">
        <v>1004</v>
      </c>
      <c r="D606" s="306" t="s">
        <v>1005</v>
      </c>
      <c r="E606" s="306" t="s">
        <v>2242</v>
      </c>
      <c r="F606" s="306" t="s">
        <v>1007</v>
      </c>
      <c r="G606" s="308">
        <v>46029</v>
      </c>
      <c r="H606" s="308">
        <v>46022</v>
      </c>
      <c r="I606" s="309">
        <v>-137743978.34999999</v>
      </c>
      <c r="J606" s="306" t="s">
        <v>1008</v>
      </c>
      <c r="K606" s="309">
        <v>-137743978.34999999</v>
      </c>
      <c r="L606" s="306" t="s">
        <v>1008</v>
      </c>
      <c r="M606" s="306" t="s">
        <v>1013</v>
      </c>
      <c r="N606" s="306" t="s">
        <v>2243</v>
      </c>
      <c r="O606" s="306" t="s">
        <v>1013</v>
      </c>
      <c r="P606" s="306" t="s">
        <v>1013</v>
      </c>
      <c r="Q606" s="306" t="s">
        <v>1013</v>
      </c>
      <c r="R606" s="306" t="s">
        <v>1013</v>
      </c>
      <c r="S606" s="306" t="s">
        <v>1013</v>
      </c>
      <c r="T606" s="306" t="s">
        <v>2244</v>
      </c>
      <c r="U606" s="306" t="s">
        <v>1013</v>
      </c>
      <c r="V606" s="306" t="s">
        <v>1013</v>
      </c>
      <c r="W606" s="306" t="s">
        <v>1013</v>
      </c>
      <c r="X606" s="306" t="s">
        <v>1013</v>
      </c>
      <c r="Y606" s="306" t="s">
        <v>2244</v>
      </c>
      <c r="Z606" s="306" t="s">
        <v>2241</v>
      </c>
      <c r="AA606" s="306" t="s">
        <v>1013</v>
      </c>
    </row>
    <row r="607" spans="1:27" hidden="1">
      <c r="A607" s="306" t="s">
        <v>494</v>
      </c>
      <c r="B607" s="306" t="s">
        <v>1003</v>
      </c>
      <c r="C607" s="306" t="s">
        <v>1004</v>
      </c>
      <c r="D607" s="306" t="s">
        <v>1031</v>
      </c>
      <c r="E607" s="306" t="s">
        <v>2245</v>
      </c>
      <c r="F607" s="306" t="s">
        <v>1007</v>
      </c>
      <c r="G607" s="308">
        <v>46022</v>
      </c>
      <c r="H607" s="308">
        <v>46022</v>
      </c>
      <c r="I607" s="309">
        <v>-190486.73</v>
      </c>
      <c r="J607" s="306" t="s">
        <v>1008</v>
      </c>
      <c r="K607" s="309">
        <v>-190486.73</v>
      </c>
      <c r="L607" s="306" t="s">
        <v>1008</v>
      </c>
      <c r="M607" s="306" t="s">
        <v>1699</v>
      </c>
      <c r="N607" s="306" t="s">
        <v>1694</v>
      </c>
      <c r="O607" s="306" t="s">
        <v>2167</v>
      </c>
      <c r="P607" s="306" t="s">
        <v>1696</v>
      </c>
      <c r="Q607" s="306" t="s">
        <v>1013</v>
      </c>
      <c r="R607" s="306" t="s">
        <v>1013</v>
      </c>
      <c r="S607" s="306" t="s">
        <v>1013</v>
      </c>
      <c r="T607" s="306" t="s">
        <v>1697</v>
      </c>
      <c r="U607" s="306" t="s">
        <v>1013</v>
      </c>
      <c r="V607" s="306" t="s">
        <v>1013</v>
      </c>
      <c r="W607" s="306" t="s">
        <v>1013</v>
      </c>
      <c r="X607" s="306" t="s">
        <v>1013</v>
      </c>
      <c r="Y607" s="306" t="s">
        <v>1697</v>
      </c>
      <c r="Z607" s="306" t="s">
        <v>1015</v>
      </c>
      <c r="AA607" s="306" t="s">
        <v>1013</v>
      </c>
    </row>
    <row r="608" spans="1:27" hidden="1">
      <c r="A608" s="306" t="s">
        <v>494</v>
      </c>
      <c r="B608" s="306" t="s">
        <v>1003</v>
      </c>
      <c r="C608" s="306" t="s">
        <v>1004</v>
      </c>
      <c r="D608" s="306" t="s">
        <v>1005</v>
      </c>
      <c r="E608" s="306" t="s">
        <v>2246</v>
      </c>
      <c r="F608" s="306" t="s">
        <v>1007</v>
      </c>
      <c r="G608" s="308">
        <v>46022</v>
      </c>
      <c r="H608" s="308">
        <v>46022</v>
      </c>
      <c r="I608" s="309">
        <v>-7984899.1900000004</v>
      </c>
      <c r="J608" s="306" t="s">
        <v>1008</v>
      </c>
      <c r="K608" s="309">
        <v>-7984899.1900000004</v>
      </c>
      <c r="L608" s="306" t="s">
        <v>1008</v>
      </c>
      <c r="M608" s="306" t="s">
        <v>1693</v>
      </c>
      <c r="N608" s="306" t="s">
        <v>1694</v>
      </c>
      <c r="O608" s="306" t="s">
        <v>2169</v>
      </c>
      <c r="P608" s="306" t="s">
        <v>1696</v>
      </c>
      <c r="Q608" s="306" t="s">
        <v>1013</v>
      </c>
      <c r="R608" s="306" t="s">
        <v>1013</v>
      </c>
      <c r="S608" s="306" t="s">
        <v>1013</v>
      </c>
      <c r="T608" s="306" t="s">
        <v>1697</v>
      </c>
      <c r="U608" s="306" t="s">
        <v>1013</v>
      </c>
      <c r="V608" s="306" t="s">
        <v>1013</v>
      </c>
      <c r="W608" s="306" t="s">
        <v>1013</v>
      </c>
      <c r="X608" s="306" t="s">
        <v>1013</v>
      </c>
      <c r="Y608" s="306" t="s">
        <v>1697</v>
      </c>
      <c r="Z608" s="306" t="s">
        <v>1015</v>
      </c>
      <c r="AA608" s="306" t="s">
        <v>1013</v>
      </c>
    </row>
    <row r="609" spans="1:27" hidden="1">
      <c r="A609" s="306" t="s">
        <v>494</v>
      </c>
      <c r="B609" s="306" t="s">
        <v>1003</v>
      </c>
      <c r="C609" s="306" t="s">
        <v>1004</v>
      </c>
      <c r="D609" s="306" t="s">
        <v>1019</v>
      </c>
      <c r="E609" s="306" t="s">
        <v>2247</v>
      </c>
      <c r="F609" s="306" t="s">
        <v>1007</v>
      </c>
      <c r="G609" s="308">
        <v>46022</v>
      </c>
      <c r="H609" s="308">
        <v>46022</v>
      </c>
      <c r="I609" s="309">
        <v>-5604715.5599999996</v>
      </c>
      <c r="J609" s="306" t="s">
        <v>1008</v>
      </c>
      <c r="K609" s="309">
        <v>-5604715.5599999996</v>
      </c>
      <c r="L609" s="306" t="s">
        <v>1008</v>
      </c>
      <c r="M609" s="306" t="s">
        <v>1738</v>
      </c>
      <c r="N609" s="306" t="s">
        <v>1694</v>
      </c>
      <c r="O609" s="306" t="s">
        <v>2171</v>
      </c>
      <c r="P609" s="306" t="s">
        <v>1696</v>
      </c>
      <c r="Q609" s="306" t="s">
        <v>1013</v>
      </c>
      <c r="R609" s="306" t="s">
        <v>1013</v>
      </c>
      <c r="S609" s="306" t="s">
        <v>1013</v>
      </c>
      <c r="T609" s="306" t="s">
        <v>1697</v>
      </c>
      <c r="U609" s="306" t="s">
        <v>1013</v>
      </c>
      <c r="V609" s="306" t="s">
        <v>1013</v>
      </c>
      <c r="W609" s="306" t="s">
        <v>1013</v>
      </c>
      <c r="X609" s="306" t="s">
        <v>1013</v>
      </c>
      <c r="Y609" s="306" t="s">
        <v>1697</v>
      </c>
      <c r="Z609" s="306" t="s">
        <v>1015</v>
      </c>
      <c r="AA609" s="306" t="s">
        <v>1013</v>
      </c>
    </row>
    <row r="610" spans="1:27" hidden="1">
      <c r="A610" s="306" t="s">
        <v>494</v>
      </c>
      <c r="B610" s="306" t="s">
        <v>1003</v>
      </c>
      <c r="C610" s="306" t="s">
        <v>1004</v>
      </c>
      <c r="D610" s="306" t="s">
        <v>1019</v>
      </c>
      <c r="E610" s="306" t="s">
        <v>2248</v>
      </c>
      <c r="F610" s="306" t="s">
        <v>1007</v>
      </c>
      <c r="G610" s="308">
        <v>46022</v>
      </c>
      <c r="H610" s="308">
        <v>46022</v>
      </c>
      <c r="I610" s="309">
        <v>-2244317.77</v>
      </c>
      <c r="J610" s="306" t="s">
        <v>1008</v>
      </c>
      <c r="K610" s="309">
        <v>-2244317.77</v>
      </c>
      <c r="L610" s="306" t="s">
        <v>1008</v>
      </c>
      <c r="M610" s="306" t="s">
        <v>1738</v>
      </c>
      <c r="N610" s="306" t="s">
        <v>1694</v>
      </c>
      <c r="O610" s="306" t="s">
        <v>2249</v>
      </c>
      <c r="P610" s="306" t="s">
        <v>1696</v>
      </c>
      <c r="Q610" s="306" t="s">
        <v>1013</v>
      </c>
      <c r="R610" s="306" t="s">
        <v>1013</v>
      </c>
      <c r="S610" s="306" t="s">
        <v>1013</v>
      </c>
      <c r="T610" s="306" t="s">
        <v>1697</v>
      </c>
      <c r="U610" s="306" t="s">
        <v>1013</v>
      </c>
      <c r="V610" s="306" t="s">
        <v>1013</v>
      </c>
      <c r="W610" s="306" t="s">
        <v>1013</v>
      </c>
      <c r="X610" s="306" t="s">
        <v>1013</v>
      </c>
      <c r="Y610" s="306" t="s">
        <v>1697</v>
      </c>
      <c r="Z610" s="306" t="s">
        <v>1015</v>
      </c>
      <c r="AA610" s="306" t="s">
        <v>1013</v>
      </c>
    </row>
    <row r="611" spans="1:27" hidden="1">
      <c r="A611" s="306" t="s">
        <v>494</v>
      </c>
      <c r="B611" s="306" t="s">
        <v>1003</v>
      </c>
      <c r="C611" s="306" t="s">
        <v>1004</v>
      </c>
      <c r="D611" s="306" t="s">
        <v>1019</v>
      </c>
      <c r="E611" s="306" t="s">
        <v>2250</v>
      </c>
      <c r="F611" s="306" t="s">
        <v>1007</v>
      </c>
      <c r="G611" s="308">
        <v>46022</v>
      </c>
      <c r="H611" s="308">
        <v>46022</v>
      </c>
      <c r="I611" s="309">
        <v>-14163132.960000001</v>
      </c>
      <c r="J611" s="306" t="s">
        <v>1008</v>
      </c>
      <c r="K611" s="309">
        <v>-14163132.960000001</v>
      </c>
      <c r="L611" s="306" t="s">
        <v>1008</v>
      </c>
      <c r="M611" s="306" t="s">
        <v>1738</v>
      </c>
      <c r="N611" s="306" t="s">
        <v>1694</v>
      </c>
      <c r="O611" s="306" t="s">
        <v>2251</v>
      </c>
      <c r="P611" s="306" t="s">
        <v>1696</v>
      </c>
      <c r="Q611" s="306" t="s">
        <v>1013</v>
      </c>
      <c r="R611" s="306" t="s">
        <v>1013</v>
      </c>
      <c r="S611" s="306" t="s">
        <v>1013</v>
      </c>
      <c r="T611" s="306" t="s">
        <v>1697</v>
      </c>
      <c r="U611" s="306" t="s">
        <v>1013</v>
      </c>
      <c r="V611" s="306" t="s">
        <v>1013</v>
      </c>
      <c r="W611" s="306" t="s">
        <v>1013</v>
      </c>
      <c r="X611" s="306" t="s">
        <v>1013</v>
      </c>
      <c r="Y611" s="306" t="s">
        <v>1697</v>
      </c>
      <c r="Z611" s="306" t="s">
        <v>1015</v>
      </c>
      <c r="AA611" s="306" t="s">
        <v>1013</v>
      </c>
    </row>
    <row r="612" spans="1:27" hidden="1">
      <c r="A612" s="306" t="s">
        <v>494</v>
      </c>
      <c r="B612" s="306" t="s">
        <v>1003</v>
      </c>
      <c r="C612" s="306" t="s">
        <v>1004</v>
      </c>
      <c r="D612" s="306" t="s">
        <v>1005</v>
      </c>
      <c r="E612" s="306" t="s">
        <v>2252</v>
      </c>
      <c r="F612" s="306" t="s">
        <v>1007</v>
      </c>
      <c r="G612" s="308">
        <v>46010</v>
      </c>
      <c r="H612" s="308">
        <v>46022</v>
      </c>
      <c r="I612" s="309">
        <v>478401.17</v>
      </c>
      <c r="J612" s="306" t="s">
        <v>1008</v>
      </c>
      <c r="K612" s="309">
        <v>478401.17</v>
      </c>
      <c r="L612" s="306" t="s">
        <v>1008</v>
      </c>
      <c r="M612" s="306" t="s">
        <v>1009</v>
      </c>
      <c r="N612" s="306" t="s">
        <v>1010</v>
      </c>
      <c r="O612" s="306" t="s">
        <v>1011</v>
      </c>
      <c r="P612" s="306" t="s">
        <v>1012</v>
      </c>
      <c r="Q612" s="306" t="s">
        <v>1013</v>
      </c>
      <c r="R612" s="306" t="s">
        <v>1013</v>
      </c>
      <c r="S612" s="306" t="s">
        <v>1013</v>
      </c>
      <c r="T612" s="306" t="s">
        <v>1014</v>
      </c>
      <c r="U612" s="306" t="s">
        <v>1013</v>
      </c>
      <c r="V612" s="306" t="s">
        <v>1013</v>
      </c>
      <c r="W612" s="306" t="s">
        <v>1013</v>
      </c>
      <c r="X612" s="306" t="s">
        <v>1013</v>
      </c>
      <c r="Y612" s="306" t="s">
        <v>1014</v>
      </c>
      <c r="Z612" s="306" t="s">
        <v>1015</v>
      </c>
      <c r="AA612" s="306" t="s">
        <v>1013</v>
      </c>
    </row>
    <row r="613" spans="1:27" hidden="1">
      <c r="A613" s="306" t="s">
        <v>494</v>
      </c>
      <c r="B613" s="306" t="s">
        <v>1003</v>
      </c>
      <c r="C613" s="306" t="s">
        <v>1004</v>
      </c>
      <c r="D613" s="306" t="s">
        <v>1005</v>
      </c>
      <c r="E613" s="306" t="s">
        <v>2253</v>
      </c>
      <c r="F613" s="306" t="s">
        <v>1007</v>
      </c>
      <c r="G613" s="308">
        <v>46010</v>
      </c>
      <c r="H613" s="308">
        <v>46022</v>
      </c>
      <c r="I613" s="309">
        <v>2613532.11</v>
      </c>
      <c r="J613" s="306" t="s">
        <v>1008</v>
      </c>
      <c r="K613" s="309">
        <v>2613532.11</v>
      </c>
      <c r="L613" s="306" t="s">
        <v>1008</v>
      </c>
      <c r="M613" s="306" t="s">
        <v>1017</v>
      </c>
      <c r="N613" s="306" t="s">
        <v>1010</v>
      </c>
      <c r="O613" s="306" t="s">
        <v>1018</v>
      </c>
      <c r="P613" s="306" t="s">
        <v>1012</v>
      </c>
      <c r="Q613" s="306" t="s">
        <v>1013</v>
      </c>
      <c r="R613" s="306" t="s">
        <v>1013</v>
      </c>
      <c r="S613" s="306" t="s">
        <v>1013</v>
      </c>
      <c r="T613" s="306" t="s">
        <v>1014</v>
      </c>
      <c r="U613" s="306" t="s">
        <v>1013</v>
      </c>
      <c r="V613" s="306" t="s">
        <v>1013</v>
      </c>
      <c r="W613" s="306" t="s">
        <v>1013</v>
      </c>
      <c r="X613" s="306" t="s">
        <v>1013</v>
      </c>
      <c r="Y613" s="306" t="s">
        <v>1014</v>
      </c>
      <c r="Z613" s="306" t="s">
        <v>1015</v>
      </c>
      <c r="AA613" s="306" t="s">
        <v>1013</v>
      </c>
    </row>
    <row r="614" spans="1:27" hidden="1">
      <c r="A614" s="306" t="s">
        <v>494</v>
      </c>
      <c r="B614" s="306" t="s">
        <v>1003</v>
      </c>
      <c r="C614" s="306" t="s">
        <v>1004</v>
      </c>
      <c r="D614" s="306" t="s">
        <v>1019</v>
      </c>
      <c r="E614" s="306" t="s">
        <v>2254</v>
      </c>
      <c r="F614" s="306" t="s">
        <v>1007</v>
      </c>
      <c r="G614" s="308">
        <v>46010</v>
      </c>
      <c r="H614" s="308">
        <v>46022</v>
      </c>
      <c r="I614" s="309">
        <v>47158.02</v>
      </c>
      <c r="J614" s="306" t="s">
        <v>1008</v>
      </c>
      <c r="K614" s="309">
        <v>47158.02</v>
      </c>
      <c r="L614" s="306" t="s">
        <v>1008</v>
      </c>
      <c r="M614" s="306" t="s">
        <v>1021</v>
      </c>
      <c r="N614" s="306" t="s">
        <v>1022</v>
      </c>
      <c r="O614" s="306" t="s">
        <v>1023</v>
      </c>
      <c r="P614" s="306" t="s">
        <v>1012</v>
      </c>
      <c r="Q614" s="306" t="s">
        <v>1013</v>
      </c>
      <c r="R614" s="306" t="s">
        <v>1013</v>
      </c>
      <c r="S614" s="306" t="s">
        <v>1013</v>
      </c>
      <c r="T614" s="306" t="s">
        <v>1014</v>
      </c>
      <c r="U614" s="306" t="s">
        <v>1013</v>
      </c>
      <c r="V614" s="306" t="s">
        <v>1013</v>
      </c>
      <c r="W614" s="306" t="s">
        <v>1013</v>
      </c>
      <c r="X614" s="306" t="s">
        <v>1013</v>
      </c>
      <c r="Y614" s="306" t="s">
        <v>1014</v>
      </c>
      <c r="Z614" s="306" t="s">
        <v>1015</v>
      </c>
      <c r="AA614" s="306" t="s">
        <v>1013</v>
      </c>
    </row>
    <row r="615" spans="1:27" hidden="1">
      <c r="A615" s="306" t="s">
        <v>494</v>
      </c>
      <c r="B615" s="306" t="s">
        <v>1003</v>
      </c>
      <c r="C615" s="306" t="s">
        <v>1004</v>
      </c>
      <c r="D615" s="306" t="s">
        <v>1031</v>
      </c>
      <c r="E615" s="306" t="s">
        <v>2255</v>
      </c>
      <c r="F615" s="306" t="s">
        <v>1007</v>
      </c>
      <c r="G615" s="308">
        <v>46013</v>
      </c>
      <c r="H615" s="308">
        <v>46022</v>
      </c>
      <c r="I615" s="309">
        <v>6085308.6200000001</v>
      </c>
      <c r="J615" s="306" t="s">
        <v>1008</v>
      </c>
      <c r="K615" s="309">
        <v>6085308.6200000001</v>
      </c>
      <c r="L615" s="306" t="s">
        <v>1008</v>
      </c>
      <c r="M615" s="306" t="s">
        <v>1033</v>
      </c>
      <c r="N615" s="306" t="s">
        <v>1034</v>
      </c>
      <c r="O615" s="306" t="s">
        <v>1035</v>
      </c>
      <c r="P615" s="306" t="s">
        <v>1012</v>
      </c>
      <c r="Q615" s="306" t="s">
        <v>1013</v>
      </c>
      <c r="R615" s="306" t="s">
        <v>1013</v>
      </c>
      <c r="S615" s="306" t="s">
        <v>1013</v>
      </c>
      <c r="T615" s="306" t="s">
        <v>1036</v>
      </c>
      <c r="U615" s="306" t="s">
        <v>1013</v>
      </c>
      <c r="V615" s="306" t="s">
        <v>1013</v>
      </c>
      <c r="W615" s="306" t="s">
        <v>1013</v>
      </c>
      <c r="X615" s="306" t="s">
        <v>1013</v>
      </c>
      <c r="Y615" s="306" t="s">
        <v>1036</v>
      </c>
      <c r="Z615" s="306" t="s">
        <v>1015</v>
      </c>
      <c r="AA615" s="306" t="s">
        <v>1013</v>
      </c>
    </row>
    <row r="616" spans="1:27" hidden="1">
      <c r="A616" s="306" t="s">
        <v>494</v>
      </c>
      <c r="B616" s="306" t="s">
        <v>1003</v>
      </c>
      <c r="C616" s="306" t="s">
        <v>1004</v>
      </c>
      <c r="D616" s="306" t="s">
        <v>1031</v>
      </c>
      <c r="E616" s="306" t="s">
        <v>2256</v>
      </c>
      <c r="F616" s="306" t="s">
        <v>1007</v>
      </c>
      <c r="G616" s="308">
        <v>46013</v>
      </c>
      <c r="H616" s="308">
        <v>46022</v>
      </c>
      <c r="I616" s="309">
        <v>1568907.66</v>
      </c>
      <c r="J616" s="306" t="s">
        <v>1008</v>
      </c>
      <c r="K616" s="309">
        <v>1568907.66</v>
      </c>
      <c r="L616" s="306" t="s">
        <v>1008</v>
      </c>
      <c r="M616" s="306" t="s">
        <v>1033</v>
      </c>
      <c r="N616" s="306" t="s">
        <v>1034</v>
      </c>
      <c r="O616" s="306" t="s">
        <v>1038</v>
      </c>
      <c r="P616" s="306" t="s">
        <v>1012</v>
      </c>
      <c r="Q616" s="306" t="s">
        <v>1013</v>
      </c>
      <c r="R616" s="306" t="s">
        <v>1013</v>
      </c>
      <c r="S616" s="306" t="s">
        <v>1013</v>
      </c>
      <c r="T616" s="306" t="s">
        <v>1036</v>
      </c>
      <c r="U616" s="306" t="s">
        <v>1013</v>
      </c>
      <c r="V616" s="306" t="s">
        <v>1013</v>
      </c>
      <c r="W616" s="306" t="s">
        <v>1013</v>
      </c>
      <c r="X616" s="306" t="s">
        <v>1013</v>
      </c>
      <c r="Y616" s="306" t="s">
        <v>1036</v>
      </c>
      <c r="Z616" s="306" t="s">
        <v>1015</v>
      </c>
      <c r="AA616" s="306" t="s">
        <v>1013</v>
      </c>
    </row>
    <row r="617" spans="1:27" hidden="1">
      <c r="A617" s="306" t="s">
        <v>494</v>
      </c>
      <c r="B617" s="306" t="s">
        <v>1003</v>
      </c>
      <c r="C617" s="306" t="s">
        <v>1004</v>
      </c>
      <c r="D617" s="306" t="s">
        <v>1031</v>
      </c>
      <c r="E617" s="306" t="s">
        <v>2257</v>
      </c>
      <c r="F617" s="306" t="s">
        <v>1007</v>
      </c>
      <c r="G617" s="308">
        <v>46013</v>
      </c>
      <c r="H617" s="308">
        <v>46022</v>
      </c>
      <c r="I617" s="309">
        <v>875376.46</v>
      </c>
      <c r="J617" s="306" t="s">
        <v>1008</v>
      </c>
      <c r="K617" s="309">
        <v>875376.46</v>
      </c>
      <c r="L617" s="306" t="s">
        <v>1008</v>
      </c>
      <c r="M617" s="306" t="s">
        <v>1033</v>
      </c>
      <c r="N617" s="306" t="s">
        <v>1034</v>
      </c>
      <c r="O617" s="306" t="s">
        <v>1040</v>
      </c>
      <c r="P617" s="306" t="s">
        <v>1012</v>
      </c>
      <c r="Q617" s="306" t="s">
        <v>1013</v>
      </c>
      <c r="R617" s="306" t="s">
        <v>1013</v>
      </c>
      <c r="S617" s="306" t="s">
        <v>1013</v>
      </c>
      <c r="T617" s="306" t="s">
        <v>1036</v>
      </c>
      <c r="U617" s="306" t="s">
        <v>1013</v>
      </c>
      <c r="V617" s="306" t="s">
        <v>1013</v>
      </c>
      <c r="W617" s="306" t="s">
        <v>1013</v>
      </c>
      <c r="X617" s="306" t="s">
        <v>1013</v>
      </c>
      <c r="Y617" s="306" t="s">
        <v>1036</v>
      </c>
      <c r="Z617" s="306" t="s">
        <v>1015</v>
      </c>
      <c r="AA617" s="306" t="s">
        <v>1013</v>
      </c>
    </row>
    <row r="618" spans="1:27" hidden="1">
      <c r="A618" s="306" t="s">
        <v>494</v>
      </c>
      <c r="B618" s="306" t="s">
        <v>1003</v>
      </c>
      <c r="C618" s="306" t="s">
        <v>1004</v>
      </c>
      <c r="D618" s="306" t="s">
        <v>1019</v>
      </c>
      <c r="E618" s="306" t="s">
        <v>2258</v>
      </c>
      <c r="F618" s="306" t="s">
        <v>1007</v>
      </c>
      <c r="G618" s="308">
        <v>46013</v>
      </c>
      <c r="H618" s="308">
        <v>46022</v>
      </c>
      <c r="I618" s="309">
        <v>216352.2</v>
      </c>
      <c r="J618" s="306" t="s">
        <v>1008</v>
      </c>
      <c r="K618" s="309">
        <v>216352.2</v>
      </c>
      <c r="L618" s="306" t="s">
        <v>1008</v>
      </c>
      <c r="M618" s="306" t="s">
        <v>1042</v>
      </c>
      <c r="N618" s="306" t="s">
        <v>1043</v>
      </c>
      <c r="O618" s="306" t="s">
        <v>1044</v>
      </c>
      <c r="P618" s="306" t="s">
        <v>1012</v>
      </c>
      <c r="Q618" s="306" t="s">
        <v>1013</v>
      </c>
      <c r="R618" s="306" t="s">
        <v>1013</v>
      </c>
      <c r="S618" s="306" t="s">
        <v>1013</v>
      </c>
      <c r="T618" s="306" t="s">
        <v>1036</v>
      </c>
      <c r="U618" s="306" t="s">
        <v>1013</v>
      </c>
      <c r="V618" s="306" t="s">
        <v>1013</v>
      </c>
      <c r="W618" s="306" t="s">
        <v>1013</v>
      </c>
      <c r="X618" s="306" t="s">
        <v>1013</v>
      </c>
      <c r="Y618" s="306" t="s">
        <v>1036</v>
      </c>
      <c r="Z618" s="306" t="s">
        <v>1015</v>
      </c>
      <c r="AA618" s="306" t="s">
        <v>1013</v>
      </c>
    </row>
    <row r="619" spans="1:27" hidden="1">
      <c r="A619" s="306" t="s">
        <v>494</v>
      </c>
      <c r="B619" s="306" t="s">
        <v>1003</v>
      </c>
      <c r="C619" s="306" t="s">
        <v>1004</v>
      </c>
      <c r="D619" s="306" t="s">
        <v>1005</v>
      </c>
      <c r="E619" s="306" t="s">
        <v>2259</v>
      </c>
      <c r="F619" s="306" t="s">
        <v>1007</v>
      </c>
      <c r="G619" s="308">
        <v>46013</v>
      </c>
      <c r="H619" s="308">
        <v>46022</v>
      </c>
      <c r="I619" s="309">
        <v>3224999.98</v>
      </c>
      <c r="J619" s="306" t="s">
        <v>1008</v>
      </c>
      <c r="K619" s="309">
        <v>3224999.98</v>
      </c>
      <c r="L619" s="306" t="s">
        <v>1008</v>
      </c>
      <c r="M619" s="306" t="s">
        <v>1046</v>
      </c>
      <c r="N619" s="306" t="s">
        <v>1047</v>
      </c>
      <c r="O619" s="306" t="s">
        <v>1048</v>
      </c>
      <c r="P619" s="306" t="s">
        <v>1012</v>
      </c>
      <c r="Q619" s="306" t="s">
        <v>1013</v>
      </c>
      <c r="R619" s="306" t="s">
        <v>1013</v>
      </c>
      <c r="S619" s="306" t="s">
        <v>1013</v>
      </c>
      <c r="T619" s="306" t="s">
        <v>1036</v>
      </c>
      <c r="U619" s="306" t="s">
        <v>1013</v>
      </c>
      <c r="V619" s="306" t="s">
        <v>1013</v>
      </c>
      <c r="W619" s="306" t="s">
        <v>1013</v>
      </c>
      <c r="X619" s="306" t="s">
        <v>1013</v>
      </c>
      <c r="Y619" s="306" t="s">
        <v>1036</v>
      </c>
      <c r="Z619" s="306" t="s">
        <v>1015</v>
      </c>
      <c r="AA619" s="306" t="s">
        <v>1013</v>
      </c>
    </row>
    <row r="620" spans="1:27" hidden="1">
      <c r="A620" s="306" t="s">
        <v>494</v>
      </c>
      <c r="B620" s="306" t="s">
        <v>1003</v>
      </c>
      <c r="C620" s="306" t="s">
        <v>1004</v>
      </c>
      <c r="D620" s="306" t="s">
        <v>1005</v>
      </c>
      <c r="E620" s="306" t="s">
        <v>2260</v>
      </c>
      <c r="F620" s="306" t="s">
        <v>1007</v>
      </c>
      <c r="G620" s="308">
        <v>46013</v>
      </c>
      <c r="H620" s="308">
        <v>46022</v>
      </c>
      <c r="I620" s="309">
        <v>2171287.04</v>
      </c>
      <c r="J620" s="306" t="s">
        <v>1008</v>
      </c>
      <c r="K620" s="309">
        <v>2171287.04</v>
      </c>
      <c r="L620" s="306" t="s">
        <v>1008</v>
      </c>
      <c r="M620" s="306" t="s">
        <v>1046</v>
      </c>
      <c r="N620" s="306" t="s">
        <v>1047</v>
      </c>
      <c r="O620" s="306" t="s">
        <v>1050</v>
      </c>
      <c r="P620" s="306" t="s">
        <v>1012</v>
      </c>
      <c r="Q620" s="306" t="s">
        <v>1013</v>
      </c>
      <c r="R620" s="306" t="s">
        <v>1013</v>
      </c>
      <c r="S620" s="306" t="s">
        <v>1013</v>
      </c>
      <c r="T620" s="306" t="s">
        <v>1036</v>
      </c>
      <c r="U620" s="306" t="s">
        <v>1013</v>
      </c>
      <c r="V620" s="306" t="s">
        <v>1013</v>
      </c>
      <c r="W620" s="306" t="s">
        <v>1013</v>
      </c>
      <c r="X620" s="306" t="s">
        <v>1013</v>
      </c>
      <c r="Y620" s="306" t="s">
        <v>1036</v>
      </c>
      <c r="Z620" s="306" t="s">
        <v>1015</v>
      </c>
      <c r="AA620" s="306" t="s">
        <v>1013</v>
      </c>
    </row>
    <row r="621" spans="1:27" hidden="1">
      <c r="A621" s="306" t="s">
        <v>494</v>
      </c>
      <c r="B621" s="306" t="s">
        <v>1003</v>
      </c>
      <c r="C621" s="306" t="s">
        <v>1004</v>
      </c>
      <c r="D621" s="306" t="s">
        <v>1005</v>
      </c>
      <c r="E621" s="306" t="s">
        <v>2261</v>
      </c>
      <c r="F621" s="306" t="s">
        <v>1007</v>
      </c>
      <c r="G621" s="308">
        <v>46013</v>
      </c>
      <c r="H621" s="308">
        <v>46022</v>
      </c>
      <c r="I621" s="309">
        <v>78899.09</v>
      </c>
      <c r="J621" s="306" t="s">
        <v>1008</v>
      </c>
      <c r="K621" s="309">
        <v>78899.09</v>
      </c>
      <c r="L621" s="306" t="s">
        <v>1008</v>
      </c>
      <c r="M621" s="306" t="s">
        <v>1046</v>
      </c>
      <c r="N621" s="306" t="s">
        <v>1047</v>
      </c>
      <c r="O621" s="306" t="s">
        <v>1052</v>
      </c>
      <c r="P621" s="306" t="s">
        <v>1012</v>
      </c>
      <c r="Q621" s="306" t="s">
        <v>1013</v>
      </c>
      <c r="R621" s="306" t="s">
        <v>1013</v>
      </c>
      <c r="S621" s="306" t="s">
        <v>1013</v>
      </c>
      <c r="T621" s="306" t="s">
        <v>1036</v>
      </c>
      <c r="U621" s="306" t="s">
        <v>1013</v>
      </c>
      <c r="V621" s="306" t="s">
        <v>1013</v>
      </c>
      <c r="W621" s="306" t="s">
        <v>1013</v>
      </c>
      <c r="X621" s="306" t="s">
        <v>1013</v>
      </c>
      <c r="Y621" s="306" t="s">
        <v>1036</v>
      </c>
      <c r="Z621" s="306" t="s">
        <v>1015</v>
      </c>
      <c r="AA621" s="306" t="s">
        <v>1013</v>
      </c>
    </row>
    <row r="622" spans="1:27" hidden="1">
      <c r="A622" s="306" t="s">
        <v>494</v>
      </c>
      <c r="B622" s="306" t="s">
        <v>1003</v>
      </c>
      <c r="C622" s="306" t="s">
        <v>1004</v>
      </c>
      <c r="D622" s="306" t="s">
        <v>1031</v>
      </c>
      <c r="E622" s="306" t="s">
        <v>2262</v>
      </c>
      <c r="F622" s="306" t="s">
        <v>1007</v>
      </c>
      <c r="G622" s="308">
        <v>46013</v>
      </c>
      <c r="H622" s="308">
        <v>46022</v>
      </c>
      <c r="I622" s="309">
        <v>130648.96000000001</v>
      </c>
      <c r="J622" s="306" t="s">
        <v>1008</v>
      </c>
      <c r="K622" s="309">
        <v>130648.96000000001</v>
      </c>
      <c r="L622" s="306" t="s">
        <v>1008</v>
      </c>
      <c r="M622" s="306" t="s">
        <v>1033</v>
      </c>
      <c r="N622" s="306" t="s">
        <v>1034</v>
      </c>
      <c r="O622" s="306" t="s">
        <v>1054</v>
      </c>
      <c r="P622" s="306" t="s">
        <v>1012</v>
      </c>
      <c r="Q622" s="306" t="s">
        <v>1013</v>
      </c>
      <c r="R622" s="306" t="s">
        <v>1013</v>
      </c>
      <c r="S622" s="306" t="s">
        <v>1013</v>
      </c>
      <c r="T622" s="306" t="s">
        <v>1036</v>
      </c>
      <c r="U622" s="306" t="s">
        <v>1013</v>
      </c>
      <c r="V622" s="306" t="s">
        <v>1013</v>
      </c>
      <c r="W622" s="306" t="s">
        <v>1013</v>
      </c>
      <c r="X622" s="306" t="s">
        <v>1013</v>
      </c>
      <c r="Y622" s="306" t="s">
        <v>1036</v>
      </c>
      <c r="Z622" s="306" t="s">
        <v>1015</v>
      </c>
      <c r="AA622" s="306" t="s">
        <v>1013</v>
      </c>
    </row>
    <row r="623" spans="1:27" hidden="1">
      <c r="A623" s="306" t="s">
        <v>494</v>
      </c>
      <c r="B623" s="306" t="s">
        <v>1003</v>
      </c>
      <c r="C623" s="306" t="s">
        <v>1004</v>
      </c>
      <c r="D623" s="306" t="s">
        <v>1005</v>
      </c>
      <c r="E623" s="306" t="s">
        <v>2263</v>
      </c>
      <c r="F623" s="306" t="s">
        <v>1007</v>
      </c>
      <c r="G623" s="308">
        <v>46013</v>
      </c>
      <c r="H623" s="308">
        <v>46022</v>
      </c>
      <c r="I623" s="309">
        <v>197247.71</v>
      </c>
      <c r="J623" s="306" t="s">
        <v>1008</v>
      </c>
      <c r="K623" s="309">
        <v>197247.71</v>
      </c>
      <c r="L623" s="306" t="s">
        <v>1008</v>
      </c>
      <c r="M623" s="306" t="s">
        <v>1046</v>
      </c>
      <c r="N623" s="306" t="s">
        <v>1047</v>
      </c>
      <c r="O623" s="306" t="s">
        <v>1056</v>
      </c>
      <c r="P623" s="306" t="s">
        <v>1012</v>
      </c>
      <c r="Q623" s="306" t="s">
        <v>1013</v>
      </c>
      <c r="R623" s="306" t="s">
        <v>1013</v>
      </c>
      <c r="S623" s="306" t="s">
        <v>1013</v>
      </c>
      <c r="T623" s="306" t="s">
        <v>1036</v>
      </c>
      <c r="U623" s="306" t="s">
        <v>1013</v>
      </c>
      <c r="V623" s="306" t="s">
        <v>1013</v>
      </c>
      <c r="W623" s="306" t="s">
        <v>1013</v>
      </c>
      <c r="X623" s="306" t="s">
        <v>1013</v>
      </c>
      <c r="Y623" s="306" t="s">
        <v>1036</v>
      </c>
      <c r="Z623" s="306" t="s">
        <v>1015</v>
      </c>
      <c r="AA623" s="306" t="s">
        <v>1013</v>
      </c>
    </row>
    <row r="624" spans="1:27" hidden="1">
      <c r="A624" s="306" t="s">
        <v>494</v>
      </c>
      <c r="B624" s="306" t="s">
        <v>1003</v>
      </c>
      <c r="C624" s="306" t="s">
        <v>1004</v>
      </c>
      <c r="D624" s="306" t="s">
        <v>1031</v>
      </c>
      <c r="E624" s="306" t="s">
        <v>2264</v>
      </c>
      <c r="F624" s="306" t="s">
        <v>1007</v>
      </c>
      <c r="G624" s="308">
        <v>46013</v>
      </c>
      <c r="H624" s="308">
        <v>46022</v>
      </c>
      <c r="I624" s="309">
        <v>786430.68</v>
      </c>
      <c r="J624" s="306" t="s">
        <v>1008</v>
      </c>
      <c r="K624" s="309">
        <v>786430.68</v>
      </c>
      <c r="L624" s="306" t="s">
        <v>1008</v>
      </c>
      <c r="M624" s="306" t="s">
        <v>1033</v>
      </c>
      <c r="N624" s="306" t="s">
        <v>1034</v>
      </c>
      <c r="O624" s="306" t="s">
        <v>1058</v>
      </c>
      <c r="P624" s="306" t="s">
        <v>1012</v>
      </c>
      <c r="Q624" s="306" t="s">
        <v>1013</v>
      </c>
      <c r="R624" s="306" t="s">
        <v>1013</v>
      </c>
      <c r="S624" s="306" t="s">
        <v>1013</v>
      </c>
      <c r="T624" s="306" t="s">
        <v>1036</v>
      </c>
      <c r="U624" s="306" t="s">
        <v>1013</v>
      </c>
      <c r="V624" s="306" t="s">
        <v>1013</v>
      </c>
      <c r="W624" s="306" t="s">
        <v>1013</v>
      </c>
      <c r="X624" s="306" t="s">
        <v>1013</v>
      </c>
      <c r="Y624" s="306" t="s">
        <v>1036</v>
      </c>
      <c r="Z624" s="306" t="s">
        <v>1015</v>
      </c>
      <c r="AA624" s="306" t="s">
        <v>1013</v>
      </c>
    </row>
    <row r="625" spans="1:27" hidden="1">
      <c r="A625" s="306" t="s">
        <v>494</v>
      </c>
      <c r="B625" s="306" t="s">
        <v>1003</v>
      </c>
      <c r="C625" s="306" t="s">
        <v>1004</v>
      </c>
      <c r="D625" s="306" t="s">
        <v>1019</v>
      </c>
      <c r="E625" s="306" t="s">
        <v>2265</v>
      </c>
      <c r="F625" s="306" t="s">
        <v>1007</v>
      </c>
      <c r="G625" s="308">
        <v>46013</v>
      </c>
      <c r="H625" s="308">
        <v>46022</v>
      </c>
      <c r="I625" s="309">
        <v>132548.54</v>
      </c>
      <c r="J625" s="306" t="s">
        <v>1008</v>
      </c>
      <c r="K625" s="309">
        <v>132548.54</v>
      </c>
      <c r="L625" s="306" t="s">
        <v>1008</v>
      </c>
      <c r="M625" s="306" t="s">
        <v>1042</v>
      </c>
      <c r="N625" s="306" t="s">
        <v>1043</v>
      </c>
      <c r="O625" s="306" t="s">
        <v>1060</v>
      </c>
      <c r="P625" s="306" t="s">
        <v>1012</v>
      </c>
      <c r="Q625" s="306" t="s">
        <v>1013</v>
      </c>
      <c r="R625" s="306" t="s">
        <v>1013</v>
      </c>
      <c r="S625" s="306" t="s">
        <v>1013</v>
      </c>
      <c r="T625" s="306" t="s">
        <v>1036</v>
      </c>
      <c r="U625" s="306" t="s">
        <v>1013</v>
      </c>
      <c r="V625" s="306" t="s">
        <v>1013</v>
      </c>
      <c r="W625" s="306" t="s">
        <v>1013</v>
      </c>
      <c r="X625" s="306" t="s">
        <v>1013</v>
      </c>
      <c r="Y625" s="306" t="s">
        <v>1036</v>
      </c>
      <c r="Z625" s="306" t="s">
        <v>1015</v>
      </c>
      <c r="AA625" s="306" t="s">
        <v>1013</v>
      </c>
    </row>
    <row r="626" spans="1:27" hidden="1">
      <c r="A626" s="306" t="s">
        <v>494</v>
      </c>
      <c r="B626" s="306" t="s">
        <v>1003</v>
      </c>
      <c r="C626" s="306" t="s">
        <v>1004</v>
      </c>
      <c r="D626" s="306" t="s">
        <v>1031</v>
      </c>
      <c r="E626" s="306" t="s">
        <v>2266</v>
      </c>
      <c r="F626" s="306" t="s">
        <v>1007</v>
      </c>
      <c r="G626" s="308">
        <v>46013</v>
      </c>
      <c r="H626" s="308">
        <v>46022</v>
      </c>
      <c r="I626" s="309">
        <v>78008.850000000006</v>
      </c>
      <c r="J626" s="306" t="s">
        <v>1008</v>
      </c>
      <c r="K626" s="309">
        <v>78008.850000000006</v>
      </c>
      <c r="L626" s="306" t="s">
        <v>1008</v>
      </c>
      <c r="M626" s="306" t="s">
        <v>1033</v>
      </c>
      <c r="N626" s="306" t="s">
        <v>1034</v>
      </c>
      <c r="O626" s="306" t="s">
        <v>1062</v>
      </c>
      <c r="P626" s="306" t="s">
        <v>1012</v>
      </c>
      <c r="Q626" s="306" t="s">
        <v>1013</v>
      </c>
      <c r="R626" s="306" t="s">
        <v>1013</v>
      </c>
      <c r="S626" s="306" t="s">
        <v>1013</v>
      </c>
      <c r="T626" s="306" t="s">
        <v>1036</v>
      </c>
      <c r="U626" s="306" t="s">
        <v>1013</v>
      </c>
      <c r="V626" s="306" t="s">
        <v>1013</v>
      </c>
      <c r="W626" s="306" t="s">
        <v>1013</v>
      </c>
      <c r="X626" s="306" t="s">
        <v>1013</v>
      </c>
      <c r="Y626" s="306" t="s">
        <v>1036</v>
      </c>
      <c r="Z626" s="306" t="s">
        <v>1015</v>
      </c>
      <c r="AA626" s="306" t="s">
        <v>1013</v>
      </c>
    </row>
    <row r="627" spans="1:27" hidden="1">
      <c r="A627" s="306" t="s">
        <v>494</v>
      </c>
      <c r="B627" s="306" t="s">
        <v>1003</v>
      </c>
      <c r="C627" s="306" t="s">
        <v>1004</v>
      </c>
      <c r="D627" s="306" t="s">
        <v>1005</v>
      </c>
      <c r="E627" s="306" t="s">
        <v>2267</v>
      </c>
      <c r="F627" s="306" t="s">
        <v>1007</v>
      </c>
      <c r="G627" s="308">
        <v>46013</v>
      </c>
      <c r="H627" s="308">
        <v>46022</v>
      </c>
      <c r="I627" s="309">
        <v>41422.019999999997</v>
      </c>
      <c r="J627" s="306" t="s">
        <v>1008</v>
      </c>
      <c r="K627" s="309">
        <v>41422.019999999997</v>
      </c>
      <c r="L627" s="306" t="s">
        <v>1008</v>
      </c>
      <c r="M627" s="306" t="s">
        <v>1046</v>
      </c>
      <c r="N627" s="306" t="s">
        <v>1047</v>
      </c>
      <c r="O627" s="306" t="s">
        <v>1064</v>
      </c>
      <c r="P627" s="306" t="s">
        <v>1012</v>
      </c>
      <c r="Q627" s="306" t="s">
        <v>1013</v>
      </c>
      <c r="R627" s="306" t="s">
        <v>1013</v>
      </c>
      <c r="S627" s="306" t="s">
        <v>1013</v>
      </c>
      <c r="T627" s="306" t="s">
        <v>1036</v>
      </c>
      <c r="U627" s="306" t="s">
        <v>1013</v>
      </c>
      <c r="V627" s="306" t="s">
        <v>1013</v>
      </c>
      <c r="W627" s="306" t="s">
        <v>1013</v>
      </c>
      <c r="X627" s="306" t="s">
        <v>1013</v>
      </c>
      <c r="Y627" s="306" t="s">
        <v>1036</v>
      </c>
      <c r="Z627" s="306" t="s">
        <v>1015</v>
      </c>
      <c r="AA627" s="306" t="s">
        <v>1013</v>
      </c>
    </row>
    <row r="628" spans="1:27" hidden="1">
      <c r="A628" s="306" t="s">
        <v>494</v>
      </c>
      <c r="B628" s="306" t="s">
        <v>1003</v>
      </c>
      <c r="C628" s="306" t="s">
        <v>1004</v>
      </c>
      <c r="D628" s="306" t="s">
        <v>1005</v>
      </c>
      <c r="E628" s="306" t="s">
        <v>2268</v>
      </c>
      <c r="F628" s="306" t="s">
        <v>1007</v>
      </c>
      <c r="G628" s="308">
        <v>46014</v>
      </c>
      <c r="H628" s="308">
        <v>46022</v>
      </c>
      <c r="I628" s="309">
        <v>417475.73</v>
      </c>
      <c r="J628" s="306" t="s">
        <v>1008</v>
      </c>
      <c r="K628" s="309">
        <v>417475.73</v>
      </c>
      <c r="L628" s="306" t="s">
        <v>1008</v>
      </c>
      <c r="M628" s="306" t="s">
        <v>1046</v>
      </c>
      <c r="N628" s="306" t="s">
        <v>1047</v>
      </c>
      <c r="O628" s="306" t="s">
        <v>1060</v>
      </c>
      <c r="P628" s="306" t="s">
        <v>1012</v>
      </c>
      <c r="Q628" s="306" t="s">
        <v>1013</v>
      </c>
      <c r="R628" s="306" t="s">
        <v>1013</v>
      </c>
      <c r="S628" s="306" t="s">
        <v>1013</v>
      </c>
      <c r="T628" s="306" t="s">
        <v>1036</v>
      </c>
      <c r="U628" s="306" t="s">
        <v>1013</v>
      </c>
      <c r="V628" s="306" t="s">
        <v>1013</v>
      </c>
      <c r="W628" s="306" t="s">
        <v>1013</v>
      </c>
      <c r="X628" s="306" t="s">
        <v>1013</v>
      </c>
      <c r="Y628" s="306" t="s">
        <v>1036</v>
      </c>
      <c r="Z628" s="306" t="s">
        <v>1015</v>
      </c>
      <c r="AA628" s="306" t="s">
        <v>1013</v>
      </c>
    </row>
    <row r="629" spans="1:27" hidden="1">
      <c r="A629" s="306" t="s">
        <v>494</v>
      </c>
      <c r="B629" s="306" t="s">
        <v>1003</v>
      </c>
      <c r="C629" s="306" t="s">
        <v>1004</v>
      </c>
      <c r="D629" s="306" t="s">
        <v>1019</v>
      </c>
      <c r="E629" s="306" t="s">
        <v>2269</v>
      </c>
      <c r="F629" s="306" t="s">
        <v>1007</v>
      </c>
      <c r="G629" s="308">
        <v>46014</v>
      </c>
      <c r="H629" s="308">
        <v>46022</v>
      </c>
      <c r="I629" s="309">
        <v>363833.57</v>
      </c>
      <c r="J629" s="306" t="s">
        <v>1008</v>
      </c>
      <c r="K629" s="309">
        <v>363833.57</v>
      </c>
      <c r="L629" s="306" t="s">
        <v>1008</v>
      </c>
      <c r="M629" s="306" t="s">
        <v>1042</v>
      </c>
      <c r="N629" s="306" t="s">
        <v>1043</v>
      </c>
      <c r="O629" s="306" t="s">
        <v>1093</v>
      </c>
      <c r="P629" s="306" t="s">
        <v>1012</v>
      </c>
      <c r="Q629" s="306" t="s">
        <v>1013</v>
      </c>
      <c r="R629" s="306" t="s">
        <v>1013</v>
      </c>
      <c r="S629" s="306" t="s">
        <v>1013</v>
      </c>
      <c r="T629" s="306" t="s">
        <v>1036</v>
      </c>
      <c r="U629" s="306" t="s">
        <v>1013</v>
      </c>
      <c r="V629" s="306" t="s">
        <v>1013</v>
      </c>
      <c r="W629" s="306" t="s">
        <v>1013</v>
      </c>
      <c r="X629" s="306" t="s">
        <v>1013</v>
      </c>
      <c r="Y629" s="306" t="s">
        <v>1036</v>
      </c>
      <c r="Z629" s="306" t="s">
        <v>1015</v>
      </c>
      <c r="AA629" s="306" t="s">
        <v>1013</v>
      </c>
    </row>
    <row r="630" spans="1:27" hidden="1">
      <c r="A630" s="306" t="s">
        <v>494</v>
      </c>
      <c r="B630" s="306" t="s">
        <v>1003</v>
      </c>
      <c r="C630" s="306" t="s">
        <v>1004</v>
      </c>
      <c r="D630" s="306" t="s">
        <v>1019</v>
      </c>
      <c r="E630" s="306" t="s">
        <v>2270</v>
      </c>
      <c r="F630" s="306" t="s">
        <v>1007</v>
      </c>
      <c r="G630" s="308">
        <v>46022</v>
      </c>
      <c r="H630" s="308">
        <v>46022</v>
      </c>
      <c r="I630" s="309">
        <v>78475</v>
      </c>
      <c r="J630" s="306" t="s">
        <v>1008</v>
      </c>
      <c r="K630" s="309">
        <v>78475</v>
      </c>
      <c r="L630" s="306" t="s">
        <v>1008</v>
      </c>
      <c r="M630" s="306" t="s">
        <v>2115</v>
      </c>
      <c r="N630" s="306" t="s">
        <v>2116</v>
      </c>
      <c r="O630" s="306" t="s">
        <v>1129</v>
      </c>
      <c r="P630" s="306" t="s">
        <v>1012</v>
      </c>
      <c r="Q630" s="306" t="s">
        <v>1013</v>
      </c>
      <c r="R630" s="306" t="s">
        <v>1013</v>
      </c>
      <c r="S630" s="306" t="s">
        <v>1013</v>
      </c>
      <c r="T630" s="306" t="s">
        <v>2101</v>
      </c>
      <c r="U630" s="306" t="s">
        <v>1013</v>
      </c>
      <c r="V630" s="306" t="s">
        <v>1013</v>
      </c>
      <c r="W630" s="306" t="s">
        <v>1013</v>
      </c>
      <c r="X630" s="306" t="s">
        <v>1013</v>
      </c>
      <c r="Y630" s="306" t="s">
        <v>2101</v>
      </c>
      <c r="Z630" s="306" t="s">
        <v>1015</v>
      </c>
      <c r="AA630" s="306" t="s">
        <v>1013</v>
      </c>
    </row>
    <row r="631" spans="1:27" hidden="1">
      <c r="A631" s="306" t="s">
        <v>494</v>
      </c>
      <c r="B631" s="306" t="s">
        <v>1003</v>
      </c>
      <c r="C631" s="306" t="s">
        <v>1004</v>
      </c>
      <c r="D631" s="306" t="s">
        <v>1019</v>
      </c>
      <c r="E631" s="306" t="s">
        <v>2271</v>
      </c>
      <c r="F631" s="306" t="s">
        <v>1007</v>
      </c>
      <c r="G631" s="308">
        <v>46022</v>
      </c>
      <c r="H631" s="308">
        <v>46022</v>
      </c>
      <c r="I631" s="309">
        <v>107500</v>
      </c>
      <c r="J631" s="306" t="s">
        <v>1008</v>
      </c>
      <c r="K631" s="309">
        <v>107500</v>
      </c>
      <c r="L631" s="306" t="s">
        <v>1008</v>
      </c>
      <c r="M631" s="306" t="s">
        <v>2115</v>
      </c>
      <c r="N631" s="306" t="s">
        <v>2116</v>
      </c>
      <c r="O631" s="306" t="s">
        <v>2103</v>
      </c>
      <c r="P631" s="306" t="s">
        <v>1012</v>
      </c>
      <c r="Q631" s="306" t="s">
        <v>1013</v>
      </c>
      <c r="R631" s="306" t="s">
        <v>1013</v>
      </c>
      <c r="S631" s="306" t="s">
        <v>1013</v>
      </c>
      <c r="T631" s="306" t="s">
        <v>2101</v>
      </c>
      <c r="U631" s="306" t="s">
        <v>1013</v>
      </c>
      <c r="V631" s="306" t="s">
        <v>1013</v>
      </c>
      <c r="W631" s="306" t="s">
        <v>1013</v>
      </c>
      <c r="X631" s="306" t="s">
        <v>1013</v>
      </c>
      <c r="Y631" s="306" t="s">
        <v>2101</v>
      </c>
      <c r="Z631" s="306" t="s">
        <v>1015</v>
      </c>
      <c r="AA631" s="306" t="s">
        <v>1013</v>
      </c>
    </row>
    <row r="632" spans="1:27" hidden="1">
      <c r="A632" s="306" t="s">
        <v>494</v>
      </c>
      <c r="B632" s="306" t="s">
        <v>1003</v>
      </c>
      <c r="C632" s="306" t="s">
        <v>1004</v>
      </c>
      <c r="D632" s="306" t="s">
        <v>1019</v>
      </c>
      <c r="E632" s="306" t="s">
        <v>2272</v>
      </c>
      <c r="F632" s="306" t="s">
        <v>1007</v>
      </c>
      <c r="G632" s="308">
        <v>46022</v>
      </c>
      <c r="H632" s="308">
        <v>46022</v>
      </c>
      <c r="I632" s="309">
        <v>3691406.67</v>
      </c>
      <c r="J632" s="306" t="s">
        <v>1008</v>
      </c>
      <c r="K632" s="309">
        <v>3691406.67</v>
      </c>
      <c r="L632" s="306" t="s">
        <v>1008</v>
      </c>
      <c r="M632" s="306" t="s">
        <v>2115</v>
      </c>
      <c r="N632" s="306" t="s">
        <v>2116</v>
      </c>
      <c r="O632" s="306" t="s">
        <v>2105</v>
      </c>
      <c r="P632" s="306" t="s">
        <v>1012</v>
      </c>
      <c r="Q632" s="306" t="s">
        <v>1013</v>
      </c>
      <c r="R632" s="306" t="s">
        <v>1013</v>
      </c>
      <c r="S632" s="306" t="s">
        <v>1013</v>
      </c>
      <c r="T632" s="306" t="s">
        <v>2101</v>
      </c>
      <c r="U632" s="306" t="s">
        <v>1013</v>
      </c>
      <c r="V632" s="306" t="s">
        <v>1013</v>
      </c>
      <c r="W632" s="306" t="s">
        <v>1013</v>
      </c>
      <c r="X632" s="306" t="s">
        <v>1013</v>
      </c>
      <c r="Y632" s="306" t="s">
        <v>2101</v>
      </c>
      <c r="Z632" s="306" t="s">
        <v>1015</v>
      </c>
      <c r="AA632" s="306" t="s">
        <v>1013</v>
      </c>
    </row>
    <row r="633" spans="1:27" hidden="1">
      <c r="A633" s="306" t="s">
        <v>494</v>
      </c>
      <c r="B633" s="306" t="s">
        <v>1003</v>
      </c>
      <c r="C633" s="306" t="s">
        <v>1004</v>
      </c>
      <c r="D633" s="306" t="s">
        <v>1019</v>
      </c>
      <c r="E633" s="306" t="s">
        <v>2273</v>
      </c>
      <c r="F633" s="306" t="s">
        <v>1007</v>
      </c>
      <c r="G633" s="308">
        <v>46022</v>
      </c>
      <c r="H633" s="308">
        <v>46022</v>
      </c>
      <c r="I633" s="309">
        <v>32250</v>
      </c>
      <c r="J633" s="306" t="s">
        <v>1008</v>
      </c>
      <c r="K633" s="309">
        <v>32250</v>
      </c>
      <c r="L633" s="306" t="s">
        <v>1008</v>
      </c>
      <c r="M633" s="306" t="s">
        <v>2115</v>
      </c>
      <c r="N633" s="306" t="s">
        <v>2116</v>
      </c>
      <c r="O633" s="306" t="s">
        <v>2107</v>
      </c>
      <c r="P633" s="306" t="s">
        <v>1012</v>
      </c>
      <c r="Q633" s="306" t="s">
        <v>1013</v>
      </c>
      <c r="R633" s="306" t="s">
        <v>1013</v>
      </c>
      <c r="S633" s="306" t="s">
        <v>1013</v>
      </c>
      <c r="T633" s="306" t="s">
        <v>2101</v>
      </c>
      <c r="U633" s="306" t="s">
        <v>1013</v>
      </c>
      <c r="V633" s="306" t="s">
        <v>1013</v>
      </c>
      <c r="W633" s="306" t="s">
        <v>1013</v>
      </c>
      <c r="X633" s="306" t="s">
        <v>1013</v>
      </c>
      <c r="Y633" s="306" t="s">
        <v>2101</v>
      </c>
      <c r="Z633" s="306" t="s">
        <v>1015</v>
      </c>
      <c r="AA633" s="306" t="s">
        <v>1013</v>
      </c>
    </row>
    <row r="634" spans="1:27" hidden="1">
      <c r="A634" s="306" t="s">
        <v>494</v>
      </c>
      <c r="B634" s="306" t="s">
        <v>1003</v>
      </c>
      <c r="C634" s="306" t="s">
        <v>1004</v>
      </c>
      <c r="D634" s="306" t="s">
        <v>1019</v>
      </c>
      <c r="E634" s="306" t="s">
        <v>2274</v>
      </c>
      <c r="F634" s="306" t="s">
        <v>1007</v>
      </c>
      <c r="G634" s="308">
        <v>46022</v>
      </c>
      <c r="H634" s="308">
        <v>46022</v>
      </c>
      <c r="I634" s="309">
        <v>32250</v>
      </c>
      <c r="J634" s="306" t="s">
        <v>1008</v>
      </c>
      <c r="K634" s="309">
        <v>32250</v>
      </c>
      <c r="L634" s="306" t="s">
        <v>1008</v>
      </c>
      <c r="M634" s="306" t="s">
        <v>2115</v>
      </c>
      <c r="N634" s="306" t="s">
        <v>2116</v>
      </c>
      <c r="O634" s="306" t="s">
        <v>2109</v>
      </c>
      <c r="P634" s="306" t="s">
        <v>1012</v>
      </c>
      <c r="Q634" s="306" t="s">
        <v>1013</v>
      </c>
      <c r="R634" s="306" t="s">
        <v>1013</v>
      </c>
      <c r="S634" s="306" t="s">
        <v>1013</v>
      </c>
      <c r="T634" s="306" t="s">
        <v>2101</v>
      </c>
      <c r="U634" s="306" t="s">
        <v>1013</v>
      </c>
      <c r="V634" s="306" t="s">
        <v>1013</v>
      </c>
      <c r="W634" s="306" t="s">
        <v>1013</v>
      </c>
      <c r="X634" s="306" t="s">
        <v>1013</v>
      </c>
      <c r="Y634" s="306" t="s">
        <v>2101</v>
      </c>
      <c r="Z634" s="306" t="s">
        <v>1015</v>
      </c>
      <c r="AA634" s="306" t="s">
        <v>1013</v>
      </c>
    </row>
    <row r="635" spans="1:27" hidden="1">
      <c r="A635" s="306" t="s">
        <v>494</v>
      </c>
      <c r="B635" s="306" t="s">
        <v>1003</v>
      </c>
      <c r="C635" s="306" t="s">
        <v>1004</v>
      </c>
      <c r="D635" s="306" t="s">
        <v>1019</v>
      </c>
      <c r="E635" s="306" t="s">
        <v>2275</v>
      </c>
      <c r="F635" s="306" t="s">
        <v>1007</v>
      </c>
      <c r="G635" s="308">
        <v>46022</v>
      </c>
      <c r="H635" s="308">
        <v>46022</v>
      </c>
      <c r="I635" s="309">
        <v>176252.13</v>
      </c>
      <c r="J635" s="306" t="s">
        <v>1008</v>
      </c>
      <c r="K635" s="309">
        <v>176252.13</v>
      </c>
      <c r="L635" s="306" t="s">
        <v>1008</v>
      </c>
      <c r="M635" s="306" t="s">
        <v>2115</v>
      </c>
      <c r="N635" s="306" t="s">
        <v>2116</v>
      </c>
      <c r="O635" s="306" t="s">
        <v>2111</v>
      </c>
      <c r="P635" s="306" t="s">
        <v>1012</v>
      </c>
      <c r="Q635" s="306" t="s">
        <v>1013</v>
      </c>
      <c r="R635" s="306" t="s">
        <v>1013</v>
      </c>
      <c r="S635" s="306" t="s">
        <v>1013</v>
      </c>
      <c r="T635" s="306" t="s">
        <v>2101</v>
      </c>
      <c r="U635" s="306" t="s">
        <v>1013</v>
      </c>
      <c r="V635" s="306" t="s">
        <v>1013</v>
      </c>
      <c r="W635" s="306" t="s">
        <v>1013</v>
      </c>
      <c r="X635" s="306" t="s">
        <v>1013</v>
      </c>
      <c r="Y635" s="306" t="s">
        <v>2101</v>
      </c>
      <c r="Z635" s="306" t="s">
        <v>1015</v>
      </c>
      <c r="AA635" s="306" t="s">
        <v>1013</v>
      </c>
    </row>
    <row r="636" spans="1:27" hidden="1">
      <c r="A636" s="306" t="s">
        <v>494</v>
      </c>
      <c r="B636" s="306" t="s">
        <v>1003</v>
      </c>
      <c r="C636" s="306" t="s">
        <v>1004</v>
      </c>
      <c r="D636" s="306" t="s">
        <v>1019</v>
      </c>
      <c r="E636" s="306" t="s">
        <v>2276</v>
      </c>
      <c r="F636" s="306" t="s">
        <v>1007</v>
      </c>
      <c r="G636" s="308">
        <v>46022</v>
      </c>
      <c r="H636" s="308">
        <v>46022</v>
      </c>
      <c r="I636" s="309">
        <v>128734.57</v>
      </c>
      <c r="J636" s="306" t="s">
        <v>1008</v>
      </c>
      <c r="K636" s="309">
        <v>128734.57</v>
      </c>
      <c r="L636" s="306" t="s">
        <v>1008</v>
      </c>
      <c r="M636" s="306" t="s">
        <v>2115</v>
      </c>
      <c r="N636" s="306" t="s">
        <v>2116</v>
      </c>
      <c r="O636" s="306" t="s">
        <v>2113</v>
      </c>
      <c r="P636" s="306" t="s">
        <v>1012</v>
      </c>
      <c r="Q636" s="306" t="s">
        <v>1013</v>
      </c>
      <c r="R636" s="306" t="s">
        <v>1013</v>
      </c>
      <c r="S636" s="306" t="s">
        <v>1013</v>
      </c>
      <c r="T636" s="306" t="s">
        <v>2101</v>
      </c>
      <c r="U636" s="306" t="s">
        <v>1013</v>
      </c>
      <c r="V636" s="306" t="s">
        <v>1013</v>
      </c>
      <c r="W636" s="306" t="s">
        <v>1013</v>
      </c>
      <c r="X636" s="306" t="s">
        <v>1013</v>
      </c>
      <c r="Y636" s="306" t="s">
        <v>2101</v>
      </c>
      <c r="Z636" s="306" t="s">
        <v>1015</v>
      </c>
      <c r="AA636" s="306" t="s">
        <v>1013</v>
      </c>
    </row>
    <row r="637" spans="1:27" hidden="1">
      <c r="A637" s="306" t="s">
        <v>494</v>
      </c>
      <c r="B637" s="306" t="s">
        <v>1003</v>
      </c>
      <c r="C637" s="306" t="s">
        <v>1004</v>
      </c>
      <c r="D637" s="306" t="s">
        <v>1019</v>
      </c>
      <c r="E637" s="306" t="s">
        <v>2277</v>
      </c>
      <c r="F637" s="306" t="s">
        <v>1007</v>
      </c>
      <c r="G637" s="308">
        <v>46022</v>
      </c>
      <c r="H637" s="308">
        <v>46022</v>
      </c>
      <c r="I637" s="309">
        <v>-78475</v>
      </c>
      <c r="J637" s="306" t="s">
        <v>1008</v>
      </c>
      <c r="K637" s="309">
        <v>-78475</v>
      </c>
      <c r="L637" s="306" t="s">
        <v>1008</v>
      </c>
      <c r="M637" s="306" t="s">
        <v>2116</v>
      </c>
      <c r="N637" s="306" t="s">
        <v>2116</v>
      </c>
      <c r="O637" s="306" t="s">
        <v>1129</v>
      </c>
      <c r="P637" s="306" t="s">
        <v>1026</v>
      </c>
      <c r="Q637" s="306" t="s">
        <v>1013</v>
      </c>
      <c r="R637" s="306" t="s">
        <v>1013</v>
      </c>
      <c r="S637" s="306" t="s">
        <v>1013</v>
      </c>
      <c r="T637" s="306" t="s">
        <v>2101</v>
      </c>
      <c r="U637" s="306" t="s">
        <v>1013</v>
      </c>
      <c r="V637" s="306" t="s">
        <v>1013</v>
      </c>
      <c r="W637" s="306" t="s">
        <v>1013</v>
      </c>
      <c r="X637" s="306" t="s">
        <v>1013</v>
      </c>
      <c r="Y637" s="306" t="s">
        <v>2101</v>
      </c>
      <c r="Z637" s="306" t="s">
        <v>1015</v>
      </c>
      <c r="AA637" s="306" t="s">
        <v>1013</v>
      </c>
    </row>
    <row r="638" spans="1:27" hidden="1">
      <c r="A638" s="306" t="s">
        <v>494</v>
      </c>
      <c r="B638" s="306" t="s">
        <v>1003</v>
      </c>
      <c r="C638" s="306" t="s">
        <v>1004</v>
      </c>
      <c r="D638" s="306" t="s">
        <v>1019</v>
      </c>
      <c r="E638" s="306" t="s">
        <v>2278</v>
      </c>
      <c r="F638" s="306" t="s">
        <v>1007</v>
      </c>
      <c r="G638" s="308">
        <v>46022</v>
      </c>
      <c r="H638" s="308">
        <v>46022</v>
      </c>
      <c r="I638" s="309">
        <v>-107500</v>
      </c>
      <c r="J638" s="306" t="s">
        <v>1008</v>
      </c>
      <c r="K638" s="309">
        <v>-107500</v>
      </c>
      <c r="L638" s="306" t="s">
        <v>1008</v>
      </c>
      <c r="M638" s="306" t="s">
        <v>2116</v>
      </c>
      <c r="N638" s="306" t="s">
        <v>2116</v>
      </c>
      <c r="O638" s="306" t="s">
        <v>2103</v>
      </c>
      <c r="P638" s="306" t="s">
        <v>1026</v>
      </c>
      <c r="Q638" s="306" t="s">
        <v>1013</v>
      </c>
      <c r="R638" s="306" t="s">
        <v>1013</v>
      </c>
      <c r="S638" s="306" t="s">
        <v>1013</v>
      </c>
      <c r="T638" s="306" t="s">
        <v>2101</v>
      </c>
      <c r="U638" s="306" t="s">
        <v>1013</v>
      </c>
      <c r="V638" s="306" t="s">
        <v>1013</v>
      </c>
      <c r="W638" s="306" t="s">
        <v>1013</v>
      </c>
      <c r="X638" s="306" t="s">
        <v>1013</v>
      </c>
      <c r="Y638" s="306" t="s">
        <v>2101</v>
      </c>
      <c r="Z638" s="306" t="s">
        <v>1015</v>
      </c>
      <c r="AA638" s="306" t="s">
        <v>1013</v>
      </c>
    </row>
    <row r="639" spans="1:27" hidden="1">
      <c r="A639" s="306" t="s">
        <v>494</v>
      </c>
      <c r="B639" s="306" t="s">
        <v>1003</v>
      </c>
      <c r="C639" s="306" t="s">
        <v>1004</v>
      </c>
      <c r="D639" s="306" t="s">
        <v>1019</v>
      </c>
      <c r="E639" s="306" t="s">
        <v>2279</v>
      </c>
      <c r="F639" s="306" t="s">
        <v>1007</v>
      </c>
      <c r="G639" s="308">
        <v>46022</v>
      </c>
      <c r="H639" s="308">
        <v>46022</v>
      </c>
      <c r="I639" s="309">
        <v>-3691406.67</v>
      </c>
      <c r="J639" s="306" t="s">
        <v>1008</v>
      </c>
      <c r="K639" s="309">
        <v>-3691406.67</v>
      </c>
      <c r="L639" s="306" t="s">
        <v>1008</v>
      </c>
      <c r="M639" s="306" t="s">
        <v>2116</v>
      </c>
      <c r="N639" s="306" t="s">
        <v>2116</v>
      </c>
      <c r="O639" s="306" t="s">
        <v>2105</v>
      </c>
      <c r="P639" s="306" t="s">
        <v>1026</v>
      </c>
      <c r="Q639" s="306" t="s">
        <v>1013</v>
      </c>
      <c r="R639" s="306" t="s">
        <v>1013</v>
      </c>
      <c r="S639" s="306" t="s">
        <v>1013</v>
      </c>
      <c r="T639" s="306" t="s">
        <v>2101</v>
      </c>
      <c r="U639" s="306" t="s">
        <v>1013</v>
      </c>
      <c r="V639" s="306" t="s">
        <v>1013</v>
      </c>
      <c r="W639" s="306" t="s">
        <v>1013</v>
      </c>
      <c r="X639" s="306" t="s">
        <v>1013</v>
      </c>
      <c r="Y639" s="306" t="s">
        <v>2101</v>
      </c>
      <c r="Z639" s="306" t="s">
        <v>1015</v>
      </c>
      <c r="AA639" s="306" t="s">
        <v>1013</v>
      </c>
    </row>
    <row r="640" spans="1:27" hidden="1">
      <c r="A640" s="306" t="s">
        <v>494</v>
      </c>
      <c r="B640" s="306" t="s">
        <v>1003</v>
      </c>
      <c r="C640" s="306" t="s">
        <v>1004</v>
      </c>
      <c r="D640" s="306" t="s">
        <v>1019</v>
      </c>
      <c r="E640" s="306" t="s">
        <v>2280</v>
      </c>
      <c r="F640" s="306" t="s">
        <v>1007</v>
      </c>
      <c r="G640" s="308">
        <v>46022</v>
      </c>
      <c r="H640" s="308">
        <v>46022</v>
      </c>
      <c r="I640" s="309">
        <v>-32250</v>
      </c>
      <c r="J640" s="306" t="s">
        <v>1008</v>
      </c>
      <c r="K640" s="309">
        <v>-32250</v>
      </c>
      <c r="L640" s="306" t="s">
        <v>1008</v>
      </c>
      <c r="M640" s="306" t="s">
        <v>2116</v>
      </c>
      <c r="N640" s="306" t="s">
        <v>2116</v>
      </c>
      <c r="O640" s="306" t="s">
        <v>2107</v>
      </c>
      <c r="P640" s="306" t="s">
        <v>1026</v>
      </c>
      <c r="Q640" s="306" t="s">
        <v>1013</v>
      </c>
      <c r="R640" s="306" t="s">
        <v>1013</v>
      </c>
      <c r="S640" s="306" t="s">
        <v>1013</v>
      </c>
      <c r="T640" s="306" t="s">
        <v>2101</v>
      </c>
      <c r="U640" s="306" t="s">
        <v>1013</v>
      </c>
      <c r="V640" s="306" t="s">
        <v>1013</v>
      </c>
      <c r="W640" s="306" t="s">
        <v>1013</v>
      </c>
      <c r="X640" s="306" t="s">
        <v>1013</v>
      </c>
      <c r="Y640" s="306" t="s">
        <v>2101</v>
      </c>
      <c r="Z640" s="306" t="s">
        <v>1015</v>
      </c>
      <c r="AA640" s="306" t="s">
        <v>1013</v>
      </c>
    </row>
    <row r="641" spans="1:27" hidden="1">
      <c r="A641" s="306" t="s">
        <v>494</v>
      </c>
      <c r="B641" s="306" t="s">
        <v>1003</v>
      </c>
      <c r="C641" s="306" t="s">
        <v>1004</v>
      </c>
      <c r="D641" s="306" t="s">
        <v>1019</v>
      </c>
      <c r="E641" s="306" t="s">
        <v>2281</v>
      </c>
      <c r="F641" s="306" t="s">
        <v>1007</v>
      </c>
      <c r="G641" s="308">
        <v>46022</v>
      </c>
      <c r="H641" s="308">
        <v>46022</v>
      </c>
      <c r="I641" s="309">
        <v>-32250</v>
      </c>
      <c r="J641" s="306" t="s">
        <v>1008</v>
      </c>
      <c r="K641" s="309">
        <v>-32250</v>
      </c>
      <c r="L641" s="306" t="s">
        <v>1008</v>
      </c>
      <c r="M641" s="306" t="s">
        <v>2116</v>
      </c>
      <c r="N641" s="306" t="s">
        <v>2116</v>
      </c>
      <c r="O641" s="306" t="s">
        <v>2109</v>
      </c>
      <c r="P641" s="306" t="s">
        <v>1026</v>
      </c>
      <c r="Q641" s="306" t="s">
        <v>1013</v>
      </c>
      <c r="R641" s="306" t="s">
        <v>1013</v>
      </c>
      <c r="S641" s="306" t="s">
        <v>1013</v>
      </c>
      <c r="T641" s="306" t="s">
        <v>2101</v>
      </c>
      <c r="U641" s="306" t="s">
        <v>1013</v>
      </c>
      <c r="V641" s="306" t="s">
        <v>1013</v>
      </c>
      <c r="W641" s="306" t="s">
        <v>1013</v>
      </c>
      <c r="X641" s="306" t="s">
        <v>1013</v>
      </c>
      <c r="Y641" s="306" t="s">
        <v>2101</v>
      </c>
      <c r="Z641" s="306" t="s">
        <v>1015</v>
      </c>
      <c r="AA641" s="306" t="s">
        <v>1013</v>
      </c>
    </row>
    <row r="642" spans="1:27" hidden="1">
      <c r="A642" s="306" t="s">
        <v>494</v>
      </c>
      <c r="B642" s="306" t="s">
        <v>1003</v>
      </c>
      <c r="C642" s="306" t="s">
        <v>1004</v>
      </c>
      <c r="D642" s="306" t="s">
        <v>1019</v>
      </c>
      <c r="E642" s="306" t="s">
        <v>2282</v>
      </c>
      <c r="F642" s="306" t="s">
        <v>1007</v>
      </c>
      <c r="G642" s="308">
        <v>46022</v>
      </c>
      <c r="H642" s="308">
        <v>46022</v>
      </c>
      <c r="I642" s="309">
        <v>-176252.13</v>
      </c>
      <c r="J642" s="306" t="s">
        <v>1008</v>
      </c>
      <c r="K642" s="309">
        <v>-176252.13</v>
      </c>
      <c r="L642" s="306" t="s">
        <v>1008</v>
      </c>
      <c r="M642" s="306" t="s">
        <v>2116</v>
      </c>
      <c r="N642" s="306" t="s">
        <v>2116</v>
      </c>
      <c r="O642" s="306" t="s">
        <v>2111</v>
      </c>
      <c r="P642" s="306" t="s">
        <v>1026</v>
      </c>
      <c r="Q642" s="306" t="s">
        <v>1013</v>
      </c>
      <c r="R642" s="306" t="s">
        <v>1013</v>
      </c>
      <c r="S642" s="306" t="s">
        <v>1013</v>
      </c>
      <c r="T642" s="306" t="s">
        <v>2101</v>
      </c>
      <c r="U642" s="306" t="s">
        <v>1013</v>
      </c>
      <c r="V642" s="306" t="s">
        <v>1013</v>
      </c>
      <c r="W642" s="306" t="s">
        <v>1013</v>
      </c>
      <c r="X642" s="306" t="s">
        <v>1013</v>
      </c>
      <c r="Y642" s="306" t="s">
        <v>2101</v>
      </c>
      <c r="Z642" s="306" t="s">
        <v>1015</v>
      </c>
      <c r="AA642" s="306" t="s">
        <v>1013</v>
      </c>
    </row>
    <row r="643" spans="1:27" hidden="1">
      <c r="A643" s="306" t="s">
        <v>494</v>
      </c>
      <c r="B643" s="306" t="s">
        <v>1003</v>
      </c>
      <c r="C643" s="306" t="s">
        <v>1004</v>
      </c>
      <c r="D643" s="306" t="s">
        <v>1019</v>
      </c>
      <c r="E643" s="306" t="s">
        <v>2283</v>
      </c>
      <c r="F643" s="306" t="s">
        <v>1007</v>
      </c>
      <c r="G643" s="308">
        <v>46022</v>
      </c>
      <c r="H643" s="308">
        <v>46022</v>
      </c>
      <c r="I643" s="309">
        <v>-128734.57</v>
      </c>
      <c r="J643" s="306" t="s">
        <v>1008</v>
      </c>
      <c r="K643" s="309">
        <v>-128734.57</v>
      </c>
      <c r="L643" s="306" t="s">
        <v>1008</v>
      </c>
      <c r="M643" s="306" t="s">
        <v>2116</v>
      </c>
      <c r="N643" s="306" t="s">
        <v>2116</v>
      </c>
      <c r="O643" s="306" t="s">
        <v>2113</v>
      </c>
      <c r="P643" s="306" t="s">
        <v>1026</v>
      </c>
      <c r="Q643" s="306" t="s">
        <v>1013</v>
      </c>
      <c r="R643" s="306" t="s">
        <v>1013</v>
      </c>
      <c r="S643" s="306" t="s">
        <v>1013</v>
      </c>
      <c r="T643" s="306" t="s">
        <v>2101</v>
      </c>
      <c r="U643" s="306" t="s">
        <v>1013</v>
      </c>
      <c r="V643" s="306" t="s">
        <v>1013</v>
      </c>
      <c r="W643" s="306" t="s">
        <v>1013</v>
      </c>
      <c r="X643" s="306" t="s">
        <v>1013</v>
      </c>
      <c r="Y643" s="306" t="s">
        <v>2101</v>
      </c>
      <c r="Z643" s="306" t="s">
        <v>1015</v>
      </c>
      <c r="AA643" s="306" t="s">
        <v>1013</v>
      </c>
    </row>
    <row r="644" spans="1:27" hidden="1">
      <c r="A644" s="306" t="s">
        <v>494</v>
      </c>
      <c r="B644" s="306" t="s">
        <v>1003</v>
      </c>
      <c r="C644" s="306" t="s">
        <v>1004</v>
      </c>
      <c r="D644" s="306" t="s">
        <v>1005</v>
      </c>
      <c r="E644" s="306" t="s">
        <v>2284</v>
      </c>
      <c r="F644" s="306" t="s">
        <v>1007</v>
      </c>
      <c r="G644" s="308">
        <v>46022</v>
      </c>
      <c r="H644" s="308">
        <v>46022</v>
      </c>
      <c r="I644" s="309">
        <v>-121009778.31999999</v>
      </c>
      <c r="J644" s="306" t="s">
        <v>1008</v>
      </c>
      <c r="K644" s="309">
        <v>-121009778.31999999</v>
      </c>
      <c r="L644" s="306" t="s">
        <v>1008</v>
      </c>
      <c r="M644" s="306" t="s">
        <v>2285</v>
      </c>
      <c r="N644" s="306" t="s">
        <v>1151</v>
      </c>
      <c r="O644" s="306" t="s">
        <v>2182</v>
      </c>
      <c r="P644" s="306" t="s">
        <v>244</v>
      </c>
      <c r="Q644" s="306" t="s">
        <v>1013</v>
      </c>
      <c r="R644" s="306" t="s">
        <v>1013</v>
      </c>
      <c r="S644" s="306" t="s">
        <v>1013</v>
      </c>
      <c r="T644" s="306" t="s">
        <v>1153</v>
      </c>
      <c r="U644" s="306" t="s">
        <v>1013</v>
      </c>
      <c r="V644" s="306" t="s">
        <v>1013</v>
      </c>
      <c r="W644" s="306" t="s">
        <v>1013</v>
      </c>
      <c r="X644" s="306" t="s">
        <v>1013</v>
      </c>
      <c r="Y644" s="306" t="s">
        <v>1153</v>
      </c>
      <c r="Z644" s="306" t="s">
        <v>1015</v>
      </c>
      <c r="AA644" s="306" t="s">
        <v>1013</v>
      </c>
    </row>
    <row r="645" spans="1:27" hidden="1">
      <c r="A645" s="306" t="s">
        <v>494</v>
      </c>
      <c r="B645" s="306" t="s">
        <v>1003</v>
      </c>
      <c r="C645" s="306" t="s">
        <v>1004</v>
      </c>
      <c r="D645" s="306" t="s">
        <v>2286</v>
      </c>
      <c r="E645" s="306" t="s">
        <v>2287</v>
      </c>
      <c r="F645" s="306" t="s">
        <v>1007</v>
      </c>
      <c r="G645" s="308">
        <v>46022</v>
      </c>
      <c r="H645" s="308">
        <v>46022</v>
      </c>
      <c r="I645" s="309">
        <v>-163333.32999999999</v>
      </c>
      <c r="J645" s="306" t="s">
        <v>1008</v>
      </c>
      <c r="K645" s="309">
        <v>-163333.32999999999</v>
      </c>
      <c r="L645" s="306" t="s">
        <v>1008</v>
      </c>
      <c r="M645" s="306" t="s">
        <v>2288</v>
      </c>
      <c r="N645" s="306" t="s">
        <v>2289</v>
      </c>
      <c r="O645" s="306" t="s">
        <v>2290</v>
      </c>
      <c r="P645" s="306" t="s">
        <v>1013</v>
      </c>
      <c r="Q645" s="306" t="s">
        <v>1013</v>
      </c>
      <c r="R645" s="306" t="s">
        <v>1013</v>
      </c>
      <c r="S645" s="306" t="s">
        <v>1013</v>
      </c>
      <c r="T645" s="306" t="s">
        <v>1013</v>
      </c>
      <c r="U645" s="306" t="s">
        <v>1013</v>
      </c>
      <c r="V645" s="306" t="s">
        <v>1013</v>
      </c>
      <c r="W645" s="306" t="s">
        <v>1013</v>
      </c>
      <c r="X645" s="306" t="s">
        <v>1013</v>
      </c>
      <c r="Y645" s="306" t="s">
        <v>2291</v>
      </c>
      <c r="Z645" s="306" t="s">
        <v>1015</v>
      </c>
      <c r="AA645" s="306" t="s">
        <v>1013</v>
      </c>
    </row>
    <row r="646" spans="1:27">
      <c r="A646" s="306" t="s">
        <v>494</v>
      </c>
      <c r="B646" s="306" t="s">
        <v>1003</v>
      </c>
      <c r="C646" s="306" t="s">
        <v>1004</v>
      </c>
      <c r="D646" s="306" t="s">
        <v>2286</v>
      </c>
      <c r="E646" s="306" t="s">
        <v>2292</v>
      </c>
      <c r="F646" s="306" t="s">
        <v>1007</v>
      </c>
      <c r="G646" s="308">
        <v>46022</v>
      </c>
      <c r="H646" s="308">
        <v>46022</v>
      </c>
      <c r="I646" s="309">
        <v>-220622.31</v>
      </c>
      <c r="J646" s="306" t="s">
        <v>1008</v>
      </c>
      <c r="K646" s="309">
        <v>-220622.31</v>
      </c>
      <c r="L646" s="306" t="s">
        <v>1008</v>
      </c>
      <c r="M646" s="306" t="s">
        <v>2293</v>
      </c>
      <c r="N646" s="306" t="s">
        <v>2294</v>
      </c>
      <c r="O646" s="306" t="s">
        <v>2295</v>
      </c>
      <c r="P646" s="306" t="s">
        <v>1013</v>
      </c>
      <c r="Q646" s="306" t="s">
        <v>1013</v>
      </c>
      <c r="R646" s="306" t="s">
        <v>1013</v>
      </c>
      <c r="S646" s="306" t="s">
        <v>1013</v>
      </c>
      <c r="T646" s="306" t="s">
        <v>1013</v>
      </c>
      <c r="U646" s="306" t="s">
        <v>1013</v>
      </c>
      <c r="V646" s="306" t="s">
        <v>1013</v>
      </c>
      <c r="W646" s="306" t="s">
        <v>1013</v>
      </c>
      <c r="X646" s="306" t="s">
        <v>1013</v>
      </c>
      <c r="Y646" s="306" t="s">
        <v>2296</v>
      </c>
      <c r="Z646" s="306" t="s">
        <v>1015</v>
      </c>
      <c r="AA646" s="306" t="s">
        <v>1013</v>
      </c>
    </row>
    <row r="647" spans="1:27">
      <c r="A647" s="306" t="s">
        <v>494</v>
      </c>
      <c r="B647" s="306" t="s">
        <v>1003</v>
      </c>
      <c r="C647" s="306" t="s">
        <v>1004</v>
      </c>
      <c r="D647" s="306" t="s">
        <v>2286</v>
      </c>
      <c r="E647" s="306" t="s">
        <v>2297</v>
      </c>
      <c r="F647" s="306" t="s">
        <v>1007</v>
      </c>
      <c r="G647" s="308">
        <v>46022</v>
      </c>
      <c r="H647" s="308">
        <v>46022</v>
      </c>
      <c r="I647" s="309">
        <v>-75995.78</v>
      </c>
      <c r="J647" s="306" t="s">
        <v>1008</v>
      </c>
      <c r="K647" s="309">
        <v>-75995.78</v>
      </c>
      <c r="L647" s="306" t="s">
        <v>1008</v>
      </c>
      <c r="M647" s="306" t="s">
        <v>2298</v>
      </c>
      <c r="N647" s="306" t="s">
        <v>2299</v>
      </c>
      <c r="O647" s="306" t="s">
        <v>2300</v>
      </c>
      <c r="P647" s="306" t="s">
        <v>1013</v>
      </c>
      <c r="Q647" s="306" t="s">
        <v>1013</v>
      </c>
      <c r="R647" s="306" t="s">
        <v>1013</v>
      </c>
      <c r="S647" s="306" t="s">
        <v>1013</v>
      </c>
      <c r="T647" s="306" t="s">
        <v>1013</v>
      </c>
      <c r="U647" s="306" t="s">
        <v>1013</v>
      </c>
      <c r="V647" s="306" t="s">
        <v>1013</v>
      </c>
      <c r="W647" s="306" t="s">
        <v>1013</v>
      </c>
      <c r="X647" s="306" t="s">
        <v>1013</v>
      </c>
      <c r="Y647" s="306" t="s">
        <v>2301</v>
      </c>
      <c r="Z647" s="306" t="s">
        <v>1015</v>
      </c>
      <c r="AA647" s="306" t="s">
        <v>1013</v>
      </c>
    </row>
    <row r="648" spans="1:27">
      <c r="A648" s="306" t="s">
        <v>494</v>
      </c>
      <c r="B648" s="306" t="s">
        <v>1003</v>
      </c>
      <c r="C648" s="306" t="s">
        <v>1004</v>
      </c>
      <c r="D648" s="306" t="s">
        <v>2286</v>
      </c>
      <c r="E648" s="306" t="s">
        <v>2302</v>
      </c>
      <c r="F648" s="306" t="s">
        <v>1007</v>
      </c>
      <c r="G648" s="308">
        <v>46022</v>
      </c>
      <c r="H648" s="308">
        <v>46022</v>
      </c>
      <c r="I648" s="309">
        <v>-107831.98</v>
      </c>
      <c r="J648" s="306" t="s">
        <v>1008</v>
      </c>
      <c r="K648" s="309">
        <v>-107831.98</v>
      </c>
      <c r="L648" s="306" t="s">
        <v>1008</v>
      </c>
      <c r="M648" s="306" t="s">
        <v>2303</v>
      </c>
      <c r="N648" s="306" t="s">
        <v>2304</v>
      </c>
      <c r="O648" s="306" t="s">
        <v>2305</v>
      </c>
      <c r="P648" s="306" t="s">
        <v>1013</v>
      </c>
      <c r="Q648" s="306" t="s">
        <v>1013</v>
      </c>
      <c r="R648" s="306" t="s">
        <v>1013</v>
      </c>
      <c r="S648" s="306" t="s">
        <v>1013</v>
      </c>
      <c r="T648" s="306" t="s">
        <v>1013</v>
      </c>
      <c r="U648" s="306" t="s">
        <v>1013</v>
      </c>
      <c r="V648" s="306" t="s">
        <v>1013</v>
      </c>
      <c r="W648" s="306" t="s">
        <v>1013</v>
      </c>
      <c r="X648" s="306" t="s">
        <v>1013</v>
      </c>
      <c r="Y648" s="306" t="s">
        <v>2306</v>
      </c>
      <c r="Z648" s="306" t="s">
        <v>1015</v>
      </c>
      <c r="AA648" s="306" t="s">
        <v>1013</v>
      </c>
    </row>
    <row r="649" spans="1:27">
      <c r="A649" s="306" t="s">
        <v>494</v>
      </c>
      <c r="B649" s="306" t="s">
        <v>1003</v>
      </c>
      <c r="C649" s="306" t="s">
        <v>1004</v>
      </c>
      <c r="D649" s="306" t="s">
        <v>2286</v>
      </c>
      <c r="E649" s="306" t="s">
        <v>2307</v>
      </c>
      <c r="F649" s="306" t="s">
        <v>1007</v>
      </c>
      <c r="G649" s="308">
        <v>46022</v>
      </c>
      <c r="H649" s="308">
        <v>46022</v>
      </c>
      <c r="I649" s="309">
        <v>-10953.1</v>
      </c>
      <c r="J649" s="306" t="s">
        <v>1008</v>
      </c>
      <c r="K649" s="309">
        <v>-10953.1</v>
      </c>
      <c r="L649" s="306" t="s">
        <v>1008</v>
      </c>
      <c r="M649" s="306" t="s">
        <v>2308</v>
      </c>
      <c r="N649" s="306" t="s">
        <v>2304</v>
      </c>
      <c r="O649" s="306" t="s">
        <v>2305</v>
      </c>
      <c r="P649" s="306" t="s">
        <v>1013</v>
      </c>
      <c r="Q649" s="306" t="s">
        <v>1013</v>
      </c>
      <c r="R649" s="306" t="s">
        <v>1013</v>
      </c>
      <c r="S649" s="306" t="s">
        <v>1013</v>
      </c>
      <c r="T649" s="306" t="s">
        <v>1013</v>
      </c>
      <c r="U649" s="306" t="s">
        <v>1013</v>
      </c>
      <c r="V649" s="306" t="s">
        <v>1013</v>
      </c>
      <c r="W649" s="306" t="s">
        <v>1013</v>
      </c>
      <c r="X649" s="306" t="s">
        <v>1013</v>
      </c>
      <c r="Y649" s="306" t="s">
        <v>2306</v>
      </c>
      <c r="Z649" s="306" t="s">
        <v>1015</v>
      </c>
      <c r="AA649" s="306" t="s">
        <v>1013</v>
      </c>
    </row>
    <row r="650" spans="1:27" hidden="1">
      <c r="A650" s="306" t="s">
        <v>494</v>
      </c>
      <c r="B650" s="306" t="s">
        <v>1003</v>
      </c>
      <c r="C650" s="306" t="s">
        <v>1004</v>
      </c>
      <c r="D650" s="306" t="s">
        <v>2286</v>
      </c>
      <c r="E650" s="306" t="s">
        <v>2309</v>
      </c>
      <c r="F650" s="306" t="s">
        <v>1007</v>
      </c>
      <c r="G650" s="308">
        <v>46022</v>
      </c>
      <c r="H650" s="308">
        <v>46022</v>
      </c>
      <c r="I650" s="309">
        <v>-333137.17</v>
      </c>
      <c r="J650" s="306" t="s">
        <v>1008</v>
      </c>
      <c r="K650" s="309">
        <v>-333137.17</v>
      </c>
      <c r="L650" s="306" t="s">
        <v>1008</v>
      </c>
      <c r="M650" s="306" t="s">
        <v>2310</v>
      </c>
      <c r="N650" s="306" t="s">
        <v>2311</v>
      </c>
      <c r="O650" s="306" t="s">
        <v>2312</v>
      </c>
      <c r="P650" s="306" t="s">
        <v>1013</v>
      </c>
      <c r="Q650" s="306" t="s">
        <v>1013</v>
      </c>
      <c r="R650" s="306" t="s">
        <v>1013</v>
      </c>
      <c r="S650" s="306" t="s">
        <v>1013</v>
      </c>
      <c r="T650" s="306" t="s">
        <v>1013</v>
      </c>
      <c r="U650" s="306" t="s">
        <v>1013</v>
      </c>
      <c r="V650" s="306" t="s">
        <v>1013</v>
      </c>
      <c r="W650" s="306" t="s">
        <v>1013</v>
      </c>
      <c r="X650" s="306" t="s">
        <v>1013</v>
      </c>
      <c r="Y650" s="306" t="s">
        <v>2313</v>
      </c>
      <c r="Z650" s="306" t="s">
        <v>1015</v>
      </c>
      <c r="AA650" s="306" t="s">
        <v>1013</v>
      </c>
    </row>
    <row r="651" spans="1:27">
      <c r="A651" s="306" t="s">
        <v>494</v>
      </c>
      <c r="B651" s="306" t="s">
        <v>1003</v>
      </c>
      <c r="C651" s="306" t="s">
        <v>1004</v>
      </c>
      <c r="D651" s="306" t="s">
        <v>2286</v>
      </c>
      <c r="E651" s="306" t="s">
        <v>2314</v>
      </c>
      <c r="F651" s="306" t="s">
        <v>1007</v>
      </c>
      <c r="G651" s="308">
        <v>46022</v>
      </c>
      <c r="H651" s="308">
        <v>46022</v>
      </c>
      <c r="I651" s="309">
        <v>-752263.25</v>
      </c>
      <c r="J651" s="306" t="s">
        <v>1008</v>
      </c>
      <c r="K651" s="309">
        <v>-752263.25</v>
      </c>
      <c r="L651" s="306" t="s">
        <v>1008</v>
      </c>
      <c r="M651" s="306" t="s">
        <v>2315</v>
      </c>
      <c r="N651" s="306" t="s">
        <v>2316</v>
      </c>
      <c r="O651" s="306" t="s">
        <v>2317</v>
      </c>
      <c r="P651" s="306" t="s">
        <v>1013</v>
      </c>
      <c r="Q651" s="306" t="s">
        <v>1013</v>
      </c>
      <c r="R651" s="306" t="s">
        <v>1013</v>
      </c>
      <c r="S651" s="306" t="s">
        <v>1013</v>
      </c>
      <c r="T651" s="306" t="s">
        <v>1013</v>
      </c>
      <c r="U651" s="306" t="s">
        <v>1013</v>
      </c>
      <c r="V651" s="306" t="s">
        <v>1013</v>
      </c>
      <c r="W651" s="306" t="s">
        <v>1013</v>
      </c>
      <c r="X651" s="306" t="s">
        <v>1013</v>
      </c>
      <c r="Y651" s="306" t="s">
        <v>2318</v>
      </c>
      <c r="Z651" s="306" t="s">
        <v>1015</v>
      </c>
      <c r="AA651" s="306" t="s">
        <v>1013</v>
      </c>
    </row>
    <row r="652" spans="1:27">
      <c r="A652" s="306" t="s">
        <v>494</v>
      </c>
      <c r="B652" s="306" t="s">
        <v>1003</v>
      </c>
      <c r="C652" s="306" t="s">
        <v>1004</v>
      </c>
      <c r="D652" s="306" t="s">
        <v>2286</v>
      </c>
      <c r="E652" s="306" t="s">
        <v>2319</v>
      </c>
      <c r="F652" s="306" t="s">
        <v>1007</v>
      </c>
      <c r="G652" s="308">
        <v>46022</v>
      </c>
      <c r="H652" s="308">
        <v>46022</v>
      </c>
      <c r="I652" s="309">
        <v>-153333.32999999999</v>
      </c>
      <c r="J652" s="306" t="s">
        <v>1008</v>
      </c>
      <c r="K652" s="309">
        <v>-153333.32999999999</v>
      </c>
      <c r="L652" s="306" t="s">
        <v>1008</v>
      </c>
      <c r="M652" s="306" t="s">
        <v>2320</v>
      </c>
      <c r="N652" s="306" t="s">
        <v>2321</v>
      </c>
      <c r="O652" s="306" t="s">
        <v>2322</v>
      </c>
      <c r="P652" s="306" t="s">
        <v>1013</v>
      </c>
      <c r="Q652" s="306" t="s">
        <v>1013</v>
      </c>
      <c r="R652" s="306" t="s">
        <v>1013</v>
      </c>
      <c r="S652" s="306" t="s">
        <v>1013</v>
      </c>
      <c r="T652" s="306" t="s">
        <v>1013</v>
      </c>
      <c r="U652" s="306" t="s">
        <v>1013</v>
      </c>
      <c r="V652" s="306" t="s">
        <v>1013</v>
      </c>
      <c r="W652" s="306" t="s">
        <v>1013</v>
      </c>
      <c r="X652" s="306" t="s">
        <v>1013</v>
      </c>
      <c r="Y652" s="306" t="s">
        <v>2323</v>
      </c>
      <c r="Z652" s="306" t="s">
        <v>1015</v>
      </c>
      <c r="AA652" s="306" t="s">
        <v>1013</v>
      </c>
    </row>
    <row r="653" spans="1:27">
      <c r="A653" s="306" t="s">
        <v>494</v>
      </c>
      <c r="B653" s="306" t="s">
        <v>1003</v>
      </c>
      <c r="C653" s="306" t="s">
        <v>1004</v>
      </c>
      <c r="D653" s="306" t="s">
        <v>2286</v>
      </c>
      <c r="E653" s="306" t="s">
        <v>2324</v>
      </c>
      <c r="F653" s="306" t="s">
        <v>1007</v>
      </c>
      <c r="G653" s="308">
        <v>46022</v>
      </c>
      <c r="H653" s="308">
        <v>46022</v>
      </c>
      <c r="I653" s="309">
        <v>-122242.08</v>
      </c>
      <c r="J653" s="306" t="s">
        <v>1008</v>
      </c>
      <c r="K653" s="309">
        <v>-122242.08</v>
      </c>
      <c r="L653" s="306" t="s">
        <v>1008</v>
      </c>
      <c r="M653" s="306" t="s">
        <v>2325</v>
      </c>
      <c r="N653" s="306" t="s">
        <v>2326</v>
      </c>
      <c r="O653" s="306" t="s">
        <v>2327</v>
      </c>
      <c r="P653" s="306" t="s">
        <v>1013</v>
      </c>
      <c r="Q653" s="306" t="s">
        <v>1013</v>
      </c>
      <c r="R653" s="306" t="s">
        <v>1013</v>
      </c>
      <c r="S653" s="306" t="s">
        <v>1013</v>
      </c>
      <c r="T653" s="306" t="s">
        <v>1013</v>
      </c>
      <c r="U653" s="306" t="s">
        <v>1013</v>
      </c>
      <c r="V653" s="306" t="s">
        <v>1013</v>
      </c>
      <c r="W653" s="306" t="s">
        <v>1013</v>
      </c>
      <c r="X653" s="306" t="s">
        <v>1013</v>
      </c>
      <c r="Y653" s="306" t="s">
        <v>2328</v>
      </c>
      <c r="Z653" s="306" t="s">
        <v>1015</v>
      </c>
      <c r="AA653" s="306" t="s">
        <v>1013</v>
      </c>
    </row>
    <row r="654" spans="1:27">
      <c r="A654" s="306" t="s">
        <v>494</v>
      </c>
      <c r="B654" s="306" t="s">
        <v>1003</v>
      </c>
      <c r="C654" s="306" t="s">
        <v>1004</v>
      </c>
      <c r="D654" s="306" t="s">
        <v>2286</v>
      </c>
      <c r="E654" s="306" t="s">
        <v>2329</v>
      </c>
      <c r="F654" s="306" t="s">
        <v>1007</v>
      </c>
      <c r="G654" s="308">
        <v>46022</v>
      </c>
      <c r="H654" s="308">
        <v>46022</v>
      </c>
      <c r="I654" s="309">
        <v>-96520.44</v>
      </c>
      <c r="J654" s="306" t="s">
        <v>1008</v>
      </c>
      <c r="K654" s="309">
        <v>-96520.44</v>
      </c>
      <c r="L654" s="306" t="s">
        <v>1008</v>
      </c>
      <c r="M654" s="306" t="s">
        <v>2330</v>
      </c>
      <c r="N654" s="306" t="s">
        <v>2331</v>
      </c>
      <c r="O654" s="306" t="s">
        <v>2332</v>
      </c>
      <c r="P654" s="306" t="s">
        <v>1013</v>
      </c>
      <c r="Q654" s="306" t="s">
        <v>1013</v>
      </c>
      <c r="R654" s="306" t="s">
        <v>1013</v>
      </c>
      <c r="S654" s="306" t="s">
        <v>1013</v>
      </c>
      <c r="T654" s="306" t="s">
        <v>1013</v>
      </c>
      <c r="U654" s="306" t="s">
        <v>1013</v>
      </c>
      <c r="V654" s="306" t="s">
        <v>1013</v>
      </c>
      <c r="W654" s="306" t="s">
        <v>1013</v>
      </c>
      <c r="X654" s="306" t="s">
        <v>1013</v>
      </c>
      <c r="Y654" s="306" t="s">
        <v>2333</v>
      </c>
      <c r="Z654" s="306" t="s">
        <v>1015</v>
      </c>
      <c r="AA654" s="306" t="s">
        <v>1013</v>
      </c>
    </row>
    <row r="655" spans="1:27" hidden="1">
      <c r="A655" s="306" t="s">
        <v>494</v>
      </c>
      <c r="B655" s="306" t="s">
        <v>1003</v>
      </c>
      <c r="C655" s="306" t="s">
        <v>1004</v>
      </c>
      <c r="D655" s="306" t="s">
        <v>1005</v>
      </c>
      <c r="E655" s="306" t="s">
        <v>2334</v>
      </c>
      <c r="F655" s="306" t="s">
        <v>1007</v>
      </c>
      <c r="G655" s="308">
        <v>46022</v>
      </c>
      <c r="H655" s="308">
        <v>46022</v>
      </c>
      <c r="I655" s="309">
        <v>-472115</v>
      </c>
      <c r="J655" s="306" t="s">
        <v>1008</v>
      </c>
      <c r="K655" s="309">
        <v>-472115</v>
      </c>
      <c r="L655" s="306" t="s">
        <v>1008</v>
      </c>
      <c r="M655" s="306" t="s">
        <v>1949</v>
      </c>
      <c r="N655" s="306" t="s">
        <v>2335</v>
      </c>
      <c r="O655" s="306" t="s">
        <v>2336</v>
      </c>
      <c r="P655" s="306" t="s">
        <v>280</v>
      </c>
      <c r="Q655" s="306" t="s">
        <v>1013</v>
      </c>
      <c r="R655" s="306" t="s">
        <v>1013</v>
      </c>
      <c r="S655" s="306" t="s">
        <v>1013</v>
      </c>
      <c r="T655" s="306" t="s">
        <v>2337</v>
      </c>
      <c r="U655" s="306" t="s">
        <v>1013</v>
      </c>
      <c r="V655" s="306" t="s">
        <v>1013</v>
      </c>
      <c r="W655" s="306" t="s">
        <v>1013</v>
      </c>
      <c r="X655" s="306" t="s">
        <v>1013</v>
      </c>
      <c r="Y655" s="306" t="s">
        <v>2337</v>
      </c>
      <c r="Z655" s="306" t="s">
        <v>1015</v>
      </c>
      <c r="AA655" s="306" t="s">
        <v>1013</v>
      </c>
    </row>
    <row r="656" spans="1:27" hidden="1">
      <c r="A656" s="306" t="s">
        <v>494</v>
      </c>
      <c r="B656" s="306" t="s">
        <v>1003</v>
      </c>
      <c r="C656" s="306" t="s">
        <v>1004</v>
      </c>
      <c r="D656" s="306" t="s">
        <v>1005</v>
      </c>
      <c r="E656" s="306" t="s">
        <v>2338</v>
      </c>
      <c r="F656" s="306" t="s">
        <v>1007</v>
      </c>
      <c r="G656" s="308">
        <v>46022</v>
      </c>
      <c r="H656" s="308">
        <v>46022</v>
      </c>
      <c r="I656" s="309">
        <v>472115</v>
      </c>
      <c r="J656" s="306" t="s">
        <v>1008</v>
      </c>
      <c r="K656" s="309">
        <v>472115</v>
      </c>
      <c r="L656" s="306" t="s">
        <v>1008</v>
      </c>
      <c r="M656" s="306" t="s">
        <v>1949</v>
      </c>
      <c r="N656" s="306" t="s">
        <v>2335</v>
      </c>
      <c r="O656" s="306" t="s">
        <v>2336</v>
      </c>
      <c r="P656" s="306" t="s">
        <v>280</v>
      </c>
      <c r="Q656" s="306" t="s">
        <v>1013</v>
      </c>
      <c r="R656" s="306" t="s">
        <v>1013</v>
      </c>
      <c r="S656" s="306" t="s">
        <v>1013</v>
      </c>
      <c r="T656" s="306" t="s">
        <v>2337</v>
      </c>
      <c r="U656" s="306" t="s">
        <v>1013</v>
      </c>
      <c r="V656" s="306" t="s">
        <v>1013</v>
      </c>
      <c r="W656" s="306" t="s">
        <v>1013</v>
      </c>
      <c r="X656" s="306" t="s">
        <v>1013</v>
      </c>
      <c r="Y656" s="306" t="s">
        <v>2337</v>
      </c>
      <c r="Z656" s="306" t="s">
        <v>1015</v>
      </c>
      <c r="AA656" s="306" t="s">
        <v>1013</v>
      </c>
    </row>
    <row r="657" spans="1:27" hidden="1">
      <c r="A657" s="306" t="s">
        <v>494</v>
      </c>
      <c r="B657" s="306" t="s">
        <v>1003</v>
      </c>
      <c r="C657" s="306" t="s">
        <v>1004</v>
      </c>
      <c r="D657" s="306" t="s">
        <v>1005</v>
      </c>
      <c r="E657" s="306" t="s">
        <v>2339</v>
      </c>
      <c r="F657" s="306" t="s">
        <v>1007</v>
      </c>
      <c r="G657" s="308">
        <v>46022</v>
      </c>
      <c r="H657" s="308">
        <v>46022</v>
      </c>
      <c r="I657" s="309">
        <v>-472115</v>
      </c>
      <c r="J657" s="306" t="s">
        <v>1008</v>
      </c>
      <c r="K657" s="309">
        <v>-472115</v>
      </c>
      <c r="L657" s="306" t="s">
        <v>1008</v>
      </c>
      <c r="M657" s="306" t="s">
        <v>2335</v>
      </c>
      <c r="N657" s="306" t="s">
        <v>2335</v>
      </c>
      <c r="O657" s="306" t="s">
        <v>2336</v>
      </c>
      <c r="P657" s="306" t="s">
        <v>280</v>
      </c>
      <c r="Q657" s="306" t="s">
        <v>1013</v>
      </c>
      <c r="R657" s="306" t="s">
        <v>1013</v>
      </c>
      <c r="S657" s="306" t="s">
        <v>1013</v>
      </c>
      <c r="T657" s="306" t="s">
        <v>2337</v>
      </c>
      <c r="U657" s="306" t="s">
        <v>1013</v>
      </c>
      <c r="V657" s="306" t="s">
        <v>1013</v>
      </c>
      <c r="W657" s="306" t="s">
        <v>1013</v>
      </c>
      <c r="X657" s="306" t="s">
        <v>1013</v>
      </c>
      <c r="Y657" s="306" t="s">
        <v>2337</v>
      </c>
      <c r="Z657" s="306" t="s">
        <v>1015</v>
      </c>
      <c r="AA657" s="306" t="s">
        <v>1013</v>
      </c>
    </row>
    <row r="658" spans="1:27" hidden="1">
      <c r="A658" s="306" t="s">
        <v>494</v>
      </c>
      <c r="B658" s="306" t="s">
        <v>1003</v>
      </c>
      <c r="C658" s="306" t="s">
        <v>1004</v>
      </c>
      <c r="D658" s="306" t="s">
        <v>1031</v>
      </c>
      <c r="E658" s="306" t="s">
        <v>2340</v>
      </c>
      <c r="F658" s="306" t="s">
        <v>1007</v>
      </c>
      <c r="G658" s="308">
        <v>46022</v>
      </c>
      <c r="H658" s="308">
        <v>46022</v>
      </c>
      <c r="I658" s="309">
        <v>-565211.89</v>
      </c>
      <c r="J658" s="306" t="s">
        <v>1008</v>
      </c>
      <c r="K658" s="309">
        <v>-565211.89</v>
      </c>
      <c r="L658" s="306" t="s">
        <v>1008</v>
      </c>
      <c r="M658" s="306" t="s">
        <v>1410</v>
      </c>
      <c r="N658" s="306" t="s">
        <v>1403</v>
      </c>
      <c r="O658" s="306" t="s">
        <v>2341</v>
      </c>
      <c r="P658" s="306" t="s">
        <v>1405</v>
      </c>
      <c r="Q658" s="306" t="s">
        <v>1013</v>
      </c>
      <c r="R658" s="306" t="s">
        <v>1013</v>
      </c>
      <c r="S658" s="306" t="s">
        <v>1013</v>
      </c>
      <c r="T658" s="306" t="s">
        <v>1406</v>
      </c>
      <c r="U658" s="306" t="s">
        <v>1013</v>
      </c>
      <c r="V658" s="306" t="s">
        <v>1013</v>
      </c>
      <c r="W658" s="306" t="s">
        <v>1013</v>
      </c>
      <c r="X658" s="306" t="s">
        <v>1013</v>
      </c>
      <c r="Y658" s="306" t="s">
        <v>1406</v>
      </c>
      <c r="Z658" s="306" t="s">
        <v>1015</v>
      </c>
      <c r="AA658" s="306" t="s">
        <v>1013</v>
      </c>
    </row>
    <row r="659" spans="1:27" hidden="1">
      <c r="A659" s="306" t="s">
        <v>494</v>
      </c>
      <c r="B659" s="306" t="s">
        <v>1003</v>
      </c>
      <c r="C659" s="306" t="s">
        <v>1004</v>
      </c>
      <c r="D659" s="306" t="s">
        <v>1005</v>
      </c>
      <c r="E659" s="306" t="s">
        <v>2342</v>
      </c>
      <c r="F659" s="306" t="s">
        <v>1007</v>
      </c>
      <c r="G659" s="308">
        <v>46022</v>
      </c>
      <c r="H659" s="308">
        <v>46022</v>
      </c>
      <c r="I659" s="309">
        <v>-2350917.4300000002</v>
      </c>
      <c r="J659" s="306" t="s">
        <v>1008</v>
      </c>
      <c r="K659" s="309">
        <v>-2350917.4300000002</v>
      </c>
      <c r="L659" s="306" t="s">
        <v>1008</v>
      </c>
      <c r="M659" s="306" t="s">
        <v>1402</v>
      </c>
      <c r="N659" s="306" t="s">
        <v>1403</v>
      </c>
      <c r="O659" s="306" t="s">
        <v>2343</v>
      </c>
      <c r="P659" s="306" t="s">
        <v>1405</v>
      </c>
      <c r="Q659" s="306" t="s">
        <v>1013</v>
      </c>
      <c r="R659" s="306" t="s">
        <v>1013</v>
      </c>
      <c r="S659" s="306" t="s">
        <v>1013</v>
      </c>
      <c r="T659" s="306" t="s">
        <v>1406</v>
      </c>
      <c r="U659" s="306" t="s">
        <v>1013</v>
      </c>
      <c r="V659" s="306" t="s">
        <v>1013</v>
      </c>
      <c r="W659" s="306" t="s">
        <v>1013</v>
      </c>
      <c r="X659" s="306" t="s">
        <v>1013</v>
      </c>
      <c r="Y659" s="306" t="s">
        <v>1406</v>
      </c>
      <c r="Z659" s="306" t="s">
        <v>1015</v>
      </c>
      <c r="AA659" s="306" t="s">
        <v>1013</v>
      </c>
    </row>
    <row r="660" spans="1:27" hidden="1">
      <c r="A660" s="306" t="s">
        <v>494</v>
      </c>
      <c r="B660" s="306" t="s">
        <v>1003</v>
      </c>
      <c r="C660" s="306" t="s">
        <v>1004</v>
      </c>
      <c r="D660" s="306" t="s">
        <v>1031</v>
      </c>
      <c r="E660" s="306" t="s">
        <v>2344</v>
      </c>
      <c r="F660" s="306" t="s">
        <v>1007</v>
      </c>
      <c r="G660" s="308">
        <v>46022</v>
      </c>
      <c r="H660" s="308">
        <v>46022</v>
      </c>
      <c r="I660" s="309">
        <v>-24246.23</v>
      </c>
      <c r="J660" s="306" t="s">
        <v>1008</v>
      </c>
      <c r="K660" s="309">
        <v>-24246.23</v>
      </c>
      <c r="L660" s="306" t="s">
        <v>1008</v>
      </c>
      <c r="M660" s="306" t="s">
        <v>1410</v>
      </c>
      <c r="N660" s="306" t="s">
        <v>1403</v>
      </c>
      <c r="O660" s="306" t="s">
        <v>2345</v>
      </c>
      <c r="P660" s="306" t="s">
        <v>1405</v>
      </c>
      <c r="Q660" s="306" t="s">
        <v>1013</v>
      </c>
      <c r="R660" s="306" t="s">
        <v>1013</v>
      </c>
      <c r="S660" s="306" t="s">
        <v>1013</v>
      </c>
      <c r="T660" s="306" t="s">
        <v>1406</v>
      </c>
      <c r="U660" s="306" t="s">
        <v>1013</v>
      </c>
      <c r="V660" s="306" t="s">
        <v>1013</v>
      </c>
      <c r="W660" s="306" t="s">
        <v>1013</v>
      </c>
      <c r="X660" s="306" t="s">
        <v>1013</v>
      </c>
      <c r="Y660" s="306" t="s">
        <v>1406</v>
      </c>
      <c r="Z660" s="306" t="s">
        <v>1015</v>
      </c>
      <c r="AA660" s="306" t="s">
        <v>1013</v>
      </c>
    </row>
    <row r="661" spans="1:27" hidden="1">
      <c r="A661" s="306" t="s">
        <v>494</v>
      </c>
      <c r="B661" s="306" t="s">
        <v>1003</v>
      </c>
      <c r="C661" s="306" t="s">
        <v>1004</v>
      </c>
      <c r="D661" s="306" t="s">
        <v>1005</v>
      </c>
      <c r="E661" s="306" t="s">
        <v>2346</v>
      </c>
      <c r="F661" s="306" t="s">
        <v>1007</v>
      </c>
      <c r="G661" s="308">
        <v>46022</v>
      </c>
      <c r="H661" s="308">
        <v>46022</v>
      </c>
      <c r="I661" s="309">
        <v>-108168</v>
      </c>
      <c r="J661" s="306" t="s">
        <v>1008</v>
      </c>
      <c r="K661" s="309">
        <v>-108168</v>
      </c>
      <c r="L661" s="306" t="s">
        <v>1008</v>
      </c>
      <c r="M661" s="306" t="s">
        <v>1402</v>
      </c>
      <c r="N661" s="306" t="s">
        <v>1403</v>
      </c>
      <c r="O661" s="306" t="s">
        <v>2347</v>
      </c>
      <c r="P661" s="306" t="s">
        <v>1405</v>
      </c>
      <c r="Q661" s="306" t="s">
        <v>1013</v>
      </c>
      <c r="R661" s="306" t="s">
        <v>1013</v>
      </c>
      <c r="S661" s="306" t="s">
        <v>1013</v>
      </c>
      <c r="T661" s="306" t="s">
        <v>1406</v>
      </c>
      <c r="U661" s="306" t="s">
        <v>1013</v>
      </c>
      <c r="V661" s="306" t="s">
        <v>1013</v>
      </c>
      <c r="W661" s="306" t="s">
        <v>1013</v>
      </c>
      <c r="X661" s="306" t="s">
        <v>1013</v>
      </c>
      <c r="Y661" s="306" t="s">
        <v>1406</v>
      </c>
      <c r="Z661" s="306" t="s">
        <v>1015</v>
      </c>
      <c r="AA661" s="306" t="s">
        <v>1013</v>
      </c>
    </row>
    <row r="662" spans="1:27" hidden="1">
      <c r="A662" s="306" t="s">
        <v>494</v>
      </c>
      <c r="B662" s="306" t="s">
        <v>1003</v>
      </c>
      <c r="C662" s="306" t="s">
        <v>1004</v>
      </c>
      <c r="D662" s="306" t="s">
        <v>1031</v>
      </c>
      <c r="E662" s="306" t="s">
        <v>2348</v>
      </c>
      <c r="F662" s="306" t="s">
        <v>1007</v>
      </c>
      <c r="G662" s="308">
        <v>46022</v>
      </c>
      <c r="H662" s="308">
        <v>46022</v>
      </c>
      <c r="I662" s="309">
        <v>-190731.64</v>
      </c>
      <c r="J662" s="306" t="s">
        <v>1008</v>
      </c>
      <c r="K662" s="309">
        <v>-190731.64</v>
      </c>
      <c r="L662" s="306" t="s">
        <v>1008</v>
      </c>
      <c r="M662" s="306" t="s">
        <v>1410</v>
      </c>
      <c r="N662" s="306" t="s">
        <v>1403</v>
      </c>
      <c r="O662" s="306" t="s">
        <v>2349</v>
      </c>
      <c r="P662" s="306" t="s">
        <v>1405</v>
      </c>
      <c r="Q662" s="306" t="s">
        <v>1013</v>
      </c>
      <c r="R662" s="306" t="s">
        <v>1013</v>
      </c>
      <c r="S662" s="306" t="s">
        <v>1013</v>
      </c>
      <c r="T662" s="306" t="s">
        <v>1406</v>
      </c>
      <c r="U662" s="306" t="s">
        <v>1013</v>
      </c>
      <c r="V662" s="306" t="s">
        <v>1013</v>
      </c>
      <c r="W662" s="306" t="s">
        <v>1013</v>
      </c>
      <c r="X662" s="306" t="s">
        <v>1013</v>
      </c>
      <c r="Y662" s="306" t="s">
        <v>1406</v>
      </c>
      <c r="Z662" s="306" t="s">
        <v>1015</v>
      </c>
      <c r="AA662" s="306" t="s">
        <v>1013</v>
      </c>
    </row>
    <row r="663" spans="1:27" hidden="1">
      <c r="A663" s="306" t="s">
        <v>494</v>
      </c>
      <c r="B663" s="306" t="s">
        <v>1003</v>
      </c>
      <c r="C663" s="306" t="s">
        <v>1004</v>
      </c>
      <c r="D663" s="306" t="s">
        <v>1019</v>
      </c>
      <c r="E663" s="306" t="s">
        <v>2350</v>
      </c>
      <c r="F663" s="306" t="s">
        <v>1007</v>
      </c>
      <c r="G663" s="308">
        <v>46022</v>
      </c>
      <c r="H663" s="308">
        <v>46022</v>
      </c>
      <c r="I663" s="309">
        <v>-12554696.789999999</v>
      </c>
      <c r="J663" s="306" t="s">
        <v>1008</v>
      </c>
      <c r="K663" s="309">
        <v>-12554696.789999999</v>
      </c>
      <c r="L663" s="306" t="s">
        <v>1008</v>
      </c>
      <c r="M663" s="306" t="s">
        <v>1421</v>
      </c>
      <c r="N663" s="306" t="s">
        <v>1403</v>
      </c>
      <c r="O663" s="306" t="s">
        <v>2351</v>
      </c>
      <c r="P663" s="306" t="s">
        <v>1405</v>
      </c>
      <c r="Q663" s="306" t="s">
        <v>1013</v>
      </c>
      <c r="R663" s="306" t="s">
        <v>1013</v>
      </c>
      <c r="S663" s="306" t="s">
        <v>1013</v>
      </c>
      <c r="T663" s="306" t="s">
        <v>1406</v>
      </c>
      <c r="U663" s="306" t="s">
        <v>1013</v>
      </c>
      <c r="V663" s="306" t="s">
        <v>1013</v>
      </c>
      <c r="W663" s="306" t="s">
        <v>1013</v>
      </c>
      <c r="X663" s="306" t="s">
        <v>1013</v>
      </c>
      <c r="Y663" s="306" t="s">
        <v>1406</v>
      </c>
      <c r="Z663" s="306" t="s">
        <v>1015</v>
      </c>
      <c r="AA663" s="306" t="s">
        <v>1013</v>
      </c>
    </row>
    <row r="664" spans="1:27" hidden="1">
      <c r="A664" s="306" t="s">
        <v>494</v>
      </c>
      <c r="B664" s="306" t="s">
        <v>1003</v>
      </c>
      <c r="C664" s="306" t="s">
        <v>1004</v>
      </c>
      <c r="D664" s="306" t="s">
        <v>1005</v>
      </c>
      <c r="E664" s="306" t="s">
        <v>2352</v>
      </c>
      <c r="F664" s="306" t="s">
        <v>1007</v>
      </c>
      <c r="G664" s="308">
        <v>46022</v>
      </c>
      <c r="H664" s="308">
        <v>46022</v>
      </c>
      <c r="I664" s="309">
        <v>-7630110.3499999996</v>
      </c>
      <c r="J664" s="306" t="s">
        <v>1008</v>
      </c>
      <c r="K664" s="309">
        <v>-7630110.3499999996</v>
      </c>
      <c r="L664" s="306" t="s">
        <v>1008</v>
      </c>
      <c r="M664" s="306" t="s">
        <v>1402</v>
      </c>
      <c r="N664" s="306" t="s">
        <v>1403</v>
      </c>
      <c r="O664" s="306" t="s">
        <v>2353</v>
      </c>
      <c r="P664" s="306" t="s">
        <v>1405</v>
      </c>
      <c r="Q664" s="306" t="s">
        <v>1013</v>
      </c>
      <c r="R664" s="306" t="s">
        <v>1013</v>
      </c>
      <c r="S664" s="306" t="s">
        <v>1013</v>
      </c>
      <c r="T664" s="306" t="s">
        <v>1406</v>
      </c>
      <c r="U664" s="306" t="s">
        <v>1013</v>
      </c>
      <c r="V664" s="306" t="s">
        <v>1013</v>
      </c>
      <c r="W664" s="306" t="s">
        <v>1013</v>
      </c>
      <c r="X664" s="306" t="s">
        <v>1013</v>
      </c>
      <c r="Y664" s="306" t="s">
        <v>1406</v>
      </c>
      <c r="Z664" s="306" t="s">
        <v>1015</v>
      </c>
      <c r="AA664" s="306" t="s">
        <v>1013</v>
      </c>
    </row>
    <row r="665" spans="1:27" hidden="1">
      <c r="A665" s="306" t="s">
        <v>494</v>
      </c>
      <c r="B665" s="306" t="s">
        <v>1003</v>
      </c>
      <c r="C665" s="306" t="s">
        <v>1004</v>
      </c>
      <c r="D665" s="306" t="s">
        <v>1019</v>
      </c>
      <c r="E665" s="306" t="s">
        <v>2354</v>
      </c>
      <c r="F665" s="306" t="s">
        <v>1007</v>
      </c>
      <c r="G665" s="308">
        <v>46022</v>
      </c>
      <c r="H665" s="308">
        <v>46022</v>
      </c>
      <c r="I665" s="309">
        <v>-14813356.9</v>
      </c>
      <c r="J665" s="306" t="s">
        <v>1008</v>
      </c>
      <c r="K665" s="309">
        <v>-14813356.9</v>
      </c>
      <c r="L665" s="306" t="s">
        <v>1008</v>
      </c>
      <c r="M665" s="306" t="s">
        <v>1421</v>
      </c>
      <c r="N665" s="306" t="s">
        <v>1403</v>
      </c>
      <c r="O665" s="306" t="s">
        <v>2355</v>
      </c>
      <c r="P665" s="306" t="s">
        <v>1405</v>
      </c>
      <c r="Q665" s="306" t="s">
        <v>1013</v>
      </c>
      <c r="R665" s="306" t="s">
        <v>1013</v>
      </c>
      <c r="S665" s="306" t="s">
        <v>1013</v>
      </c>
      <c r="T665" s="306" t="s">
        <v>1406</v>
      </c>
      <c r="U665" s="306" t="s">
        <v>1013</v>
      </c>
      <c r="V665" s="306" t="s">
        <v>1013</v>
      </c>
      <c r="W665" s="306" t="s">
        <v>1013</v>
      </c>
      <c r="X665" s="306" t="s">
        <v>1013</v>
      </c>
      <c r="Y665" s="306" t="s">
        <v>1406</v>
      </c>
      <c r="Z665" s="306" t="s">
        <v>1015</v>
      </c>
      <c r="AA665" s="306" t="s">
        <v>1013</v>
      </c>
    </row>
    <row r="666" spans="1:27" hidden="1">
      <c r="A666" s="306" t="s">
        <v>494</v>
      </c>
      <c r="B666" s="306" t="s">
        <v>1003</v>
      </c>
      <c r="C666" s="306" t="s">
        <v>1004</v>
      </c>
      <c r="D666" s="306" t="s">
        <v>1005</v>
      </c>
      <c r="E666" s="306" t="s">
        <v>2356</v>
      </c>
      <c r="F666" s="306" t="s">
        <v>1007</v>
      </c>
      <c r="G666" s="308">
        <v>46022</v>
      </c>
      <c r="H666" s="308">
        <v>46022</v>
      </c>
      <c r="I666" s="309">
        <v>25182912.57</v>
      </c>
      <c r="J666" s="306" t="s">
        <v>1008</v>
      </c>
      <c r="K666" s="309">
        <v>25182912.57</v>
      </c>
      <c r="L666" s="306" t="s">
        <v>1008</v>
      </c>
      <c r="M666" s="306" t="s">
        <v>1402</v>
      </c>
      <c r="N666" s="306" t="s">
        <v>1403</v>
      </c>
      <c r="O666" s="306" t="s">
        <v>1413</v>
      </c>
      <c r="P666" s="306" t="s">
        <v>1405</v>
      </c>
      <c r="Q666" s="306" t="s">
        <v>1013</v>
      </c>
      <c r="R666" s="306" t="s">
        <v>1013</v>
      </c>
      <c r="S666" s="306" t="s">
        <v>1013</v>
      </c>
      <c r="T666" s="306" t="s">
        <v>1406</v>
      </c>
      <c r="U666" s="306" t="s">
        <v>1013</v>
      </c>
      <c r="V666" s="306" t="s">
        <v>1013</v>
      </c>
      <c r="W666" s="306" t="s">
        <v>1013</v>
      </c>
      <c r="X666" s="306" t="s">
        <v>1013</v>
      </c>
      <c r="Y666" s="306" t="s">
        <v>1406</v>
      </c>
      <c r="Z666" s="306" t="s">
        <v>1015</v>
      </c>
      <c r="AA666" s="306" t="s">
        <v>1013</v>
      </c>
    </row>
    <row r="667" spans="1:27" hidden="1">
      <c r="A667" s="306" t="s">
        <v>494</v>
      </c>
      <c r="B667" s="306" t="s">
        <v>1003</v>
      </c>
      <c r="C667" s="306" t="s">
        <v>1004</v>
      </c>
      <c r="D667" s="306" t="s">
        <v>1031</v>
      </c>
      <c r="E667" s="306" t="s">
        <v>2357</v>
      </c>
      <c r="F667" s="306" t="s">
        <v>1007</v>
      </c>
      <c r="G667" s="308">
        <v>46022</v>
      </c>
      <c r="H667" s="308">
        <v>46022</v>
      </c>
      <c r="I667" s="309">
        <v>9182318.0899999999</v>
      </c>
      <c r="J667" s="306" t="s">
        <v>1008</v>
      </c>
      <c r="K667" s="309">
        <v>9182318.0899999999</v>
      </c>
      <c r="L667" s="306" t="s">
        <v>1008</v>
      </c>
      <c r="M667" s="306" t="s">
        <v>1410</v>
      </c>
      <c r="N667" s="306" t="s">
        <v>1403</v>
      </c>
      <c r="O667" s="306" t="s">
        <v>1415</v>
      </c>
      <c r="P667" s="306" t="s">
        <v>1405</v>
      </c>
      <c r="Q667" s="306" t="s">
        <v>1013</v>
      </c>
      <c r="R667" s="306" t="s">
        <v>1013</v>
      </c>
      <c r="S667" s="306" t="s">
        <v>1013</v>
      </c>
      <c r="T667" s="306" t="s">
        <v>1406</v>
      </c>
      <c r="U667" s="306" t="s">
        <v>1013</v>
      </c>
      <c r="V667" s="306" t="s">
        <v>1013</v>
      </c>
      <c r="W667" s="306" t="s">
        <v>1013</v>
      </c>
      <c r="X667" s="306" t="s">
        <v>1013</v>
      </c>
      <c r="Y667" s="306" t="s">
        <v>1406</v>
      </c>
      <c r="Z667" s="306" t="s">
        <v>1015</v>
      </c>
      <c r="AA667" s="306" t="s">
        <v>1013</v>
      </c>
    </row>
    <row r="668" spans="1:27" hidden="1">
      <c r="A668" s="306" t="s">
        <v>494</v>
      </c>
      <c r="B668" s="306" t="s">
        <v>1003</v>
      </c>
      <c r="C668" s="306" t="s">
        <v>1004</v>
      </c>
      <c r="D668" s="306" t="s">
        <v>1031</v>
      </c>
      <c r="E668" s="306" t="s">
        <v>2358</v>
      </c>
      <c r="F668" s="306" t="s">
        <v>1007</v>
      </c>
      <c r="G668" s="308">
        <v>46022</v>
      </c>
      <c r="H668" s="308">
        <v>46022</v>
      </c>
      <c r="I668" s="309">
        <v>6702310.8200000003</v>
      </c>
      <c r="J668" s="306" t="s">
        <v>1008</v>
      </c>
      <c r="K668" s="309">
        <v>6702310.8200000003</v>
      </c>
      <c r="L668" s="306" t="s">
        <v>1008</v>
      </c>
      <c r="M668" s="306" t="s">
        <v>1410</v>
      </c>
      <c r="N668" s="306" t="s">
        <v>1403</v>
      </c>
      <c r="O668" s="306" t="s">
        <v>1473</v>
      </c>
      <c r="P668" s="306" t="s">
        <v>1405</v>
      </c>
      <c r="Q668" s="306" t="s">
        <v>1013</v>
      </c>
      <c r="R668" s="306" t="s">
        <v>1013</v>
      </c>
      <c r="S668" s="306" t="s">
        <v>1013</v>
      </c>
      <c r="T668" s="306" t="s">
        <v>1406</v>
      </c>
      <c r="U668" s="306" t="s">
        <v>1013</v>
      </c>
      <c r="V668" s="306" t="s">
        <v>1013</v>
      </c>
      <c r="W668" s="306" t="s">
        <v>1013</v>
      </c>
      <c r="X668" s="306" t="s">
        <v>1013</v>
      </c>
      <c r="Y668" s="306" t="s">
        <v>1406</v>
      </c>
      <c r="Z668" s="306" t="s">
        <v>1015</v>
      </c>
      <c r="AA668" s="306" t="s">
        <v>1013</v>
      </c>
    </row>
    <row r="669" spans="1:27" hidden="1">
      <c r="A669" s="306" t="s">
        <v>494</v>
      </c>
      <c r="B669" s="306" t="s">
        <v>1003</v>
      </c>
      <c r="C669" s="306" t="s">
        <v>1004</v>
      </c>
      <c r="D669" s="306" t="s">
        <v>1031</v>
      </c>
      <c r="E669" s="306" t="s">
        <v>2359</v>
      </c>
      <c r="F669" s="306" t="s">
        <v>1007</v>
      </c>
      <c r="G669" s="308">
        <v>46022</v>
      </c>
      <c r="H669" s="308">
        <v>46022</v>
      </c>
      <c r="I669" s="309">
        <v>-814159292</v>
      </c>
      <c r="J669" s="306" t="s">
        <v>1008</v>
      </c>
      <c r="K669" s="309">
        <v>-814159292</v>
      </c>
      <c r="L669" s="306" t="s">
        <v>1008</v>
      </c>
      <c r="M669" s="306" t="s">
        <v>1410</v>
      </c>
      <c r="N669" s="306" t="s">
        <v>1403</v>
      </c>
      <c r="O669" s="306" t="s">
        <v>1249</v>
      </c>
      <c r="P669" s="306" t="s">
        <v>1405</v>
      </c>
      <c r="Q669" s="306" t="s">
        <v>1013</v>
      </c>
      <c r="R669" s="306" t="s">
        <v>1013</v>
      </c>
      <c r="S669" s="306" t="s">
        <v>1013</v>
      </c>
      <c r="T669" s="306" t="s">
        <v>1406</v>
      </c>
      <c r="U669" s="306" t="s">
        <v>1013</v>
      </c>
      <c r="V669" s="306" t="s">
        <v>1013</v>
      </c>
      <c r="W669" s="306" t="s">
        <v>1013</v>
      </c>
      <c r="X669" s="306" t="s">
        <v>1013</v>
      </c>
      <c r="Y669" s="306" t="s">
        <v>1406</v>
      </c>
      <c r="Z669" s="306" t="s">
        <v>1015</v>
      </c>
      <c r="AA669" s="306" t="s">
        <v>1013</v>
      </c>
    </row>
    <row r="670" spans="1:27" hidden="1">
      <c r="A670" s="306" t="s">
        <v>494</v>
      </c>
      <c r="B670" s="306" t="s">
        <v>1003</v>
      </c>
      <c r="C670" s="306" t="s">
        <v>1004</v>
      </c>
      <c r="D670" s="306" t="s">
        <v>1031</v>
      </c>
      <c r="E670" s="306" t="s">
        <v>2360</v>
      </c>
      <c r="F670" s="306" t="s">
        <v>1007</v>
      </c>
      <c r="G670" s="308">
        <v>46022</v>
      </c>
      <c r="H670" s="308">
        <v>46022</v>
      </c>
      <c r="I670" s="309">
        <v>-139972191.09</v>
      </c>
      <c r="J670" s="306" t="s">
        <v>1008</v>
      </c>
      <c r="K670" s="309">
        <v>-139972191.09</v>
      </c>
      <c r="L670" s="306" t="s">
        <v>1008</v>
      </c>
      <c r="M670" s="306" t="s">
        <v>1135</v>
      </c>
      <c r="N670" s="306" t="s">
        <v>1135</v>
      </c>
      <c r="O670" s="306" t="s">
        <v>2361</v>
      </c>
      <c r="P670" s="306" t="s">
        <v>212</v>
      </c>
      <c r="Q670" s="306" t="s">
        <v>1013</v>
      </c>
      <c r="R670" s="306" t="s">
        <v>1013</v>
      </c>
      <c r="S670" s="306" t="s">
        <v>1013</v>
      </c>
      <c r="T670" s="306" t="s">
        <v>1112</v>
      </c>
      <c r="U670" s="306" t="s">
        <v>1013</v>
      </c>
      <c r="V670" s="306" t="s">
        <v>1013</v>
      </c>
      <c r="W670" s="306" t="s">
        <v>1013</v>
      </c>
      <c r="X670" s="306" t="s">
        <v>1013</v>
      </c>
      <c r="Y670" s="306" t="s">
        <v>1112</v>
      </c>
      <c r="Z670" s="306" t="s">
        <v>1015</v>
      </c>
      <c r="AA670" s="306" t="s">
        <v>1013</v>
      </c>
    </row>
    <row r="671" spans="1:27" hidden="1">
      <c r="A671" s="306" t="s">
        <v>494</v>
      </c>
      <c r="B671" s="306" t="s">
        <v>1003</v>
      </c>
      <c r="C671" s="306" t="s">
        <v>1004</v>
      </c>
      <c r="D671" s="306" t="s">
        <v>1019</v>
      </c>
      <c r="E671" s="306" t="s">
        <v>2362</v>
      </c>
      <c r="F671" s="306" t="s">
        <v>1007</v>
      </c>
      <c r="G671" s="308">
        <v>46022</v>
      </c>
      <c r="H671" s="308">
        <v>46022</v>
      </c>
      <c r="I671" s="309">
        <v>-102500</v>
      </c>
      <c r="J671" s="306" t="s">
        <v>1008</v>
      </c>
      <c r="K671" s="309">
        <v>-102500</v>
      </c>
      <c r="L671" s="306" t="s">
        <v>1008</v>
      </c>
      <c r="M671" s="306" t="s">
        <v>1114</v>
      </c>
      <c r="N671" s="306" t="s">
        <v>1114</v>
      </c>
      <c r="O671" s="306" t="s">
        <v>2363</v>
      </c>
      <c r="P671" s="306" t="s">
        <v>212</v>
      </c>
      <c r="Q671" s="306" t="s">
        <v>1013</v>
      </c>
      <c r="R671" s="306" t="s">
        <v>1013</v>
      </c>
      <c r="S671" s="306" t="s">
        <v>1013</v>
      </c>
      <c r="T671" s="306" t="s">
        <v>1112</v>
      </c>
      <c r="U671" s="306" t="s">
        <v>1013</v>
      </c>
      <c r="V671" s="306" t="s">
        <v>1013</v>
      </c>
      <c r="W671" s="306" t="s">
        <v>1013</v>
      </c>
      <c r="X671" s="306" t="s">
        <v>1013</v>
      </c>
      <c r="Y671" s="306" t="s">
        <v>1112</v>
      </c>
      <c r="Z671" s="306" t="s">
        <v>1015</v>
      </c>
      <c r="AA671" s="306" t="s">
        <v>1013</v>
      </c>
    </row>
    <row r="672" spans="1:27" hidden="1">
      <c r="A672" s="306" t="s">
        <v>494</v>
      </c>
      <c r="B672" s="306" t="s">
        <v>1003</v>
      </c>
      <c r="C672" s="306" t="s">
        <v>1004</v>
      </c>
      <c r="D672" s="306" t="s">
        <v>1019</v>
      </c>
      <c r="E672" s="306" t="s">
        <v>2364</v>
      </c>
      <c r="F672" s="306" t="s">
        <v>1007</v>
      </c>
      <c r="G672" s="308">
        <v>46022</v>
      </c>
      <c r="H672" s="308">
        <v>46022</v>
      </c>
      <c r="I672" s="309">
        <v>-2562500</v>
      </c>
      <c r="J672" s="306" t="s">
        <v>1008</v>
      </c>
      <c r="K672" s="309">
        <v>-2562500</v>
      </c>
      <c r="L672" s="306" t="s">
        <v>1008</v>
      </c>
      <c r="M672" s="306" t="s">
        <v>1114</v>
      </c>
      <c r="N672" s="306" t="s">
        <v>1114</v>
      </c>
      <c r="O672" s="306" t="s">
        <v>2365</v>
      </c>
      <c r="P672" s="306" t="s">
        <v>212</v>
      </c>
      <c r="Q672" s="306" t="s">
        <v>1013</v>
      </c>
      <c r="R672" s="306" t="s">
        <v>1013</v>
      </c>
      <c r="S672" s="306" t="s">
        <v>1013</v>
      </c>
      <c r="T672" s="306" t="s">
        <v>1112</v>
      </c>
      <c r="U672" s="306" t="s">
        <v>1013</v>
      </c>
      <c r="V672" s="306" t="s">
        <v>1013</v>
      </c>
      <c r="W672" s="306" t="s">
        <v>1013</v>
      </c>
      <c r="X672" s="306" t="s">
        <v>1013</v>
      </c>
      <c r="Y672" s="306" t="s">
        <v>1112</v>
      </c>
      <c r="Z672" s="306" t="s">
        <v>1015</v>
      </c>
      <c r="AA672" s="306" t="s">
        <v>1013</v>
      </c>
    </row>
    <row r="673" spans="1:27" hidden="1">
      <c r="A673" s="306" t="s">
        <v>494</v>
      </c>
      <c r="B673" s="306" t="s">
        <v>1003</v>
      </c>
      <c r="C673" s="306" t="s">
        <v>1004</v>
      </c>
      <c r="D673" s="306" t="s">
        <v>1019</v>
      </c>
      <c r="E673" s="306" t="s">
        <v>2366</v>
      </c>
      <c r="F673" s="306" t="s">
        <v>1007</v>
      </c>
      <c r="G673" s="308">
        <v>46022</v>
      </c>
      <c r="H673" s="308">
        <v>46022</v>
      </c>
      <c r="I673" s="309">
        <v>-205000</v>
      </c>
      <c r="J673" s="306" t="s">
        <v>1008</v>
      </c>
      <c r="K673" s="309">
        <v>-205000</v>
      </c>
      <c r="L673" s="306" t="s">
        <v>1008</v>
      </c>
      <c r="M673" s="306" t="s">
        <v>1114</v>
      </c>
      <c r="N673" s="306" t="s">
        <v>1114</v>
      </c>
      <c r="O673" s="306" t="s">
        <v>2367</v>
      </c>
      <c r="P673" s="306" t="s">
        <v>212</v>
      </c>
      <c r="Q673" s="306" t="s">
        <v>1013</v>
      </c>
      <c r="R673" s="306" t="s">
        <v>1013</v>
      </c>
      <c r="S673" s="306" t="s">
        <v>1013</v>
      </c>
      <c r="T673" s="306" t="s">
        <v>1112</v>
      </c>
      <c r="U673" s="306" t="s">
        <v>1013</v>
      </c>
      <c r="V673" s="306" t="s">
        <v>1013</v>
      </c>
      <c r="W673" s="306" t="s">
        <v>1013</v>
      </c>
      <c r="X673" s="306" t="s">
        <v>1013</v>
      </c>
      <c r="Y673" s="306" t="s">
        <v>1112</v>
      </c>
      <c r="Z673" s="306" t="s">
        <v>1015</v>
      </c>
      <c r="AA673" s="306" t="s">
        <v>1013</v>
      </c>
    </row>
    <row r="674" spans="1:27" hidden="1">
      <c r="A674" s="306" t="s">
        <v>494</v>
      </c>
      <c r="B674" s="306" t="s">
        <v>1003</v>
      </c>
      <c r="C674" s="306" t="s">
        <v>1004</v>
      </c>
      <c r="D674" s="306" t="s">
        <v>1031</v>
      </c>
      <c r="E674" s="306" t="s">
        <v>2368</v>
      </c>
      <c r="F674" s="306" t="s">
        <v>1007</v>
      </c>
      <c r="G674" s="308">
        <v>46022</v>
      </c>
      <c r="H674" s="308">
        <v>46022</v>
      </c>
      <c r="I674" s="309">
        <v>12768254.529999999</v>
      </c>
      <c r="J674" s="306" t="s">
        <v>1008</v>
      </c>
      <c r="K674" s="309">
        <v>12768254.529999999</v>
      </c>
      <c r="L674" s="306" t="s">
        <v>1008</v>
      </c>
      <c r="M674" s="306" t="s">
        <v>1135</v>
      </c>
      <c r="N674" s="306" t="s">
        <v>1135</v>
      </c>
      <c r="O674" s="306" t="s">
        <v>1330</v>
      </c>
      <c r="P674" s="306" t="s">
        <v>212</v>
      </c>
      <c r="Q674" s="306" t="s">
        <v>1013</v>
      </c>
      <c r="R674" s="306" t="s">
        <v>1013</v>
      </c>
      <c r="S674" s="306" t="s">
        <v>1013</v>
      </c>
      <c r="T674" s="306" t="s">
        <v>1112</v>
      </c>
      <c r="U674" s="306" t="s">
        <v>1013</v>
      </c>
      <c r="V674" s="306" t="s">
        <v>1013</v>
      </c>
      <c r="W674" s="306" t="s">
        <v>1013</v>
      </c>
      <c r="X674" s="306" t="s">
        <v>1013</v>
      </c>
      <c r="Y674" s="306" t="s">
        <v>1112</v>
      </c>
      <c r="Z674" s="306" t="s">
        <v>1015</v>
      </c>
      <c r="AA674" s="306" t="s">
        <v>1013</v>
      </c>
    </row>
    <row r="675" spans="1:27" hidden="1">
      <c r="A675" s="306" t="s">
        <v>494</v>
      </c>
      <c r="B675" s="306" t="s">
        <v>1003</v>
      </c>
      <c r="C675" s="306" t="s">
        <v>1004</v>
      </c>
      <c r="D675" s="306" t="s">
        <v>1031</v>
      </c>
      <c r="E675" s="306" t="s">
        <v>2369</v>
      </c>
      <c r="F675" s="306" t="s">
        <v>1007</v>
      </c>
      <c r="G675" s="308">
        <v>46022</v>
      </c>
      <c r="H675" s="308">
        <v>46022</v>
      </c>
      <c r="I675" s="309">
        <v>-6112680.2300000004</v>
      </c>
      <c r="J675" s="306" t="s">
        <v>1008</v>
      </c>
      <c r="K675" s="309">
        <v>-6112680.2300000004</v>
      </c>
      <c r="L675" s="306" t="s">
        <v>1008</v>
      </c>
      <c r="M675" s="306" t="s">
        <v>1135</v>
      </c>
      <c r="N675" s="306" t="s">
        <v>1135</v>
      </c>
      <c r="O675" s="306" t="s">
        <v>2370</v>
      </c>
      <c r="P675" s="306" t="s">
        <v>212</v>
      </c>
      <c r="Q675" s="306" t="s">
        <v>1013</v>
      </c>
      <c r="R675" s="306" t="s">
        <v>1013</v>
      </c>
      <c r="S675" s="306" t="s">
        <v>1013</v>
      </c>
      <c r="T675" s="306" t="s">
        <v>1112</v>
      </c>
      <c r="U675" s="306" t="s">
        <v>1013</v>
      </c>
      <c r="V675" s="306" t="s">
        <v>1013</v>
      </c>
      <c r="W675" s="306" t="s">
        <v>1013</v>
      </c>
      <c r="X675" s="306" t="s">
        <v>1013</v>
      </c>
      <c r="Y675" s="306" t="s">
        <v>1112</v>
      </c>
      <c r="Z675" s="306" t="s">
        <v>1015</v>
      </c>
      <c r="AA675" s="306" t="s">
        <v>1013</v>
      </c>
    </row>
    <row r="676" spans="1:27" hidden="1">
      <c r="A676" s="306" t="s">
        <v>494</v>
      </c>
      <c r="B676" s="306" t="s">
        <v>1003</v>
      </c>
      <c r="C676" s="306" t="s">
        <v>1004</v>
      </c>
      <c r="D676" s="306" t="s">
        <v>1031</v>
      </c>
      <c r="E676" s="306" t="s">
        <v>2371</v>
      </c>
      <c r="F676" s="306" t="s">
        <v>1007</v>
      </c>
      <c r="G676" s="308">
        <v>46022</v>
      </c>
      <c r="H676" s="308">
        <v>46022</v>
      </c>
      <c r="I676" s="309">
        <v>-1115554.43</v>
      </c>
      <c r="J676" s="306" t="s">
        <v>1008</v>
      </c>
      <c r="K676" s="309">
        <v>-1115554.43</v>
      </c>
      <c r="L676" s="306" t="s">
        <v>1008</v>
      </c>
      <c r="M676" s="306" t="s">
        <v>1135</v>
      </c>
      <c r="N676" s="306" t="s">
        <v>1135</v>
      </c>
      <c r="O676" s="306" t="s">
        <v>1378</v>
      </c>
      <c r="P676" s="306" t="s">
        <v>212</v>
      </c>
      <c r="Q676" s="306" t="s">
        <v>1013</v>
      </c>
      <c r="R676" s="306" t="s">
        <v>1013</v>
      </c>
      <c r="S676" s="306" t="s">
        <v>1013</v>
      </c>
      <c r="T676" s="306" t="s">
        <v>1112</v>
      </c>
      <c r="U676" s="306" t="s">
        <v>1013</v>
      </c>
      <c r="V676" s="306" t="s">
        <v>1013</v>
      </c>
      <c r="W676" s="306" t="s">
        <v>1013</v>
      </c>
      <c r="X676" s="306" t="s">
        <v>1013</v>
      </c>
      <c r="Y676" s="306" t="s">
        <v>1112</v>
      </c>
      <c r="Z676" s="306" t="s">
        <v>1015</v>
      </c>
      <c r="AA676" s="306" t="s">
        <v>1013</v>
      </c>
    </row>
    <row r="677" spans="1:27" hidden="1">
      <c r="A677" s="306" t="s">
        <v>494</v>
      </c>
      <c r="B677" s="306" t="s">
        <v>1003</v>
      </c>
      <c r="C677" s="306" t="s">
        <v>1004</v>
      </c>
      <c r="D677" s="306" t="s">
        <v>1005</v>
      </c>
      <c r="E677" s="306" t="s">
        <v>2372</v>
      </c>
      <c r="F677" s="306" t="s">
        <v>1007</v>
      </c>
      <c r="G677" s="308">
        <v>46022</v>
      </c>
      <c r="H677" s="308">
        <v>46022</v>
      </c>
      <c r="I677" s="309">
        <v>-43325887.149999999</v>
      </c>
      <c r="J677" s="306" t="s">
        <v>1008</v>
      </c>
      <c r="K677" s="309">
        <v>-43325887.149999999</v>
      </c>
      <c r="L677" s="306" t="s">
        <v>1008</v>
      </c>
      <c r="M677" s="306" t="s">
        <v>1693</v>
      </c>
      <c r="N677" s="306" t="s">
        <v>1694</v>
      </c>
      <c r="O677" s="306" t="s">
        <v>2182</v>
      </c>
      <c r="P677" s="306" t="s">
        <v>1696</v>
      </c>
      <c r="Q677" s="306" t="s">
        <v>1013</v>
      </c>
      <c r="R677" s="306" t="s">
        <v>1013</v>
      </c>
      <c r="S677" s="306" t="s">
        <v>1013</v>
      </c>
      <c r="T677" s="306" t="s">
        <v>1697</v>
      </c>
      <c r="U677" s="306" t="s">
        <v>1013</v>
      </c>
      <c r="V677" s="306" t="s">
        <v>1013</v>
      </c>
      <c r="W677" s="306" t="s">
        <v>1013</v>
      </c>
      <c r="X677" s="306" t="s">
        <v>1013</v>
      </c>
      <c r="Y677" s="306" t="s">
        <v>1697</v>
      </c>
      <c r="Z677" s="306" t="s">
        <v>1015</v>
      </c>
      <c r="AA677" s="306" t="s">
        <v>1013</v>
      </c>
    </row>
    <row r="678" spans="1:27" hidden="1">
      <c r="A678" s="306" t="s">
        <v>494</v>
      </c>
      <c r="B678" s="306" t="s">
        <v>1003</v>
      </c>
      <c r="C678" s="306" t="s">
        <v>1004</v>
      </c>
      <c r="D678" s="306" t="s">
        <v>1019</v>
      </c>
      <c r="E678" s="306" t="s">
        <v>2373</v>
      </c>
      <c r="F678" s="306" t="s">
        <v>1007</v>
      </c>
      <c r="G678" s="308">
        <v>46022</v>
      </c>
      <c r="H678" s="308">
        <v>46022</v>
      </c>
      <c r="I678" s="309">
        <v>-294103.77</v>
      </c>
      <c r="J678" s="306" t="s">
        <v>1008</v>
      </c>
      <c r="K678" s="309">
        <v>-294103.77</v>
      </c>
      <c r="L678" s="306" t="s">
        <v>1008</v>
      </c>
      <c r="M678" s="306" t="s">
        <v>2374</v>
      </c>
      <c r="N678" s="306" t="s">
        <v>2374</v>
      </c>
      <c r="O678" s="306" t="s">
        <v>2375</v>
      </c>
      <c r="P678" s="306" t="s">
        <v>696</v>
      </c>
      <c r="Q678" s="306" t="s">
        <v>1013</v>
      </c>
      <c r="R678" s="306" t="s">
        <v>1013</v>
      </c>
      <c r="S678" s="306" t="s">
        <v>1013</v>
      </c>
      <c r="T678" s="306" t="s">
        <v>2376</v>
      </c>
      <c r="U678" s="306" t="s">
        <v>1013</v>
      </c>
      <c r="V678" s="306" t="s">
        <v>1013</v>
      </c>
      <c r="W678" s="306" t="s">
        <v>1013</v>
      </c>
      <c r="X678" s="306" t="s">
        <v>1013</v>
      </c>
      <c r="Y678" s="306" t="s">
        <v>2376</v>
      </c>
      <c r="Z678" s="306" t="s">
        <v>1015</v>
      </c>
      <c r="AA678" s="306" t="s">
        <v>1013</v>
      </c>
    </row>
    <row r="679" spans="1:27" hidden="1">
      <c r="A679" s="306" t="s">
        <v>494</v>
      </c>
      <c r="B679" s="306" t="s">
        <v>1003</v>
      </c>
      <c r="C679" s="306" t="s">
        <v>1004</v>
      </c>
      <c r="D679" s="306" t="s">
        <v>1019</v>
      </c>
      <c r="E679" s="306" t="s">
        <v>2377</v>
      </c>
      <c r="F679" s="306" t="s">
        <v>1007</v>
      </c>
      <c r="G679" s="308">
        <v>46022</v>
      </c>
      <c r="H679" s="308">
        <v>46022</v>
      </c>
      <c r="I679" s="309">
        <v>-166990.29999999999</v>
      </c>
      <c r="J679" s="306" t="s">
        <v>1008</v>
      </c>
      <c r="K679" s="309">
        <v>-166990.29999999999</v>
      </c>
      <c r="L679" s="306" t="s">
        <v>1008</v>
      </c>
      <c r="M679" s="306" t="s">
        <v>2374</v>
      </c>
      <c r="N679" s="306" t="s">
        <v>2374</v>
      </c>
      <c r="O679" s="306" t="s">
        <v>2378</v>
      </c>
      <c r="P679" s="306" t="s">
        <v>696</v>
      </c>
      <c r="Q679" s="306" t="s">
        <v>1013</v>
      </c>
      <c r="R679" s="306" t="s">
        <v>1013</v>
      </c>
      <c r="S679" s="306" t="s">
        <v>1013</v>
      </c>
      <c r="T679" s="306" t="s">
        <v>2376</v>
      </c>
      <c r="U679" s="306" t="s">
        <v>1013</v>
      </c>
      <c r="V679" s="306" t="s">
        <v>1013</v>
      </c>
      <c r="W679" s="306" t="s">
        <v>1013</v>
      </c>
      <c r="X679" s="306" t="s">
        <v>1013</v>
      </c>
      <c r="Y679" s="306" t="s">
        <v>2376</v>
      </c>
      <c r="Z679" s="306" t="s">
        <v>1015</v>
      </c>
      <c r="AA679" s="306" t="s">
        <v>1013</v>
      </c>
    </row>
    <row r="680" spans="1:27" hidden="1">
      <c r="A680" s="306" t="s">
        <v>494</v>
      </c>
      <c r="B680" s="306" t="s">
        <v>1003</v>
      </c>
      <c r="C680" s="306" t="s">
        <v>1004</v>
      </c>
      <c r="D680" s="306" t="s">
        <v>1005</v>
      </c>
      <c r="E680" s="306" t="s">
        <v>2379</v>
      </c>
      <c r="F680" s="306" t="s">
        <v>1007</v>
      </c>
      <c r="G680" s="308">
        <v>46022</v>
      </c>
      <c r="H680" s="308">
        <v>46022</v>
      </c>
      <c r="I680" s="309">
        <v>-1217637.54</v>
      </c>
      <c r="J680" s="306" t="s">
        <v>1008</v>
      </c>
      <c r="K680" s="309">
        <v>-1217637.54</v>
      </c>
      <c r="L680" s="306" t="s">
        <v>1008</v>
      </c>
      <c r="M680" s="306" t="s">
        <v>2380</v>
      </c>
      <c r="N680" s="306" t="s">
        <v>2380</v>
      </c>
      <c r="O680" s="306" t="s">
        <v>2381</v>
      </c>
      <c r="P680" s="306" t="s">
        <v>696</v>
      </c>
      <c r="Q680" s="306" t="s">
        <v>1013</v>
      </c>
      <c r="R680" s="306" t="s">
        <v>1013</v>
      </c>
      <c r="S680" s="306" t="s">
        <v>1013</v>
      </c>
      <c r="T680" s="306" t="s">
        <v>2376</v>
      </c>
      <c r="U680" s="306" t="s">
        <v>1013</v>
      </c>
      <c r="V680" s="306" t="s">
        <v>1013</v>
      </c>
      <c r="W680" s="306" t="s">
        <v>1013</v>
      </c>
      <c r="X680" s="306" t="s">
        <v>1013</v>
      </c>
      <c r="Y680" s="306" t="s">
        <v>2376</v>
      </c>
      <c r="Z680" s="306" t="s">
        <v>1015</v>
      </c>
      <c r="AA680" s="306" t="s">
        <v>1013</v>
      </c>
    </row>
    <row r="681" spans="1:27" hidden="1">
      <c r="A681" s="306" t="s">
        <v>494</v>
      </c>
      <c r="B681" s="306" t="s">
        <v>1003</v>
      </c>
      <c r="C681" s="306" t="s">
        <v>1004</v>
      </c>
      <c r="D681" s="306" t="s">
        <v>1005</v>
      </c>
      <c r="E681" s="306" t="s">
        <v>2382</v>
      </c>
      <c r="F681" s="306" t="s">
        <v>1007</v>
      </c>
      <c r="G681" s="308">
        <v>46022</v>
      </c>
      <c r="H681" s="308">
        <v>46022</v>
      </c>
      <c r="I681" s="309">
        <v>-1029633.03</v>
      </c>
      <c r="J681" s="306" t="s">
        <v>1008</v>
      </c>
      <c r="K681" s="309">
        <v>-1029633.03</v>
      </c>
      <c r="L681" s="306" t="s">
        <v>1008</v>
      </c>
      <c r="M681" s="306" t="s">
        <v>2380</v>
      </c>
      <c r="N681" s="306" t="s">
        <v>2380</v>
      </c>
      <c r="O681" s="306" t="s">
        <v>2383</v>
      </c>
      <c r="P681" s="306" t="s">
        <v>696</v>
      </c>
      <c r="Q681" s="306" t="s">
        <v>1013</v>
      </c>
      <c r="R681" s="306" t="s">
        <v>1013</v>
      </c>
      <c r="S681" s="306" t="s">
        <v>1013</v>
      </c>
      <c r="T681" s="306" t="s">
        <v>1014</v>
      </c>
      <c r="U681" s="306" t="s">
        <v>1013</v>
      </c>
      <c r="V681" s="306" t="s">
        <v>1013</v>
      </c>
      <c r="W681" s="306" t="s">
        <v>1013</v>
      </c>
      <c r="X681" s="306" t="s">
        <v>1013</v>
      </c>
      <c r="Y681" s="306" t="s">
        <v>1014</v>
      </c>
      <c r="Z681" s="306" t="s">
        <v>1015</v>
      </c>
      <c r="AA681" s="306" t="s">
        <v>1013</v>
      </c>
    </row>
    <row r="682" spans="1:27" hidden="1">
      <c r="A682" s="306" t="s">
        <v>494</v>
      </c>
      <c r="B682" s="306" t="s">
        <v>1003</v>
      </c>
      <c r="C682" s="306" t="s">
        <v>1004</v>
      </c>
      <c r="D682" s="306" t="s">
        <v>1019</v>
      </c>
      <c r="E682" s="306" t="s">
        <v>2384</v>
      </c>
      <c r="F682" s="306" t="s">
        <v>1007</v>
      </c>
      <c r="G682" s="308">
        <v>46022</v>
      </c>
      <c r="H682" s="308">
        <v>46022</v>
      </c>
      <c r="I682" s="309">
        <v>-172405.66</v>
      </c>
      <c r="J682" s="306" t="s">
        <v>1008</v>
      </c>
      <c r="K682" s="309">
        <v>-172405.66</v>
      </c>
      <c r="L682" s="306" t="s">
        <v>1008</v>
      </c>
      <c r="M682" s="306" t="s">
        <v>2374</v>
      </c>
      <c r="N682" s="306" t="s">
        <v>2374</v>
      </c>
      <c r="O682" s="306" t="s">
        <v>2385</v>
      </c>
      <c r="P682" s="306" t="s">
        <v>696</v>
      </c>
      <c r="Q682" s="306" t="s">
        <v>1013</v>
      </c>
      <c r="R682" s="306" t="s">
        <v>1013</v>
      </c>
      <c r="S682" s="306" t="s">
        <v>1013</v>
      </c>
      <c r="T682" s="306" t="s">
        <v>1014</v>
      </c>
      <c r="U682" s="306" t="s">
        <v>1013</v>
      </c>
      <c r="V682" s="306" t="s">
        <v>1013</v>
      </c>
      <c r="W682" s="306" t="s">
        <v>1013</v>
      </c>
      <c r="X682" s="306" t="s">
        <v>1013</v>
      </c>
      <c r="Y682" s="306" t="s">
        <v>1014</v>
      </c>
      <c r="Z682" s="306" t="s">
        <v>1015</v>
      </c>
      <c r="AA682" s="306" t="s">
        <v>1013</v>
      </c>
    </row>
    <row r="683" spans="1:27" hidden="1">
      <c r="A683" s="306" t="s">
        <v>494</v>
      </c>
      <c r="B683" s="306" t="s">
        <v>1003</v>
      </c>
      <c r="C683" s="306" t="s">
        <v>1004</v>
      </c>
      <c r="D683" s="306" t="s">
        <v>1005</v>
      </c>
      <c r="E683" s="306" t="s">
        <v>2386</v>
      </c>
      <c r="F683" s="306" t="s">
        <v>1007</v>
      </c>
      <c r="G683" s="308">
        <v>46022</v>
      </c>
      <c r="H683" s="308">
        <v>46022</v>
      </c>
      <c r="I683" s="309">
        <v>-2071100.91</v>
      </c>
      <c r="J683" s="306" t="s">
        <v>1008</v>
      </c>
      <c r="K683" s="309">
        <v>-2071100.91</v>
      </c>
      <c r="L683" s="306" t="s">
        <v>1008</v>
      </c>
      <c r="M683" s="306" t="s">
        <v>2380</v>
      </c>
      <c r="N683" s="306" t="s">
        <v>2380</v>
      </c>
      <c r="O683" s="306" t="s">
        <v>2387</v>
      </c>
      <c r="P683" s="306" t="s">
        <v>696</v>
      </c>
      <c r="Q683" s="306" t="s">
        <v>1013</v>
      </c>
      <c r="R683" s="306" t="s">
        <v>1013</v>
      </c>
      <c r="S683" s="306" t="s">
        <v>1013</v>
      </c>
      <c r="T683" s="306" t="s">
        <v>1014</v>
      </c>
      <c r="U683" s="306" t="s">
        <v>1013</v>
      </c>
      <c r="V683" s="306" t="s">
        <v>1013</v>
      </c>
      <c r="W683" s="306" t="s">
        <v>1013</v>
      </c>
      <c r="X683" s="306" t="s">
        <v>1013</v>
      </c>
      <c r="Y683" s="306" t="s">
        <v>1014</v>
      </c>
      <c r="Z683" s="306" t="s">
        <v>1015</v>
      </c>
      <c r="AA683" s="306" t="s">
        <v>1013</v>
      </c>
    </row>
    <row r="684" spans="1:27" hidden="1">
      <c r="A684" s="306" t="s">
        <v>494</v>
      </c>
      <c r="B684" s="306" t="s">
        <v>1003</v>
      </c>
      <c r="C684" s="306" t="s">
        <v>1004</v>
      </c>
      <c r="D684" s="306" t="s">
        <v>1005</v>
      </c>
      <c r="E684" s="306" t="s">
        <v>2388</v>
      </c>
      <c r="F684" s="306" t="s">
        <v>1007</v>
      </c>
      <c r="G684" s="308">
        <v>46022</v>
      </c>
      <c r="H684" s="308">
        <v>46022</v>
      </c>
      <c r="I684" s="309">
        <v>-3156389.5</v>
      </c>
      <c r="J684" s="306" t="s">
        <v>1008</v>
      </c>
      <c r="K684" s="309">
        <v>-3156389.5</v>
      </c>
      <c r="L684" s="306" t="s">
        <v>1008</v>
      </c>
      <c r="M684" s="306" t="s">
        <v>2380</v>
      </c>
      <c r="N684" s="306" t="s">
        <v>2380</v>
      </c>
      <c r="O684" s="306" t="s">
        <v>2389</v>
      </c>
      <c r="P684" s="306" t="s">
        <v>696</v>
      </c>
      <c r="Q684" s="306" t="s">
        <v>1013</v>
      </c>
      <c r="R684" s="306" t="s">
        <v>1013</v>
      </c>
      <c r="S684" s="306" t="s">
        <v>1013</v>
      </c>
      <c r="T684" s="306" t="s">
        <v>1014</v>
      </c>
      <c r="U684" s="306" t="s">
        <v>1013</v>
      </c>
      <c r="V684" s="306" t="s">
        <v>1013</v>
      </c>
      <c r="W684" s="306" t="s">
        <v>1013</v>
      </c>
      <c r="X684" s="306" t="s">
        <v>1013</v>
      </c>
      <c r="Y684" s="306" t="s">
        <v>1014</v>
      </c>
      <c r="Z684" s="306" t="s">
        <v>1015</v>
      </c>
      <c r="AA684" s="306" t="s">
        <v>1013</v>
      </c>
    </row>
    <row r="685" spans="1:27" hidden="1">
      <c r="A685" s="306" t="s">
        <v>494</v>
      </c>
      <c r="B685" s="306" t="s">
        <v>1003</v>
      </c>
      <c r="C685" s="306" t="s">
        <v>1004</v>
      </c>
      <c r="D685" s="306" t="s">
        <v>1005</v>
      </c>
      <c r="E685" s="306" t="s">
        <v>2390</v>
      </c>
      <c r="F685" s="306" t="s">
        <v>1007</v>
      </c>
      <c r="G685" s="308">
        <v>46022</v>
      </c>
      <c r="H685" s="308">
        <v>46022</v>
      </c>
      <c r="I685" s="309">
        <v>-256816.51</v>
      </c>
      <c r="J685" s="306" t="s">
        <v>1008</v>
      </c>
      <c r="K685" s="309">
        <v>-256816.51</v>
      </c>
      <c r="L685" s="306" t="s">
        <v>1008</v>
      </c>
      <c r="M685" s="306" t="s">
        <v>2380</v>
      </c>
      <c r="N685" s="306" t="s">
        <v>2380</v>
      </c>
      <c r="O685" s="306" t="s">
        <v>2391</v>
      </c>
      <c r="P685" s="306" t="s">
        <v>696</v>
      </c>
      <c r="Q685" s="306" t="s">
        <v>1013</v>
      </c>
      <c r="R685" s="306" t="s">
        <v>1013</v>
      </c>
      <c r="S685" s="306" t="s">
        <v>1013</v>
      </c>
      <c r="T685" s="306" t="s">
        <v>1014</v>
      </c>
      <c r="U685" s="306" t="s">
        <v>1013</v>
      </c>
      <c r="V685" s="306" t="s">
        <v>1013</v>
      </c>
      <c r="W685" s="306" t="s">
        <v>1013</v>
      </c>
      <c r="X685" s="306" t="s">
        <v>1013</v>
      </c>
      <c r="Y685" s="306" t="s">
        <v>1014</v>
      </c>
      <c r="Z685" s="306" t="s">
        <v>1015</v>
      </c>
      <c r="AA685" s="306" t="s">
        <v>1013</v>
      </c>
    </row>
    <row r="686" spans="1:27" hidden="1">
      <c r="A686" s="306" t="s">
        <v>494</v>
      </c>
      <c r="B686" s="306" t="s">
        <v>1003</v>
      </c>
      <c r="C686" s="306" t="s">
        <v>1004</v>
      </c>
      <c r="D686" s="306" t="s">
        <v>1019</v>
      </c>
      <c r="E686" s="306" t="s">
        <v>2392</v>
      </c>
      <c r="F686" s="306" t="s">
        <v>1007</v>
      </c>
      <c r="G686" s="308">
        <v>46022</v>
      </c>
      <c r="H686" s="308">
        <v>46022</v>
      </c>
      <c r="I686" s="309">
        <v>-81776.06</v>
      </c>
      <c r="J686" s="306" t="s">
        <v>1008</v>
      </c>
      <c r="K686" s="309">
        <v>-81776.06</v>
      </c>
      <c r="L686" s="306" t="s">
        <v>1008</v>
      </c>
      <c r="M686" s="306" t="s">
        <v>2374</v>
      </c>
      <c r="N686" s="306" t="s">
        <v>2374</v>
      </c>
      <c r="O686" s="306" t="s">
        <v>2393</v>
      </c>
      <c r="P686" s="306" t="s">
        <v>696</v>
      </c>
      <c r="Q686" s="306" t="s">
        <v>1013</v>
      </c>
      <c r="R686" s="306" t="s">
        <v>1013</v>
      </c>
      <c r="S686" s="306" t="s">
        <v>1013</v>
      </c>
      <c r="T686" s="306" t="s">
        <v>1014</v>
      </c>
      <c r="U686" s="306" t="s">
        <v>1013</v>
      </c>
      <c r="V686" s="306" t="s">
        <v>1013</v>
      </c>
      <c r="W686" s="306" t="s">
        <v>1013</v>
      </c>
      <c r="X686" s="306" t="s">
        <v>1013</v>
      </c>
      <c r="Y686" s="306" t="s">
        <v>1014</v>
      </c>
      <c r="Z686" s="306" t="s">
        <v>1015</v>
      </c>
      <c r="AA686" s="306" t="s">
        <v>1013</v>
      </c>
    </row>
    <row r="687" spans="1:27" hidden="1">
      <c r="A687" s="306" t="s">
        <v>494</v>
      </c>
      <c r="B687" s="306" t="s">
        <v>1003</v>
      </c>
      <c r="C687" s="306" t="s">
        <v>1004</v>
      </c>
      <c r="D687" s="306" t="s">
        <v>1019</v>
      </c>
      <c r="E687" s="306" t="s">
        <v>2394</v>
      </c>
      <c r="F687" s="306" t="s">
        <v>1007</v>
      </c>
      <c r="G687" s="308">
        <v>46022</v>
      </c>
      <c r="H687" s="308">
        <v>46022</v>
      </c>
      <c r="I687" s="309">
        <v>-7791.44</v>
      </c>
      <c r="J687" s="306" t="s">
        <v>1008</v>
      </c>
      <c r="K687" s="309">
        <v>-7791.44</v>
      </c>
      <c r="L687" s="306" t="s">
        <v>1008</v>
      </c>
      <c r="M687" s="306" t="s">
        <v>2374</v>
      </c>
      <c r="N687" s="306" t="s">
        <v>2374</v>
      </c>
      <c r="O687" s="306" t="s">
        <v>2395</v>
      </c>
      <c r="P687" s="306" t="s">
        <v>696</v>
      </c>
      <c r="Q687" s="306" t="s">
        <v>1013</v>
      </c>
      <c r="R687" s="306" t="s">
        <v>1013</v>
      </c>
      <c r="S687" s="306" t="s">
        <v>1013</v>
      </c>
      <c r="T687" s="306" t="s">
        <v>1014</v>
      </c>
      <c r="U687" s="306" t="s">
        <v>1013</v>
      </c>
      <c r="V687" s="306" t="s">
        <v>1013</v>
      </c>
      <c r="W687" s="306" t="s">
        <v>1013</v>
      </c>
      <c r="X687" s="306" t="s">
        <v>1013</v>
      </c>
      <c r="Y687" s="306" t="s">
        <v>1014</v>
      </c>
      <c r="Z687" s="306" t="s">
        <v>1015</v>
      </c>
      <c r="AA687" s="306" t="s">
        <v>1013</v>
      </c>
    </row>
    <row r="688" spans="1:27" hidden="1">
      <c r="A688" s="306" t="s">
        <v>494</v>
      </c>
      <c r="B688" s="306" t="s">
        <v>1003</v>
      </c>
      <c r="C688" s="306" t="s">
        <v>1004</v>
      </c>
      <c r="D688" s="306" t="s">
        <v>1005</v>
      </c>
      <c r="E688" s="306" t="s">
        <v>2396</v>
      </c>
      <c r="F688" s="306" t="s">
        <v>1007</v>
      </c>
      <c r="G688" s="308">
        <v>46022</v>
      </c>
      <c r="H688" s="308">
        <v>46022</v>
      </c>
      <c r="I688" s="309">
        <v>-84816.51</v>
      </c>
      <c r="J688" s="306" t="s">
        <v>1008</v>
      </c>
      <c r="K688" s="309">
        <v>-84816.51</v>
      </c>
      <c r="L688" s="306" t="s">
        <v>1008</v>
      </c>
      <c r="M688" s="306" t="s">
        <v>2380</v>
      </c>
      <c r="N688" s="306" t="s">
        <v>2380</v>
      </c>
      <c r="O688" s="306" t="s">
        <v>2397</v>
      </c>
      <c r="P688" s="306" t="s">
        <v>696</v>
      </c>
      <c r="Q688" s="306" t="s">
        <v>1013</v>
      </c>
      <c r="R688" s="306" t="s">
        <v>1013</v>
      </c>
      <c r="S688" s="306" t="s">
        <v>1013</v>
      </c>
      <c r="T688" s="306" t="s">
        <v>1014</v>
      </c>
      <c r="U688" s="306" t="s">
        <v>1013</v>
      </c>
      <c r="V688" s="306" t="s">
        <v>1013</v>
      </c>
      <c r="W688" s="306" t="s">
        <v>1013</v>
      </c>
      <c r="X688" s="306" t="s">
        <v>1013</v>
      </c>
      <c r="Y688" s="306" t="s">
        <v>1014</v>
      </c>
      <c r="Z688" s="306" t="s">
        <v>1015</v>
      </c>
      <c r="AA688" s="306" t="s">
        <v>1013</v>
      </c>
    </row>
    <row r="689" spans="1:27" hidden="1">
      <c r="A689" s="306" t="s">
        <v>494</v>
      </c>
      <c r="B689" s="306" t="s">
        <v>1003</v>
      </c>
      <c r="C689" s="306" t="s">
        <v>1004</v>
      </c>
      <c r="D689" s="306" t="s">
        <v>1005</v>
      </c>
      <c r="E689" s="306" t="s">
        <v>2398</v>
      </c>
      <c r="F689" s="306" t="s">
        <v>1007</v>
      </c>
      <c r="G689" s="308">
        <v>46022</v>
      </c>
      <c r="H689" s="308">
        <v>46022</v>
      </c>
      <c r="I689" s="309">
        <v>-2909403.67</v>
      </c>
      <c r="J689" s="306" t="s">
        <v>1008</v>
      </c>
      <c r="K689" s="309">
        <v>-2909403.67</v>
      </c>
      <c r="L689" s="306" t="s">
        <v>1008</v>
      </c>
      <c r="M689" s="306" t="s">
        <v>2380</v>
      </c>
      <c r="N689" s="306" t="s">
        <v>2380</v>
      </c>
      <c r="O689" s="306" t="s">
        <v>2399</v>
      </c>
      <c r="P689" s="306" t="s">
        <v>696</v>
      </c>
      <c r="Q689" s="306" t="s">
        <v>1013</v>
      </c>
      <c r="R689" s="306" t="s">
        <v>1013</v>
      </c>
      <c r="S689" s="306" t="s">
        <v>1013</v>
      </c>
      <c r="T689" s="306" t="s">
        <v>1014</v>
      </c>
      <c r="U689" s="306" t="s">
        <v>1013</v>
      </c>
      <c r="V689" s="306" t="s">
        <v>1013</v>
      </c>
      <c r="W689" s="306" t="s">
        <v>1013</v>
      </c>
      <c r="X689" s="306" t="s">
        <v>1013</v>
      </c>
      <c r="Y689" s="306" t="s">
        <v>1014</v>
      </c>
      <c r="Z689" s="306" t="s">
        <v>1015</v>
      </c>
      <c r="AA689" s="306" t="s">
        <v>1013</v>
      </c>
    </row>
    <row r="690" spans="1:27" hidden="1">
      <c r="A690" s="306" t="s">
        <v>494</v>
      </c>
      <c r="B690" s="306" t="s">
        <v>1003</v>
      </c>
      <c r="C690" s="306" t="s">
        <v>1004</v>
      </c>
      <c r="D690" s="306" t="s">
        <v>1005</v>
      </c>
      <c r="E690" s="306" t="s">
        <v>2400</v>
      </c>
      <c r="F690" s="306" t="s">
        <v>1007</v>
      </c>
      <c r="G690" s="308">
        <v>46022</v>
      </c>
      <c r="H690" s="308">
        <v>46022</v>
      </c>
      <c r="I690" s="309">
        <v>-97234.89</v>
      </c>
      <c r="J690" s="306" t="s">
        <v>1008</v>
      </c>
      <c r="K690" s="309">
        <v>-97234.89</v>
      </c>
      <c r="L690" s="306" t="s">
        <v>1008</v>
      </c>
      <c r="M690" s="306" t="s">
        <v>2380</v>
      </c>
      <c r="N690" s="306" t="s">
        <v>2380</v>
      </c>
      <c r="O690" s="306" t="s">
        <v>2401</v>
      </c>
      <c r="P690" s="306" t="s">
        <v>696</v>
      </c>
      <c r="Q690" s="306" t="s">
        <v>1013</v>
      </c>
      <c r="R690" s="306" t="s">
        <v>1013</v>
      </c>
      <c r="S690" s="306" t="s">
        <v>1013</v>
      </c>
      <c r="T690" s="306" t="s">
        <v>1014</v>
      </c>
      <c r="U690" s="306" t="s">
        <v>1013</v>
      </c>
      <c r="V690" s="306" t="s">
        <v>1013</v>
      </c>
      <c r="W690" s="306" t="s">
        <v>1013</v>
      </c>
      <c r="X690" s="306" t="s">
        <v>1013</v>
      </c>
      <c r="Y690" s="306" t="s">
        <v>1014</v>
      </c>
      <c r="Z690" s="306" t="s">
        <v>1015</v>
      </c>
      <c r="AA690" s="306" t="s">
        <v>1013</v>
      </c>
    </row>
    <row r="691" spans="1:27" hidden="1">
      <c r="A691" s="306" t="s">
        <v>494</v>
      </c>
      <c r="B691" s="306" t="s">
        <v>1003</v>
      </c>
      <c r="C691" s="306" t="s">
        <v>1004</v>
      </c>
      <c r="D691" s="306" t="s">
        <v>1019</v>
      </c>
      <c r="E691" s="306" t="s">
        <v>2402</v>
      </c>
      <c r="F691" s="306" t="s">
        <v>1007</v>
      </c>
      <c r="G691" s="308">
        <v>46022</v>
      </c>
      <c r="H691" s="308">
        <v>46022</v>
      </c>
      <c r="I691" s="309">
        <v>-120497.65</v>
      </c>
      <c r="J691" s="306" t="s">
        <v>1008</v>
      </c>
      <c r="K691" s="309">
        <v>-120497.65</v>
      </c>
      <c r="L691" s="306" t="s">
        <v>1008</v>
      </c>
      <c r="M691" s="306" t="s">
        <v>2374</v>
      </c>
      <c r="N691" s="306" t="s">
        <v>2374</v>
      </c>
      <c r="O691" s="306" t="s">
        <v>2403</v>
      </c>
      <c r="P691" s="306" t="s">
        <v>696</v>
      </c>
      <c r="Q691" s="306" t="s">
        <v>1013</v>
      </c>
      <c r="R691" s="306" t="s">
        <v>1013</v>
      </c>
      <c r="S691" s="306" t="s">
        <v>1013</v>
      </c>
      <c r="T691" s="306" t="s">
        <v>1014</v>
      </c>
      <c r="U691" s="306" t="s">
        <v>1013</v>
      </c>
      <c r="V691" s="306" t="s">
        <v>1013</v>
      </c>
      <c r="W691" s="306" t="s">
        <v>1013</v>
      </c>
      <c r="X691" s="306" t="s">
        <v>1013</v>
      </c>
      <c r="Y691" s="306" t="s">
        <v>1014</v>
      </c>
      <c r="Z691" s="306" t="s">
        <v>1015</v>
      </c>
      <c r="AA691" s="306" t="s">
        <v>1013</v>
      </c>
    </row>
    <row r="692" spans="1:27" hidden="1">
      <c r="A692" s="306" t="s">
        <v>494</v>
      </c>
      <c r="B692" s="306" t="s">
        <v>1003</v>
      </c>
      <c r="C692" s="306" t="s">
        <v>1004</v>
      </c>
      <c r="D692" s="306" t="s">
        <v>1019</v>
      </c>
      <c r="E692" s="306" t="s">
        <v>2404</v>
      </c>
      <c r="F692" s="306" t="s">
        <v>1007</v>
      </c>
      <c r="G692" s="308">
        <v>46022</v>
      </c>
      <c r="H692" s="308">
        <v>46022</v>
      </c>
      <c r="I692" s="309">
        <v>-294103.77</v>
      </c>
      <c r="J692" s="306" t="s">
        <v>1008</v>
      </c>
      <c r="K692" s="309">
        <v>-294103.77</v>
      </c>
      <c r="L692" s="306" t="s">
        <v>1008</v>
      </c>
      <c r="M692" s="306" t="s">
        <v>2374</v>
      </c>
      <c r="N692" s="306" t="s">
        <v>2374</v>
      </c>
      <c r="O692" s="306" t="s">
        <v>2375</v>
      </c>
      <c r="P692" s="306" t="s">
        <v>1026</v>
      </c>
      <c r="Q692" s="306" t="s">
        <v>1013</v>
      </c>
      <c r="R692" s="306" t="s">
        <v>1013</v>
      </c>
      <c r="S692" s="306" t="s">
        <v>1013</v>
      </c>
      <c r="T692" s="306" t="s">
        <v>2376</v>
      </c>
      <c r="U692" s="306" t="s">
        <v>1013</v>
      </c>
      <c r="V692" s="306" t="s">
        <v>1013</v>
      </c>
      <c r="W692" s="306" t="s">
        <v>1013</v>
      </c>
      <c r="X692" s="306" t="s">
        <v>1013</v>
      </c>
      <c r="Y692" s="306" t="s">
        <v>2376</v>
      </c>
      <c r="Z692" s="306" t="s">
        <v>1015</v>
      </c>
      <c r="AA692" s="306" t="s">
        <v>1013</v>
      </c>
    </row>
    <row r="693" spans="1:27" hidden="1">
      <c r="A693" s="306" t="s">
        <v>494</v>
      </c>
      <c r="B693" s="306" t="s">
        <v>1003</v>
      </c>
      <c r="C693" s="306" t="s">
        <v>1004</v>
      </c>
      <c r="D693" s="306" t="s">
        <v>1019</v>
      </c>
      <c r="E693" s="306" t="s">
        <v>2405</v>
      </c>
      <c r="F693" s="306" t="s">
        <v>1007</v>
      </c>
      <c r="G693" s="308">
        <v>46022</v>
      </c>
      <c r="H693" s="308">
        <v>46022</v>
      </c>
      <c r="I693" s="309">
        <v>-166990.29999999999</v>
      </c>
      <c r="J693" s="306" t="s">
        <v>1008</v>
      </c>
      <c r="K693" s="309">
        <v>-166990.29999999999</v>
      </c>
      <c r="L693" s="306" t="s">
        <v>1008</v>
      </c>
      <c r="M693" s="306" t="s">
        <v>2374</v>
      </c>
      <c r="N693" s="306" t="s">
        <v>2374</v>
      </c>
      <c r="O693" s="306" t="s">
        <v>2378</v>
      </c>
      <c r="P693" s="306" t="s">
        <v>1026</v>
      </c>
      <c r="Q693" s="306" t="s">
        <v>1013</v>
      </c>
      <c r="R693" s="306" t="s">
        <v>1013</v>
      </c>
      <c r="S693" s="306" t="s">
        <v>1013</v>
      </c>
      <c r="T693" s="306" t="s">
        <v>2376</v>
      </c>
      <c r="U693" s="306" t="s">
        <v>1013</v>
      </c>
      <c r="V693" s="306" t="s">
        <v>1013</v>
      </c>
      <c r="W693" s="306" t="s">
        <v>1013</v>
      </c>
      <c r="X693" s="306" t="s">
        <v>1013</v>
      </c>
      <c r="Y693" s="306" t="s">
        <v>2376</v>
      </c>
      <c r="Z693" s="306" t="s">
        <v>1015</v>
      </c>
      <c r="AA693" s="306" t="s">
        <v>1013</v>
      </c>
    </row>
    <row r="694" spans="1:27" hidden="1">
      <c r="A694" s="306" t="s">
        <v>494</v>
      </c>
      <c r="B694" s="306" t="s">
        <v>1003</v>
      </c>
      <c r="C694" s="306" t="s">
        <v>1004</v>
      </c>
      <c r="D694" s="306" t="s">
        <v>1005</v>
      </c>
      <c r="E694" s="306" t="s">
        <v>2406</v>
      </c>
      <c r="F694" s="306" t="s">
        <v>1007</v>
      </c>
      <c r="G694" s="308">
        <v>46022</v>
      </c>
      <c r="H694" s="308">
        <v>46022</v>
      </c>
      <c r="I694" s="309">
        <v>-1217637.55</v>
      </c>
      <c r="J694" s="306" t="s">
        <v>1008</v>
      </c>
      <c r="K694" s="309">
        <v>-1217637.55</v>
      </c>
      <c r="L694" s="306" t="s">
        <v>1008</v>
      </c>
      <c r="M694" s="306" t="s">
        <v>2380</v>
      </c>
      <c r="N694" s="306" t="s">
        <v>2380</v>
      </c>
      <c r="O694" s="306" t="s">
        <v>2381</v>
      </c>
      <c r="P694" s="306" t="s">
        <v>1026</v>
      </c>
      <c r="Q694" s="306" t="s">
        <v>1013</v>
      </c>
      <c r="R694" s="306" t="s">
        <v>1013</v>
      </c>
      <c r="S694" s="306" t="s">
        <v>1013</v>
      </c>
      <c r="T694" s="306" t="s">
        <v>2376</v>
      </c>
      <c r="U694" s="306" t="s">
        <v>1013</v>
      </c>
      <c r="V694" s="306" t="s">
        <v>1013</v>
      </c>
      <c r="W694" s="306" t="s">
        <v>1013</v>
      </c>
      <c r="X694" s="306" t="s">
        <v>1013</v>
      </c>
      <c r="Y694" s="306" t="s">
        <v>2376</v>
      </c>
      <c r="Z694" s="306" t="s">
        <v>1015</v>
      </c>
      <c r="AA694" s="306" t="s">
        <v>1013</v>
      </c>
    </row>
    <row r="695" spans="1:27" hidden="1">
      <c r="A695" s="306" t="s">
        <v>494</v>
      </c>
      <c r="B695" s="306" t="s">
        <v>1003</v>
      </c>
      <c r="C695" s="306" t="s">
        <v>1004</v>
      </c>
      <c r="D695" s="306" t="s">
        <v>1005</v>
      </c>
      <c r="E695" s="306" t="s">
        <v>2407</v>
      </c>
      <c r="F695" s="306" t="s">
        <v>1007</v>
      </c>
      <c r="G695" s="308">
        <v>46022</v>
      </c>
      <c r="H695" s="308">
        <v>46022</v>
      </c>
      <c r="I695" s="309">
        <v>-514816.51</v>
      </c>
      <c r="J695" s="306" t="s">
        <v>1008</v>
      </c>
      <c r="K695" s="309">
        <v>-514816.51</v>
      </c>
      <c r="L695" s="306" t="s">
        <v>1008</v>
      </c>
      <c r="M695" s="306" t="s">
        <v>2380</v>
      </c>
      <c r="N695" s="306" t="s">
        <v>2380</v>
      </c>
      <c r="O695" s="306" t="s">
        <v>2383</v>
      </c>
      <c r="P695" s="306" t="s">
        <v>1026</v>
      </c>
      <c r="Q695" s="306" t="s">
        <v>1013</v>
      </c>
      <c r="R695" s="306" t="s">
        <v>1013</v>
      </c>
      <c r="S695" s="306" t="s">
        <v>1013</v>
      </c>
      <c r="T695" s="306" t="s">
        <v>1014</v>
      </c>
      <c r="U695" s="306" t="s">
        <v>1013</v>
      </c>
      <c r="V695" s="306" t="s">
        <v>1013</v>
      </c>
      <c r="W695" s="306" t="s">
        <v>1013</v>
      </c>
      <c r="X695" s="306" t="s">
        <v>1013</v>
      </c>
      <c r="Y695" s="306" t="s">
        <v>1014</v>
      </c>
      <c r="Z695" s="306" t="s">
        <v>1015</v>
      </c>
      <c r="AA695" s="306" t="s">
        <v>1013</v>
      </c>
    </row>
    <row r="696" spans="1:27" hidden="1">
      <c r="A696" s="306" t="s">
        <v>494</v>
      </c>
      <c r="B696" s="306" t="s">
        <v>1003</v>
      </c>
      <c r="C696" s="306" t="s">
        <v>1004</v>
      </c>
      <c r="D696" s="306" t="s">
        <v>1005</v>
      </c>
      <c r="E696" s="306" t="s">
        <v>2408</v>
      </c>
      <c r="F696" s="306" t="s">
        <v>1007</v>
      </c>
      <c r="G696" s="308">
        <v>46022</v>
      </c>
      <c r="H696" s="308">
        <v>46022</v>
      </c>
      <c r="I696" s="309">
        <v>-616511.73</v>
      </c>
      <c r="J696" s="306" t="s">
        <v>1008</v>
      </c>
      <c r="K696" s="309">
        <v>-616511.73</v>
      </c>
      <c r="L696" s="306" t="s">
        <v>1008</v>
      </c>
      <c r="M696" s="306" t="s">
        <v>2380</v>
      </c>
      <c r="N696" s="306" t="s">
        <v>2380</v>
      </c>
      <c r="O696" s="306" t="s">
        <v>2409</v>
      </c>
      <c r="P696" s="306" t="s">
        <v>700</v>
      </c>
      <c r="Q696" s="306" t="s">
        <v>1013</v>
      </c>
      <c r="R696" s="306" t="s">
        <v>1013</v>
      </c>
      <c r="S696" s="306" t="s">
        <v>1013</v>
      </c>
      <c r="T696" s="306" t="s">
        <v>2376</v>
      </c>
      <c r="U696" s="306" t="s">
        <v>1013</v>
      </c>
      <c r="V696" s="306" t="s">
        <v>1013</v>
      </c>
      <c r="W696" s="306" t="s">
        <v>1013</v>
      </c>
      <c r="X696" s="306" t="s">
        <v>1013</v>
      </c>
      <c r="Y696" s="306" t="s">
        <v>2376</v>
      </c>
      <c r="Z696" s="306" t="s">
        <v>1015</v>
      </c>
      <c r="AA696" s="306" t="s">
        <v>1013</v>
      </c>
    </row>
    <row r="697" spans="1:27" hidden="1">
      <c r="A697" s="306" t="s">
        <v>494</v>
      </c>
      <c r="B697" s="306" t="s">
        <v>1003</v>
      </c>
      <c r="C697" s="306" t="s">
        <v>1004</v>
      </c>
      <c r="D697" s="306" t="s">
        <v>1005</v>
      </c>
      <c r="E697" s="306" t="s">
        <v>2410</v>
      </c>
      <c r="F697" s="306" t="s">
        <v>1007</v>
      </c>
      <c r="G697" s="308">
        <v>46022</v>
      </c>
      <c r="H697" s="308">
        <v>46022</v>
      </c>
      <c r="I697" s="309">
        <v>-1048824.28</v>
      </c>
      <c r="J697" s="306" t="s">
        <v>1008</v>
      </c>
      <c r="K697" s="309">
        <v>-1048824.28</v>
      </c>
      <c r="L697" s="306" t="s">
        <v>1008</v>
      </c>
      <c r="M697" s="306" t="s">
        <v>2380</v>
      </c>
      <c r="N697" s="306" t="s">
        <v>2380</v>
      </c>
      <c r="O697" s="306" t="s">
        <v>2411</v>
      </c>
      <c r="P697" s="306" t="s">
        <v>700</v>
      </c>
      <c r="Q697" s="306" t="s">
        <v>1013</v>
      </c>
      <c r="R697" s="306" t="s">
        <v>1013</v>
      </c>
      <c r="S697" s="306" t="s">
        <v>1013</v>
      </c>
      <c r="T697" s="306" t="s">
        <v>2376</v>
      </c>
      <c r="U697" s="306" t="s">
        <v>1013</v>
      </c>
      <c r="V697" s="306" t="s">
        <v>1013</v>
      </c>
      <c r="W697" s="306" t="s">
        <v>1013</v>
      </c>
      <c r="X697" s="306" t="s">
        <v>1013</v>
      </c>
      <c r="Y697" s="306" t="s">
        <v>2376</v>
      </c>
      <c r="Z697" s="306" t="s">
        <v>1015</v>
      </c>
      <c r="AA697" s="306" t="s">
        <v>1013</v>
      </c>
    </row>
    <row r="698" spans="1:27" hidden="1">
      <c r="A698" s="306" t="s">
        <v>494</v>
      </c>
      <c r="B698" s="306" t="s">
        <v>1003</v>
      </c>
      <c r="C698" s="306" t="s">
        <v>1004</v>
      </c>
      <c r="D698" s="306" t="s">
        <v>1019</v>
      </c>
      <c r="E698" s="306" t="s">
        <v>2412</v>
      </c>
      <c r="F698" s="306" t="s">
        <v>1007</v>
      </c>
      <c r="G698" s="308">
        <v>46022</v>
      </c>
      <c r="H698" s="308">
        <v>46022</v>
      </c>
      <c r="I698" s="309">
        <v>-294103.78000000003</v>
      </c>
      <c r="J698" s="306" t="s">
        <v>1008</v>
      </c>
      <c r="K698" s="309">
        <v>-294103.78000000003</v>
      </c>
      <c r="L698" s="306" t="s">
        <v>1008</v>
      </c>
      <c r="M698" s="306" t="s">
        <v>2374</v>
      </c>
      <c r="N698" s="306" t="s">
        <v>2374</v>
      </c>
      <c r="O698" s="306" t="s">
        <v>2375</v>
      </c>
      <c r="P698" s="306" t="s">
        <v>700</v>
      </c>
      <c r="Q698" s="306" t="s">
        <v>1013</v>
      </c>
      <c r="R698" s="306" t="s">
        <v>1013</v>
      </c>
      <c r="S698" s="306" t="s">
        <v>1013</v>
      </c>
      <c r="T698" s="306" t="s">
        <v>2376</v>
      </c>
      <c r="U698" s="306" t="s">
        <v>1013</v>
      </c>
      <c r="V698" s="306" t="s">
        <v>1013</v>
      </c>
      <c r="W698" s="306" t="s">
        <v>1013</v>
      </c>
      <c r="X698" s="306" t="s">
        <v>1013</v>
      </c>
      <c r="Y698" s="306" t="s">
        <v>2376</v>
      </c>
      <c r="Z698" s="306" t="s">
        <v>1015</v>
      </c>
      <c r="AA698" s="306" t="s">
        <v>1013</v>
      </c>
    </row>
    <row r="699" spans="1:27" hidden="1">
      <c r="A699" s="306" t="s">
        <v>494</v>
      </c>
      <c r="B699" s="306" t="s">
        <v>1003</v>
      </c>
      <c r="C699" s="306" t="s">
        <v>1004</v>
      </c>
      <c r="D699" s="306" t="s">
        <v>1019</v>
      </c>
      <c r="E699" s="306" t="s">
        <v>2413</v>
      </c>
      <c r="F699" s="306" t="s">
        <v>1007</v>
      </c>
      <c r="G699" s="308">
        <v>46022</v>
      </c>
      <c r="H699" s="308">
        <v>46022</v>
      </c>
      <c r="I699" s="309">
        <v>-166990.29999999999</v>
      </c>
      <c r="J699" s="306" t="s">
        <v>1008</v>
      </c>
      <c r="K699" s="309">
        <v>-166990.29999999999</v>
      </c>
      <c r="L699" s="306" t="s">
        <v>1008</v>
      </c>
      <c r="M699" s="306" t="s">
        <v>2374</v>
      </c>
      <c r="N699" s="306" t="s">
        <v>2374</v>
      </c>
      <c r="O699" s="306" t="s">
        <v>2378</v>
      </c>
      <c r="P699" s="306" t="s">
        <v>700</v>
      </c>
      <c r="Q699" s="306" t="s">
        <v>1013</v>
      </c>
      <c r="R699" s="306" t="s">
        <v>1013</v>
      </c>
      <c r="S699" s="306" t="s">
        <v>1013</v>
      </c>
      <c r="T699" s="306" t="s">
        <v>2376</v>
      </c>
      <c r="U699" s="306" t="s">
        <v>1013</v>
      </c>
      <c r="V699" s="306" t="s">
        <v>1013</v>
      </c>
      <c r="W699" s="306" t="s">
        <v>1013</v>
      </c>
      <c r="X699" s="306" t="s">
        <v>1013</v>
      </c>
      <c r="Y699" s="306" t="s">
        <v>2376</v>
      </c>
      <c r="Z699" s="306" t="s">
        <v>1015</v>
      </c>
      <c r="AA699" s="306" t="s">
        <v>1013</v>
      </c>
    </row>
    <row r="700" spans="1:27" hidden="1">
      <c r="A700" s="306" t="s">
        <v>494</v>
      </c>
      <c r="B700" s="306" t="s">
        <v>1003</v>
      </c>
      <c r="C700" s="306" t="s">
        <v>1004</v>
      </c>
      <c r="D700" s="306" t="s">
        <v>1005</v>
      </c>
      <c r="E700" s="306" t="s">
        <v>2414</v>
      </c>
      <c r="F700" s="306" t="s">
        <v>1007</v>
      </c>
      <c r="G700" s="308">
        <v>46022</v>
      </c>
      <c r="H700" s="308">
        <v>46022</v>
      </c>
      <c r="I700" s="309">
        <v>-1217637.54</v>
      </c>
      <c r="J700" s="306" t="s">
        <v>1008</v>
      </c>
      <c r="K700" s="309">
        <v>-1217637.54</v>
      </c>
      <c r="L700" s="306" t="s">
        <v>1008</v>
      </c>
      <c r="M700" s="306" t="s">
        <v>2380</v>
      </c>
      <c r="N700" s="306" t="s">
        <v>2380</v>
      </c>
      <c r="O700" s="306" t="s">
        <v>2381</v>
      </c>
      <c r="P700" s="306" t="s">
        <v>700</v>
      </c>
      <c r="Q700" s="306" t="s">
        <v>1013</v>
      </c>
      <c r="R700" s="306" t="s">
        <v>1013</v>
      </c>
      <c r="S700" s="306" t="s">
        <v>1013</v>
      </c>
      <c r="T700" s="306" t="s">
        <v>2376</v>
      </c>
      <c r="U700" s="306" t="s">
        <v>1013</v>
      </c>
      <c r="V700" s="306" t="s">
        <v>1013</v>
      </c>
      <c r="W700" s="306" t="s">
        <v>1013</v>
      </c>
      <c r="X700" s="306" t="s">
        <v>1013</v>
      </c>
      <c r="Y700" s="306" t="s">
        <v>2376</v>
      </c>
      <c r="Z700" s="306" t="s">
        <v>1015</v>
      </c>
      <c r="AA700" s="306" t="s">
        <v>1013</v>
      </c>
    </row>
    <row r="701" spans="1:27" hidden="1">
      <c r="A701" s="306" t="s">
        <v>494</v>
      </c>
      <c r="B701" s="306" t="s">
        <v>1003</v>
      </c>
      <c r="C701" s="306" t="s">
        <v>1004</v>
      </c>
      <c r="D701" s="306" t="s">
        <v>1005</v>
      </c>
      <c r="E701" s="306" t="s">
        <v>2415</v>
      </c>
      <c r="F701" s="306" t="s">
        <v>1007</v>
      </c>
      <c r="G701" s="308">
        <v>46022</v>
      </c>
      <c r="H701" s="308">
        <v>46022</v>
      </c>
      <c r="I701" s="309">
        <v>-3639220.18</v>
      </c>
      <c r="J701" s="306" t="s">
        <v>1008</v>
      </c>
      <c r="K701" s="309">
        <v>-3639220.18</v>
      </c>
      <c r="L701" s="306" t="s">
        <v>1008</v>
      </c>
      <c r="M701" s="306" t="s">
        <v>2380</v>
      </c>
      <c r="N701" s="306" t="s">
        <v>2380</v>
      </c>
      <c r="O701" s="306" t="s">
        <v>2416</v>
      </c>
      <c r="P701" s="306" t="s">
        <v>700</v>
      </c>
      <c r="Q701" s="306" t="s">
        <v>1013</v>
      </c>
      <c r="R701" s="306" t="s">
        <v>1013</v>
      </c>
      <c r="S701" s="306" t="s">
        <v>1013</v>
      </c>
      <c r="T701" s="306" t="s">
        <v>1014</v>
      </c>
      <c r="U701" s="306" t="s">
        <v>1013</v>
      </c>
      <c r="V701" s="306" t="s">
        <v>1013</v>
      </c>
      <c r="W701" s="306" t="s">
        <v>1013</v>
      </c>
      <c r="X701" s="306" t="s">
        <v>1013</v>
      </c>
      <c r="Y701" s="306" t="s">
        <v>1014</v>
      </c>
      <c r="Z701" s="306" t="s">
        <v>1015</v>
      </c>
      <c r="AA701" s="306" t="s">
        <v>1013</v>
      </c>
    </row>
    <row r="702" spans="1:27" hidden="1">
      <c r="A702" s="306" t="s">
        <v>494</v>
      </c>
      <c r="B702" s="306" t="s">
        <v>1003</v>
      </c>
      <c r="C702" s="306" t="s">
        <v>1004</v>
      </c>
      <c r="D702" s="306" t="s">
        <v>1019</v>
      </c>
      <c r="E702" s="306" t="s">
        <v>2417</v>
      </c>
      <c r="F702" s="306" t="s">
        <v>1007</v>
      </c>
      <c r="G702" s="308">
        <v>46022</v>
      </c>
      <c r="H702" s="308">
        <v>46022</v>
      </c>
      <c r="I702" s="309">
        <v>-47158.01</v>
      </c>
      <c r="J702" s="306" t="s">
        <v>1008</v>
      </c>
      <c r="K702" s="309">
        <v>-47158.01</v>
      </c>
      <c r="L702" s="306" t="s">
        <v>1008</v>
      </c>
      <c r="M702" s="306" t="s">
        <v>2374</v>
      </c>
      <c r="N702" s="306" t="s">
        <v>2374</v>
      </c>
      <c r="O702" s="306" t="s">
        <v>1023</v>
      </c>
      <c r="P702" s="306" t="s">
        <v>700</v>
      </c>
      <c r="Q702" s="306" t="s">
        <v>1013</v>
      </c>
      <c r="R702" s="306" t="s">
        <v>1013</v>
      </c>
      <c r="S702" s="306" t="s">
        <v>1013</v>
      </c>
      <c r="T702" s="306" t="s">
        <v>1014</v>
      </c>
      <c r="U702" s="306" t="s">
        <v>1013</v>
      </c>
      <c r="V702" s="306" t="s">
        <v>1013</v>
      </c>
      <c r="W702" s="306" t="s">
        <v>1013</v>
      </c>
      <c r="X702" s="306" t="s">
        <v>1013</v>
      </c>
      <c r="Y702" s="306" t="s">
        <v>1014</v>
      </c>
      <c r="Z702" s="306" t="s">
        <v>1015</v>
      </c>
      <c r="AA702" s="306" t="s">
        <v>1013</v>
      </c>
    </row>
    <row r="703" spans="1:27" hidden="1">
      <c r="A703" s="306" t="s">
        <v>494</v>
      </c>
      <c r="B703" s="306" t="s">
        <v>1003</v>
      </c>
      <c r="C703" s="306" t="s">
        <v>1004</v>
      </c>
      <c r="D703" s="306" t="s">
        <v>1019</v>
      </c>
      <c r="E703" s="306" t="s">
        <v>2418</v>
      </c>
      <c r="F703" s="306" t="s">
        <v>1007</v>
      </c>
      <c r="G703" s="308">
        <v>46022</v>
      </c>
      <c r="H703" s="308">
        <v>46022</v>
      </c>
      <c r="I703" s="309">
        <v>-410651.8</v>
      </c>
      <c r="J703" s="306" t="s">
        <v>1008</v>
      </c>
      <c r="K703" s="309">
        <v>-410651.8</v>
      </c>
      <c r="L703" s="306" t="s">
        <v>1008</v>
      </c>
      <c r="M703" s="306" t="s">
        <v>2419</v>
      </c>
      <c r="N703" s="306" t="s">
        <v>2419</v>
      </c>
      <c r="O703" s="306" t="s">
        <v>1822</v>
      </c>
      <c r="P703" s="306" t="s">
        <v>696</v>
      </c>
      <c r="Q703" s="306" t="s">
        <v>1013</v>
      </c>
      <c r="R703" s="306" t="s">
        <v>1013</v>
      </c>
      <c r="S703" s="306" t="s">
        <v>1013</v>
      </c>
      <c r="T703" s="306" t="s">
        <v>2420</v>
      </c>
      <c r="U703" s="306" t="s">
        <v>1013</v>
      </c>
      <c r="V703" s="306" t="s">
        <v>1013</v>
      </c>
      <c r="W703" s="306" t="s">
        <v>1013</v>
      </c>
      <c r="X703" s="306" t="s">
        <v>1013</v>
      </c>
      <c r="Y703" s="306" t="s">
        <v>2420</v>
      </c>
      <c r="Z703" s="306" t="s">
        <v>1015</v>
      </c>
      <c r="AA703" s="306" t="s">
        <v>1013</v>
      </c>
    </row>
    <row r="704" spans="1:27" hidden="1">
      <c r="A704" s="306" t="s">
        <v>494</v>
      </c>
      <c r="B704" s="306" t="s">
        <v>1003</v>
      </c>
      <c r="C704" s="306" t="s">
        <v>1004</v>
      </c>
      <c r="D704" s="306" t="s">
        <v>1019</v>
      </c>
      <c r="E704" s="306" t="s">
        <v>2421</v>
      </c>
      <c r="F704" s="306" t="s">
        <v>1007</v>
      </c>
      <c r="G704" s="308">
        <v>46022</v>
      </c>
      <c r="H704" s="308">
        <v>46022</v>
      </c>
      <c r="I704" s="309">
        <v>-22681.05</v>
      </c>
      <c r="J704" s="306" t="s">
        <v>1008</v>
      </c>
      <c r="K704" s="309">
        <v>-22681.05</v>
      </c>
      <c r="L704" s="306" t="s">
        <v>1008</v>
      </c>
      <c r="M704" s="306" t="s">
        <v>2419</v>
      </c>
      <c r="N704" s="306" t="s">
        <v>2419</v>
      </c>
      <c r="O704" s="306" t="s">
        <v>1129</v>
      </c>
      <c r="P704" s="306" t="s">
        <v>696</v>
      </c>
      <c r="Q704" s="306" t="s">
        <v>1013</v>
      </c>
      <c r="R704" s="306" t="s">
        <v>1013</v>
      </c>
      <c r="S704" s="306" t="s">
        <v>1013</v>
      </c>
      <c r="T704" s="306" t="s">
        <v>2420</v>
      </c>
      <c r="U704" s="306" t="s">
        <v>1013</v>
      </c>
      <c r="V704" s="306" t="s">
        <v>1013</v>
      </c>
      <c r="W704" s="306" t="s">
        <v>1013</v>
      </c>
      <c r="X704" s="306" t="s">
        <v>1013</v>
      </c>
      <c r="Y704" s="306" t="s">
        <v>2420</v>
      </c>
      <c r="Z704" s="306" t="s">
        <v>1015</v>
      </c>
      <c r="AA704" s="306" t="s">
        <v>1013</v>
      </c>
    </row>
    <row r="705" spans="1:27" hidden="1">
      <c r="A705" s="306" t="s">
        <v>494</v>
      </c>
      <c r="B705" s="306" t="s">
        <v>1003</v>
      </c>
      <c r="C705" s="306" t="s">
        <v>1004</v>
      </c>
      <c r="D705" s="306" t="s">
        <v>1019</v>
      </c>
      <c r="E705" s="306" t="s">
        <v>2422</v>
      </c>
      <c r="F705" s="306" t="s">
        <v>1007</v>
      </c>
      <c r="G705" s="308">
        <v>46022</v>
      </c>
      <c r="H705" s="308">
        <v>46022</v>
      </c>
      <c r="I705" s="309">
        <v>-1303144.6599999999</v>
      </c>
      <c r="J705" s="306" t="s">
        <v>1008</v>
      </c>
      <c r="K705" s="309">
        <v>-1303144.6599999999</v>
      </c>
      <c r="L705" s="306" t="s">
        <v>1008</v>
      </c>
      <c r="M705" s="306" t="s">
        <v>2419</v>
      </c>
      <c r="N705" s="306" t="s">
        <v>2419</v>
      </c>
      <c r="O705" s="306" t="s">
        <v>2423</v>
      </c>
      <c r="P705" s="306" t="s">
        <v>696</v>
      </c>
      <c r="Q705" s="306" t="s">
        <v>1013</v>
      </c>
      <c r="R705" s="306" t="s">
        <v>1013</v>
      </c>
      <c r="S705" s="306" t="s">
        <v>1013</v>
      </c>
      <c r="T705" s="306" t="s">
        <v>2420</v>
      </c>
      <c r="U705" s="306" t="s">
        <v>1013</v>
      </c>
      <c r="V705" s="306" t="s">
        <v>1013</v>
      </c>
      <c r="W705" s="306" t="s">
        <v>1013</v>
      </c>
      <c r="X705" s="306" t="s">
        <v>1013</v>
      </c>
      <c r="Y705" s="306" t="s">
        <v>2420</v>
      </c>
      <c r="Z705" s="306" t="s">
        <v>1015</v>
      </c>
      <c r="AA705" s="306" t="s">
        <v>1013</v>
      </c>
    </row>
    <row r="706" spans="1:27" hidden="1">
      <c r="A706" s="306" t="s">
        <v>494</v>
      </c>
      <c r="B706" s="306" t="s">
        <v>1003</v>
      </c>
      <c r="C706" s="306" t="s">
        <v>1004</v>
      </c>
      <c r="D706" s="306" t="s">
        <v>1005</v>
      </c>
      <c r="E706" s="306" t="s">
        <v>2424</v>
      </c>
      <c r="F706" s="306" t="s">
        <v>1007</v>
      </c>
      <c r="G706" s="308">
        <v>46022</v>
      </c>
      <c r="H706" s="308">
        <v>46022</v>
      </c>
      <c r="I706" s="309">
        <v>-5310305.5</v>
      </c>
      <c r="J706" s="306" t="s">
        <v>1008</v>
      </c>
      <c r="K706" s="309">
        <v>-5310305.5</v>
      </c>
      <c r="L706" s="306" t="s">
        <v>1008</v>
      </c>
      <c r="M706" s="306" t="s">
        <v>1110</v>
      </c>
      <c r="N706" s="306" t="s">
        <v>1110</v>
      </c>
      <c r="O706" s="306" t="s">
        <v>2182</v>
      </c>
      <c r="P706" s="306" t="s">
        <v>212</v>
      </c>
      <c r="Q706" s="306" t="s">
        <v>1013</v>
      </c>
      <c r="R706" s="306" t="s">
        <v>1013</v>
      </c>
      <c r="S706" s="306" t="s">
        <v>1013</v>
      </c>
      <c r="T706" s="306" t="s">
        <v>1112</v>
      </c>
      <c r="U706" s="306" t="s">
        <v>1013</v>
      </c>
      <c r="V706" s="306" t="s">
        <v>1013</v>
      </c>
      <c r="W706" s="306" t="s">
        <v>1013</v>
      </c>
      <c r="X706" s="306" t="s">
        <v>1013</v>
      </c>
      <c r="Y706" s="306" t="s">
        <v>1112</v>
      </c>
      <c r="Z706" s="306" t="s">
        <v>1015</v>
      </c>
      <c r="AA706" s="306" t="s">
        <v>1013</v>
      </c>
    </row>
    <row r="707" spans="1:27" hidden="1">
      <c r="A707" s="306" t="s">
        <v>494</v>
      </c>
      <c r="B707" s="306" t="s">
        <v>1003</v>
      </c>
      <c r="C707" s="306" t="s">
        <v>1004</v>
      </c>
      <c r="D707" s="306" t="s">
        <v>1005</v>
      </c>
      <c r="E707" s="306" t="s">
        <v>2425</v>
      </c>
      <c r="F707" s="306" t="s">
        <v>1007</v>
      </c>
      <c r="G707" s="308">
        <v>46030</v>
      </c>
      <c r="H707" s="308">
        <v>46022</v>
      </c>
      <c r="I707" s="309">
        <v>-8550.4500000000007</v>
      </c>
      <c r="J707" s="306" t="s">
        <v>1008</v>
      </c>
      <c r="K707" s="309">
        <v>-8550.4500000000007</v>
      </c>
      <c r="L707" s="306" t="s">
        <v>1008</v>
      </c>
      <c r="M707" s="306" t="s">
        <v>1013</v>
      </c>
      <c r="N707" s="306" t="s">
        <v>2426</v>
      </c>
      <c r="O707" s="306" t="s">
        <v>1013</v>
      </c>
      <c r="P707" s="306" t="s">
        <v>1013</v>
      </c>
      <c r="Q707" s="306" t="s">
        <v>1013</v>
      </c>
      <c r="R707" s="306" t="s">
        <v>1013</v>
      </c>
      <c r="S707" s="306" t="s">
        <v>1013</v>
      </c>
      <c r="T707" s="306" t="s">
        <v>2427</v>
      </c>
      <c r="U707" s="306" t="s">
        <v>1013</v>
      </c>
      <c r="V707" s="306" t="s">
        <v>1013</v>
      </c>
      <c r="W707" s="306" t="s">
        <v>1013</v>
      </c>
      <c r="X707" s="306" t="s">
        <v>1013</v>
      </c>
      <c r="Y707" s="306" t="s">
        <v>2427</v>
      </c>
      <c r="Z707" s="306" t="s">
        <v>2428</v>
      </c>
      <c r="AA707" s="306" t="s">
        <v>1013</v>
      </c>
    </row>
    <row r="708" spans="1:27" hidden="1">
      <c r="A708" s="306" t="s">
        <v>494</v>
      </c>
      <c r="B708" s="306" t="s">
        <v>1003</v>
      </c>
      <c r="C708" s="306" t="s">
        <v>1004</v>
      </c>
      <c r="D708" s="306" t="s">
        <v>1031</v>
      </c>
      <c r="E708" s="306" t="s">
        <v>2429</v>
      </c>
      <c r="F708" s="306" t="s">
        <v>1007</v>
      </c>
      <c r="G708" s="308">
        <v>46030</v>
      </c>
      <c r="H708" s="308">
        <v>46022</v>
      </c>
      <c r="I708" s="309">
        <v>-132550.47</v>
      </c>
      <c r="J708" s="306" t="s">
        <v>1008</v>
      </c>
      <c r="K708" s="309">
        <v>-132550.47</v>
      </c>
      <c r="L708" s="306" t="s">
        <v>1008</v>
      </c>
      <c r="M708" s="306" t="s">
        <v>1013</v>
      </c>
      <c r="N708" s="306" t="s">
        <v>2430</v>
      </c>
      <c r="O708" s="306" t="s">
        <v>1013</v>
      </c>
      <c r="P708" s="306" t="s">
        <v>1013</v>
      </c>
      <c r="Q708" s="306" t="s">
        <v>1013</v>
      </c>
      <c r="R708" s="306" t="s">
        <v>1013</v>
      </c>
      <c r="S708" s="306" t="s">
        <v>1013</v>
      </c>
      <c r="T708" s="306" t="s">
        <v>2431</v>
      </c>
      <c r="U708" s="306" t="s">
        <v>1013</v>
      </c>
      <c r="V708" s="306" t="s">
        <v>1013</v>
      </c>
      <c r="W708" s="306" t="s">
        <v>1013</v>
      </c>
      <c r="X708" s="306" t="s">
        <v>1013</v>
      </c>
      <c r="Y708" s="306" t="s">
        <v>2431</v>
      </c>
      <c r="Z708" s="306" t="s">
        <v>2428</v>
      </c>
      <c r="AA708" s="306" t="s">
        <v>1013</v>
      </c>
    </row>
    <row r="709" spans="1:27" hidden="1">
      <c r="A709" s="306" t="s">
        <v>494</v>
      </c>
      <c r="B709" s="306" t="s">
        <v>1003</v>
      </c>
      <c r="C709" s="306" t="s">
        <v>1004</v>
      </c>
      <c r="D709" s="306" t="s">
        <v>1019</v>
      </c>
      <c r="E709" s="306" t="s">
        <v>2432</v>
      </c>
      <c r="F709" s="306" t="s">
        <v>1007</v>
      </c>
      <c r="G709" s="308">
        <v>46030</v>
      </c>
      <c r="H709" s="308">
        <v>46022</v>
      </c>
      <c r="I709" s="309">
        <v>-345134.82</v>
      </c>
      <c r="J709" s="306" t="s">
        <v>1008</v>
      </c>
      <c r="K709" s="309">
        <v>-345134.82</v>
      </c>
      <c r="L709" s="306" t="s">
        <v>1008</v>
      </c>
      <c r="M709" s="306" t="s">
        <v>1013</v>
      </c>
      <c r="N709" s="306" t="s">
        <v>2433</v>
      </c>
      <c r="O709" s="306" t="s">
        <v>1013</v>
      </c>
      <c r="P709" s="306" t="s">
        <v>1013</v>
      </c>
      <c r="Q709" s="306" t="s">
        <v>1013</v>
      </c>
      <c r="R709" s="306" t="s">
        <v>1013</v>
      </c>
      <c r="S709" s="306" t="s">
        <v>1013</v>
      </c>
      <c r="T709" s="306" t="s">
        <v>2434</v>
      </c>
      <c r="U709" s="306" t="s">
        <v>1013</v>
      </c>
      <c r="V709" s="306" t="s">
        <v>1013</v>
      </c>
      <c r="W709" s="306" t="s">
        <v>1013</v>
      </c>
      <c r="X709" s="306" t="s">
        <v>1013</v>
      </c>
      <c r="Y709" s="306" t="s">
        <v>2434</v>
      </c>
      <c r="Z709" s="306" t="s">
        <v>2428</v>
      </c>
      <c r="AA709" s="306" t="s">
        <v>1013</v>
      </c>
    </row>
    <row r="711" spans="1:27">
      <c r="K711" s="310">
        <f>SUM(K2:K709)</f>
        <v>-3914722849.3399992</v>
      </c>
    </row>
  </sheetData>
  <autoFilter ref="A1:AA709" xr:uid="{00000000-0001-0000-0800-000000000000}">
    <filterColumn colId="3">
      <filters>
        <filter val="6001000100"/>
      </filters>
    </filterColumn>
    <filterColumn colId="12">
      <filters>
        <filter val="F-000824三峡新能源云南姚安小箐山风电场运维服务_12月确认后服务收入-运维服务收入"/>
        <filter val="F-001227海伦市东林乡分散式风电场项目场站运维服务_12月确认后服务收入-设备收入"/>
        <filter val="F-001227海伦市东林乡分散式风电场项目场站运维服务_12月确认后服务收入-运维服务收入"/>
        <filter val="F-001421华能陕西靖边马畔梁风电场度运行维护_12月确认后服务收入-运维服务收入"/>
        <filter val="F-001612国电投广西黄花岭风电场 23 台风机运维服务_12月确认后服务收入-设备收入"/>
        <filter val="F-001812大唐宁夏灵武风电场3年检修维护_12月确认后服务收入-运维服务收入"/>
        <filter val="FC-000068清池河北沧县浮阳风电场变电运维服务_12月确认后服务收入-运维服务收入"/>
        <filter val="FC-000071广西钦南久沙风电场变电运维服务_12月确认后服务收入-运维服务收入"/>
      </filters>
    </filterColumn>
  </autoFilter>
  <phoneticPr fontId="8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737"/>
  <sheetViews>
    <sheetView topLeftCell="A706" zoomScale="70" zoomScaleNormal="70" workbookViewId="0">
      <selection sqref="A1:XFD2"/>
    </sheetView>
  </sheetViews>
  <sheetFormatPr defaultColWidth="7.875" defaultRowHeight="12.75"/>
  <cols>
    <col min="1" max="1" width="7.875" style="306"/>
    <col min="2" max="2" width="5" style="306" customWidth="1"/>
    <col min="3" max="3" width="8.5" style="306" customWidth="1"/>
    <col min="4" max="5" width="10.375" style="306" customWidth="1"/>
    <col min="6" max="6" width="7.875" style="306"/>
    <col min="7" max="8" width="9.625" style="306" customWidth="1"/>
    <col min="9" max="9" width="13.625" style="306" customWidth="1"/>
    <col min="10" max="10" width="5.125" style="306" customWidth="1"/>
    <col min="11" max="11" width="13.625" style="306" customWidth="1"/>
    <col min="12" max="12" width="7.875" style="306"/>
    <col min="13" max="13" width="75" style="306" customWidth="1"/>
    <col min="14" max="14" width="45.375" style="306" customWidth="1"/>
    <col min="15" max="15" width="26" style="306" customWidth="1"/>
    <col min="16" max="16" width="7.875" style="306"/>
    <col min="17" max="17" width="4.75" style="306" customWidth="1"/>
    <col min="18" max="18" width="6.375" style="306" customWidth="1"/>
    <col min="19" max="19" width="7.875" style="306"/>
    <col min="20" max="20" width="9.125" style="306" customWidth="1"/>
    <col min="21" max="21" width="16.375" style="306" customWidth="1"/>
    <col min="22" max="23" width="7.875" style="306"/>
    <col min="24" max="24" width="9.375" style="306" customWidth="1"/>
    <col min="25" max="25" width="16.375" style="306" customWidth="1"/>
    <col min="26" max="26" width="13.75" style="306" customWidth="1"/>
    <col min="27" max="27" width="11.5" style="306" customWidth="1"/>
    <col min="28" max="16384" width="7.875" style="306"/>
  </cols>
  <sheetData>
    <row r="1" spans="1:27">
      <c r="A1" s="307" t="s">
        <v>976</v>
      </c>
      <c r="B1" s="307" t="s">
        <v>977</v>
      </c>
      <c r="C1" s="307" t="s">
        <v>978</v>
      </c>
      <c r="D1" s="307" t="s">
        <v>979</v>
      </c>
      <c r="E1" s="307" t="s">
        <v>980</v>
      </c>
      <c r="F1" s="307" t="s">
        <v>981</v>
      </c>
      <c r="G1" s="307" t="s">
        <v>982</v>
      </c>
      <c r="H1" s="307" t="s">
        <v>983</v>
      </c>
      <c r="I1" s="307" t="s">
        <v>984</v>
      </c>
      <c r="J1" s="307" t="s">
        <v>985</v>
      </c>
      <c r="K1" s="307" t="s">
        <v>986</v>
      </c>
      <c r="L1" s="307" t="s">
        <v>987</v>
      </c>
      <c r="M1" s="307" t="s">
        <v>988</v>
      </c>
      <c r="N1" s="307" t="s">
        <v>989</v>
      </c>
      <c r="O1" s="307" t="s">
        <v>990</v>
      </c>
      <c r="P1" s="307" t="s">
        <v>991</v>
      </c>
      <c r="Q1" s="307" t="s">
        <v>992</v>
      </c>
      <c r="R1" s="307" t="s">
        <v>993</v>
      </c>
      <c r="S1" s="307" t="s">
        <v>994</v>
      </c>
      <c r="T1" s="307" t="s">
        <v>995</v>
      </c>
      <c r="U1" s="307" t="s">
        <v>996</v>
      </c>
      <c r="V1" s="307" t="s">
        <v>997</v>
      </c>
      <c r="W1" s="307" t="s">
        <v>998</v>
      </c>
      <c r="X1" s="307" t="s">
        <v>999</v>
      </c>
      <c r="Y1" s="307" t="s">
        <v>1000</v>
      </c>
      <c r="Z1" s="307" t="s">
        <v>1001</v>
      </c>
      <c r="AA1" s="307" t="s">
        <v>1002</v>
      </c>
    </row>
    <row r="2" spans="1:27">
      <c r="A2" s="306" t="s">
        <v>494</v>
      </c>
      <c r="B2" s="306" t="s">
        <v>1003</v>
      </c>
      <c r="C2" s="306" t="s">
        <v>1004</v>
      </c>
      <c r="D2" s="306" t="s">
        <v>2435</v>
      </c>
      <c r="E2" s="306" t="s">
        <v>2436</v>
      </c>
      <c r="F2" s="306" t="s">
        <v>1007</v>
      </c>
      <c r="G2" s="308">
        <v>45994</v>
      </c>
      <c r="H2" s="308">
        <v>45992</v>
      </c>
      <c r="I2" s="309">
        <v>410691.69</v>
      </c>
      <c r="J2" s="306" t="s">
        <v>1008</v>
      </c>
      <c r="K2" s="309">
        <v>410691.69</v>
      </c>
      <c r="L2" s="306" t="s">
        <v>1008</v>
      </c>
      <c r="M2" s="306" t="s">
        <v>1013</v>
      </c>
      <c r="N2" s="306" t="s">
        <v>2437</v>
      </c>
      <c r="O2" s="306" t="s">
        <v>1013</v>
      </c>
      <c r="P2" s="306" t="s">
        <v>1013</v>
      </c>
      <c r="Q2" s="306" t="s">
        <v>1013</v>
      </c>
      <c r="R2" s="306" t="s">
        <v>1013</v>
      </c>
      <c r="S2" s="306" t="s">
        <v>1013</v>
      </c>
      <c r="T2" s="306" t="s">
        <v>1013</v>
      </c>
      <c r="U2" s="306" t="s">
        <v>1013</v>
      </c>
      <c r="V2" s="306" t="s">
        <v>1013</v>
      </c>
      <c r="W2" s="306" t="s">
        <v>1013</v>
      </c>
      <c r="X2" s="306" t="s">
        <v>1013</v>
      </c>
      <c r="Y2" s="306" t="s">
        <v>2438</v>
      </c>
      <c r="Z2" s="306" t="s">
        <v>2428</v>
      </c>
      <c r="AA2" s="306" t="s">
        <v>1013</v>
      </c>
    </row>
    <row r="3" spans="1:27">
      <c r="A3" s="306" t="s">
        <v>494</v>
      </c>
      <c r="B3" s="306" t="s">
        <v>1003</v>
      </c>
      <c r="C3" s="306" t="s">
        <v>1004</v>
      </c>
      <c r="D3" s="306" t="s">
        <v>2435</v>
      </c>
      <c r="E3" s="306" t="s">
        <v>2436</v>
      </c>
      <c r="F3" s="306" t="s">
        <v>1007</v>
      </c>
      <c r="G3" s="308">
        <v>45994</v>
      </c>
      <c r="H3" s="308">
        <v>45992</v>
      </c>
      <c r="I3" s="309">
        <v>18626838.010000002</v>
      </c>
      <c r="J3" s="306" t="s">
        <v>1008</v>
      </c>
      <c r="K3" s="309">
        <v>18626838.010000002</v>
      </c>
      <c r="L3" s="306" t="s">
        <v>1008</v>
      </c>
      <c r="M3" s="306" t="s">
        <v>1013</v>
      </c>
      <c r="N3" s="306" t="s">
        <v>2437</v>
      </c>
      <c r="O3" s="306" t="s">
        <v>1013</v>
      </c>
      <c r="P3" s="306" t="s">
        <v>1013</v>
      </c>
      <c r="Q3" s="306" t="s">
        <v>1013</v>
      </c>
      <c r="R3" s="306" t="s">
        <v>1013</v>
      </c>
      <c r="S3" s="306" t="s">
        <v>1013</v>
      </c>
      <c r="T3" s="306" t="s">
        <v>1013</v>
      </c>
      <c r="U3" s="306" t="s">
        <v>1013</v>
      </c>
      <c r="V3" s="306" t="s">
        <v>1013</v>
      </c>
      <c r="W3" s="306" t="s">
        <v>1013</v>
      </c>
      <c r="X3" s="306" t="s">
        <v>1013</v>
      </c>
      <c r="Y3" s="306" t="s">
        <v>2439</v>
      </c>
      <c r="Z3" s="306" t="s">
        <v>2428</v>
      </c>
      <c r="AA3" s="306" t="s">
        <v>1013</v>
      </c>
    </row>
    <row r="4" spans="1:27">
      <c r="A4" s="306" t="s">
        <v>494</v>
      </c>
      <c r="B4" s="306" t="s">
        <v>1003</v>
      </c>
      <c r="C4" s="306" t="s">
        <v>1004</v>
      </c>
      <c r="D4" s="306" t="s">
        <v>2435</v>
      </c>
      <c r="E4" s="306" t="s">
        <v>2436</v>
      </c>
      <c r="F4" s="306" t="s">
        <v>1007</v>
      </c>
      <c r="G4" s="308">
        <v>45994</v>
      </c>
      <c r="H4" s="308">
        <v>45992</v>
      </c>
      <c r="I4" s="309">
        <v>0.03</v>
      </c>
      <c r="J4" s="306" t="s">
        <v>1008</v>
      </c>
      <c r="K4" s="309">
        <v>0.03</v>
      </c>
      <c r="L4" s="306" t="s">
        <v>1008</v>
      </c>
      <c r="M4" s="306" t="s">
        <v>1013</v>
      </c>
      <c r="N4" s="306" t="s">
        <v>2437</v>
      </c>
      <c r="O4" s="306" t="s">
        <v>1013</v>
      </c>
      <c r="P4" s="306" t="s">
        <v>1013</v>
      </c>
      <c r="Q4" s="306" t="s">
        <v>1013</v>
      </c>
      <c r="R4" s="306" t="s">
        <v>1013</v>
      </c>
      <c r="S4" s="306" t="s">
        <v>1013</v>
      </c>
      <c r="T4" s="306" t="s">
        <v>1013</v>
      </c>
      <c r="U4" s="306" t="s">
        <v>1013</v>
      </c>
      <c r="V4" s="306" t="s">
        <v>1013</v>
      </c>
      <c r="W4" s="306" t="s">
        <v>1013</v>
      </c>
      <c r="X4" s="306" t="s">
        <v>1013</v>
      </c>
      <c r="Y4" s="306" t="s">
        <v>2440</v>
      </c>
      <c r="Z4" s="306" t="s">
        <v>2428</v>
      </c>
      <c r="AA4" s="306" t="s">
        <v>1013</v>
      </c>
    </row>
    <row r="5" spans="1:27">
      <c r="A5" s="306" t="s">
        <v>494</v>
      </c>
      <c r="B5" s="306" t="s">
        <v>1003</v>
      </c>
      <c r="C5" s="306" t="s">
        <v>1004</v>
      </c>
      <c r="D5" s="306" t="s">
        <v>2435</v>
      </c>
      <c r="E5" s="306" t="s">
        <v>2441</v>
      </c>
      <c r="F5" s="306" t="s">
        <v>1007</v>
      </c>
      <c r="G5" s="308">
        <v>45994</v>
      </c>
      <c r="H5" s="308">
        <v>45992</v>
      </c>
      <c r="I5" s="309">
        <v>17875791.879999999</v>
      </c>
      <c r="J5" s="306" t="s">
        <v>1008</v>
      </c>
      <c r="K5" s="309">
        <v>17875791.879999999</v>
      </c>
      <c r="L5" s="306" t="s">
        <v>1008</v>
      </c>
      <c r="M5" s="306" t="s">
        <v>1013</v>
      </c>
      <c r="N5" s="306" t="s">
        <v>2442</v>
      </c>
      <c r="O5" s="306" t="s">
        <v>1013</v>
      </c>
      <c r="P5" s="306" t="s">
        <v>1013</v>
      </c>
      <c r="Q5" s="306" t="s">
        <v>1013</v>
      </c>
      <c r="R5" s="306" t="s">
        <v>1013</v>
      </c>
      <c r="S5" s="306" t="s">
        <v>1013</v>
      </c>
      <c r="T5" s="306" t="s">
        <v>1013</v>
      </c>
      <c r="U5" s="306" t="s">
        <v>1013</v>
      </c>
      <c r="V5" s="306" t="s">
        <v>1013</v>
      </c>
      <c r="W5" s="306" t="s">
        <v>1013</v>
      </c>
      <c r="X5" s="306" t="s">
        <v>1013</v>
      </c>
      <c r="Y5" s="306" t="s">
        <v>2431</v>
      </c>
      <c r="Z5" s="306" t="s">
        <v>2428</v>
      </c>
      <c r="AA5" s="306" t="s">
        <v>1013</v>
      </c>
    </row>
    <row r="6" spans="1:27">
      <c r="A6" s="306" t="s">
        <v>494</v>
      </c>
      <c r="B6" s="306" t="s">
        <v>1003</v>
      </c>
      <c r="C6" s="306" t="s">
        <v>1004</v>
      </c>
      <c r="D6" s="306" t="s">
        <v>2435</v>
      </c>
      <c r="E6" s="306" t="s">
        <v>2441</v>
      </c>
      <c r="F6" s="306" t="s">
        <v>1007</v>
      </c>
      <c r="G6" s="308">
        <v>45994</v>
      </c>
      <c r="H6" s="308">
        <v>45992</v>
      </c>
      <c r="I6" s="309">
        <v>1460832.74</v>
      </c>
      <c r="J6" s="306" t="s">
        <v>1008</v>
      </c>
      <c r="K6" s="309">
        <v>1460832.74</v>
      </c>
      <c r="L6" s="306" t="s">
        <v>1008</v>
      </c>
      <c r="M6" s="306" t="s">
        <v>1013</v>
      </c>
      <c r="N6" s="306" t="s">
        <v>2442</v>
      </c>
      <c r="O6" s="306" t="s">
        <v>1013</v>
      </c>
      <c r="P6" s="306" t="s">
        <v>1013</v>
      </c>
      <c r="Q6" s="306" t="s">
        <v>1013</v>
      </c>
      <c r="R6" s="306" t="s">
        <v>1013</v>
      </c>
      <c r="S6" s="306" t="s">
        <v>1013</v>
      </c>
      <c r="T6" s="306" t="s">
        <v>1013</v>
      </c>
      <c r="U6" s="306" t="s">
        <v>1013</v>
      </c>
      <c r="V6" s="306" t="s">
        <v>1013</v>
      </c>
      <c r="W6" s="306" t="s">
        <v>1013</v>
      </c>
      <c r="X6" s="306" t="s">
        <v>1013</v>
      </c>
      <c r="Y6" s="306" t="s">
        <v>2434</v>
      </c>
      <c r="Z6" s="306" t="s">
        <v>2428</v>
      </c>
      <c r="AA6" s="306" t="s">
        <v>1013</v>
      </c>
    </row>
    <row r="7" spans="1:27">
      <c r="A7" s="306" t="s">
        <v>494</v>
      </c>
      <c r="B7" s="306" t="s">
        <v>1003</v>
      </c>
      <c r="C7" s="306" t="s">
        <v>1004</v>
      </c>
      <c r="D7" s="306" t="s">
        <v>2435</v>
      </c>
      <c r="E7" s="306" t="s">
        <v>2441</v>
      </c>
      <c r="F7" s="306" t="s">
        <v>1007</v>
      </c>
      <c r="G7" s="308">
        <v>45994</v>
      </c>
      <c r="H7" s="308">
        <v>45992</v>
      </c>
      <c r="I7" s="309">
        <v>11908599.560000001</v>
      </c>
      <c r="J7" s="306" t="s">
        <v>1008</v>
      </c>
      <c r="K7" s="309">
        <v>11908599.560000001</v>
      </c>
      <c r="L7" s="306" t="s">
        <v>1008</v>
      </c>
      <c r="M7" s="306" t="s">
        <v>1013</v>
      </c>
      <c r="N7" s="306" t="s">
        <v>2442</v>
      </c>
      <c r="O7" s="306" t="s">
        <v>1013</v>
      </c>
      <c r="P7" s="306" t="s">
        <v>1013</v>
      </c>
      <c r="Q7" s="306" t="s">
        <v>1013</v>
      </c>
      <c r="R7" s="306" t="s">
        <v>1013</v>
      </c>
      <c r="S7" s="306" t="s">
        <v>1013</v>
      </c>
      <c r="T7" s="306" t="s">
        <v>1013</v>
      </c>
      <c r="U7" s="306" t="s">
        <v>1013</v>
      </c>
      <c r="V7" s="306" t="s">
        <v>1013</v>
      </c>
      <c r="W7" s="306" t="s">
        <v>1013</v>
      </c>
      <c r="X7" s="306" t="s">
        <v>1013</v>
      </c>
      <c r="Y7" s="306" t="s">
        <v>2443</v>
      </c>
      <c r="Z7" s="306" t="s">
        <v>2428</v>
      </c>
      <c r="AA7" s="306" t="s">
        <v>1013</v>
      </c>
    </row>
    <row r="8" spans="1:27">
      <c r="A8" s="306" t="s">
        <v>494</v>
      </c>
      <c r="B8" s="306" t="s">
        <v>1003</v>
      </c>
      <c r="C8" s="306" t="s">
        <v>1004</v>
      </c>
      <c r="D8" s="306" t="s">
        <v>2435</v>
      </c>
      <c r="E8" s="306" t="s">
        <v>2444</v>
      </c>
      <c r="F8" s="306" t="s">
        <v>1007</v>
      </c>
      <c r="G8" s="308">
        <v>45994</v>
      </c>
      <c r="H8" s="308">
        <v>45992</v>
      </c>
      <c r="I8" s="309">
        <v>3316656.41</v>
      </c>
      <c r="J8" s="306" t="s">
        <v>1008</v>
      </c>
      <c r="K8" s="309">
        <v>3316656.41</v>
      </c>
      <c r="L8" s="306" t="s">
        <v>1008</v>
      </c>
      <c r="M8" s="306" t="s">
        <v>1013</v>
      </c>
      <c r="N8" s="306" t="s">
        <v>2445</v>
      </c>
      <c r="O8" s="306" t="s">
        <v>1013</v>
      </c>
      <c r="P8" s="306" t="s">
        <v>1013</v>
      </c>
      <c r="Q8" s="306" t="s">
        <v>1013</v>
      </c>
      <c r="R8" s="306" t="s">
        <v>1013</v>
      </c>
      <c r="S8" s="306" t="s">
        <v>1013</v>
      </c>
      <c r="T8" s="306" t="s">
        <v>1013</v>
      </c>
      <c r="U8" s="306" t="s">
        <v>1013</v>
      </c>
      <c r="V8" s="306" t="s">
        <v>1013</v>
      </c>
      <c r="W8" s="306" t="s">
        <v>1013</v>
      </c>
      <c r="X8" s="306" t="s">
        <v>1013</v>
      </c>
      <c r="Y8" s="306" t="s">
        <v>2446</v>
      </c>
      <c r="Z8" s="306" t="s">
        <v>2428</v>
      </c>
      <c r="AA8" s="306" t="s">
        <v>1013</v>
      </c>
    </row>
    <row r="9" spans="1:27">
      <c r="A9" s="306" t="s">
        <v>494</v>
      </c>
      <c r="B9" s="306" t="s">
        <v>1003</v>
      </c>
      <c r="C9" s="306" t="s">
        <v>1004</v>
      </c>
      <c r="D9" s="306" t="s">
        <v>2435</v>
      </c>
      <c r="E9" s="306" t="s">
        <v>2444</v>
      </c>
      <c r="F9" s="306" t="s">
        <v>1007</v>
      </c>
      <c r="G9" s="308">
        <v>45994</v>
      </c>
      <c r="H9" s="308">
        <v>45992</v>
      </c>
      <c r="I9" s="309">
        <v>3687420.55</v>
      </c>
      <c r="J9" s="306" t="s">
        <v>1008</v>
      </c>
      <c r="K9" s="309">
        <v>3687420.55</v>
      </c>
      <c r="L9" s="306" t="s">
        <v>1008</v>
      </c>
      <c r="M9" s="306" t="s">
        <v>1013</v>
      </c>
      <c r="N9" s="306" t="s">
        <v>2445</v>
      </c>
      <c r="O9" s="306" t="s">
        <v>1013</v>
      </c>
      <c r="P9" s="306" t="s">
        <v>1013</v>
      </c>
      <c r="Q9" s="306" t="s">
        <v>1013</v>
      </c>
      <c r="R9" s="306" t="s">
        <v>1013</v>
      </c>
      <c r="S9" s="306" t="s">
        <v>1013</v>
      </c>
      <c r="T9" s="306" t="s">
        <v>1013</v>
      </c>
      <c r="U9" s="306" t="s">
        <v>1013</v>
      </c>
      <c r="V9" s="306" t="s">
        <v>1013</v>
      </c>
      <c r="W9" s="306" t="s">
        <v>1013</v>
      </c>
      <c r="X9" s="306" t="s">
        <v>1013</v>
      </c>
      <c r="Y9" s="306" t="s">
        <v>2427</v>
      </c>
      <c r="Z9" s="306" t="s">
        <v>2428</v>
      </c>
      <c r="AA9" s="306" t="s">
        <v>1013</v>
      </c>
    </row>
    <row r="10" spans="1:27">
      <c r="A10" s="306" t="s">
        <v>494</v>
      </c>
      <c r="B10" s="306" t="s">
        <v>1003</v>
      </c>
      <c r="C10" s="306" t="s">
        <v>1004</v>
      </c>
      <c r="D10" s="306" t="s">
        <v>2435</v>
      </c>
      <c r="E10" s="306" t="s">
        <v>2444</v>
      </c>
      <c r="F10" s="306" t="s">
        <v>1007</v>
      </c>
      <c r="G10" s="308">
        <v>45994</v>
      </c>
      <c r="H10" s="308">
        <v>45992</v>
      </c>
      <c r="I10" s="309">
        <v>35894453.049999997</v>
      </c>
      <c r="J10" s="306" t="s">
        <v>1008</v>
      </c>
      <c r="K10" s="309">
        <v>35894453.049999997</v>
      </c>
      <c r="L10" s="306" t="s">
        <v>1008</v>
      </c>
      <c r="M10" s="306" t="s">
        <v>1013</v>
      </c>
      <c r="N10" s="306" t="s">
        <v>2445</v>
      </c>
      <c r="O10" s="306" t="s">
        <v>1013</v>
      </c>
      <c r="P10" s="306" t="s">
        <v>1013</v>
      </c>
      <c r="Q10" s="306" t="s">
        <v>1013</v>
      </c>
      <c r="R10" s="306" t="s">
        <v>1013</v>
      </c>
      <c r="S10" s="306" t="s">
        <v>1013</v>
      </c>
      <c r="T10" s="306" t="s">
        <v>1013</v>
      </c>
      <c r="U10" s="306" t="s">
        <v>1013</v>
      </c>
      <c r="V10" s="306" t="s">
        <v>1013</v>
      </c>
      <c r="W10" s="306" t="s">
        <v>1013</v>
      </c>
      <c r="X10" s="306" t="s">
        <v>1013</v>
      </c>
      <c r="Y10" s="306" t="s">
        <v>2447</v>
      </c>
      <c r="Z10" s="306" t="s">
        <v>2428</v>
      </c>
      <c r="AA10" s="306" t="s">
        <v>1013</v>
      </c>
    </row>
    <row r="11" spans="1:27">
      <c r="A11" s="306" t="s">
        <v>494</v>
      </c>
      <c r="B11" s="306" t="s">
        <v>1003</v>
      </c>
      <c r="C11" s="306" t="s">
        <v>1004</v>
      </c>
      <c r="D11" s="306" t="s">
        <v>2435</v>
      </c>
      <c r="E11" s="306" t="s">
        <v>2448</v>
      </c>
      <c r="F11" s="306" t="s">
        <v>1007</v>
      </c>
      <c r="G11" s="308">
        <v>45994</v>
      </c>
      <c r="H11" s="308">
        <v>45992</v>
      </c>
      <c r="I11" s="309">
        <v>6938577.8899999997</v>
      </c>
      <c r="J11" s="306" t="s">
        <v>1008</v>
      </c>
      <c r="K11" s="309">
        <v>6938577.8899999997</v>
      </c>
      <c r="L11" s="306" t="s">
        <v>1008</v>
      </c>
      <c r="M11" s="306" t="s">
        <v>1013</v>
      </c>
      <c r="N11" s="306" t="s">
        <v>2449</v>
      </c>
      <c r="O11" s="306" t="s">
        <v>1013</v>
      </c>
      <c r="P11" s="306" t="s">
        <v>1013</v>
      </c>
      <c r="Q11" s="306" t="s">
        <v>1013</v>
      </c>
      <c r="R11" s="306" t="s">
        <v>1013</v>
      </c>
      <c r="S11" s="306" t="s">
        <v>1013</v>
      </c>
      <c r="T11" s="306" t="s">
        <v>1013</v>
      </c>
      <c r="U11" s="306" t="s">
        <v>1013</v>
      </c>
      <c r="V11" s="306" t="s">
        <v>1013</v>
      </c>
      <c r="W11" s="306" t="s">
        <v>1013</v>
      </c>
      <c r="X11" s="306" t="s">
        <v>1013</v>
      </c>
      <c r="Y11" s="306" t="s">
        <v>2240</v>
      </c>
      <c r="Z11" s="306" t="s">
        <v>2241</v>
      </c>
      <c r="AA11" s="306" t="s">
        <v>1013</v>
      </c>
    </row>
    <row r="12" spans="1:27">
      <c r="A12" s="306" t="s">
        <v>494</v>
      </c>
      <c r="B12" s="306" t="s">
        <v>1003</v>
      </c>
      <c r="C12" s="306" t="s">
        <v>1004</v>
      </c>
      <c r="D12" s="306" t="s">
        <v>2435</v>
      </c>
      <c r="E12" s="306" t="s">
        <v>2448</v>
      </c>
      <c r="F12" s="306" t="s">
        <v>1007</v>
      </c>
      <c r="G12" s="308">
        <v>45994</v>
      </c>
      <c r="H12" s="308">
        <v>45992</v>
      </c>
      <c r="I12" s="309">
        <v>20758630.690000001</v>
      </c>
      <c r="J12" s="306" t="s">
        <v>1008</v>
      </c>
      <c r="K12" s="309">
        <v>20758630.690000001</v>
      </c>
      <c r="L12" s="306" t="s">
        <v>1008</v>
      </c>
      <c r="M12" s="306" t="s">
        <v>1013</v>
      </c>
      <c r="N12" s="306" t="s">
        <v>2449</v>
      </c>
      <c r="O12" s="306" t="s">
        <v>1013</v>
      </c>
      <c r="P12" s="306" t="s">
        <v>1013</v>
      </c>
      <c r="Q12" s="306" t="s">
        <v>1013</v>
      </c>
      <c r="R12" s="306" t="s">
        <v>1013</v>
      </c>
      <c r="S12" s="306" t="s">
        <v>1013</v>
      </c>
      <c r="T12" s="306" t="s">
        <v>1013</v>
      </c>
      <c r="U12" s="306" t="s">
        <v>1013</v>
      </c>
      <c r="V12" s="306" t="s">
        <v>1013</v>
      </c>
      <c r="W12" s="306" t="s">
        <v>1013</v>
      </c>
      <c r="X12" s="306" t="s">
        <v>1013</v>
      </c>
      <c r="Y12" s="306" t="s">
        <v>2244</v>
      </c>
      <c r="Z12" s="306" t="s">
        <v>2241</v>
      </c>
      <c r="AA12" s="306" t="s">
        <v>1013</v>
      </c>
    </row>
    <row r="13" spans="1:27">
      <c r="A13" s="306" t="s">
        <v>494</v>
      </c>
      <c r="B13" s="306" t="s">
        <v>1003</v>
      </c>
      <c r="C13" s="306" t="s">
        <v>1004</v>
      </c>
      <c r="D13" s="306" t="s">
        <v>2435</v>
      </c>
      <c r="E13" s="306" t="s">
        <v>2448</v>
      </c>
      <c r="F13" s="306" t="s">
        <v>1007</v>
      </c>
      <c r="G13" s="308">
        <v>45994</v>
      </c>
      <c r="H13" s="308">
        <v>45992</v>
      </c>
      <c r="I13" s="309">
        <v>1394968.91</v>
      </c>
      <c r="J13" s="306" t="s">
        <v>1008</v>
      </c>
      <c r="K13" s="309">
        <v>1394968.91</v>
      </c>
      <c r="L13" s="306" t="s">
        <v>1008</v>
      </c>
      <c r="M13" s="306" t="s">
        <v>1013</v>
      </c>
      <c r="N13" s="306" t="s">
        <v>2449</v>
      </c>
      <c r="O13" s="306" t="s">
        <v>1013</v>
      </c>
      <c r="P13" s="306" t="s">
        <v>1013</v>
      </c>
      <c r="Q13" s="306" t="s">
        <v>1013</v>
      </c>
      <c r="R13" s="306" t="s">
        <v>1013</v>
      </c>
      <c r="S13" s="306" t="s">
        <v>1013</v>
      </c>
      <c r="T13" s="306" t="s">
        <v>1013</v>
      </c>
      <c r="U13" s="306" t="s">
        <v>1013</v>
      </c>
      <c r="V13" s="306" t="s">
        <v>1013</v>
      </c>
      <c r="W13" s="306" t="s">
        <v>1013</v>
      </c>
      <c r="X13" s="306" t="s">
        <v>1013</v>
      </c>
      <c r="Y13" s="306" t="s">
        <v>2240</v>
      </c>
      <c r="Z13" s="306" t="s">
        <v>2241</v>
      </c>
      <c r="AA13" s="306" t="s">
        <v>1013</v>
      </c>
    </row>
    <row r="14" spans="1:27">
      <c r="A14" s="306" t="s">
        <v>494</v>
      </c>
      <c r="B14" s="306" t="s">
        <v>1003</v>
      </c>
      <c r="C14" s="306" t="s">
        <v>1004</v>
      </c>
      <c r="D14" s="306" t="s">
        <v>2435</v>
      </c>
      <c r="E14" s="306" t="s">
        <v>2450</v>
      </c>
      <c r="F14" s="306" t="s">
        <v>1007</v>
      </c>
      <c r="G14" s="308">
        <v>45994</v>
      </c>
      <c r="H14" s="308">
        <v>45992</v>
      </c>
      <c r="I14" s="309">
        <v>-1394968.91</v>
      </c>
      <c r="J14" s="306" t="s">
        <v>1008</v>
      </c>
      <c r="K14" s="309">
        <v>-1394968.91</v>
      </c>
      <c r="L14" s="306" t="s">
        <v>1008</v>
      </c>
      <c r="M14" s="306" t="s">
        <v>1013</v>
      </c>
      <c r="N14" s="306" t="s">
        <v>2449</v>
      </c>
      <c r="O14" s="306" t="s">
        <v>1013</v>
      </c>
      <c r="P14" s="306" t="s">
        <v>1013</v>
      </c>
      <c r="Q14" s="306" t="s">
        <v>1013</v>
      </c>
      <c r="R14" s="306" t="s">
        <v>1013</v>
      </c>
      <c r="S14" s="306" t="s">
        <v>1013</v>
      </c>
      <c r="T14" s="306" t="s">
        <v>1013</v>
      </c>
      <c r="U14" s="306" t="s">
        <v>1013</v>
      </c>
      <c r="V14" s="306" t="s">
        <v>1013</v>
      </c>
      <c r="W14" s="306" t="s">
        <v>1013</v>
      </c>
      <c r="X14" s="306" t="s">
        <v>1013</v>
      </c>
      <c r="Y14" s="306" t="s">
        <v>2240</v>
      </c>
      <c r="Z14" s="306" t="s">
        <v>2241</v>
      </c>
      <c r="AA14" s="306" t="s">
        <v>1013</v>
      </c>
    </row>
    <row r="15" spans="1:27">
      <c r="A15" s="306" t="s">
        <v>494</v>
      </c>
      <c r="B15" s="306" t="s">
        <v>1003</v>
      </c>
      <c r="C15" s="306" t="s">
        <v>1004</v>
      </c>
      <c r="D15" s="306" t="s">
        <v>2435</v>
      </c>
      <c r="E15" s="306" t="s">
        <v>2451</v>
      </c>
      <c r="F15" s="306" t="s">
        <v>1007</v>
      </c>
      <c r="G15" s="308">
        <v>45999</v>
      </c>
      <c r="H15" s="308">
        <v>46006</v>
      </c>
      <c r="I15" s="309">
        <v>-10584.07</v>
      </c>
      <c r="J15" s="306" t="s">
        <v>1008</v>
      </c>
      <c r="K15" s="309">
        <v>-10584.07</v>
      </c>
      <c r="L15" s="306" t="s">
        <v>1008</v>
      </c>
      <c r="M15" s="306" t="s">
        <v>2452</v>
      </c>
      <c r="N15" s="306" t="s">
        <v>2453</v>
      </c>
      <c r="O15" s="306" t="s">
        <v>2454</v>
      </c>
      <c r="P15" s="306" t="s">
        <v>1013</v>
      </c>
      <c r="Q15" s="306" t="s">
        <v>1013</v>
      </c>
      <c r="R15" s="306" t="s">
        <v>1013</v>
      </c>
      <c r="S15" s="306" t="s">
        <v>1013</v>
      </c>
      <c r="T15" s="306" t="s">
        <v>1013</v>
      </c>
      <c r="U15" s="306" t="s">
        <v>2455</v>
      </c>
      <c r="V15" s="306" t="s">
        <v>1013</v>
      </c>
      <c r="W15" s="306" t="s">
        <v>1013</v>
      </c>
      <c r="X15" s="306" t="s">
        <v>1013</v>
      </c>
      <c r="Y15" s="306" t="s">
        <v>2455</v>
      </c>
      <c r="Z15" s="306" t="s">
        <v>2456</v>
      </c>
      <c r="AA15" s="306" t="s">
        <v>1013</v>
      </c>
    </row>
    <row r="16" spans="1:27">
      <c r="A16" s="306" t="s">
        <v>494</v>
      </c>
      <c r="B16" s="306" t="s">
        <v>1003</v>
      </c>
      <c r="C16" s="306" t="s">
        <v>1004</v>
      </c>
      <c r="D16" s="306" t="s">
        <v>2435</v>
      </c>
      <c r="E16" s="306" t="s">
        <v>1006</v>
      </c>
      <c r="F16" s="306" t="s">
        <v>1007</v>
      </c>
      <c r="G16" s="308">
        <v>46010</v>
      </c>
      <c r="H16" s="308">
        <v>46010</v>
      </c>
      <c r="I16" s="309">
        <v>-43056.11</v>
      </c>
      <c r="J16" s="306" t="s">
        <v>1008</v>
      </c>
      <c r="K16" s="309">
        <v>-43056.11</v>
      </c>
      <c r="L16" s="306" t="s">
        <v>1008</v>
      </c>
      <c r="M16" s="306" t="s">
        <v>1009</v>
      </c>
      <c r="N16" s="306" t="s">
        <v>1010</v>
      </c>
      <c r="O16" s="306" t="s">
        <v>1011</v>
      </c>
      <c r="P16" s="306" t="s">
        <v>1012</v>
      </c>
      <c r="Q16" s="306" t="s">
        <v>1013</v>
      </c>
      <c r="R16" s="306" t="s">
        <v>1013</v>
      </c>
      <c r="S16" s="306" t="s">
        <v>1013</v>
      </c>
      <c r="T16" s="306" t="s">
        <v>1013</v>
      </c>
      <c r="U16" s="306" t="s">
        <v>1013</v>
      </c>
      <c r="V16" s="306" t="s">
        <v>1013</v>
      </c>
      <c r="W16" s="306" t="s">
        <v>1013</v>
      </c>
      <c r="X16" s="306" t="s">
        <v>1013</v>
      </c>
      <c r="Y16" s="306" t="s">
        <v>1014</v>
      </c>
      <c r="Z16" s="306" t="s">
        <v>1015</v>
      </c>
      <c r="AA16" s="306" t="s">
        <v>1013</v>
      </c>
    </row>
    <row r="17" spans="1:27">
      <c r="A17" s="306" t="s">
        <v>494</v>
      </c>
      <c r="B17" s="306" t="s">
        <v>1003</v>
      </c>
      <c r="C17" s="306" t="s">
        <v>1004</v>
      </c>
      <c r="D17" s="306" t="s">
        <v>2435</v>
      </c>
      <c r="E17" s="306" t="s">
        <v>1016</v>
      </c>
      <c r="F17" s="306" t="s">
        <v>1007</v>
      </c>
      <c r="G17" s="308">
        <v>46010</v>
      </c>
      <c r="H17" s="308">
        <v>46010</v>
      </c>
      <c r="I17" s="309">
        <v>-235217.89</v>
      </c>
      <c r="J17" s="306" t="s">
        <v>1008</v>
      </c>
      <c r="K17" s="309">
        <v>-235217.89</v>
      </c>
      <c r="L17" s="306" t="s">
        <v>1008</v>
      </c>
      <c r="M17" s="306" t="s">
        <v>1017</v>
      </c>
      <c r="N17" s="306" t="s">
        <v>1010</v>
      </c>
      <c r="O17" s="306" t="s">
        <v>1018</v>
      </c>
      <c r="P17" s="306" t="s">
        <v>1012</v>
      </c>
      <c r="Q17" s="306" t="s">
        <v>1013</v>
      </c>
      <c r="R17" s="306" t="s">
        <v>1013</v>
      </c>
      <c r="S17" s="306" t="s">
        <v>1013</v>
      </c>
      <c r="T17" s="306" t="s">
        <v>1013</v>
      </c>
      <c r="U17" s="306" t="s">
        <v>1013</v>
      </c>
      <c r="V17" s="306" t="s">
        <v>1013</v>
      </c>
      <c r="W17" s="306" t="s">
        <v>1013</v>
      </c>
      <c r="X17" s="306" t="s">
        <v>1013</v>
      </c>
      <c r="Y17" s="306" t="s">
        <v>1014</v>
      </c>
      <c r="Z17" s="306" t="s">
        <v>1015</v>
      </c>
      <c r="AA17" s="306" t="s">
        <v>1013</v>
      </c>
    </row>
    <row r="18" spans="1:27">
      <c r="A18" s="306" t="s">
        <v>494</v>
      </c>
      <c r="B18" s="306" t="s">
        <v>1003</v>
      </c>
      <c r="C18" s="306" t="s">
        <v>1004</v>
      </c>
      <c r="D18" s="306" t="s">
        <v>2435</v>
      </c>
      <c r="E18" s="306" t="s">
        <v>1020</v>
      </c>
      <c r="F18" s="306" t="s">
        <v>1007</v>
      </c>
      <c r="G18" s="308">
        <v>46010</v>
      </c>
      <c r="H18" s="308">
        <v>46010</v>
      </c>
      <c r="I18" s="309">
        <v>-2829.48</v>
      </c>
      <c r="J18" s="306" t="s">
        <v>1008</v>
      </c>
      <c r="K18" s="309">
        <v>-2829.48</v>
      </c>
      <c r="L18" s="306" t="s">
        <v>1008</v>
      </c>
      <c r="M18" s="306" t="s">
        <v>1021</v>
      </c>
      <c r="N18" s="306" t="s">
        <v>1022</v>
      </c>
      <c r="O18" s="306" t="s">
        <v>1023</v>
      </c>
      <c r="P18" s="306" t="s">
        <v>1012</v>
      </c>
      <c r="Q18" s="306" t="s">
        <v>1013</v>
      </c>
      <c r="R18" s="306" t="s">
        <v>1013</v>
      </c>
      <c r="S18" s="306" t="s">
        <v>1013</v>
      </c>
      <c r="T18" s="306" t="s">
        <v>1013</v>
      </c>
      <c r="U18" s="306" t="s">
        <v>1013</v>
      </c>
      <c r="V18" s="306" t="s">
        <v>1013</v>
      </c>
      <c r="W18" s="306" t="s">
        <v>1013</v>
      </c>
      <c r="X18" s="306" t="s">
        <v>1013</v>
      </c>
      <c r="Y18" s="306" t="s">
        <v>1014</v>
      </c>
      <c r="Z18" s="306" t="s">
        <v>1015</v>
      </c>
      <c r="AA18" s="306" t="s">
        <v>1013</v>
      </c>
    </row>
    <row r="19" spans="1:27">
      <c r="A19" s="306" t="s">
        <v>494</v>
      </c>
      <c r="B19" s="306" t="s">
        <v>1003</v>
      </c>
      <c r="C19" s="306" t="s">
        <v>1004</v>
      </c>
      <c r="D19" s="306" t="s">
        <v>2435</v>
      </c>
      <c r="E19" s="306" t="s">
        <v>1024</v>
      </c>
      <c r="F19" s="306" t="s">
        <v>1007</v>
      </c>
      <c r="G19" s="308">
        <v>46010</v>
      </c>
      <c r="H19" s="308">
        <v>46010</v>
      </c>
      <c r="I19" s="309">
        <v>-43056.11</v>
      </c>
      <c r="J19" s="306" t="s">
        <v>1008</v>
      </c>
      <c r="K19" s="309">
        <v>-43056.11</v>
      </c>
      <c r="L19" s="306" t="s">
        <v>1008</v>
      </c>
      <c r="M19" s="306" t="s">
        <v>1025</v>
      </c>
      <c r="N19" s="306" t="s">
        <v>1010</v>
      </c>
      <c r="O19" s="306" t="s">
        <v>1011</v>
      </c>
      <c r="P19" s="306" t="s">
        <v>1026</v>
      </c>
      <c r="Q19" s="306" t="s">
        <v>1013</v>
      </c>
      <c r="R19" s="306" t="s">
        <v>1013</v>
      </c>
      <c r="S19" s="306" t="s">
        <v>1013</v>
      </c>
      <c r="T19" s="306" t="s">
        <v>1013</v>
      </c>
      <c r="U19" s="306" t="s">
        <v>1013</v>
      </c>
      <c r="V19" s="306" t="s">
        <v>1013</v>
      </c>
      <c r="W19" s="306" t="s">
        <v>1013</v>
      </c>
      <c r="X19" s="306" t="s">
        <v>1013</v>
      </c>
      <c r="Y19" s="306" t="s">
        <v>1014</v>
      </c>
      <c r="Z19" s="306" t="s">
        <v>1015</v>
      </c>
      <c r="AA19" s="306" t="s">
        <v>1013</v>
      </c>
    </row>
    <row r="20" spans="1:27">
      <c r="A20" s="306" t="s">
        <v>494</v>
      </c>
      <c r="B20" s="306" t="s">
        <v>1003</v>
      </c>
      <c r="C20" s="306" t="s">
        <v>1004</v>
      </c>
      <c r="D20" s="306" t="s">
        <v>2435</v>
      </c>
      <c r="E20" s="306" t="s">
        <v>1027</v>
      </c>
      <c r="F20" s="306" t="s">
        <v>1007</v>
      </c>
      <c r="G20" s="308">
        <v>46010</v>
      </c>
      <c r="H20" s="308">
        <v>46010</v>
      </c>
      <c r="I20" s="309">
        <v>-235217.89</v>
      </c>
      <c r="J20" s="306" t="s">
        <v>1008</v>
      </c>
      <c r="K20" s="309">
        <v>-235217.89</v>
      </c>
      <c r="L20" s="306" t="s">
        <v>1008</v>
      </c>
      <c r="M20" s="306" t="s">
        <v>1028</v>
      </c>
      <c r="N20" s="306" t="s">
        <v>1010</v>
      </c>
      <c r="O20" s="306" t="s">
        <v>1018</v>
      </c>
      <c r="P20" s="306" t="s">
        <v>1026</v>
      </c>
      <c r="Q20" s="306" t="s">
        <v>1013</v>
      </c>
      <c r="R20" s="306" t="s">
        <v>1013</v>
      </c>
      <c r="S20" s="306" t="s">
        <v>1013</v>
      </c>
      <c r="T20" s="306" t="s">
        <v>1013</v>
      </c>
      <c r="U20" s="306" t="s">
        <v>1013</v>
      </c>
      <c r="V20" s="306" t="s">
        <v>1013</v>
      </c>
      <c r="W20" s="306" t="s">
        <v>1013</v>
      </c>
      <c r="X20" s="306" t="s">
        <v>1013</v>
      </c>
      <c r="Y20" s="306" t="s">
        <v>1014</v>
      </c>
      <c r="Z20" s="306" t="s">
        <v>1015</v>
      </c>
      <c r="AA20" s="306" t="s">
        <v>1013</v>
      </c>
    </row>
    <row r="21" spans="1:27">
      <c r="A21" s="306" t="s">
        <v>494</v>
      </c>
      <c r="B21" s="306" t="s">
        <v>1003</v>
      </c>
      <c r="C21" s="306" t="s">
        <v>1004</v>
      </c>
      <c r="D21" s="306" t="s">
        <v>2435</v>
      </c>
      <c r="E21" s="306" t="s">
        <v>1029</v>
      </c>
      <c r="F21" s="306" t="s">
        <v>1007</v>
      </c>
      <c r="G21" s="308">
        <v>46010</v>
      </c>
      <c r="H21" s="308">
        <v>46010</v>
      </c>
      <c r="I21" s="309">
        <v>-2829.48</v>
      </c>
      <c r="J21" s="306" t="s">
        <v>1008</v>
      </c>
      <c r="K21" s="309">
        <v>-2829.48</v>
      </c>
      <c r="L21" s="306" t="s">
        <v>1008</v>
      </c>
      <c r="M21" s="306" t="s">
        <v>1030</v>
      </c>
      <c r="N21" s="306" t="s">
        <v>1022</v>
      </c>
      <c r="O21" s="306" t="s">
        <v>1023</v>
      </c>
      <c r="P21" s="306" t="s">
        <v>1026</v>
      </c>
      <c r="Q21" s="306" t="s">
        <v>1013</v>
      </c>
      <c r="R21" s="306" t="s">
        <v>1013</v>
      </c>
      <c r="S21" s="306" t="s">
        <v>1013</v>
      </c>
      <c r="T21" s="306" t="s">
        <v>1013</v>
      </c>
      <c r="U21" s="306" t="s">
        <v>1013</v>
      </c>
      <c r="V21" s="306" t="s">
        <v>1013</v>
      </c>
      <c r="W21" s="306" t="s">
        <v>1013</v>
      </c>
      <c r="X21" s="306" t="s">
        <v>1013</v>
      </c>
      <c r="Y21" s="306" t="s">
        <v>1014</v>
      </c>
      <c r="Z21" s="306" t="s">
        <v>1015</v>
      </c>
      <c r="AA21" s="306" t="s">
        <v>1013</v>
      </c>
    </row>
    <row r="22" spans="1:27">
      <c r="A22" s="306" t="s">
        <v>494</v>
      </c>
      <c r="B22" s="306" t="s">
        <v>1003</v>
      </c>
      <c r="C22" s="306" t="s">
        <v>1004</v>
      </c>
      <c r="D22" s="306" t="s">
        <v>2435</v>
      </c>
      <c r="E22" s="306" t="s">
        <v>2457</v>
      </c>
      <c r="F22" s="306" t="s">
        <v>1007</v>
      </c>
      <c r="G22" s="308">
        <v>46013</v>
      </c>
      <c r="H22" s="308">
        <v>46013</v>
      </c>
      <c r="I22" s="309">
        <v>-171789.82</v>
      </c>
      <c r="J22" s="306" t="s">
        <v>1008</v>
      </c>
      <c r="K22" s="309">
        <v>-171789.82</v>
      </c>
      <c r="L22" s="306" t="s">
        <v>1008</v>
      </c>
      <c r="M22" s="306" t="s">
        <v>2458</v>
      </c>
      <c r="N22" s="306" t="s">
        <v>2459</v>
      </c>
      <c r="O22" s="306" t="s">
        <v>2037</v>
      </c>
      <c r="P22" s="306" t="s">
        <v>1013</v>
      </c>
      <c r="Q22" s="306" t="s">
        <v>1013</v>
      </c>
      <c r="R22" s="306" t="s">
        <v>1013</v>
      </c>
      <c r="S22" s="306" t="s">
        <v>1013</v>
      </c>
      <c r="T22" s="306" t="s">
        <v>1013</v>
      </c>
      <c r="U22" s="306" t="s">
        <v>1013</v>
      </c>
      <c r="V22" s="306" t="s">
        <v>1013</v>
      </c>
      <c r="W22" s="306" t="s">
        <v>1013</v>
      </c>
      <c r="X22" s="306" t="s">
        <v>1013</v>
      </c>
      <c r="Y22" s="306" t="s">
        <v>1036</v>
      </c>
      <c r="Z22" s="306" t="s">
        <v>1015</v>
      </c>
      <c r="AA22" s="306" t="s">
        <v>1013</v>
      </c>
    </row>
    <row r="23" spans="1:27">
      <c r="A23" s="306" t="s">
        <v>494</v>
      </c>
      <c r="B23" s="306" t="s">
        <v>1003</v>
      </c>
      <c r="C23" s="306" t="s">
        <v>1004</v>
      </c>
      <c r="D23" s="306" t="s">
        <v>2435</v>
      </c>
      <c r="E23" s="306" t="s">
        <v>2460</v>
      </c>
      <c r="F23" s="306" t="s">
        <v>1007</v>
      </c>
      <c r="G23" s="308">
        <v>46013</v>
      </c>
      <c r="H23" s="308">
        <v>46013</v>
      </c>
      <c r="I23" s="309">
        <v>-112743.36</v>
      </c>
      <c r="J23" s="306" t="s">
        <v>1008</v>
      </c>
      <c r="K23" s="309">
        <v>-112743.36</v>
      </c>
      <c r="L23" s="306" t="s">
        <v>1008</v>
      </c>
      <c r="M23" s="306" t="s">
        <v>2461</v>
      </c>
      <c r="N23" s="306" t="s">
        <v>2459</v>
      </c>
      <c r="O23" s="306" t="s">
        <v>2039</v>
      </c>
      <c r="P23" s="306" t="s">
        <v>1013</v>
      </c>
      <c r="Q23" s="306" t="s">
        <v>1013</v>
      </c>
      <c r="R23" s="306" t="s">
        <v>1013</v>
      </c>
      <c r="S23" s="306" t="s">
        <v>1013</v>
      </c>
      <c r="T23" s="306" t="s">
        <v>1013</v>
      </c>
      <c r="U23" s="306" t="s">
        <v>1013</v>
      </c>
      <c r="V23" s="306" t="s">
        <v>1013</v>
      </c>
      <c r="W23" s="306" t="s">
        <v>1013</v>
      </c>
      <c r="X23" s="306" t="s">
        <v>1013</v>
      </c>
      <c r="Y23" s="306" t="s">
        <v>1036</v>
      </c>
      <c r="Z23" s="306" t="s">
        <v>1015</v>
      </c>
      <c r="AA23" s="306" t="s">
        <v>1013</v>
      </c>
    </row>
    <row r="24" spans="1:27">
      <c r="A24" s="306" t="s">
        <v>494</v>
      </c>
      <c r="B24" s="306" t="s">
        <v>1003</v>
      </c>
      <c r="C24" s="306" t="s">
        <v>1004</v>
      </c>
      <c r="D24" s="306" t="s">
        <v>2435</v>
      </c>
      <c r="E24" s="306" t="s">
        <v>2462</v>
      </c>
      <c r="F24" s="306" t="s">
        <v>1007</v>
      </c>
      <c r="G24" s="308">
        <v>46013</v>
      </c>
      <c r="H24" s="308">
        <v>46013</v>
      </c>
      <c r="I24" s="309">
        <v>-23152.65</v>
      </c>
      <c r="J24" s="306" t="s">
        <v>1008</v>
      </c>
      <c r="K24" s="309">
        <v>-23152.65</v>
      </c>
      <c r="L24" s="306" t="s">
        <v>1008</v>
      </c>
      <c r="M24" s="306" t="s">
        <v>2463</v>
      </c>
      <c r="N24" s="306" t="s">
        <v>2459</v>
      </c>
      <c r="O24" s="306" t="s">
        <v>2041</v>
      </c>
      <c r="P24" s="306" t="s">
        <v>1013</v>
      </c>
      <c r="Q24" s="306" t="s">
        <v>1013</v>
      </c>
      <c r="R24" s="306" t="s">
        <v>1013</v>
      </c>
      <c r="S24" s="306" t="s">
        <v>1013</v>
      </c>
      <c r="T24" s="306" t="s">
        <v>1013</v>
      </c>
      <c r="U24" s="306" t="s">
        <v>1013</v>
      </c>
      <c r="V24" s="306" t="s">
        <v>1013</v>
      </c>
      <c r="W24" s="306" t="s">
        <v>1013</v>
      </c>
      <c r="X24" s="306" t="s">
        <v>1013</v>
      </c>
      <c r="Y24" s="306" t="s">
        <v>1036</v>
      </c>
      <c r="Z24" s="306" t="s">
        <v>1015</v>
      </c>
      <c r="AA24" s="306" t="s">
        <v>1013</v>
      </c>
    </row>
    <row r="25" spans="1:27">
      <c r="A25" s="306" t="s">
        <v>494</v>
      </c>
      <c r="B25" s="306" t="s">
        <v>1003</v>
      </c>
      <c r="C25" s="306" t="s">
        <v>1004</v>
      </c>
      <c r="D25" s="306" t="s">
        <v>2435</v>
      </c>
      <c r="E25" s="306" t="s">
        <v>2464</v>
      </c>
      <c r="F25" s="306" t="s">
        <v>1007</v>
      </c>
      <c r="G25" s="308">
        <v>46013</v>
      </c>
      <c r="H25" s="308">
        <v>46013</v>
      </c>
      <c r="I25" s="309">
        <v>-1955.75</v>
      </c>
      <c r="J25" s="306" t="s">
        <v>1008</v>
      </c>
      <c r="K25" s="309">
        <v>-1955.75</v>
      </c>
      <c r="L25" s="306" t="s">
        <v>1008</v>
      </c>
      <c r="M25" s="306" t="s">
        <v>2465</v>
      </c>
      <c r="N25" s="306" t="s">
        <v>2459</v>
      </c>
      <c r="O25" s="306" t="s">
        <v>2051</v>
      </c>
      <c r="P25" s="306" t="s">
        <v>1013</v>
      </c>
      <c r="Q25" s="306" t="s">
        <v>1013</v>
      </c>
      <c r="R25" s="306" t="s">
        <v>1013</v>
      </c>
      <c r="S25" s="306" t="s">
        <v>1013</v>
      </c>
      <c r="T25" s="306" t="s">
        <v>1013</v>
      </c>
      <c r="U25" s="306" t="s">
        <v>1013</v>
      </c>
      <c r="V25" s="306" t="s">
        <v>1013</v>
      </c>
      <c r="W25" s="306" t="s">
        <v>1013</v>
      </c>
      <c r="X25" s="306" t="s">
        <v>1013</v>
      </c>
      <c r="Y25" s="306" t="s">
        <v>1036</v>
      </c>
      <c r="Z25" s="306" t="s">
        <v>1015</v>
      </c>
      <c r="AA25" s="306" t="s">
        <v>1013</v>
      </c>
    </row>
    <row r="26" spans="1:27">
      <c r="A26" s="306" t="s">
        <v>494</v>
      </c>
      <c r="B26" s="306" t="s">
        <v>1003</v>
      </c>
      <c r="C26" s="306" t="s">
        <v>1004</v>
      </c>
      <c r="D26" s="306" t="s">
        <v>2435</v>
      </c>
      <c r="E26" s="306" t="s">
        <v>2466</v>
      </c>
      <c r="F26" s="306" t="s">
        <v>1007</v>
      </c>
      <c r="G26" s="308">
        <v>46013</v>
      </c>
      <c r="H26" s="308">
        <v>46013</v>
      </c>
      <c r="I26" s="309">
        <v>-9030.9699999999993</v>
      </c>
      <c r="J26" s="306" t="s">
        <v>1008</v>
      </c>
      <c r="K26" s="309">
        <v>-9030.9699999999993</v>
      </c>
      <c r="L26" s="306" t="s">
        <v>1008</v>
      </c>
      <c r="M26" s="306" t="s">
        <v>2465</v>
      </c>
      <c r="N26" s="306" t="s">
        <v>2459</v>
      </c>
      <c r="O26" s="306" t="s">
        <v>2051</v>
      </c>
      <c r="P26" s="306" t="s">
        <v>1013</v>
      </c>
      <c r="Q26" s="306" t="s">
        <v>1013</v>
      </c>
      <c r="R26" s="306" t="s">
        <v>1013</v>
      </c>
      <c r="S26" s="306" t="s">
        <v>1013</v>
      </c>
      <c r="T26" s="306" t="s">
        <v>1013</v>
      </c>
      <c r="U26" s="306" t="s">
        <v>1013</v>
      </c>
      <c r="V26" s="306" t="s">
        <v>1013</v>
      </c>
      <c r="W26" s="306" t="s">
        <v>1013</v>
      </c>
      <c r="X26" s="306" t="s">
        <v>1013</v>
      </c>
      <c r="Y26" s="306" t="s">
        <v>1036</v>
      </c>
      <c r="Z26" s="306" t="s">
        <v>1015</v>
      </c>
      <c r="AA26" s="306" t="s">
        <v>1013</v>
      </c>
    </row>
    <row r="27" spans="1:27">
      <c r="A27" s="306" t="s">
        <v>494</v>
      </c>
      <c r="B27" s="306" t="s">
        <v>1003</v>
      </c>
      <c r="C27" s="306" t="s">
        <v>1004</v>
      </c>
      <c r="D27" s="306" t="s">
        <v>2435</v>
      </c>
      <c r="E27" s="306" t="s">
        <v>2467</v>
      </c>
      <c r="F27" s="306" t="s">
        <v>1007</v>
      </c>
      <c r="G27" s="308">
        <v>46013</v>
      </c>
      <c r="H27" s="308">
        <v>46013</v>
      </c>
      <c r="I27" s="309">
        <v>-47030.16</v>
      </c>
      <c r="J27" s="306" t="s">
        <v>1008</v>
      </c>
      <c r="K27" s="309">
        <v>-47030.16</v>
      </c>
      <c r="L27" s="306" t="s">
        <v>1008</v>
      </c>
      <c r="M27" s="306" t="s">
        <v>2468</v>
      </c>
      <c r="N27" s="306" t="s">
        <v>2459</v>
      </c>
      <c r="O27" s="306" t="s">
        <v>2043</v>
      </c>
      <c r="P27" s="306" t="s">
        <v>1013</v>
      </c>
      <c r="Q27" s="306" t="s">
        <v>1013</v>
      </c>
      <c r="R27" s="306" t="s">
        <v>1013</v>
      </c>
      <c r="S27" s="306" t="s">
        <v>1013</v>
      </c>
      <c r="T27" s="306" t="s">
        <v>1013</v>
      </c>
      <c r="U27" s="306" t="s">
        <v>1013</v>
      </c>
      <c r="V27" s="306" t="s">
        <v>1013</v>
      </c>
      <c r="W27" s="306" t="s">
        <v>1013</v>
      </c>
      <c r="X27" s="306" t="s">
        <v>1013</v>
      </c>
      <c r="Y27" s="306" t="s">
        <v>1036</v>
      </c>
      <c r="Z27" s="306" t="s">
        <v>1015</v>
      </c>
      <c r="AA27" s="306" t="s">
        <v>1013</v>
      </c>
    </row>
    <row r="28" spans="1:27">
      <c r="A28" s="306" t="s">
        <v>494</v>
      </c>
      <c r="B28" s="306" t="s">
        <v>1003</v>
      </c>
      <c r="C28" s="306" t="s">
        <v>1004</v>
      </c>
      <c r="D28" s="306" t="s">
        <v>2435</v>
      </c>
      <c r="E28" s="306" t="s">
        <v>1032</v>
      </c>
      <c r="F28" s="306" t="s">
        <v>1007</v>
      </c>
      <c r="G28" s="308">
        <v>46013</v>
      </c>
      <c r="H28" s="308">
        <v>46013</v>
      </c>
      <c r="I28" s="309">
        <v>-791090.12</v>
      </c>
      <c r="J28" s="306" t="s">
        <v>1008</v>
      </c>
      <c r="K28" s="309">
        <v>-791090.12</v>
      </c>
      <c r="L28" s="306" t="s">
        <v>1008</v>
      </c>
      <c r="M28" s="306" t="s">
        <v>1033</v>
      </c>
      <c r="N28" s="306" t="s">
        <v>1034</v>
      </c>
      <c r="O28" s="306" t="s">
        <v>1035</v>
      </c>
      <c r="P28" s="306" t="s">
        <v>1012</v>
      </c>
      <c r="Q28" s="306" t="s">
        <v>1013</v>
      </c>
      <c r="R28" s="306" t="s">
        <v>1013</v>
      </c>
      <c r="S28" s="306" t="s">
        <v>1013</v>
      </c>
      <c r="T28" s="306" t="s">
        <v>1013</v>
      </c>
      <c r="U28" s="306" t="s">
        <v>1013</v>
      </c>
      <c r="V28" s="306" t="s">
        <v>1013</v>
      </c>
      <c r="W28" s="306" t="s">
        <v>1013</v>
      </c>
      <c r="X28" s="306" t="s">
        <v>1013</v>
      </c>
      <c r="Y28" s="306" t="s">
        <v>1036</v>
      </c>
      <c r="Z28" s="306" t="s">
        <v>1015</v>
      </c>
      <c r="AA28" s="306" t="s">
        <v>1013</v>
      </c>
    </row>
    <row r="29" spans="1:27">
      <c r="A29" s="306" t="s">
        <v>494</v>
      </c>
      <c r="B29" s="306" t="s">
        <v>1003</v>
      </c>
      <c r="C29" s="306" t="s">
        <v>1004</v>
      </c>
      <c r="D29" s="306" t="s">
        <v>2435</v>
      </c>
      <c r="E29" s="306" t="s">
        <v>1037</v>
      </c>
      <c r="F29" s="306" t="s">
        <v>1007</v>
      </c>
      <c r="G29" s="308">
        <v>46013</v>
      </c>
      <c r="H29" s="308">
        <v>46013</v>
      </c>
      <c r="I29" s="309">
        <v>-203958</v>
      </c>
      <c r="J29" s="306" t="s">
        <v>1008</v>
      </c>
      <c r="K29" s="309">
        <v>-203958</v>
      </c>
      <c r="L29" s="306" t="s">
        <v>1008</v>
      </c>
      <c r="M29" s="306" t="s">
        <v>1033</v>
      </c>
      <c r="N29" s="306" t="s">
        <v>1034</v>
      </c>
      <c r="O29" s="306" t="s">
        <v>1038</v>
      </c>
      <c r="P29" s="306" t="s">
        <v>1012</v>
      </c>
      <c r="Q29" s="306" t="s">
        <v>1013</v>
      </c>
      <c r="R29" s="306" t="s">
        <v>1013</v>
      </c>
      <c r="S29" s="306" t="s">
        <v>1013</v>
      </c>
      <c r="T29" s="306" t="s">
        <v>1013</v>
      </c>
      <c r="U29" s="306" t="s">
        <v>1013</v>
      </c>
      <c r="V29" s="306" t="s">
        <v>1013</v>
      </c>
      <c r="W29" s="306" t="s">
        <v>1013</v>
      </c>
      <c r="X29" s="306" t="s">
        <v>1013</v>
      </c>
      <c r="Y29" s="306" t="s">
        <v>1036</v>
      </c>
      <c r="Z29" s="306" t="s">
        <v>1015</v>
      </c>
      <c r="AA29" s="306" t="s">
        <v>1013</v>
      </c>
    </row>
    <row r="30" spans="1:27">
      <c r="A30" s="306" t="s">
        <v>494</v>
      </c>
      <c r="B30" s="306" t="s">
        <v>1003</v>
      </c>
      <c r="C30" s="306" t="s">
        <v>1004</v>
      </c>
      <c r="D30" s="306" t="s">
        <v>2435</v>
      </c>
      <c r="E30" s="306" t="s">
        <v>1039</v>
      </c>
      <c r="F30" s="306" t="s">
        <v>1007</v>
      </c>
      <c r="G30" s="308">
        <v>46013</v>
      </c>
      <c r="H30" s="308">
        <v>46013</v>
      </c>
      <c r="I30" s="309">
        <v>-113798.94</v>
      </c>
      <c r="J30" s="306" t="s">
        <v>1008</v>
      </c>
      <c r="K30" s="309">
        <v>-113798.94</v>
      </c>
      <c r="L30" s="306" t="s">
        <v>1008</v>
      </c>
      <c r="M30" s="306" t="s">
        <v>1033</v>
      </c>
      <c r="N30" s="306" t="s">
        <v>1034</v>
      </c>
      <c r="O30" s="306" t="s">
        <v>1040</v>
      </c>
      <c r="P30" s="306" t="s">
        <v>1012</v>
      </c>
      <c r="Q30" s="306" t="s">
        <v>1013</v>
      </c>
      <c r="R30" s="306" t="s">
        <v>1013</v>
      </c>
      <c r="S30" s="306" t="s">
        <v>1013</v>
      </c>
      <c r="T30" s="306" t="s">
        <v>1013</v>
      </c>
      <c r="U30" s="306" t="s">
        <v>1013</v>
      </c>
      <c r="V30" s="306" t="s">
        <v>1013</v>
      </c>
      <c r="W30" s="306" t="s">
        <v>1013</v>
      </c>
      <c r="X30" s="306" t="s">
        <v>1013</v>
      </c>
      <c r="Y30" s="306" t="s">
        <v>1036</v>
      </c>
      <c r="Z30" s="306" t="s">
        <v>1015</v>
      </c>
      <c r="AA30" s="306" t="s">
        <v>1013</v>
      </c>
    </row>
    <row r="31" spans="1:27">
      <c r="A31" s="306" t="s">
        <v>494</v>
      </c>
      <c r="B31" s="306" t="s">
        <v>1003</v>
      </c>
      <c r="C31" s="306" t="s">
        <v>1004</v>
      </c>
      <c r="D31" s="306" t="s">
        <v>2435</v>
      </c>
      <c r="E31" s="306" t="s">
        <v>1041</v>
      </c>
      <c r="F31" s="306" t="s">
        <v>1007</v>
      </c>
      <c r="G31" s="308">
        <v>46013</v>
      </c>
      <c r="H31" s="308">
        <v>46013</v>
      </c>
      <c r="I31" s="309">
        <v>-12981.13</v>
      </c>
      <c r="J31" s="306" t="s">
        <v>1008</v>
      </c>
      <c r="K31" s="309">
        <v>-12981.13</v>
      </c>
      <c r="L31" s="306" t="s">
        <v>1008</v>
      </c>
      <c r="M31" s="306" t="s">
        <v>1042</v>
      </c>
      <c r="N31" s="306" t="s">
        <v>1043</v>
      </c>
      <c r="O31" s="306" t="s">
        <v>1044</v>
      </c>
      <c r="P31" s="306" t="s">
        <v>1012</v>
      </c>
      <c r="Q31" s="306" t="s">
        <v>1013</v>
      </c>
      <c r="R31" s="306" t="s">
        <v>1013</v>
      </c>
      <c r="S31" s="306" t="s">
        <v>1013</v>
      </c>
      <c r="T31" s="306" t="s">
        <v>1013</v>
      </c>
      <c r="U31" s="306" t="s">
        <v>1013</v>
      </c>
      <c r="V31" s="306" t="s">
        <v>1013</v>
      </c>
      <c r="W31" s="306" t="s">
        <v>1013</v>
      </c>
      <c r="X31" s="306" t="s">
        <v>1013</v>
      </c>
      <c r="Y31" s="306" t="s">
        <v>1036</v>
      </c>
      <c r="Z31" s="306" t="s">
        <v>1015</v>
      </c>
      <c r="AA31" s="306" t="s">
        <v>1013</v>
      </c>
    </row>
    <row r="32" spans="1:27">
      <c r="A32" s="306" t="s">
        <v>494</v>
      </c>
      <c r="B32" s="306" t="s">
        <v>1003</v>
      </c>
      <c r="C32" s="306" t="s">
        <v>1004</v>
      </c>
      <c r="D32" s="306" t="s">
        <v>2435</v>
      </c>
      <c r="E32" s="306" t="s">
        <v>1045</v>
      </c>
      <c r="F32" s="306" t="s">
        <v>1007</v>
      </c>
      <c r="G32" s="308">
        <v>46013</v>
      </c>
      <c r="H32" s="308">
        <v>46013</v>
      </c>
      <c r="I32" s="309">
        <v>-290250.01</v>
      </c>
      <c r="J32" s="306" t="s">
        <v>1008</v>
      </c>
      <c r="K32" s="309">
        <v>-290250.01</v>
      </c>
      <c r="L32" s="306" t="s">
        <v>1008</v>
      </c>
      <c r="M32" s="306" t="s">
        <v>1046</v>
      </c>
      <c r="N32" s="306" t="s">
        <v>1047</v>
      </c>
      <c r="O32" s="306" t="s">
        <v>1048</v>
      </c>
      <c r="P32" s="306" t="s">
        <v>1012</v>
      </c>
      <c r="Q32" s="306" t="s">
        <v>1013</v>
      </c>
      <c r="R32" s="306" t="s">
        <v>1013</v>
      </c>
      <c r="S32" s="306" t="s">
        <v>1013</v>
      </c>
      <c r="T32" s="306" t="s">
        <v>1013</v>
      </c>
      <c r="U32" s="306" t="s">
        <v>1013</v>
      </c>
      <c r="V32" s="306" t="s">
        <v>1013</v>
      </c>
      <c r="W32" s="306" t="s">
        <v>1013</v>
      </c>
      <c r="X32" s="306" t="s">
        <v>1013</v>
      </c>
      <c r="Y32" s="306" t="s">
        <v>1036</v>
      </c>
      <c r="Z32" s="306" t="s">
        <v>1015</v>
      </c>
      <c r="AA32" s="306" t="s">
        <v>1013</v>
      </c>
    </row>
    <row r="33" spans="1:27">
      <c r="A33" s="306" t="s">
        <v>494</v>
      </c>
      <c r="B33" s="306" t="s">
        <v>1003</v>
      </c>
      <c r="C33" s="306" t="s">
        <v>1004</v>
      </c>
      <c r="D33" s="306" t="s">
        <v>2435</v>
      </c>
      <c r="E33" s="306" t="s">
        <v>1049</v>
      </c>
      <c r="F33" s="306" t="s">
        <v>1007</v>
      </c>
      <c r="G33" s="308">
        <v>46013</v>
      </c>
      <c r="H33" s="308">
        <v>46013</v>
      </c>
      <c r="I33" s="309">
        <v>-195415.84</v>
      </c>
      <c r="J33" s="306" t="s">
        <v>1008</v>
      </c>
      <c r="K33" s="309">
        <v>-195415.84</v>
      </c>
      <c r="L33" s="306" t="s">
        <v>1008</v>
      </c>
      <c r="M33" s="306" t="s">
        <v>1046</v>
      </c>
      <c r="N33" s="306" t="s">
        <v>1047</v>
      </c>
      <c r="O33" s="306" t="s">
        <v>1050</v>
      </c>
      <c r="P33" s="306" t="s">
        <v>1012</v>
      </c>
      <c r="Q33" s="306" t="s">
        <v>1013</v>
      </c>
      <c r="R33" s="306" t="s">
        <v>1013</v>
      </c>
      <c r="S33" s="306" t="s">
        <v>1013</v>
      </c>
      <c r="T33" s="306" t="s">
        <v>1013</v>
      </c>
      <c r="U33" s="306" t="s">
        <v>1013</v>
      </c>
      <c r="V33" s="306" t="s">
        <v>1013</v>
      </c>
      <c r="W33" s="306" t="s">
        <v>1013</v>
      </c>
      <c r="X33" s="306" t="s">
        <v>1013</v>
      </c>
      <c r="Y33" s="306" t="s">
        <v>1036</v>
      </c>
      <c r="Z33" s="306" t="s">
        <v>1015</v>
      </c>
      <c r="AA33" s="306" t="s">
        <v>1013</v>
      </c>
    </row>
    <row r="34" spans="1:27">
      <c r="A34" s="306" t="s">
        <v>494</v>
      </c>
      <c r="B34" s="306" t="s">
        <v>1003</v>
      </c>
      <c r="C34" s="306" t="s">
        <v>1004</v>
      </c>
      <c r="D34" s="306" t="s">
        <v>2435</v>
      </c>
      <c r="E34" s="306" t="s">
        <v>1051</v>
      </c>
      <c r="F34" s="306" t="s">
        <v>1007</v>
      </c>
      <c r="G34" s="308">
        <v>46013</v>
      </c>
      <c r="H34" s="308">
        <v>46013</v>
      </c>
      <c r="I34" s="309">
        <v>-7100.92</v>
      </c>
      <c r="J34" s="306" t="s">
        <v>1008</v>
      </c>
      <c r="K34" s="309">
        <v>-7100.92</v>
      </c>
      <c r="L34" s="306" t="s">
        <v>1008</v>
      </c>
      <c r="M34" s="306" t="s">
        <v>1046</v>
      </c>
      <c r="N34" s="306" t="s">
        <v>1047</v>
      </c>
      <c r="O34" s="306" t="s">
        <v>1052</v>
      </c>
      <c r="P34" s="306" t="s">
        <v>1012</v>
      </c>
      <c r="Q34" s="306" t="s">
        <v>1013</v>
      </c>
      <c r="R34" s="306" t="s">
        <v>1013</v>
      </c>
      <c r="S34" s="306" t="s">
        <v>1013</v>
      </c>
      <c r="T34" s="306" t="s">
        <v>1013</v>
      </c>
      <c r="U34" s="306" t="s">
        <v>1013</v>
      </c>
      <c r="V34" s="306" t="s">
        <v>1013</v>
      </c>
      <c r="W34" s="306" t="s">
        <v>1013</v>
      </c>
      <c r="X34" s="306" t="s">
        <v>1013</v>
      </c>
      <c r="Y34" s="306" t="s">
        <v>1036</v>
      </c>
      <c r="Z34" s="306" t="s">
        <v>1015</v>
      </c>
      <c r="AA34" s="306" t="s">
        <v>1013</v>
      </c>
    </row>
    <row r="35" spans="1:27">
      <c r="A35" s="306" t="s">
        <v>494</v>
      </c>
      <c r="B35" s="306" t="s">
        <v>1003</v>
      </c>
      <c r="C35" s="306" t="s">
        <v>1004</v>
      </c>
      <c r="D35" s="306" t="s">
        <v>2435</v>
      </c>
      <c r="E35" s="306" t="s">
        <v>1053</v>
      </c>
      <c r="F35" s="306" t="s">
        <v>1007</v>
      </c>
      <c r="G35" s="308">
        <v>46013</v>
      </c>
      <c r="H35" s="308">
        <v>46013</v>
      </c>
      <c r="I35" s="309">
        <v>-16984.36</v>
      </c>
      <c r="J35" s="306" t="s">
        <v>1008</v>
      </c>
      <c r="K35" s="309">
        <v>-16984.36</v>
      </c>
      <c r="L35" s="306" t="s">
        <v>1008</v>
      </c>
      <c r="M35" s="306" t="s">
        <v>1033</v>
      </c>
      <c r="N35" s="306" t="s">
        <v>1034</v>
      </c>
      <c r="O35" s="306" t="s">
        <v>1054</v>
      </c>
      <c r="P35" s="306" t="s">
        <v>1012</v>
      </c>
      <c r="Q35" s="306" t="s">
        <v>1013</v>
      </c>
      <c r="R35" s="306" t="s">
        <v>1013</v>
      </c>
      <c r="S35" s="306" t="s">
        <v>1013</v>
      </c>
      <c r="T35" s="306" t="s">
        <v>1013</v>
      </c>
      <c r="U35" s="306" t="s">
        <v>1013</v>
      </c>
      <c r="V35" s="306" t="s">
        <v>1013</v>
      </c>
      <c r="W35" s="306" t="s">
        <v>1013</v>
      </c>
      <c r="X35" s="306" t="s">
        <v>1013</v>
      </c>
      <c r="Y35" s="306" t="s">
        <v>1036</v>
      </c>
      <c r="Z35" s="306" t="s">
        <v>1015</v>
      </c>
      <c r="AA35" s="306" t="s">
        <v>1013</v>
      </c>
    </row>
    <row r="36" spans="1:27">
      <c r="A36" s="306" t="s">
        <v>494</v>
      </c>
      <c r="B36" s="306" t="s">
        <v>1003</v>
      </c>
      <c r="C36" s="306" t="s">
        <v>1004</v>
      </c>
      <c r="D36" s="306" t="s">
        <v>2435</v>
      </c>
      <c r="E36" s="306" t="s">
        <v>1055</v>
      </c>
      <c r="F36" s="306" t="s">
        <v>1007</v>
      </c>
      <c r="G36" s="308">
        <v>46013</v>
      </c>
      <c r="H36" s="308">
        <v>46013</v>
      </c>
      <c r="I36" s="309">
        <v>-17752.29</v>
      </c>
      <c r="J36" s="306" t="s">
        <v>1008</v>
      </c>
      <c r="K36" s="309">
        <v>-17752.29</v>
      </c>
      <c r="L36" s="306" t="s">
        <v>1008</v>
      </c>
      <c r="M36" s="306" t="s">
        <v>1046</v>
      </c>
      <c r="N36" s="306" t="s">
        <v>1047</v>
      </c>
      <c r="O36" s="306" t="s">
        <v>1056</v>
      </c>
      <c r="P36" s="306" t="s">
        <v>1012</v>
      </c>
      <c r="Q36" s="306" t="s">
        <v>1013</v>
      </c>
      <c r="R36" s="306" t="s">
        <v>1013</v>
      </c>
      <c r="S36" s="306" t="s">
        <v>1013</v>
      </c>
      <c r="T36" s="306" t="s">
        <v>1013</v>
      </c>
      <c r="U36" s="306" t="s">
        <v>1013</v>
      </c>
      <c r="V36" s="306" t="s">
        <v>1013</v>
      </c>
      <c r="W36" s="306" t="s">
        <v>1013</v>
      </c>
      <c r="X36" s="306" t="s">
        <v>1013</v>
      </c>
      <c r="Y36" s="306" t="s">
        <v>1036</v>
      </c>
      <c r="Z36" s="306" t="s">
        <v>1015</v>
      </c>
      <c r="AA36" s="306" t="s">
        <v>1013</v>
      </c>
    </row>
    <row r="37" spans="1:27">
      <c r="A37" s="306" t="s">
        <v>494</v>
      </c>
      <c r="B37" s="306" t="s">
        <v>1003</v>
      </c>
      <c r="C37" s="306" t="s">
        <v>1004</v>
      </c>
      <c r="D37" s="306" t="s">
        <v>2435</v>
      </c>
      <c r="E37" s="306" t="s">
        <v>1057</v>
      </c>
      <c r="F37" s="306" t="s">
        <v>1007</v>
      </c>
      <c r="G37" s="308">
        <v>46013</v>
      </c>
      <c r="H37" s="308">
        <v>46013</v>
      </c>
      <c r="I37" s="309">
        <v>-102235.99</v>
      </c>
      <c r="J37" s="306" t="s">
        <v>1008</v>
      </c>
      <c r="K37" s="309">
        <v>-102235.99</v>
      </c>
      <c r="L37" s="306" t="s">
        <v>1008</v>
      </c>
      <c r="M37" s="306" t="s">
        <v>1033</v>
      </c>
      <c r="N37" s="306" t="s">
        <v>1034</v>
      </c>
      <c r="O37" s="306" t="s">
        <v>1058</v>
      </c>
      <c r="P37" s="306" t="s">
        <v>1012</v>
      </c>
      <c r="Q37" s="306" t="s">
        <v>1013</v>
      </c>
      <c r="R37" s="306" t="s">
        <v>1013</v>
      </c>
      <c r="S37" s="306" t="s">
        <v>1013</v>
      </c>
      <c r="T37" s="306" t="s">
        <v>1013</v>
      </c>
      <c r="U37" s="306" t="s">
        <v>1013</v>
      </c>
      <c r="V37" s="306" t="s">
        <v>1013</v>
      </c>
      <c r="W37" s="306" t="s">
        <v>1013</v>
      </c>
      <c r="X37" s="306" t="s">
        <v>1013</v>
      </c>
      <c r="Y37" s="306" t="s">
        <v>1036</v>
      </c>
      <c r="Z37" s="306" t="s">
        <v>1015</v>
      </c>
      <c r="AA37" s="306" t="s">
        <v>1013</v>
      </c>
    </row>
    <row r="38" spans="1:27">
      <c r="A38" s="306" t="s">
        <v>494</v>
      </c>
      <c r="B38" s="306" t="s">
        <v>1003</v>
      </c>
      <c r="C38" s="306" t="s">
        <v>1004</v>
      </c>
      <c r="D38" s="306" t="s">
        <v>2435</v>
      </c>
      <c r="E38" s="306" t="s">
        <v>1059</v>
      </c>
      <c r="F38" s="306" t="s">
        <v>1007</v>
      </c>
      <c r="G38" s="308">
        <v>46013</v>
      </c>
      <c r="H38" s="308">
        <v>46013</v>
      </c>
      <c r="I38" s="309">
        <v>-7952.91</v>
      </c>
      <c r="J38" s="306" t="s">
        <v>1008</v>
      </c>
      <c r="K38" s="309">
        <v>-7952.91</v>
      </c>
      <c r="L38" s="306" t="s">
        <v>1008</v>
      </c>
      <c r="M38" s="306" t="s">
        <v>1042</v>
      </c>
      <c r="N38" s="306" t="s">
        <v>1043</v>
      </c>
      <c r="O38" s="306" t="s">
        <v>1060</v>
      </c>
      <c r="P38" s="306" t="s">
        <v>1012</v>
      </c>
      <c r="Q38" s="306" t="s">
        <v>1013</v>
      </c>
      <c r="R38" s="306" t="s">
        <v>1013</v>
      </c>
      <c r="S38" s="306" t="s">
        <v>1013</v>
      </c>
      <c r="T38" s="306" t="s">
        <v>1013</v>
      </c>
      <c r="U38" s="306" t="s">
        <v>1013</v>
      </c>
      <c r="V38" s="306" t="s">
        <v>1013</v>
      </c>
      <c r="W38" s="306" t="s">
        <v>1013</v>
      </c>
      <c r="X38" s="306" t="s">
        <v>1013</v>
      </c>
      <c r="Y38" s="306" t="s">
        <v>1036</v>
      </c>
      <c r="Z38" s="306" t="s">
        <v>1015</v>
      </c>
      <c r="AA38" s="306" t="s">
        <v>1013</v>
      </c>
    </row>
    <row r="39" spans="1:27">
      <c r="A39" s="306" t="s">
        <v>494</v>
      </c>
      <c r="B39" s="306" t="s">
        <v>1003</v>
      </c>
      <c r="C39" s="306" t="s">
        <v>1004</v>
      </c>
      <c r="D39" s="306" t="s">
        <v>2435</v>
      </c>
      <c r="E39" s="306" t="s">
        <v>1061</v>
      </c>
      <c r="F39" s="306" t="s">
        <v>1007</v>
      </c>
      <c r="G39" s="308">
        <v>46013</v>
      </c>
      <c r="H39" s="308">
        <v>46013</v>
      </c>
      <c r="I39" s="309">
        <v>-10141.15</v>
      </c>
      <c r="J39" s="306" t="s">
        <v>1008</v>
      </c>
      <c r="K39" s="309">
        <v>-10141.15</v>
      </c>
      <c r="L39" s="306" t="s">
        <v>1008</v>
      </c>
      <c r="M39" s="306" t="s">
        <v>1033</v>
      </c>
      <c r="N39" s="306" t="s">
        <v>1034</v>
      </c>
      <c r="O39" s="306" t="s">
        <v>1062</v>
      </c>
      <c r="P39" s="306" t="s">
        <v>1012</v>
      </c>
      <c r="Q39" s="306" t="s">
        <v>1013</v>
      </c>
      <c r="R39" s="306" t="s">
        <v>1013</v>
      </c>
      <c r="S39" s="306" t="s">
        <v>1013</v>
      </c>
      <c r="T39" s="306" t="s">
        <v>1013</v>
      </c>
      <c r="U39" s="306" t="s">
        <v>1013</v>
      </c>
      <c r="V39" s="306" t="s">
        <v>1013</v>
      </c>
      <c r="W39" s="306" t="s">
        <v>1013</v>
      </c>
      <c r="X39" s="306" t="s">
        <v>1013</v>
      </c>
      <c r="Y39" s="306" t="s">
        <v>1036</v>
      </c>
      <c r="Z39" s="306" t="s">
        <v>1015</v>
      </c>
      <c r="AA39" s="306" t="s">
        <v>1013</v>
      </c>
    </row>
    <row r="40" spans="1:27">
      <c r="A40" s="306" t="s">
        <v>494</v>
      </c>
      <c r="B40" s="306" t="s">
        <v>1003</v>
      </c>
      <c r="C40" s="306" t="s">
        <v>1004</v>
      </c>
      <c r="D40" s="306" t="s">
        <v>2435</v>
      </c>
      <c r="E40" s="306" t="s">
        <v>1063</v>
      </c>
      <c r="F40" s="306" t="s">
        <v>1007</v>
      </c>
      <c r="G40" s="308">
        <v>46013</v>
      </c>
      <c r="H40" s="308">
        <v>46013</v>
      </c>
      <c r="I40" s="309">
        <v>-3727.98</v>
      </c>
      <c r="J40" s="306" t="s">
        <v>1008</v>
      </c>
      <c r="K40" s="309">
        <v>-3727.98</v>
      </c>
      <c r="L40" s="306" t="s">
        <v>1008</v>
      </c>
      <c r="M40" s="306" t="s">
        <v>1046</v>
      </c>
      <c r="N40" s="306" t="s">
        <v>1047</v>
      </c>
      <c r="O40" s="306" t="s">
        <v>1064</v>
      </c>
      <c r="P40" s="306" t="s">
        <v>1012</v>
      </c>
      <c r="Q40" s="306" t="s">
        <v>1013</v>
      </c>
      <c r="R40" s="306" t="s">
        <v>1013</v>
      </c>
      <c r="S40" s="306" t="s">
        <v>1013</v>
      </c>
      <c r="T40" s="306" t="s">
        <v>1013</v>
      </c>
      <c r="U40" s="306" t="s">
        <v>1013</v>
      </c>
      <c r="V40" s="306" t="s">
        <v>1013</v>
      </c>
      <c r="W40" s="306" t="s">
        <v>1013</v>
      </c>
      <c r="X40" s="306" t="s">
        <v>1013</v>
      </c>
      <c r="Y40" s="306" t="s">
        <v>1036</v>
      </c>
      <c r="Z40" s="306" t="s">
        <v>1015</v>
      </c>
      <c r="AA40" s="306" t="s">
        <v>1013</v>
      </c>
    </row>
    <row r="41" spans="1:27">
      <c r="A41" s="306" t="s">
        <v>494</v>
      </c>
      <c r="B41" s="306" t="s">
        <v>1003</v>
      </c>
      <c r="C41" s="306" t="s">
        <v>1004</v>
      </c>
      <c r="D41" s="306" t="s">
        <v>2435</v>
      </c>
      <c r="E41" s="306" t="s">
        <v>1065</v>
      </c>
      <c r="F41" s="306" t="s">
        <v>1007</v>
      </c>
      <c r="G41" s="308">
        <v>46013</v>
      </c>
      <c r="H41" s="308">
        <v>46013</v>
      </c>
      <c r="I41" s="309">
        <v>-2791.32</v>
      </c>
      <c r="J41" s="306" t="s">
        <v>1008</v>
      </c>
      <c r="K41" s="309">
        <v>-2791.32</v>
      </c>
      <c r="L41" s="306" t="s">
        <v>1008</v>
      </c>
      <c r="M41" s="306" t="s">
        <v>1067</v>
      </c>
      <c r="N41" s="306" t="s">
        <v>1067</v>
      </c>
      <c r="O41" s="306" t="s">
        <v>1068</v>
      </c>
      <c r="P41" s="306" t="s">
        <v>1069</v>
      </c>
      <c r="Q41" s="306" t="s">
        <v>1013</v>
      </c>
      <c r="R41" s="306" t="s">
        <v>1013</v>
      </c>
      <c r="S41" s="306" t="s">
        <v>1013</v>
      </c>
      <c r="T41" s="306" t="s">
        <v>1013</v>
      </c>
      <c r="U41" s="306" t="s">
        <v>1013</v>
      </c>
      <c r="V41" s="306" t="s">
        <v>1013</v>
      </c>
      <c r="W41" s="306" t="s">
        <v>1013</v>
      </c>
      <c r="X41" s="306" t="s">
        <v>1013</v>
      </c>
      <c r="Y41" s="306" t="s">
        <v>1070</v>
      </c>
      <c r="Z41" s="306" t="s">
        <v>1071</v>
      </c>
      <c r="AA41" s="306" t="s">
        <v>1013</v>
      </c>
    </row>
    <row r="42" spans="1:27">
      <c r="A42" s="306" t="s">
        <v>494</v>
      </c>
      <c r="B42" s="306" t="s">
        <v>1003</v>
      </c>
      <c r="C42" s="306" t="s">
        <v>1004</v>
      </c>
      <c r="D42" s="306" t="s">
        <v>2435</v>
      </c>
      <c r="E42" s="306" t="s">
        <v>1072</v>
      </c>
      <c r="F42" s="306" t="s">
        <v>1007</v>
      </c>
      <c r="G42" s="308">
        <v>46013</v>
      </c>
      <c r="H42" s="308">
        <v>46013</v>
      </c>
      <c r="I42" s="309">
        <v>-9490.57</v>
      </c>
      <c r="J42" s="306" t="s">
        <v>1008</v>
      </c>
      <c r="K42" s="309">
        <v>-9490.57</v>
      </c>
      <c r="L42" s="306" t="s">
        <v>1008</v>
      </c>
      <c r="M42" s="306" t="s">
        <v>1067</v>
      </c>
      <c r="N42" s="306" t="s">
        <v>1067</v>
      </c>
      <c r="O42" s="306" t="s">
        <v>1073</v>
      </c>
      <c r="P42" s="306" t="s">
        <v>1069</v>
      </c>
      <c r="Q42" s="306" t="s">
        <v>1013</v>
      </c>
      <c r="R42" s="306" t="s">
        <v>1013</v>
      </c>
      <c r="S42" s="306" t="s">
        <v>1013</v>
      </c>
      <c r="T42" s="306" t="s">
        <v>1013</v>
      </c>
      <c r="U42" s="306" t="s">
        <v>1013</v>
      </c>
      <c r="V42" s="306" t="s">
        <v>1013</v>
      </c>
      <c r="W42" s="306" t="s">
        <v>1013</v>
      </c>
      <c r="X42" s="306" t="s">
        <v>1013</v>
      </c>
      <c r="Y42" s="306" t="s">
        <v>1070</v>
      </c>
      <c r="Z42" s="306" t="s">
        <v>1071</v>
      </c>
      <c r="AA42" s="306" t="s">
        <v>1013</v>
      </c>
    </row>
    <row r="43" spans="1:27">
      <c r="A43" s="306" t="s">
        <v>494</v>
      </c>
      <c r="B43" s="306" t="s">
        <v>1003</v>
      </c>
      <c r="C43" s="306" t="s">
        <v>1004</v>
      </c>
      <c r="D43" s="306" t="s">
        <v>2435</v>
      </c>
      <c r="E43" s="306" t="s">
        <v>1074</v>
      </c>
      <c r="F43" s="306" t="s">
        <v>1007</v>
      </c>
      <c r="G43" s="308">
        <v>46013</v>
      </c>
      <c r="H43" s="308">
        <v>46013</v>
      </c>
      <c r="I43" s="309">
        <v>-5064.6499999999996</v>
      </c>
      <c r="J43" s="306" t="s">
        <v>1008</v>
      </c>
      <c r="K43" s="309">
        <v>-5064.6499999999996</v>
      </c>
      <c r="L43" s="306" t="s">
        <v>1008</v>
      </c>
      <c r="M43" s="306" t="s">
        <v>1067</v>
      </c>
      <c r="N43" s="306" t="s">
        <v>1067</v>
      </c>
      <c r="O43" s="306" t="s">
        <v>1075</v>
      </c>
      <c r="P43" s="306" t="s">
        <v>1069</v>
      </c>
      <c r="Q43" s="306" t="s">
        <v>1013</v>
      </c>
      <c r="R43" s="306" t="s">
        <v>1013</v>
      </c>
      <c r="S43" s="306" t="s">
        <v>1013</v>
      </c>
      <c r="T43" s="306" t="s">
        <v>1013</v>
      </c>
      <c r="U43" s="306" t="s">
        <v>1013</v>
      </c>
      <c r="V43" s="306" t="s">
        <v>1013</v>
      </c>
      <c r="W43" s="306" t="s">
        <v>1013</v>
      </c>
      <c r="X43" s="306" t="s">
        <v>1013</v>
      </c>
      <c r="Y43" s="306" t="s">
        <v>1070</v>
      </c>
      <c r="Z43" s="306" t="s">
        <v>1071</v>
      </c>
      <c r="AA43" s="306" t="s">
        <v>1013</v>
      </c>
    </row>
    <row r="44" spans="1:27">
      <c r="A44" s="306" t="s">
        <v>494</v>
      </c>
      <c r="B44" s="306" t="s">
        <v>1003</v>
      </c>
      <c r="C44" s="306" t="s">
        <v>1004</v>
      </c>
      <c r="D44" s="306" t="s">
        <v>2435</v>
      </c>
      <c r="E44" s="306" t="s">
        <v>1076</v>
      </c>
      <c r="F44" s="306" t="s">
        <v>1007</v>
      </c>
      <c r="G44" s="308">
        <v>46013</v>
      </c>
      <c r="H44" s="308">
        <v>46013</v>
      </c>
      <c r="I44" s="309">
        <v>-19811.32</v>
      </c>
      <c r="J44" s="306" t="s">
        <v>1008</v>
      </c>
      <c r="K44" s="309">
        <v>-19811.32</v>
      </c>
      <c r="L44" s="306" t="s">
        <v>1008</v>
      </c>
      <c r="M44" s="306" t="s">
        <v>1067</v>
      </c>
      <c r="N44" s="306" t="s">
        <v>1067</v>
      </c>
      <c r="O44" s="306" t="s">
        <v>1077</v>
      </c>
      <c r="P44" s="306" t="s">
        <v>1069</v>
      </c>
      <c r="Q44" s="306" t="s">
        <v>1013</v>
      </c>
      <c r="R44" s="306" t="s">
        <v>1013</v>
      </c>
      <c r="S44" s="306" t="s">
        <v>1013</v>
      </c>
      <c r="T44" s="306" t="s">
        <v>1013</v>
      </c>
      <c r="U44" s="306" t="s">
        <v>1013</v>
      </c>
      <c r="V44" s="306" t="s">
        <v>1013</v>
      </c>
      <c r="W44" s="306" t="s">
        <v>1013</v>
      </c>
      <c r="X44" s="306" t="s">
        <v>1013</v>
      </c>
      <c r="Y44" s="306" t="s">
        <v>1070</v>
      </c>
      <c r="Z44" s="306" t="s">
        <v>1071</v>
      </c>
      <c r="AA44" s="306" t="s">
        <v>1013</v>
      </c>
    </row>
    <row r="45" spans="1:27">
      <c r="A45" s="306" t="s">
        <v>494</v>
      </c>
      <c r="B45" s="306" t="s">
        <v>1003</v>
      </c>
      <c r="C45" s="306" t="s">
        <v>1004</v>
      </c>
      <c r="D45" s="306" t="s">
        <v>2435</v>
      </c>
      <c r="E45" s="306" t="s">
        <v>1078</v>
      </c>
      <c r="F45" s="306" t="s">
        <v>1007</v>
      </c>
      <c r="G45" s="308">
        <v>46013</v>
      </c>
      <c r="H45" s="308">
        <v>46013</v>
      </c>
      <c r="I45" s="309">
        <v>-791090.12</v>
      </c>
      <c r="J45" s="306" t="s">
        <v>1008</v>
      </c>
      <c r="K45" s="309">
        <v>-791090.12</v>
      </c>
      <c r="L45" s="306" t="s">
        <v>1008</v>
      </c>
      <c r="M45" s="306" t="s">
        <v>1034</v>
      </c>
      <c r="N45" s="306" t="s">
        <v>1034</v>
      </c>
      <c r="O45" s="306" t="s">
        <v>1035</v>
      </c>
      <c r="P45" s="306" t="s">
        <v>1026</v>
      </c>
      <c r="Q45" s="306" t="s">
        <v>1013</v>
      </c>
      <c r="R45" s="306" t="s">
        <v>1013</v>
      </c>
      <c r="S45" s="306" t="s">
        <v>1013</v>
      </c>
      <c r="T45" s="306" t="s">
        <v>1013</v>
      </c>
      <c r="U45" s="306" t="s">
        <v>1013</v>
      </c>
      <c r="V45" s="306" t="s">
        <v>1013</v>
      </c>
      <c r="W45" s="306" t="s">
        <v>1013</v>
      </c>
      <c r="X45" s="306" t="s">
        <v>1013</v>
      </c>
      <c r="Y45" s="306" t="s">
        <v>1036</v>
      </c>
      <c r="Z45" s="306" t="s">
        <v>1015</v>
      </c>
      <c r="AA45" s="306" t="s">
        <v>1013</v>
      </c>
    </row>
    <row r="46" spans="1:27">
      <c r="A46" s="306" t="s">
        <v>494</v>
      </c>
      <c r="B46" s="306" t="s">
        <v>1003</v>
      </c>
      <c r="C46" s="306" t="s">
        <v>1004</v>
      </c>
      <c r="D46" s="306" t="s">
        <v>2435</v>
      </c>
      <c r="E46" s="306" t="s">
        <v>1079</v>
      </c>
      <c r="F46" s="306" t="s">
        <v>1007</v>
      </c>
      <c r="G46" s="308">
        <v>46013</v>
      </c>
      <c r="H46" s="308">
        <v>46013</v>
      </c>
      <c r="I46" s="309">
        <v>-203958</v>
      </c>
      <c r="J46" s="306" t="s">
        <v>1008</v>
      </c>
      <c r="K46" s="309">
        <v>-203958</v>
      </c>
      <c r="L46" s="306" t="s">
        <v>1008</v>
      </c>
      <c r="M46" s="306" t="s">
        <v>1034</v>
      </c>
      <c r="N46" s="306" t="s">
        <v>1034</v>
      </c>
      <c r="O46" s="306" t="s">
        <v>1038</v>
      </c>
      <c r="P46" s="306" t="s">
        <v>1026</v>
      </c>
      <c r="Q46" s="306" t="s">
        <v>1013</v>
      </c>
      <c r="R46" s="306" t="s">
        <v>1013</v>
      </c>
      <c r="S46" s="306" t="s">
        <v>1013</v>
      </c>
      <c r="T46" s="306" t="s">
        <v>1013</v>
      </c>
      <c r="U46" s="306" t="s">
        <v>1013</v>
      </c>
      <c r="V46" s="306" t="s">
        <v>1013</v>
      </c>
      <c r="W46" s="306" t="s">
        <v>1013</v>
      </c>
      <c r="X46" s="306" t="s">
        <v>1013</v>
      </c>
      <c r="Y46" s="306" t="s">
        <v>1036</v>
      </c>
      <c r="Z46" s="306" t="s">
        <v>1015</v>
      </c>
      <c r="AA46" s="306" t="s">
        <v>1013</v>
      </c>
    </row>
    <row r="47" spans="1:27">
      <c r="A47" s="306" t="s">
        <v>494</v>
      </c>
      <c r="B47" s="306" t="s">
        <v>1003</v>
      </c>
      <c r="C47" s="306" t="s">
        <v>1004</v>
      </c>
      <c r="D47" s="306" t="s">
        <v>2435</v>
      </c>
      <c r="E47" s="306" t="s">
        <v>1080</v>
      </c>
      <c r="F47" s="306" t="s">
        <v>1007</v>
      </c>
      <c r="G47" s="308">
        <v>46013</v>
      </c>
      <c r="H47" s="308">
        <v>46013</v>
      </c>
      <c r="I47" s="309">
        <v>-113798.94</v>
      </c>
      <c r="J47" s="306" t="s">
        <v>1008</v>
      </c>
      <c r="K47" s="309">
        <v>-113798.94</v>
      </c>
      <c r="L47" s="306" t="s">
        <v>1008</v>
      </c>
      <c r="M47" s="306" t="s">
        <v>1034</v>
      </c>
      <c r="N47" s="306" t="s">
        <v>1034</v>
      </c>
      <c r="O47" s="306" t="s">
        <v>1040</v>
      </c>
      <c r="P47" s="306" t="s">
        <v>1026</v>
      </c>
      <c r="Q47" s="306" t="s">
        <v>1013</v>
      </c>
      <c r="R47" s="306" t="s">
        <v>1013</v>
      </c>
      <c r="S47" s="306" t="s">
        <v>1013</v>
      </c>
      <c r="T47" s="306" t="s">
        <v>1013</v>
      </c>
      <c r="U47" s="306" t="s">
        <v>1013</v>
      </c>
      <c r="V47" s="306" t="s">
        <v>1013</v>
      </c>
      <c r="W47" s="306" t="s">
        <v>1013</v>
      </c>
      <c r="X47" s="306" t="s">
        <v>1013</v>
      </c>
      <c r="Y47" s="306" t="s">
        <v>1036</v>
      </c>
      <c r="Z47" s="306" t="s">
        <v>1015</v>
      </c>
      <c r="AA47" s="306" t="s">
        <v>1013</v>
      </c>
    </row>
    <row r="48" spans="1:27">
      <c r="A48" s="306" t="s">
        <v>494</v>
      </c>
      <c r="B48" s="306" t="s">
        <v>1003</v>
      </c>
      <c r="C48" s="306" t="s">
        <v>1004</v>
      </c>
      <c r="D48" s="306" t="s">
        <v>2435</v>
      </c>
      <c r="E48" s="306" t="s">
        <v>1081</v>
      </c>
      <c r="F48" s="306" t="s">
        <v>1007</v>
      </c>
      <c r="G48" s="308">
        <v>46013</v>
      </c>
      <c r="H48" s="308">
        <v>46013</v>
      </c>
      <c r="I48" s="309">
        <v>-12981.13</v>
      </c>
      <c r="J48" s="306" t="s">
        <v>1008</v>
      </c>
      <c r="K48" s="309">
        <v>-12981.13</v>
      </c>
      <c r="L48" s="306" t="s">
        <v>1008</v>
      </c>
      <c r="M48" s="306" t="s">
        <v>1043</v>
      </c>
      <c r="N48" s="306" t="s">
        <v>1043</v>
      </c>
      <c r="O48" s="306" t="s">
        <v>1044</v>
      </c>
      <c r="P48" s="306" t="s">
        <v>1026</v>
      </c>
      <c r="Q48" s="306" t="s">
        <v>1013</v>
      </c>
      <c r="R48" s="306" t="s">
        <v>1013</v>
      </c>
      <c r="S48" s="306" t="s">
        <v>1013</v>
      </c>
      <c r="T48" s="306" t="s">
        <v>1013</v>
      </c>
      <c r="U48" s="306" t="s">
        <v>1013</v>
      </c>
      <c r="V48" s="306" t="s">
        <v>1013</v>
      </c>
      <c r="W48" s="306" t="s">
        <v>1013</v>
      </c>
      <c r="X48" s="306" t="s">
        <v>1013</v>
      </c>
      <c r="Y48" s="306" t="s">
        <v>1036</v>
      </c>
      <c r="Z48" s="306" t="s">
        <v>1015</v>
      </c>
      <c r="AA48" s="306" t="s">
        <v>1013</v>
      </c>
    </row>
    <row r="49" spans="1:27">
      <c r="A49" s="306" t="s">
        <v>494</v>
      </c>
      <c r="B49" s="306" t="s">
        <v>1003</v>
      </c>
      <c r="C49" s="306" t="s">
        <v>1004</v>
      </c>
      <c r="D49" s="306" t="s">
        <v>2435</v>
      </c>
      <c r="E49" s="306" t="s">
        <v>1082</v>
      </c>
      <c r="F49" s="306" t="s">
        <v>1007</v>
      </c>
      <c r="G49" s="308">
        <v>46013</v>
      </c>
      <c r="H49" s="308">
        <v>46013</v>
      </c>
      <c r="I49" s="309">
        <v>-290250.01</v>
      </c>
      <c r="J49" s="306" t="s">
        <v>1008</v>
      </c>
      <c r="K49" s="309">
        <v>-290250.01</v>
      </c>
      <c r="L49" s="306" t="s">
        <v>1008</v>
      </c>
      <c r="M49" s="306" t="s">
        <v>1047</v>
      </c>
      <c r="N49" s="306" t="s">
        <v>1047</v>
      </c>
      <c r="O49" s="306" t="s">
        <v>1048</v>
      </c>
      <c r="P49" s="306" t="s">
        <v>1026</v>
      </c>
      <c r="Q49" s="306" t="s">
        <v>1013</v>
      </c>
      <c r="R49" s="306" t="s">
        <v>1013</v>
      </c>
      <c r="S49" s="306" t="s">
        <v>1013</v>
      </c>
      <c r="T49" s="306" t="s">
        <v>1013</v>
      </c>
      <c r="U49" s="306" t="s">
        <v>1013</v>
      </c>
      <c r="V49" s="306" t="s">
        <v>1013</v>
      </c>
      <c r="W49" s="306" t="s">
        <v>1013</v>
      </c>
      <c r="X49" s="306" t="s">
        <v>1013</v>
      </c>
      <c r="Y49" s="306" t="s">
        <v>1036</v>
      </c>
      <c r="Z49" s="306" t="s">
        <v>1015</v>
      </c>
      <c r="AA49" s="306" t="s">
        <v>1013</v>
      </c>
    </row>
    <row r="50" spans="1:27">
      <c r="A50" s="306" t="s">
        <v>494</v>
      </c>
      <c r="B50" s="306" t="s">
        <v>1003</v>
      </c>
      <c r="C50" s="306" t="s">
        <v>1004</v>
      </c>
      <c r="D50" s="306" t="s">
        <v>2435</v>
      </c>
      <c r="E50" s="306" t="s">
        <v>1083</v>
      </c>
      <c r="F50" s="306" t="s">
        <v>1007</v>
      </c>
      <c r="G50" s="308">
        <v>46013</v>
      </c>
      <c r="H50" s="308">
        <v>46013</v>
      </c>
      <c r="I50" s="309">
        <v>-195415.84</v>
      </c>
      <c r="J50" s="306" t="s">
        <v>1008</v>
      </c>
      <c r="K50" s="309">
        <v>-195415.84</v>
      </c>
      <c r="L50" s="306" t="s">
        <v>1008</v>
      </c>
      <c r="M50" s="306" t="s">
        <v>1047</v>
      </c>
      <c r="N50" s="306" t="s">
        <v>1047</v>
      </c>
      <c r="O50" s="306" t="s">
        <v>1050</v>
      </c>
      <c r="P50" s="306" t="s">
        <v>1026</v>
      </c>
      <c r="Q50" s="306" t="s">
        <v>1013</v>
      </c>
      <c r="R50" s="306" t="s">
        <v>1013</v>
      </c>
      <c r="S50" s="306" t="s">
        <v>1013</v>
      </c>
      <c r="T50" s="306" t="s">
        <v>1013</v>
      </c>
      <c r="U50" s="306" t="s">
        <v>1013</v>
      </c>
      <c r="V50" s="306" t="s">
        <v>1013</v>
      </c>
      <c r="W50" s="306" t="s">
        <v>1013</v>
      </c>
      <c r="X50" s="306" t="s">
        <v>1013</v>
      </c>
      <c r="Y50" s="306" t="s">
        <v>1036</v>
      </c>
      <c r="Z50" s="306" t="s">
        <v>1015</v>
      </c>
      <c r="AA50" s="306" t="s">
        <v>1013</v>
      </c>
    </row>
    <row r="51" spans="1:27">
      <c r="A51" s="306" t="s">
        <v>494</v>
      </c>
      <c r="B51" s="306" t="s">
        <v>1003</v>
      </c>
      <c r="C51" s="306" t="s">
        <v>1004</v>
      </c>
      <c r="D51" s="306" t="s">
        <v>2435</v>
      </c>
      <c r="E51" s="306" t="s">
        <v>1084</v>
      </c>
      <c r="F51" s="306" t="s">
        <v>1007</v>
      </c>
      <c r="G51" s="308">
        <v>46013</v>
      </c>
      <c r="H51" s="308">
        <v>46013</v>
      </c>
      <c r="I51" s="309">
        <v>-7100.92</v>
      </c>
      <c r="J51" s="306" t="s">
        <v>1008</v>
      </c>
      <c r="K51" s="309">
        <v>-7100.92</v>
      </c>
      <c r="L51" s="306" t="s">
        <v>1008</v>
      </c>
      <c r="M51" s="306" t="s">
        <v>1047</v>
      </c>
      <c r="N51" s="306" t="s">
        <v>1047</v>
      </c>
      <c r="O51" s="306" t="s">
        <v>1052</v>
      </c>
      <c r="P51" s="306" t="s">
        <v>1026</v>
      </c>
      <c r="Q51" s="306" t="s">
        <v>1013</v>
      </c>
      <c r="R51" s="306" t="s">
        <v>1013</v>
      </c>
      <c r="S51" s="306" t="s">
        <v>1013</v>
      </c>
      <c r="T51" s="306" t="s">
        <v>1013</v>
      </c>
      <c r="U51" s="306" t="s">
        <v>1013</v>
      </c>
      <c r="V51" s="306" t="s">
        <v>1013</v>
      </c>
      <c r="W51" s="306" t="s">
        <v>1013</v>
      </c>
      <c r="X51" s="306" t="s">
        <v>1013</v>
      </c>
      <c r="Y51" s="306" t="s">
        <v>1036</v>
      </c>
      <c r="Z51" s="306" t="s">
        <v>1015</v>
      </c>
      <c r="AA51" s="306" t="s">
        <v>1013</v>
      </c>
    </row>
    <row r="52" spans="1:27">
      <c r="A52" s="306" t="s">
        <v>494</v>
      </c>
      <c r="B52" s="306" t="s">
        <v>1003</v>
      </c>
      <c r="C52" s="306" t="s">
        <v>1004</v>
      </c>
      <c r="D52" s="306" t="s">
        <v>2435</v>
      </c>
      <c r="E52" s="306" t="s">
        <v>1085</v>
      </c>
      <c r="F52" s="306" t="s">
        <v>1007</v>
      </c>
      <c r="G52" s="308">
        <v>46013</v>
      </c>
      <c r="H52" s="308">
        <v>46013</v>
      </c>
      <c r="I52" s="309">
        <v>-16984.36</v>
      </c>
      <c r="J52" s="306" t="s">
        <v>1008</v>
      </c>
      <c r="K52" s="309">
        <v>-16984.36</v>
      </c>
      <c r="L52" s="306" t="s">
        <v>1008</v>
      </c>
      <c r="M52" s="306" t="s">
        <v>1034</v>
      </c>
      <c r="N52" s="306" t="s">
        <v>1034</v>
      </c>
      <c r="O52" s="306" t="s">
        <v>1054</v>
      </c>
      <c r="P52" s="306" t="s">
        <v>1026</v>
      </c>
      <c r="Q52" s="306" t="s">
        <v>1013</v>
      </c>
      <c r="R52" s="306" t="s">
        <v>1013</v>
      </c>
      <c r="S52" s="306" t="s">
        <v>1013</v>
      </c>
      <c r="T52" s="306" t="s">
        <v>1013</v>
      </c>
      <c r="U52" s="306" t="s">
        <v>1013</v>
      </c>
      <c r="V52" s="306" t="s">
        <v>1013</v>
      </c>
      <c r="W52" s="306" t="s">
        <v>1013</v>
      </c>
      <c r="X52" s="306" t="s">
        <v>1013</v>
      </c>
      <c r="Y52" s="306" t="s">
        <v>1036</v>
      </c>
      <c r="Z52" s="306" t="s">
        <v>1015</v>
      </c>
      <c r="AA52" s="306" t="s">
        <v>1013</v>
      </c>
    </row>
    <row r="53" spans="1:27">
      <c r="A53" s="306" t="s">
        <v>494</v>
      </c>
      <c r="B53" s="306" t="s">
        <v>1003</v>
      </c>
      <c r="C53" s="306" t="s">
        <v>1004</v>
      </c>
      <c r="D53" s="306" t="s">
        <v>2435</v>
      </c>
      <c r="E53" s="306" t="s">
        <v>1086</v>
      </c>
      <c r="F53" s="306" t="s">
        <v>1007</v>
      </c>
      <c r="G53" s="308">
        <v>46013</v>
      </c>
      <c r="H53" s="308">
        <v>46013</v>
      </c>
      <c r="I53" s="309">
        <v>-17752.29</v>
      </c>
      <c r="J53" s="306" t="s">
        <v>1008</v>
      </c>
      <c r="K53" s="309">
        <v>-17752.29</v>
      </c>
      <c r="L53" s="306" t="s">
        <v>1008</v>
      </c>
      <c r="M53" s="306" t="s">
        <v>1047</v>
      </c>
      <c r="N53" s="306" t="s">
        <v>1047</v>
      </c>
      <c r="O53" s="306" t="s">
        <v>1056</v>
      </c>
      <c r="P53" s="306" t="s">
        <v>1026</v>
      </c>
      <c r="Q53" s="306" t="s">
        <v>1013</v>
      </c>
      <c r="R53" s="306" t="s">
        <v>1013</v>
      </c>
      <c r="S53" s="306" t="s">
        <v>1013</v>
      </c>
      <c r="T53" s="306" t="s">
        <v>1013</v>
      </c>
      <c r="U53" s="306" t="s">
        <v>1013</v>
      </c>
      <c r="V53" s="306" t="s">
        <v>1013</v>
      </c>
      <c r="W53" s="306" t="s">
        <v>1013</v>
      </c>
      <c r="X53" s="306" t="s">
        <v>1013</v>
      </c>
      <c r="Y53" s="306" t="s">
        <v>1036</v>
      </c>
      <c r="Z53" s="306" t="s">
        <v>1015</v>
      </c>
      <c r="AA53" s="306" t="s">
        <v>1013</v>
      </c>
    </row>
    <row r="54" spans="1:27">
      <c r="A54" s="306" t="s">
        <v>494</v>
      </c>
      <c r="B54" s="306" t="s">
        <v>1003</v>
      </c>
      <c r="C54" s="306" t="s">
        <v>1004</v>
      </c>
      <c r="D54" s="306" t="s">
        <v>2435</v>
      </c>
      <c r="E54" s="306" t="s">
        <v>1087</v>
      </c>
      <c r="F54" s="306" t="s">
        <v>1007</v>
      </c>
      <c r="G54" s="308">
        <v>46013</v>
      </c>
      <c r="H54" s="308">
        <v>46013</v>
      </c>
      <c r="I54" s="309">
        <v>-102235.99</v>
      </c>
      <c r="J54" s="306" t="s">
        <v>1008</v>
      </c>
      <c r="K54" s="309">
        <v>-102235.99</v>
      </c>
      <c r="L54" s="306" t="s">
        <v>1008</v>
      </c>
      <c r="M54" s="306" t="s">
        <v>1034</v>
      </c>
      <c r="N54" s="306" t="s">
        <v>1034</v>
      </c>
      <c r="O54" s="306" t="s">
        <v>1058</v>
      </c>
      <c r="P54" s="306" t="s">
        <v>1026</v>
      </c>
      <c r="Q54" s="306" t="s">
        <v>1013</v>
      </c>
      <c r="R54" s="306" t="s">
        <v>1013</v>
      </c>
      <c r="S54" s="306" t="s">
        <v>1013</v>
      </c>
      <c r="T54" s="306" t="s">
        <v>1013</v>
      </c>
      <c r="U54" s="306" t="s">
        <v>1013</v>
      </c>
      <c r="V54" s="306" t="s">
        <v>1013</v>
      </c>
      <c r="W54" s="306" t="s">
        <v>1013</v>
      </c>
      <c r="X54" s="306" t="s">
        <v>1013</v>
      </c>
      <c r="Y54" s="306" t="s">
        <v>1036</v>
      </c>
      <c r="Z54" s="306" t="s">
        <v>1015</v>
      </c>
      <c r="AA54" s="306" t="s">
        <v>1013</v>
      </c>
    </row>
    <row r="55" spans="1:27">
      <c r="A55" s="306" t="s">
        <v>494</v>
      </c>
      <c r="B55" s="306" t="s">
        <v>1003</v>
      </c>
      <c r="C55" s="306" t="s">
        <v>1004</v>
      </c>
      <c r="D55" s="306" t="s">
        <v>2435</v>
      </c>
      <c r="E55" s="306" t="s">
        <v>1088</v>
      </c>
      <c r="F55" s="306" t="s">
        <v>1007</v>
      </c>
      <c r="G55" s="308">
        <v>46013</v>
      </c>
      <c r="H55" s="308">
        <v>46013</v>
      </c>
      <c r="I55" s="309">
        <v>-7952.91</v>
      </c>
      <c r="J55" s="306" t="s">
        <v>1008</v>
      </c>
      <c r="K55" s="309">
        <v>-7952.91</v>
      </c>
      <c r="L55" s="306" t="s">
        <v>1008</v>
      </c>
      <c r="M55" s="306" t="s">
        <v>1043</v>
      </c>
      <c r="N55" s="306" t="s">
        <v>1043</v>
      </c>
      <c r="O55" s="306" t="s">
        <v>1060</v>
      </c>
      <c r="P55" s="306" t="s">
        <v>1026</v>
      </c>
      <c r="Q55" s="306" t="s">
        <v>1013</v>
      </c>
      <c r="R55" s="306" t="s">
        <v>1013</v>
      </c>
      <c r="S55" s="306" t="s">
        <v>1013</v>
      </c>
      <c r="T55" s="306" t="s">
        <v>1013</v>
      </c>
      <c r="U55" s="306" t="s">
        <v>1013</v>
      </c>
      <c r="V55" s="306" t="s">
        <v>1013</v>
      </c>
      <c r="W55" s="306" t="s">
        <v>1013</v>
      </c>
      <c r="X55" s="306" t="s">
        <v>1013</v>
      </c>
      <c r="Y55" s="306" t="s">
        <v>1036</v>
      </c>
      <c r="Z55" s="306" t="s">
        <v>1015</v>
      </c>
      <c r="AA55" s="306" t="s">
        <v>1013</v>
      </c>
    </row>
    <row r="56" spans="1:27">
      <c r="A56" s="306" t="s">
        <v>494</v>
      </c>
      <c r="B56" s="306" t="s">
        <v>1003</v>
      </c>
      <c r="C56" s="306" t="s">
        <v>1004</v>
      </c>
      <c r="D56" s="306" t="s">
        <v>2435</v>
      </c>
      <c r="E56" s="306" t="s">
        <v>1089</v>
      </c>
      <c r="F56" s="306" t="s">
        <v>1007</v>
      </c>
      <c r="G56" s="308">
        <v>46013</v>
      </c>
      <c r="H56" s="308">
        <v>46013</v>
      </c>
      <c r="I56" s="309">
        <v>-10141.15</v>
      </c>
      <c r="J56" s="306" t="s">
        <v>1008</v>
      </c>
      <c r="K56" s="309">
        <v>-10141.15</v>
      </c>
      <c r="L56" s="306" t="s">
        <v>1008</v>
      </c>
      <c r="M56" s="306" t="s">
        <v>1034</v>
      </c>
      <c r="N56" s="306" t="s">
        <v>1034</v>
      </c>
      <c r="O56" s="306" t="s">
        <v>1062</v>
      </c>
      <c r="P56" s="306" t="s">
        <v>1026</v>
      </c>
      <c r="Q56" s="306" t="s">
        <v>1013</v>
      </c>
      <c r="R56" s="306" t="s">
        <v>1013</v>
      </c>
      <c r="S56" s="306" t="s">
        <v>1013</v>
      </c>
      <c r="T56" s="306" t="s">
        <v>1013</v>
      </c>
      <c r="U56" s="306" t="s">
        <v>1013</v>
      </c>
      <c r="V56" s="306" t="s">
        <v>1013</v>
      </c>
      <c r="W56" s="306" t="s">
        <v>1013</v>
      </c>
      <c r="X56" s="306" t="s">
        <v>1013</v>
      </c>
      <c r="Y56" s="306" t="s">
        <v>1036</v>
      </c>
      <c r="Z56" s="306" t="s">
        <v>1015</v>
      </c>
      <c r="AA56" s="306" t="s">
        <v>1013</v>
      </c>
    </row>
    <row r="57" spans="1:27">
      <c r="A57" s="306" t="s">
        <v>494</v>
      </c>
      <c r="B57" s="306" t="s">
        <v>1003</v>
      </c>
      <c r="C57" s="306" t="s">
        <v>1004</v>
      </c>
      <c r="D57" s="306" t="s">
        <v>2435</v>
      </c>
      <c r="E57" s="306" t="s">
        <v>1090</v>
      </c>
      <c r="F57" s="306" t="s">
        <v>1007</v>
      </c>
      <c r="G57" s="308">
        <v>46013</v>
      </c>
      <c r="H57" s="308">
        <v>46013</v>
      </c>
      <c r="I57" s="309">
        <v>-3727.98</v>
      </c>
      <c r="J57" s="306" t="s">
        <v>1008</v>
      </c>
      <c r="K57" s="309">
        <v>-3727.98</v>
      </c>
      <c r="L57" s="306" t="s">
        <v>1008</v>
      </c>
      <c r="M57" s="306" t="s">
        <v>1047</v>
      </c>
      <c r="N57" s="306" t="s">
        <v>1047</v>
      </c>
      <c r="O57" s="306" t="s">
        <v>1064</v>
      </c>
      <c r="P57" s="306" t="s">
        <v>1026</v>
      </c>
      <c r="Q57" s="306" t="s">
        <v>1013</v>
      </c>
      <c r="R57" s="306" t="s">
        <v>1013</v>
      </c>
      <c r="S57" s="306" t="s">
        <v>1013</v>
      </c>
      <c r="T57" s="306" t="s">
        <v>1013</v>
      </c>
      <c r="U57" s="306" t="s">
        <v>1013</v>
      </c>
      <c r="V57" s="306" t="s">
        <v>1013</v>
      </c>
      <c r="W57" s="306" t="s">
        <v>1013</v>
      </c>
      <c r="X57" s="306" t="s">
        <v>1013</v>
      </c>
      <c r="Y57" s="306" t="s">
        <v>1036</v>
      </c>
      <c r="Z57" s="306" t="s">
        <v>1015</v>
      </c>
      <c r="AA57" s="306" t="s">
        <v>1013</v>
      </c>
    </row>
    <row r="58" spans="1:27">
      <c r="A58" s="306" t="s">
        <v>494</v>
      </c>
      <c r="B58" s="306" t="s">
        <v>1003</v>
      </c>
      <c r="C58" s="306" t="s">
        <v>1004</v>
      </c>
      <c r="D58" s="306" t="s">
        <v>2435</v>
      </c>
      <c r="E58" s="306" t="s">
        <v>1091</v>
      </c>
      <c r="F58" s="306" t="s">
        <v>1007</v>
      </c>
      <c r="G58" s="308">
        <v>46014</v>
      </c>
      <c r="H58" s="308">
        <v>46014</v>
      </c>
      <c r="I58" s="309">
        <v>-25048.54</v>
      </c>
      <c r="J58" s="306" t="s">
        <v>1008</v>
      </c>
      <c r="K58" s="309">
        <v>-25048.54</v>
      </c>
      <c r="L58" s="306" t="s">
        <v>1008</v>
      </c>
      <c r="M58" s="306" t="s">
        <v>1046</v>
      </c>
      <c r="N58" s="306" t="s">
        <v>1047</v>
      </c>
      <c r="O58" s="306" t="s">
        <v>1060</v>
      </c>
      <c r="P58" s="306" t="s">
        <v>1012</v>
      </c>
      <c r="Q58" s="306" t="s">
        <v>1013</v>
      </c>
      <c r="R58" s="306" t="s">
        <v>1013</v>
      </c>
      <c r="S58" s="306" t="s">
        <v>1013</v>
      </c>
      <c r="T58" s="306" t="s">
        <v>1013</v>
      </c>
      <c r="U58" s="306" t="s">
        <v>1013</v>
      </c>
      <c r="V58" s="306" t="s">
        <v>1013</v>
      </c>
      <c r="W58" s="306" t="s">
        <v>1013</v>
      </c>
      <c r="X58" s="306" t="s">
        <v>1013</v>
      </c>
      <c r="Y58" s="306" t="s">
        <v>1036</v>
      </c>
      <c r="Z58" s="306" t="s">
        <v>1015</v>
      </c>
      <c r="AA58" s="306" t="s">
        <v>1013</v>
      </c>
    </row>
    <row r="59" spans="1:27">
      <c r="A59" s="306" t="s">
        <v>494</v>
      </c>
      <c r="B59" s="306" t="s">
        <v>1003</v>
      </c>
      <c r="C59" s="306" t="s">
        <v>1004</v>
      </c>
      <c r="D59" s="306" t="s">
        <v>2435</v>
      </c>
      <c r="E59" s="306" t="s">
        <v>1092</v>
      </c>
      <c r="F59" s="306" t="s">
        <v>1007</v>
      </c>
      <c r="G59" s="308">
        <v>46014</v>
      </c>
      <c r="H59" s="308">
        <v>46014</v>
      </c>
      <c r="I59" s="309">
        <v>-21830.01</v>
      </c>
      <c r="J59" s="306" t="s">
        <v>1008</v>
      </c>
      <c r="K59" s="309">
        <v>-21830.01</v>
      </c>
      <c r="L59" s="306" t="s">
        <v>1008</v>
      </c>
      <c r="M59" s="306" t="s">
        <v>1042</v>
      </c>
      <c r="N59" s="306" t="s">
        <v>1043</v>
      </c>
      <c r="O59" s="306" t="s">
        <v>1093</v>
      </c>
      <c r="P59" s="306" t="s">
        <v>1012</v>
      </c>
      <c r="Q59" s="306" t="s">
        <v>1013</v>
      </c>
      <c r="R59" s="306" t="s">
        <v>1013</v>
      </c>
      <c r="S59" s="306" t="s">
        <v>1013</v>
      </c>
      <c r="T59" s="306" t="s">
        <v>1013</v>
      </c>
      <c r="U59" s="306" t="s">
        <v>1013</v>
      </c>
      <c r="V59" s="306" t="s">
        <v>1013</v>
      </c>
      <c r="W59" s="306" t="s">
        <v>1013</v>
      </c>
      <c r="X59" s="306" t="s">
        <v>1013</v>
      </c>
      <c r="Y59" s="306" t="s">
        <v>1036</v>
      </c>
      <c r="Z59" s="306" t="s">
        <v>1015</v>
      </c>
      <c r="AA59" s="306" t="s">
        <v>1013</v>
      </c>
    </row>
    <row r="60" spans="1:27">
      <c r="A60" s="306" t="s">
        <v>494</v>
      </c>
      <c r="B60" s="306" t="s">
        <v>1003</v>
      </c>
      <c r="C60" s="306" t="s">
        <v>1004</v>
      </c>
      <c r="D60" s="306" t="s">
        <v>2435</v>
      </c>
      <c r="E60" s="306" t="s">
        <v>1094</v>
      </c>
      <c r="F60" s="306" t="s">
        <v>1007</v>
      </c>
      <c r="G60" s="308">
        <v>46014</v>
      </c>
      <c r="H60" s="308">
        <v>46014</v>
      </c>
      <c r="I60" s="309">
        <v>-242898.74</v>
      </c>
      <c r="J60" s="306" t="s">
        <v>1008</v>
      </c>
      <c r="K60" s="309">
        <v>-242898.74</v>
      </c>
      <c r="L60" s="306" t="s">
        <v>1008</v>
      </c>
      <c r="M60" s="306" t="s">
        <v>1034</v>
      </c>
      <c r="N60" s="306" t="s">
        <v>1034</v>
      </c>
      <c r="O60" s="306" t="s">
        <v>1035</v>
      </c>
      <c r="P60" s="306" t="s">
        <v>696</v>
      </c>
      <c r="Q60" s="306" t="s">
        <v>1013</v>
      </c>
      <c r="R60" s="306" t="s">
        <v>1013</v>
      </c>
      <c r="S60" s="306" t="s">
        <v>1013</v>
      </c>
      <c r="T60" s="306" t="s">
        <v>1013</v>
      </c>
      <c r="U60" s="306" t="s">
        <v>1013</v>
      </c>
      <c r="V60" s="306" t="s">
        <v>1013</v>
      </c>
      <c r="W60" s="306" t="s">
        <v>1013</v>
      </c>
      <c r="X60" s="306" t="s">
        <v>1013</v>
      </c>
      <c r="Y60" s="306" t="s">
        <v>1036</v>
      </c>
      <c r="Z60" s="306" t="s">
        <v>1015</v>
      </c>
      <c r="AA60" s="306" t="s">
        <v>1013</v>
      </c>
    </row>
    <row r="61" spans="1:27">
      <c r="A61" s="306" t="s">
        <v>494</v>
      </c>
      <c r="B61" s="306" t="s">
        <v>1003</v>
      </c>
      <c r="C61" s="306" t="s">
        <v>1004</v>
      </c>
      <c r="D61" s="306" t="s">
        <v>2435</v>
      </c>
      <c r="E61" s="306" t="s">
        <v>1095</v>
      </c>
      <c r="F61" s="306" t="s">
        <v>1007</v>
      </c>
      <c r="G61" s="308">
        <v>46014</v>
      </c>
      <c r="H61" s="308">
        <v>46014</v>
      </c>
      <c r="I61" s="309">
        <v>-90922.11</v>
      </c>
      <c r="J61" s="306" t="s">
        <v>1008</v>
      </c>
      <c r="K61" s="309">
        <v>-90922.11</v>
      </c>
      <c r="L61" s="306" t="s">
        <v>1008</v>
      </c>
      <c r="M61" s="306" t="s">
        <v>1034</v>
      </c>
      <c r="N61" s="306" t="s">
        <v>1034</v>
      </c>
      <c r="O61" s="306" t="s">
        <v>1038</v>
      </c>
      <c r="P61" s="306" t="s">
        <v>696</v>
      </c>
      <c r="Q61" s="306" t="s">
        <v>1013</v>
      </c>
      <c r="R61" s="306" t="s">
        <v>1013</v>
      </c>
      <c r="S61" s="306" t="s">
        <v>1013</v>
      </c>
      <c r="T61" s="306" t="s">
        <v>1013</v>
      </c>
      <c r="U61" s="306" t="s">
        <v>1013</v>
      </c>
      <c r="V61" s="306" t="s">
        <v>1013</v>
      </c>
      <c r="W61" s="306" t="s">
        <v>1013</v>
      </c>
      <c r="X61" s="306" t="s">
        <v>1013</v>
      </c>
      <c r="Y61" s="306" t="s">
        <v>1036</v>
      </c>
      <c r="Z61" s="306" t="s">
        <v>1015</v>
      </c>
      <c r="AA61" s="306" t="s">
        <v>1013</v>
      </c>
    </row>
    <row r="62" spans="1:27">
      <c r="A62" s="306" t="s">
        <v>494</v>
      </c>
      <c r="B62" s="306" t="s">
        <v>1003</v>
      </c>
      <c r="C62" s="306" t="s">
        <v>1004</v>
      </c>
      <c r="D62" s="306" t="s">
        <v>2435</v>
      </c>
      <c r="E62" s="306" t="s">
        <v>1096</v>
      </c>
      <c r="F62" s="306" t="s">
        <v>1007</v>
      </c>
      <c r="G62" s="308">
        <v>46014</v>
      </c>
      <c r="H62" s="308">
        <v>46014</v>
      </c>
      <c r="I62" s="309">
        <v>-46320.9</v>
      </c>
      <c r="J62" s="306" t="s">
        <v>1008</v>
      </c>
      <c r="K62" s="309">
        <v>-46320.9</v>
      </c>
      <c r="L62" s="306" t="s">
        <v>1008</v>
      </c>
      <c r="M62" s="306" t="s">
        <v>1034</v>
      </c>
      <c r="N62" s="306" t="s">
        <v>1034</v>
      </c>
      <c r="O62" s="306" t="s">
        <v>1040</v>
      </c>
      <c r="P62" s="306" t="s">
        <v>696</v>
      </c>
      <c r="Q62" s="306" t="s">
        <v>1013</v>
      </c>
      <c r="R62" s="306" t="s">
        <v>1013</v>
      </c>
      <c r="S62" s="306" t="s">
        <v>1013</v>
      </c>
      <c r="T62" s="306" t="s">
        <v>1013</v>
      </c>
      <c r="U62" s="306" t="s">
        <v>1013</v>
      </c>
      <c r="V62" s="306" t="s">
        <v>1013</v>
      </c>
      <c r="W62" s="306" t="s">
        <v>1013</v>
      </c>
      <c r="X62" s="306" t="s">
        <v>1013</v>
      </c>
      <c r="Y62" s="306" t="s">
        <v>1036</v>
      </c>
      <c r="Z62" s="306" t="s">
        <v>1015</v>
      </c>
      <c r="AA62" s="306" t="s">
        <v>1013</v>
      </c>
    </row>
    <row r="63" spans="1:27">
      <c r="A63" s="306" t="s">
        <v>494</v>
      </c>
      <c r="B63" s="306" t="s">
        <v>1003</v>
      </c>
      <c r="C63" s="306" t="s">
        <v>1004</v>
      </c>
      <c r="D63" s="306" t="s">
        <v>2435</v>
      </c>
      <c r="E63" s="306" t="s">
        <v>1097</v>
      </c>
      <c r="F63" s="306" t="s">
        <v>1007</v>
      </c>
      <c r="G63" s="308">
        <v>46014</v>
      </c>
      <c r="H63" s="308">
        <v>46014</v>
      </c>
      <c r="I63" s="309">
        <v>-6490.57</v>
      </c>
      <c r="J63" s="306" t="s">
        <v>1008</v>
      </c>
      <c r="K63" s="309">
        <v>-6490.57</v>
      </c>
      <c r="L63" s="306" t="s">
        <v>1008</v>
      </c>
      <c r="M63" s="306" t="s">
        <v>1043</v>
      </c>
      <c r="N63" s="306" t="s">
        <v>1043</v>
      </c>
      <c r="O63" s="306" t="s">
        <v>1044</v>
      </c>
      <c r="P63" s="306" t="s">
        <v>696</v>
      </c>
      <c r="Q63" s="306" t="s">
        <v>1013</v>
      </c>
      <c r="R63" s="306" t="s">
        <v>1013</v>
      </c>
      <c r="S63" s="306" t="s">
        <v>1013</v>
      </c>
      <c r="T63" s="306" t="s">
        <v>1013</v>
      </c>
      <c r="U63" s="306" t="s">
        <v>1013</v>
      </c>
      <c r="V63" s="306" t="s">
        <v>1013</v>
      </c>
      <c r="W63" s="306" t="s">
        <v>1013</v>
      </c>
      <c r="X63" s="306" t="s">
        <v>1013</v>
      </c>
      <c r="Y63" s="306" t="s">
        <v>1036</v>
      </c>
      <c r="Z63" s="306" t="s">
        <v>1015</v>
      </c>
      <c r="AA63" s="306" t="s">
        <v>1013</v>
      </c>
    </row>
    <row r="64" spans="1:27">
      <c r="A64" s="306" t="s">
        <v>494</v>
      </c>
      <c r="B64" s="306" t="s">
        <v>1003</v>
      </c>
      <c r="C64" s="306" t="s">
        <v>1004</v>
      </c>
      <c r="D64" s="306" t="s">
        <v>2435</v>
      </c>
      <c r="E64" s="306" t="s">
        <v>1098</v>
      </c>
      <c r="F64" s="306" t="s">
        <v>1007</v>
      </c>
      <c r="G64" s="308">
        <v>46014</v>
      </c>
      <c r="H64" s="308">
        <v>46014</v>
      </c>
      <c r="I64" s="309">
        <v>-115389.91</v>
      </c>
      <c r="J64" s="306" t="s">
        <v>1008</v>
      </c>
      <c r="K64" s="309">
        <v>-115389.91</v>
      </c>
      <c r="L64" s="306" t="s">
        <v>1008</v>
      </c>
      <c r="M64" s="306" t="s">
        <v>1047</v>
      </c>
      <c r="N64" s="306" t="s">
        <v>1047</v>
      </c>
      <c r="O64" s="306" t="s">
        <v>1099</v>
      </c>
      <c r="P64" s="306" t="s">
        <v>696</v>
      </c>
      <c r="Q64" s="306" t="s">
        <v>1013</v>
      </c>
      <c r="R64" s="306" t="s">
        <v>1013</v>
      </c>
      <c r="S64" s="306" t="s">
        <v>1013</v>
      </c>
      <c r="T64" s="306" t="s">
        <v>1013</v>
      </c>
      <c r="U64" s="306" t="s">
        <v>1013</v>
      </c>
      <c r="V64" s="306" t="s">
        <v>1013</v>
      </c>
      <c r="W64" s="306" t="s">
        <v>1013</v>
      </c>
      <c r="X64" s="306" t="s">
        <v>1013</v>
      </c>
      <c r="Y64" s="306" t="s">
        <v>1036</v>
      </c>
      <c r="Z64" s="306" t="s">
        <v>1015</v>
      </c>
      <c r="AA64" s="306" t="s">
        <v>1013</v>
      </c>
    </row>
    <row r="65" spans="1:27">
      <c r="A65" s="306" t="s">
        <v>494</v>
      </c>
      <c r="B65" s="306" t="s">
        <v>1003</v>
      </c>
      <c r="C65" s="306" t="s">
        <v>1004</v>
      </c>
      <c r="D65" s="306" t="s">
        <v>2435</v>
      </c>
      <c r="E65" s="306" t="s">
        <v>1100</v>
      </c>
      <c r="F65" s="306" t="s">
        <v>1007</v>
      </c>
      <c r="G65" s="308">
        <v>46014</v>
      </c>
      <c r="H65" s="308">
        <v>46014</v>
      </c>
      <c r="I65" s="309">
        <v>-97707.92</v>
      </c>
      <c r="J65" s="306" t="s">
        <v>1008</v>
      </c>
      <c r="K65" s="309">
        <v>-97707.92</v>
      </c>
      <c r="L65" s="306" t="s">
        <v>1008</v>
      </c>
      <c r="M65" s="306" t="s">
        <v>1047</v>
      </c>
      <c r="N65" s="306" t="s">
        <v>1047</v>
      </c>
      <c r="O65" s="306" t="s">
        <v>1050</v>
      </c>
      <c r="P65" s="306" t="s">
        <v>696</v>
      </c>
      <c r="Q65" s="306" t="s">
        <v>1013</v>
      </c>
      <c r="R65" s="306" t="s">
        <v>1013</v>
      </c>
      <c r="S65" s="306" t="s">
        <v>1013</v>
      </c>
      <c r="T65" s="306" t="s">
        <v>1013</v>
      </c>
      <c r="U65" s="306" t="s">
        <v>1013</v>
      </c>
      <c r="V65" s="306" t="s">
        <v>1013</v>
      </c>
      <c r="W65" s="306" t="s">
        <v>1013</v>
      </c>
      <c r="X65" s="306" t="s">
        <v>1013</v>
      </c>
      <c r="Y65" s="306" t="s">
        <v>1036</v>
      </c>
      <c r="Z65" s="306" t="s">
        <v>1015</v>
      </c>
      <c r="AA65" s="306" t="s">
        <v>1013</v>
      </c>
    </row>
    <row r="66" spans="1:27">
      <c r="A66" s="306" t="s">
        <v>494</v>
      </c>
      <c r="B66" s="306" t="s">
        <v>1003</v>
      </c>
      <c r="C66" s="306" t="s">
        <v>1004</v>
      </c>
      <c r="D66" s="306" t="s">
        <v>2435</v>
      </c>
      <c r="E66" s="306" t="s">
        <v>1101</v>
      </c>
      <c r="F66" s="306" t="s">
        <v>1007</v>
      </c>
      <c r="G66" s="308">
        <v>46014</v>
      </c>
      <c r="H66" s="308">
        <v>46014</v>
      </c>
      <c r="I66" s="309">
        <v>-297794.71000000002</v>
      </c>
      <c r="J66" s="306" t="s">
        <v>1008</v>
      </c>
      <c r="K66" s="309">
        <v>-297794.71000000002</v>
      </c>
      <c r="L66" s="306" t="s">
        <v>1008</v>
      </c>
      <c r="M66" s="306" t="s">
        <v>1047</v>
      </c>
      <c r="N66" s="306" t="s">
        <v>1047</v>
      </c>
      <c r="O66" s="306" t="s">
        <v>1102</v>
      </c>
      <c r="P66" s="306" t="s">
        <v>696</v>
      </c>
      <c r="Q66" s="306" t="s">
        <v>1013</v>
      </c>
      <c r="R66" s="306" t="s">
        <v>1013</v>
      </c>
      <c r="S66" s="306" t="s">
        <v>1013</v>
      </c>
      <c r="T66" s="306" t="s">
        <v>1013</v>
      </c>
      <c r="U66" s="306" t="s">
        <v>1013</v>
      </c>
      <c r="V66" s="306" t="s">
        <v>1013</v>
      </c>
      <c r="W66" s="306" t="s">
        <v>1013</v>
      </c>
      <c r="X66" s="306" t="s">
        <v>1013</v>
      </c>
      <c r="Y66" s="306" t="s">
        <v>1036</v>
      </c>
      <c r="Z66" s="306" t="s">
        <v>1015</v>
      </c>
      <c r="AA66" s="306" t="s">
        <v>1013</v>
      </c>
    </row>
    <row r="67" spans="1:27">
      <c r="A67" s="306" t="s">
        <v>494</v>
      </c>
      <c r="B67" s="306" t="s">
        <v>1003</v>
      </c>
      <c r="C67" s="306" t="s">
        <v>1004</v>
      </c>
      <c r="D67" s="306" t="s">
        <v>2435</v>
      </c>
      <c r="E67" s="306" t="s">
        <v>1103</v>
      </c>
      <c r="F67" s="306" t="s">
        <v>1007</v>
      </c>
      <c r="G67" s="308">
        <v>46014</v>
      </c>
      <c r="H67" s="308">
        <v>46014</v>
      </c>
      <c r="I67" s="309">
        <v>-8492.18</v>
      </c>
      <c r="J67" s="306" t="s">
        <v>1008</v>
      </c>
      <c r="K67" s="309">
        <v>-8492.18</v>
      </c>
      <c r="L67" s="306" t="s">
        <v>1008</v>
      </c>
      <c r="M67" s="306" t="s">
        <v>1034</v>
      </c>
      <c r="N67" s="306" t="s">
        <v>1034</v>
      </c>
      <c r="O67" s="306" t="s">
        <v>1054</v>
      </c>
      <c r="P67" s="306" t="s">
        <v>696</v>
      </c>
      <c r="Q67" s="306" t="s">
        <v>1013</v>
      </c>
      <c r="R67" s="306" t="s">
        <v>1013</v>
      </c>
      <c r="S67" s="306" t="s">
        <v>1013</v>
      </c>
      <c r="T67" s="306" t="s">
        <v>1013</v>
      </c>
      <c r="U67" s="306" t="s">
        <v>1013</v>
      </c>
      <c r="V67" s="306" t="s">
        <v>1013</v>
      </c>
      <c r="W67" s="306" t="s">
        <v>1013</v>
      </c>
      <c r="X67" s="306" t="s">
        <v>1013</v>
      </c>
      <c r="Y67" s="306" t="s">
        <v>1036</v>
      </c>
      <c r="Z67" s="306" t="s">
        <v>1015</v>
      </c>
      <c r="AA67" s="306" t="s">
        <v>1013</v>
      </c>
    </row>
    <row r="68" spans="1:27">
      <c r="A68" s="306" t="s">
        <v>494</v>
      </c>
      <c r="B68" s="306" t="s">
        <v>1003</v>
      </c>
      <c r="C68" s="306" t="s">
        <v>1004</v>
      </c>
      <c r="D68" s="306" t="s">
        <v>2435</v>
      </c>
      <c r="E68" s="306" t="s">
        <v>1104</v>
      </c>
      <c r="F68" s="306" t="s">
        <v>1007</v>
      </c>
      <c r="G68" s="308">
        <v>46014</v>
      </c>
      <c r="H68" s="308">
        <v>46014</v>
      </c>
      <c r="I68" s="309">
        <v>-51117.99</v>
      </c>
      <c r="J68" s="306" t="s">
        <v>1008</v>
      </c>
      <c r="K68" s="309">
        <v>-51117.99</v>
      </c>
      <c r="L68" s="306" t="s">
        <v>1008</v>
      </c>
      <c r="M68" s="306" t="s">
        <v>1034</v>
      </c>
      <c r="N68" s="306" t="s">
        <v>1034</v>
      </c>
      <c r="O68" s="306" t="s">
        <v>1058</v>
      </c>
      <c r="P68" s="306" t="s">
        <v>696</v>
      </c>
      <c r="Q68" s="306" t="s">
        <v>1013</v>
      </c>
      <c r="R68" s="306" t="s">
        <v>1013</v>
      </c>
      <c r="S68" s="306" t="s">
        <v>1013</v>
      </c>
      <c r="T68" s="306" t="s">
        <v>1013</v>
      </c>
      <c r="U68" s="306" t="s">
        <v>1013</v>
      </c>
      <c r="V68" s="306" t="s">
        <v>1013</v>
      </c>
      <c r="W68" s="306" t="s">
        <v>1013</v>
      </c>
      <c r="X68" s="306" t="s">
        <v>1013</v>
      </c>
      <c r="Y68" s="306" t="s">
        <v>1036</v>
      </c>
      <c r="Z68" s="306" t="s">
        <v>1015</v>
      </c>
      <c r="AA68" s="306" t="s">
        <v>1013</v>
      </c>
    </row>
    <row r="69" spans="1:27">
      <c r="A69" s="306" t="s">
        <v>494</v>
      </c>
      <c r="B69" s="306" t="s">
        <v>1003</v>
      </c>
      <c r="C69" s="306" t="s">
        <v>1004</v>
      </c>
      <c r="D69" s="306" t="s">
        <v>2435</v>
      </c>
      <c r="E69" s="306" t="s">
        <v>1105</v>
      </c>
      <c r="F69" s="306" t="s">
        <v>1007</v>
      </c>
      <c r="G69" s="308">
        <v>46014</v>
      </c>
      <c r="H69" s="308">
        <v>46014</v>
      </c>
      <c r="I69" s="309">
        <v>-5070.58</v>
      </c>
      <c r="J69" s="306" t="s">
        <v>1008</v>
      </c>
      <c r="K69" s="309">
        <v>-5070.58</v>
      </c>
      <c r="L69" s="306" t="s">
        <v>1008</v>
      </c>
      <c r="M69" s="306" t="s">
        <v>1034</v>
      </c>
      <c r="N69" s="306" t="s">
        <v>1034</v>
      </c>
      <c r="O69" s="306" t="s">
        <v>1062</v>
      </c>
      <c r="P69" s="306" t="s">
        <v>696</v>
      </c>
      <c r="Q69" s="306" t="s">
        <v>1013</v>
      </c>
      <c r="R69" s="306" t="s">
        <v>1013</v>
      </c>
      <c r="S69" s="306" t="s">
        <v>1013</v>
      </c>
      <c r="T69" s="306" t="s">
        <v>1013</v>
      </c>
      <c r="U69" s="306" t="s">
        <v>1013</v>
      </c>
      <c r="V69" s="306" t="s">
        <v>1013</v>
      </c>
      <c r="W69" s="306" t="s">
        <v>1013</v>
      </c>
      <c r="X69" s="306" t="s">
        <v>1013</v>
      </c>
      <c r="Y69" s="306" t="s">
        <v>1036</v>
      </c>
      <c r="Z69" s="306" t="s">
        <v>1015</v>
      </c>
      <c r="AA69" s="306" t="s">
        <v>1013</v>
      </c>
    </row>
    <row r="70" spans="1:27">
      <c r="A70" s="306" t="s">
        <v>494</v>
      </c>
      <c r="B70" s="306" t="s">
        <v>1003</v>
      </c>
      <c r="C70" s="306" t="s">
        <v>1004</v>
      </c>
      <c r="D70" s="306" t="s">
        <v>2435</v>
      </c>
      <c r="E70" s="306" t="s">
        <v>1106</v>
      </c>
      <c r="F70" s="306" t="s">
        <v>1007</v>
      </c>
      <c r="G70" s="308">
        <v>46014</v>
      </c>
      <c r="H70" s="308">
        <v>46014</v>
      </c>
      <c r="I70" s="309">
        <v>-17308.490000000002</v>
      </c>
      <c r="J70" s="306" t="s">
        <v>1008</v>
      </c>
      <c r="K70" s="309">
        <v>-17308.490000000002</v>
      </c>
      <c r="L70" s="306" t="s">
        <v>1008</v>
      </c>
      <c r="M70" s="306" t="s">
        <v>1047</v>
      </c>
      <c r="N70" s="306" t="s">
        <v>1047</v>
      </c>
      <c r="O70" s="306" t="s">
        <v>1107</v>
      </c>
      <c r="P70" s="306" t="s">
        <v>696</v>
      </c>
      <c r="Q70" s="306" t="s">
        <v>1013</v>
      </c>
      <c r="R70" s="306" t="s">
        <v>1013</v>
      </c>
      <c r="S70" s="306" t="s">
        <v>1013</v>
      </c>
      <c r="T70" s="306" t="s">
        <v>1013</v>
      </c>
      <c r="U70" s="306" t="s">
        <v>1013</v>
      </c>
      <c r="V70" s="306" t="s">
        <v>1013</v>
      </c>
      <c r="W70" s="306" t="s">
        <v>1013</v>
      </c>
      <c r="X70" s="306" t="s">
        <v>1013</v>
      </c>
      <c r="Y70" s="306" t="s">
        <v>1036</v>
      </c>
      <c r="Z70" s="306" t="s">
        <v>1015</v>
      </c>
      <c r="AA70" s="306" t="s">
        <v>1013</v>
      </c>
    </row>
    <row r="71" spans="1:27">
      <c r="A71" s="306" t="s">
        <v>494</v>
      </c>
      <c r="B71" s="306" t="s">
        <v>1003</v>
      </c>
      <c r="C71" s="306" t="s">
        <v>1004</v>
      </c>
      <c r="D71" s="306" t="s">
        <v>2435</v>
      </c>
      <c r="E71" s="306" t="s">
        <v>1108</v>
      </c>
      <c r="F71" s="306" t="s">
        <v>1007</v>
      </c>
      <c r="G71" s="308">
        <v>46014</v>
      </c>
      <c r="H71" s="308">
        <v>46014</v>
      </c>
      <c r="I71" s="309">
        <v>-32994.99</v>
      </c>
      <c r="J71" s="306" t="s">
        <v>1008</v>
      </c>
      <c r="K71" s="309">
        <v>-32994.99</v>
      </c>
      <c r="L71" s="306" t="s">
        <v>1008</v>
      </c>
      <c r="M71" s="306" t="s">
        <v>1043</v>
      </c>
      <c r="N71" s="306" t="s">
        <v>1043</v>
      </c>
      <c r="O71" s="306" t="s">
        <v>1093</v>
      </c>
      <c r="P71" s="306" t="s">
        <v>696</v>
      </c>
      <c r="Q71" s="306" t="s">
        <v>1013</v>
      </c>
      <c r="R71" s="306" t="s">
        <v>1013</v>
      </c>
      <c r="S71" s="306" t="s">
        <v>1013</v>
      </c>
      <c r="T71" s="306" t="s">
        <v>1013</v>
      </c>
      <c r="U71" s="306" t="s">
        <v>1013</v>
      </c>
      <c r="V71" s="306" t="s">
        <v>1013</v>
      </c>
      <c r="W71" s="306" t="s">
        <v>1013</v>
      </c>
      <c r="X71" s="306" t="s">
        <v>1013</v>
      </c>
      <c r="Y71" s="306" t="s">
        <v>1036</v>
      </c>
      <c r="Z71" s="306" t="s">
        <v>1015</v>
      </c>
      <c r="AA71" s="306" t="s">
        <v>1013</v>
      </c>
    </row>
    <row r="72" spans="1:27">
      <c r="A72" s="306" t="s">
        <v>494</v>
      </c>
      <c r="B72" s="306" t="s">
        <v>1003</v>
      </c>
      <c r="C72" s="306" t="s">
        <v>1004</v>
      </c>
      <c r="D72" s="306" t="s">
        <v>2435</v>
      </c>
      <c r="E72" s="306" t="s">
        <v>1109</v>
      </c>
      <c r="F72" s="306" t="s">
        <v>1007</v>
      </c>
      <c r="G72" s="308">
        <v>46014</v>
      </c>
      <c r="H72" s="308">
        <v>46014</v>
      </c>
      <c r="I72" s="309">
        <v>-250680.32000000001</v>
      </c>
      <c r="J72" s="306" t="s">
        <v>1008</v>
      </c>
      <c r="K72" s="309">
        <v>-250680.32000000001</v>
      </c>
      <c r="L72" s="306" t="s">
        <v>1008</v>
      </c>
      <c r="M72" s="306" t="s">
        <v>1110</v>
      </c>
      <c r="N72" s="306" t="s">
        <v>1110</v>
      </c>
      <c r="O72" s="306" t="s">
        <v>1111</v>
      </c>
      <c r="P72" s="306" t="s">
        <v>212</v>
      </c>
      <c r="Q72" s="306" t="s">
        <v>1013</v>
      </c>
      <c r="R72" s="306" t="s">
        <v>1013</v>
      </c>
      <c r="S72" s="306" t="s">
        <v>1013</v>
      </c>
      <c r="T72" s="306" t="s">
        <v>1013</v>
      </c>
      <c r="U72" s="306" t="s">
        <v>1013</v>
      </c>
      <c r="V72" s="306" t="s">
        <v>1013</v>
      </c>
      <c r="W72" s="306" t="s">
        <v>1013</v>
      </c>
      <c r="X72" s="306" t="s">
        <v>1013</v>
      </c>
      <c r="Y72" s="306" t="s">
        <v>1112</v>
      </c>
      <c r="Z72" s="306" t="s">
        <v>1015</v>
      </c>
      <c r="AA72" s="306" t="s">
        <v>1013</v>
      </c>
    </row>
    <row r="73" spans="1:27">
      <c r="A73" s="306" t="s">
        <v>494</v>
      </c>
      <c r="B73" s="306" t="s">
        <v>1003</v>
      </c>
      <c r="C73" s="306" t="s">
        <v>1004</v>
      </c>
      <c r="D73" s="306" t="s">
        <v>2435</v>
      </c>
      <c r="E73" s="306" t="s">
        <v>1113</v>
      </c>
      <c r="F73" s="306" t="s">
        <v>1007</v>
      </c>
      <c r="G73" s="308">
        <v>46014</v>
      </c>
      <c r="H73" s="308">
        <v>46014</v>
      </c>
      <c r="I73" s="309">
        <v>-846.52</v>
      </c>
      <c r="J73" s="306" t="s">
        <v>1008</v>
      </c>
      <c r="K73" s="309">
        <v>-846.52</v>
      </c>
      <c r="L73" s="306" t="s">
        <v>1008</v>
      </c>
      <c r="M73" s="306" t="s">
        <v>1114</v>
      </c>
      <c r="N73" s="306" t="s">
        <v>1114</v>
      </c>
      <c r="O73" s="306" t="s">
        <v>1115</v>
      </c>
      <c r="P73" s="306" t="s">
        <v>212</v>
      </c>
      <c r="Q73" s="306" t="s">
        <v>1013</v>
      </c>
      <c r="R73" s="306" t="s">
        <v>1013</v>
      </c>
      <c r="S73" s="306" t="s">
        <v>1013</v>
      </c>
      <c r="T73" s="306" t="s">
        <v>1013</v>
      </c>
      <c r="U73" s="306" t="s">
        <v>1013</v>
      </c>
      <c r="V73" s="306" t="s">
        <v>1013</v>
      </c>
      <c r="W73" s="306" t="s">
        <v>1013</v>
      </c>
      <c r="X73" s="306" t="s">
        <v>1013</v>
      </c>
      <c r="Y73" s="306" t="s">
        <v>1112</v>
      </c>
      <c r="Z73" s="306" t="s">
        <v>1015</v>
      </c>
      <c r="AA73" s="306" t="s">
        <v>1013</v>
      </c>
    </row>
    <row r="74" spans="1:27">
      <c r="A74" s="306" t="s">
        <v>494</v>
      </c>
      <c r="B74" s="306" t="s">
        <v>1003</v>
      </c>
      <c r="C74" s="306" t="s">
        <v>1004</v>
      </c>
      <c r="D74" s="306" t="s">
        <v>2435</v>
      </c>
      <c r="E74" s="306" t="s">
        <v>1116</v>
      </c>
      <c r="F74" s="306" t="s">
        <v>1007</v>
      </c>
      <c r="G74" s="308">
        <v>46014</v>
      </c>
      <c r="H74" s="308">
        <v>46014</v>
      </c>
      <c r="I74" s="309">
        <v>-4808.43</v>
      </c>
      <c r="J74" s="306" t="s">
        <v>1008</v>
      </c>
      <c r="K74" s="309">
        <v>-4808.43</v>
      </c>
      <c r="L74" s="306" t="s">
        <v>1008</v>
      </c>
      <c r="M74" s="306" t="s">
        <v>1114</v>
      </c>
      <c r="N74" s="306" t="s">
        <v>1114</v>
      </c>
      <c r="O74" s="306" t="s">
        <v>1117</v>
      </c>
      <c r="P74" s="306" t="s">
        <v>212</v>
      </c>
      <c r="Q74" s="306" t="s">
        <v>1013</v>
      </c>
      <c r="R74" s="306" t="s">
        <v>1013</v>
      </c>
      <c r="S74" s="306" t="s">
        <v>1013</v>
      </c>
      <c r="T74" s="306" t="s">
        <v>1013</v>
      </c>
      <c r="U74" s="306" t="s">
        <v>1013</v>
      </c>
      <c r="V74" s="306" t="s">
        <v>1013</v>
      </c>
      <c r="W74" s="306" t="s">
        <v>1013</v>
      </c>
      <c r="X74" s="306" t="s">
        <v>1013</v>
      </c>
      <c r="Y74" s="306" t="s">
        <v>1112</v>
      </c>
      <c r="Z74" s="306" t="s">
        <v>1015</v>
      </c>
      <c r="AA74" s="306" t="s">
        <v>1013</v>
      </c>
    </row>
    <row r="75" spans="1:27">
      <c r="A75" s="306" t="s">
        <v>494</v>
      </c>
      <c r="B75" s="306" t="s">
        <v>1003</v>
      </c>
      <c r="C75" s="306" t="s">
        <v>1004</v>
      </c>
      <c r="D75" s="306" t="s">
        <v>2435</v>
      </c>
      <c r="E75" s="306" t="s">
        <v>1118</v>
      </c>
      <c r="F75" s="306" t="s">
        <v>1007</v>
      </c>
      <c r="G75" s="308">
        <v>46014</v>
      </c>
      <c r="H75" s="308">
        <v>46014</v>
      </c>
      <c r="I75" s="309">
        <v>-826.39</v>
      </c>
      <c r="J75" s="306" t="s">
        <v>1008</v>
      </c>
      <c r="K75" s="309">
        <v>-826.39</v>
      </c>
      <c r="L75" s="306" t="s">
        <v>1008</v>
      </c>
      <c r="M75" s="306" t="s">
        <v>1114</v>
      </c>
      <c r="N75" s="306" t="s">
        <v>1114</v>
      </c>
      <c r="O75" s="306" t="s">
        <v>1119</v>
      </c>
      <c r="P75" s="306" t="s">
        <v>212</v>
      </c>
      <c r="Q75" s="306" t="s">
        <v>1013</v>
      </c>
      <c r="R75" s="306" t="s">
        <v>1013</v>
      </c>
      <c r="S75" s="306" t="s">
        <v>1013</v>
      </c>
      <c r="T75" s="306" t="s">
        <v>1013</v>
      </c>
      <c r="U75" s="306" t="s">
        <v>1013</v>
      </c>
      <c r="V75" s="306" t="s">
        <v>1013</v>
      </c>
      <c r="W75" s="306" t="s">
        <v>1013</v>
      </c>
      <c r="X75" s="306" t="s">
        <v>1013</v>
      </c>
      <c r="Y75" s="306" t="s">
        <v>1112</v>
      </c>
      <c r="Z75" s="306" t="s">
        <v>1015</v>
      </c>
      <c r="AA75" s="306" t="s">
        <v>1013</v>
      </c>
    </row>
    <row r="76" spans="1:27">
      <c r="A76" s="306" t="s">
        <v>494</v>
      </c>
      <c r="B76" s="306" t="s">
        <v>1003</v>
      </c>
      <c r="C76" s="306" t="s">
        <v>1004</v>
      </c>
      <c r="D76" s="306" t="s">
        <v>2435</v>
      </c>
      <c r="E76" s="306" t="s">
        <v>1120</v>
      </c>
      <c r="F76" s="306" t="s">
        <v>1007</v>
      </c>
      <c r="G76" s="308">
        <v>46014</v>
      </c>
      <c r="H76" s="308">
        <v>46014</v>
      </c>
      <c r="I76" s="309">
        <v>-4497.74</v>
      </c>
      <c r="J76" s="306" t="s">
        <v>1008</v>
      </c>
      <c r="K76" s="309">
        <v>-4497.74</v>
      </c>
      <c r="L76" s="306" t="s">
        <v>1008</v>
      </c>
      <c r="M76" s="306" t="s">
        <v>1114</v>
      </c>
      <c r="N76" s="306" t="s">
        <v>1114</v>
      </c>
      <c r="O76" s="306" t="s">
        <v>1121</v>
      </c>
      <c r="P76" s="306" t="s">
        <v>212</v>
      </c>
      <c r="Q76" s="306" t="s">
        <v>1013</v>
      </c>
      <c r="R76" s="306" t="s">
        <v>1013</v>
      </c>
      <c r="S76" s="306" t="s">
        <v>1013</v>
      </c>
      <c r="T76" s="306" t="s">
        <v>1013</v>
      </c>
      <c r="U76" s="306" t="s">
        <v>1013</v>
      </c>
      <c r="V76" s="306" t="s">
        <v>1013</v>
      </c>
      <c r="W76" s="306" t="s">
        <v>1013</v>
      </c>
      <c r="X76" s="306" t="s">
        <v>1013</v>
      </c>
      <c r="Y76" s="306" t="s">
        <v>1112</v>
      </c>
      <c r="Z76" s="306" t="s">
        <v>1015</v>
      </c>
      <c r="AA76" s="306" t="s">
        <v>1013</v>
      </c>
    </row>
    <row r="77" spans="1:27">
      <c r="A77" s="306" t="s">
        <v>494</v>
      </c>
      <c r="B77" s="306" t="s">
        <v>1003</v>
      </c>
      <c r="C77" s="306" t="s">
        <v>1004</v>
      </c>
      <c r="D77" s="306" t="s">
        <v>2435</v>
      </c>
      <c r="E77" s="306" t="s">
        <v>1122</v>
      </c>
      <c r="F77" s="306" t="s">
        <v>1007</v>
      </c>
      <c r="G77" s="308">
        <v>46014</v>
      </c>
      <c r="H77" s="308">
        <v>46014</v>
      </c>
      <c r="I77" s="309">
        <v>-2017.32</v>
      </c>
      <c r="J77" s="306" t="s">
        <v>1008</v>
      </c>
      <c r="K77" s="309">
        <v>-2017.32</v>
      </c>
      <c r="L77" s="306" t="s">
        <v>1008</v>
      </c>
      <c r="M77" s="306" t="s">
        <v>1114</v>
      </c>
      <c r="N77" s="306" t="s">
        <v>1114</v>
      </c>
      <c r="O77" s="306" t="s">
        <v>1123</v>
      </c>
      <c r="P77" s="306" t="s">
        <v>212</v>
      </c>
      <c r="Q77" s="306" t="s">
        <v>1013</v>
      </c>
      <c r="R77" s="306" t="s">
        <v>1013</v>
      </c>
      <c r="S77" s="306" t="s">
        <v>1013</v>
      </c>
      <c r="T77" s="306" t="s">
        <v>1013</v>
      </c>
      <c r="U77" s="306" t="s">
        <v>1013</v>
      </c>
      <c r="V77" s="306" t="s">
        <v>1013</v>
      </c>
      <c r="W77" s="306" t="s">
        <v>1013</v>
      </c>
      <c r="X77" s="306" t="s">
        <v>1013</v>
      </c>
      <c r="Y77" s="306" t="s">
        <v>1112</v>
      </c>
      <c r="Z77" s="306" t="s">
        <v>1015</v>
      </c>
      <c r="AA77" s="306" t="s">
        <v>1013</v>
      </c>
    </row>
    <row r="78" spans="1:27">
      <c r="A78" s="306" t="s">
        <v>494</v>
      </c>
      <c r="B78" s="306" t="s">
        <v>1003</v>
      </c>
      <c r="C78" s="306" t="s">
        <v>1004</v>
      </c>
      <c r="D78" s="306" t="s">
        <v>2435</v>
      </c>
      <c r="E78" s="306" t="s">
        <v>1124</v>
      </c>
      <c r="F78" s="306" t="s">
        <v>1007</v>
      </c>
      <c r="G78" s="308">
        <v>46014</v>
      </c>
      <c r="H78" s="308">
        <v>46014</v>
      </c>
      <c r="I78" s="309">
        <v>-668.2</v>
      </c>
      <c r="J78" s="306" t="s">
        <v>1008</v>
      </c>
      <c r="K78" s="309">
        <v>-668.2</v>
      </c>
      <c r="L78" s="306" t="s">
        <v>1008</v>
      </c>
      <c r="M78" s="306" t="s">
        <v>1114</v>
      </c>
      <c r="N78" s="306" t="s">
        <v>1114</v>
      </c>
      <c r="O78" s="306" t="s">
        <v>1125</v>
      </c>
      <c r="P78" s="306" t="s">
        <v>212</v>
      </c>
      <c r="Q78" s="306" t="s">
        <v>1013</v>
      </c>
      <c r="R78" s="306" t="s">
        <v>1013</v>
      </c>
      <c r="S78" s="306" t="s">
        <v>1013</v>
      </c>
      <c r="T78" s="306" t="s">
        <v>1013</v>
      </c>
      <c r="U78" s="306" t="s">
        <v>1013</v>
      </c>
      <c r="V78" s="306" t="s">
        <v>1013</v>
      </c>
      <c r="W78" s="306" t="s">
        <v>1013</v>
      </c>
      <c r="X78" s="306" t="s">
        <v>1013</v>
      </c>
      <c r="Y78" s="306" t="s">
        <v>1112</v>
      </c>
      <c r="Z78" s="306" t="s">
        <v>1015</v>
      </c>
      <c r="AA78" s="306" t="s">
        <v>1013</v>
      </c>
    </row>
    <row r="79" spans="1:27">
      <c r="A79" s="306" t="s">
        <v>494</v>
      </c>
      <c r="B79" s="306" t="s">
        <v>1003</v>
      </c>
      <c r="C79" s="306" t="s">
        <v>1004</v>
      </c>
      <c r="D79" s="306" t="s">
        <v>2435</v>
      </c>
      <c r="E79" s="306" t="s">
        <v>1126</v>
      </c>
      <c r="F79" s="306" t="s">
        <v>1007</v>
      </c>
      <c r="G79" s="308">
        <v>46014</v>
      </c>
      <c r="H79" s="308">
        <v>46014</v>
      </c>
      <c r="I79" s="309">
        <v>-1365.92</v>
      </c>
      <c r="J79" s="306" t="s">
        <v>1008</v>
      </c>
      <c r="K79" s="309">
        <v>-1365.92</v>
      </c>
      <c r="L79" s="306" t="s">
        <v>1008</v>
      </c>
      <c r="M79" s="306" t="s">
        <v>1114</v>
      </c>
      <c r="N79" s="306" t="s">
        <v>1114</v>
      </c>
      <c r="O79" s="306" t="s">
        <v>1127</v>
      </c>
      <c r="P79" s="306" t="s">
        <v>212</v>
      </c>
      <c r="Q79" s="306" t="s">
        <v>1013</v>
      </c>
      <c r="R79" s="306" t="s">
        <v>1013</v>
      </c>
      <c r="S79" s="306" t="s">
        <v>1013</v>
      </c>
      <c r="T79" s="306" t="s">
        <v>1013</v>
      </c>
      <c r="U79" s="306" t="s">
        <v>1013</v>
      </c>
      <c r="V79" s="306" t="s">
        <v>1013</v>
      </c>
      <c r="W79" s="306" t="s">
        <v>1013</v>
      </c>
      <c r="X79" s="306" t="s">
        <v>1013</v>
      </c>
      <c r="Y79" s="306" t="s">
        <v>1112</v>
      </c>
      <c r="Z79" s="306" t="s">
        <v>1015</v>
      </c>
      <c r="AA79" s="306" t="s">
        <v>1013</v>
      </c>
    </row>
    <row r="80" spans="1:27">
      <c r="A80" s="306" t="s">
        <v>494</v>
      </c>
      <c r="B80" s="306" t="s">
        <v>1003</v>
      </c>
      <c r="C80" s="306" t="s">
        <v>1004</v>
      </c>
      <c r="D80" s="306" t="s">
        <v>2435</v>
      </c>
      <c r="E80" s="306" t="s">
        <v>1128</v>
      </c>
      <c r="F80" s="306" t="s">
        <v>1007</v>
      </c>
      <c r="G80" s="308">
        <v>46014</v>
      </c>
      <c r="H80" s="308">
        <v>46014</v>
      </c>
      <c r="I80" s="309">
        <v>-2914.27</v>
      </c>
      <c r="J80" s="306" t="s">
        <v>1008</v>
      </c>
      <c r="K80" s="309">
        <v>-2914.27</v>
      </c>
      <c r="L80" s="306" t="s">
        <v>1008</v>
      </c>
      <c r="M80" s="306" t="s">
        <v>1114</v>
      </c>
      <c r="N80" s="306" t="s">
        <v>1114</v>
      </c>
      <c r="O80" s="306" t="s">
        <v>1129</v>
      </c>
      <c r="P80" s="306" t="s">
        <v>212</v>
      </c>
      <c r="Q80" s="306" t="s">
        <v>1013</v>
      </c>
      <c r="R80" s="306" t="s">
        <v>1013</v>
      </c>
      <c r="S80" s="306" t="s">
        <v>1013</v>
      </c>
      <c r="T80" s="306" t="s">
        <v>1013</v>
      </c>
      <c r="U80" s="306" t="s">
        <v>1013</v>
      </c>
      <c r="V80" s="306" t="s">
        <v>1013</v>
      </c>
      <c r="W80" s="306" t="s">
        <v>1013</v>
      </c>
      <c r="X80" s="306" t="s">
        <v>1013</v>
      </c>
      <c r="Y80" s="306" t="s">
        <v>1112</v>
      </c>
      <c r="Z80" s="306" t="s">
        <v>1015</v>
      </c>
      <c r="AA80" s="306" t="s">
        <v>1013</v>
      </c>
    </row>
    <row r="81" spans="1:27">
      <c r="A81" s="306" t="s">
        <v>494</v>
      </c>
      <c r="B81" s="306" t="s">
        <v>1003</v>
      </c>
      <c r="C81" s="306" t="s">
        <v>1004</v>
      </c>
      <c r="D81" s="306" t="s">
        <v>2435</v>
      </c>
      <c r="E81" s="306" t="s">
        <v>1130</v>
      </c>
      <c r="F81" s="306" t="s">
        <v>1007</v>
      </c>
      <c r="G81" s="308">
        <v>46014</v>
      </c>
      <c r="H81" s="308">
        <v>46014</v>
      </c>
      <c r="I81" s="309">
        <v>-581170.31000000006</v>
      </c>
      <c r="J81" s="306" t="s">
        <v>1008</v>
      </c>
      <c r="K81" s="309">
        <v>-581170.31000000006</v>
      </c>
      <c r="L81" s="306" t="s">
        <v>1008</v>
      </c>
      <c r="M81" s="306" t="s">
        <v>1110</v>
      </c>
      <c r="N81" s="306" t="s">
        <v>1110</v>
      </c>
      <c r="O81" s="306" t="s">
        <v>1131</v>
      </c>
      <c r="P81" s="306" t="s">
        <v>212</v>
      </c>
      <c r="Q81" s="306" t="s">
        <v>1013</v>
      </c>
      <c r="R81" s="306" t="s">
        <v>1013</v>
      </c>
      <c r="S81" s="306" t="s">
        <v>1013</v>
      </c>
      <c r="T81" s="306" t="s">
        <v>1013</v>
      </c>
      <c r="U81" s="306" t="s">
        <v>1013</v>
      </c>
      <c r="V81" s="306" t="s">
        <v>1013</v>
      </c>
      <c r="W81" s="306" t="s">
        <v>1013</v>
      </c>
      <c r="X81" s="306" t="s">
        <v>1013</v>
      </c>
      <c r="Y81" s="306" t="s">
        <v>1112</v>
      </c>
      <c r="Z81" s="306" t="s">
        <v>1015</v>
      </c>
      <c r="AA81" s="306" t="s">
        <v>1013</v>
      </c>
    </row>
    <row r="82" spans="1:27">
      <c r="A82" s="306" t="s">
        <v>494</v>
      </c>
      <c r="B82" s="306" t="s">
        <v>1003</v>
      </c>
      <c r="C82" s="306" t="s">
        <v>1004</v>
      </c>
      <c r="D82" s="306" t="s">
        <v>2435</v>
      </c>
      <c r="E82" s="306" t="s">
        <v>1132</v>
      </c>
      <c r="F82" s="306" t="s">
        <v>1007</v>
      </c>
      <c r="G82" s="308">
        <v>46014</v>
      </c>
      <c r="H82" s="308">
        <v>46014</v>
      </c>
      <c r="I82" s="309">
        <v>-889093.87</v>
      </c>
      <c r="J82" s="306" t="s">
        <v>1008</v>
      </c>
      <c r="K82" s="309">
        <v>-889093.87</v>
      </c>
      <c r="L82" s="306" t="s">
        <v>1008</v>
      </c>
      <c r="M82" s="306" t="s">
        <v>1114</v>
      </c>
      <c r="N82" s="306" t="s">
        <v>1114</v>
      </c>
      <c r="O82" s="306" t="s">
        <v>1133</v>
      </c>
      <c r="P82" s="306" t="s">
        <v>212</v>
      </c>
      <c r="Q82" s="306" t="s">
        <v>1013</v>
      </c>
      <c r="R82" s="306" t="s">
        <v>1013</v>
      </c>
      <c r="S82" s="306" t="s">
        <v>1013</v>
      </c>
      <c r="T82" s="306" t="s">
        <v>1013</v>
      </c>
      <c r="U82" s="306" t="s">
        <v>1013</v>
      </c>
      <c r="V82" s="306" t="s">
        <v>1013</v>
      </c>
      <c r="W82" s="306" t="s">
        <v>1013</v>
      </c>
      <c r="X82" s="306" t="s">
        <v>1013</v>
      </c>
      <c r="Y82" s="306" t="s">
        <v>1112</v>
      </c>
      <c r="Z82" s="306" t="s">
        <v>1015</v>
      </c>
      <c r="AA82" s="306" t="s">
        <v>1013</v>
      </c>
    </row>
    <row r="83" spans="1:27">
      <c r="A83" s="306" t="s">
        <v>494</v>
      </c>
      <c r="B83" s="306" t="s">
        <v>1003</v>
      </c>
      <c r="C83" s="306" t="s">
        <v>1004</v>
      </c>
      <c r="D83" s="306" t="s">
        <v>2435</v>
      </c>
      <c r="E83" s="306" t="s">
        <v>1134</v>
      </c>
      <c r="F83" s="306" t="s">
        <v>1007</v>
      </c>
      <c r="G83" s="308">
        <v>46014</v>
      </c>
      <c r="H83" s="308">
        <v>46014</v>
      </c>
      <c r="I83" s="309">
        <v>-104137.38</v>
      </c>
      <c r="J83" s="306" t="s">
        <v>1008</v>
      </c>
      <c r="K83" s="309">
        <v>-104137.38</v>
      </c>
      <c r="L83" s="306" t="s">
        <v>1008</v>
      </c>
      <c r="M83" s="306" t="s">
        <v>1135</v>
      </c>
      <c r="N83" s="306" t="s">
        <v>1135</v>
      </c>
      <c r="O83" s="306" t="s">
        <v>1136</v>
      </c>
      <c r="P83" s="306" t="s">
        <v>212</v>
      </c>
      <c r="Q83" s="306" t="s">
        <v>1013</v>
      </c>
      <c r="R83" s="306" t="s">
        <v>1013</v>
      </c>
      <c r="S83" s="306" t="s">
        <v>1013</v>
      </c>
      <c r="T83" s="306" t="s">
        <v>1013</v>
      </c>
      <c r="U83" s="306" t="s">
        <v>1013</v>
      </c>
      <c r="V83" s="306" t="s">
        <v>1013</v>
      </c>
      <c r="W83" s="306" t="s">
        <v>1013</v>
      </c>
      <c r="X83" s="306" t="s">
        <v>1013</v>
      </c>
      <c r="Y83" s="306" t="s">
        <v>1112</v>
      </c>
      <c r="Z83" s="306" t="s">
        <v>1015</v>
      </c>
      <c r="AA83" s="306" t="s">
        <v>1013</v>
      </c>
    </row>
    <row r="84" spans="1:27">
      <c r="A84" s="306" t="s">
        <v>494</v>
      </c>
      <c r="B84" s="306" t="s">
        <v>1003</v>
      </c>
      <c r="C84" s="306" t="s">
        <v>1004</v>
      </c>
      <c r="D84" s="306" t="s">
        <v>2435</v>
      </c>
      <c r="E84" s="306" t="s">
        <v>1137</v>
      </c>
      <c r="F84" s="306" t="s">
        <v>1007</v>
      </c>
      <c r="G84" s="308">
        <v>46014</v>
      </c>
      <c r="H84" s="308">
        <v>46014</v>
      </c>
      <c r="I84" s="309">
        <v>-49170.99</v>
      </c>
      <c r="J84" s="306" t="s">
        <v>1008</v>
      </c>
      <c r="K84" s="309">
        <v>-49170.99</v>
      </c>
      <c r="L84" s="306" t="s">
        <v>1008</v>
      </c>
      <c r="M84" s="306" t="s">
        <v>1114</v>
      </c>
      <c r="N84" s="306" t="s">
        <v>1114</v>
      </c>
      <c r="O84" s="306" t="s">
        <v>1138</v>
      </c>
      <c r="P84" s="306" t="s">
        <v>212</v>
      </c>
      <c r="Q84" s="306" t="s">
        <v>1013</v>
      </c>
      <c r="R84" s="306" t="s">
        <v>1013</v>
      </c>
      <c r="S84" s="306" t="s">
        <v>1013</v>
      </c>
      <c r="T84" s="306" t="s">
        <v>1013</v>
      </c>
      <c r="U84" s="306" t="s">
        <v>1013</v>
      </c>
      <c r="V84" s="306" t="s">
        <v>1013</v>
      </c>
      <c r="W84" s="306" t="s">
        <v>1013</v>
      </c>
      <c r="X84" s="306" t="s">
        <v>1013</v>
      </c>
      <c r="Y84" s="306" t="s">
        <v>1112</v>
      </c>
      <c r="Z84" s="306" t="s">
        <v>1015</v>
      </c>
      <c r="AA84" s="306" t="s">
        <v>1013</v>
      </c>
    </row>
    <row r="85" spans="1:27">
      <c r="A85" s="306" t="s">
        <v>494</v>
      </c>
      <c r="B85" s="306" t="s">
        <v>1003</v>
      </c>
      <c r="C85" s="306" t="s">
        <v>1004</v>
      </c>
      <c r="D85" s="306" t="s">
        <v>2435</v>
      </c>
      <c r="E85" s="306" t="s">
        <v>1139</v>
      </c>
      <c r="F85" s="306" t="s">
        <v>1007</v>
      </c>
      <c r="G85" s="308">
        <v>46014</v>
      </c>
      <c r="H85" s="308">
        <v>46014</v>
      </c>
      <c r="I85" s="309">
        <v>550961.01</v>
      </c>
      <c r="J85" s="306" t="s">
        <v>1008</v>
      </c>
      <c r="K85" s="309">
        <v>550961.01</v>
      </c>
      <c r="L85" s="306" t="s">
        <v>1008</v>
      </c>
      <c r="M85" s="306" t="s">
        <v>1110</v>
      </c>
      <c r="N85" s="306" t="s">
        <v>1110</v>
      </c>
      <c r="O85" s="306" t="s">
        <v>1140</v>
      </c>
      <c r="P85" s="306" t="s">
        <v>212</v>
      </c>
      <c r="Q85" s="306" t="s">
        <v>1013</v>
      </c>
      <c r="R85" s="306" t="s">
        <v>1013</v>
      </c>
      <c r="S85" s="306" t="s">
        <v>1013</v>
      </c>
      <c r="T85" s="306" t="s">
        <v>1013</v>
      </c>
      <c r="U85" s="306" t="s">
        <v>1013</v>
      </c>
      <c r="V85" s="306" t="s">
        <v>1013</v>
      </c>
      <c r="W85" s="306" t="s">
        <v>1013</v>
      </c>
      <c r="X85" s="306" t="s">
        <v>1013</v>
      </c>
      <c r="Y85" s="306" t="s">
        <v>1112</v>
      </c>
      <c r="Z85" s="306" t="s">
        <v>1015</v>
      </c>
      <c r="AA85" s="306" t="s">
        <v>1013</v>
      </c>
    </row>
    <row r="86" spans="1:27">
      <c r="A86" s="306" t="s">
        <v>494</v>
      </c>
      <c r="B86" s="306" t="s">
        <v>1003</v>
      </c>
      <c r="C86" s="306" t="s">
        <v>1004</v>
      </c>
      <c r="D86" s="306" t="s">
        <v>2435</v>
      </c>
      <c r="E86" s="306" t="s">
        <v>1141</v>
      </c>
      <c r="F86" s="306" t="s">
        <v>1007</v>
      </c>
      <c r="G86" s="308">
        <v>45991</v>
      </c>
      <c r="H86" s="308">
        <v>46014</v>
      </c>
      <c r="I86" s="309">
        <v>550961.01</v>
      </c>
      <c r="J86" s="306" t="s">
        <v>1008</v>
      </c>
      <c r="K86" s="309">
        <v>550961.01</v>
      </c>
      <c r="L86" s="306" t="s">
        <v>1008</v>
      </c>
      <c r="M86" s="306" t="s">
        <v>1142</v>
      </c>
      <c r="N86" s="306" t="s">
        <v>1143</v>
      </c>
      <c r="O86" s="306" t="s">
        <v>1144</v>
      </c>
      <c r="P86" s="306" t="s">
        <v>212</v>
      </c>
      <c r="Q86" s="306" t="s">
        <v>1013</v>
      </c>
      <c r="R86" s="306" t="s">
        <v>1013</v>
      </c>
      <c r="S86" s="306" t="s">
        <v>1013</v>
      </c>
      <c r="T86" s="306" t="s">
        <v>1013</v>
      </c>
      <c r="U86" s="306" t="s">
        <v>1013</v>
      </c>
      <c r="V86" s="306" t="s">
        <v>1013</v>
      </c>
      <c r="W86" s="306" t="s">
        <v>1013</v>
      </c>
      <c r="X86" s="306" t="s">
        <v>1013</v>
      </c>
      <c r="Y86" s="306" t="s">
        <v>1112</v>
      </c>
      <c r="Z86" s="306" t="s">
        <v>1015</v>
      </c>
      <c r="AA86" s="306" t="s">
        <v>1013</v>
      </c>
    </row>
    <row r="87" spans="1:27">
      <c r="A87" s="306" t="s">
        <v>494</v>
      </c>
      <c r="B87" s="306" t="s">
        <v>1003</v>
      </c>
      <c r="C87" s="306" t="s">
        <v>1004</v>
      </c>
      <c r="D87" s="306" t="s">
        <v>2435</v>
      </c>
      <c r="E87" s="306" t="s">
        <v>1145</v>
      </c>
      <c r="F87" s="306" t="s">
        <v>1007</v>
      </c>
      <c r="G87" s="308">
        <v>45991</v>
      </c>
      <c r="H87" s="308">
        <v>46014</v>
      </c>
      <c r="I87" s="309">
        <v>1075855.04</v>
      </c>
      <c r="J87" s="306" t="s">
        <v>1008</v>
      </c>
      <c r="K87" s="309">
        <v>1075855.04</v>
      </c>
      <c r="L87" s="306" t="s">
        <v>1008</v>
      </c>
      <c r="M87" s="306" t="s">
        <v>1142</v>
      </c>
      <c r="N87" s="306" t="s">
        <v>1143</v>
      </c>
      <c r="O87" s="306" t="s">
        <v>1146</v>
      </c>
      <c r="P87" s="306" t="s">
        <v>212</v>
      </c>
      <c r="Q87" s="306" t="s">
        <v>1013</v>
      </c>
      <c r="R87" s="306" t="s">
        <v>1013</v>
      </c>
      <c r="S87" s="306" t="s">
        <v>1013</v>
      </c>
      <c r="T87" s="306" t="s">
        <v>1013</v>
      </c>
      <c r="U87" s="306" t="s">
        <v>1013</v>
      </c>
      <c r="V87" s="306" t="s">
        <v>1013</v>
      </c>
      <c r="W87" s="306" t="s">
        <v>1013</v>
      </c>
      <c r="X87" s="306" t="s">
        <v>1013</v>
      </c>
      <c r="Y87" s="306" t="s">
        <v>1112</v>
      </c>
      <c r="Z87" s="306" t="s">
        <v>1015</v>
      </c>
      <c r="AA87" s="306" t="s">
        <v>1013</v>
      </c>
    </row>
    <row r="88" spans="1:27">
      <c r="A88" s="306" t="s">
        <v>494</v>
      </c>
      <c r="B88" s="306" t="s">
        <v>1003</v>
      </c>
      <c r="C88" s="306" t="s">
        <v>1004</v>
      </c>
      <c r="D88" s="306" t="s">
        <v>2435</v>
      </c>
      <c r="E88" s="306" t="s">
        <v>1147</v>
      </c>
      <c r="F88" s="306" t="s">
        <v>1007</v>
      </c>
      <c r="G88" s="308">
        <v>46014</v>
      </c>
      <c r="H88" s="308">
        <v>46014</v>
      </c>
      <c r="I88" s="309">
        <v>-25048.54</v>
      </c>
      <c r="J88" s="306" t="s">
        <v>1008</v>
      </c>
      <c r="K88" s="309">
        <v>-25048.54</v>
      </c>
      <c r="L88" s="306" t="s">
        <v>1008</v>
      </c>
      <c r="M88" s="306" t="s">
        <v>1047</v>
      </c>
      <c r="N88" s="306" t="s">
        <v>1047</v>
      </c>
      <c r="O88" s="306" t="s">
        <v>1060</v>
      </c>
      <c r="P88" s="306" t="s">
        <v>1026</v>
      </c>
      <c r="Q88" s="306" t="s">
        <v>1013</v>
      </c>
      <c r="R88" s="306" t="s">
        <v>1013</v>
      </c>
      <c r="S88" s="306" t="s">
        <v>1013</v>
      </c>
      <c r="T88" s="306" t="s">
        <v>1013</v>
      </c>
      <c r="U88" s="306" t="s">
        <v>1013</v>
      </c>
      <c r="V88" s="306" t="s">
        <v>1013</v>
      </c>
      <c r="W88" s="306" t="s">
        <v>1013</v>
      </c>
      <c r="X88" s="306" t="s">
        <v>1013</v>
      </c>
      <c r="Y88" s="306" t="s">
        <v>1036</v>
      </c>
      <c r="Z88" s="306" t="s">
        <v>1015</v>
      </c>
      <c r="AA88" s="306" t="s">
        <v>1013</v>
      </c>
    </row>
    <row r="89" spans="1:27">
      <c r="A89" s="306" t="s">
        <v>494</v>
      </c>
      <c r="B89" s="306" t="s">
        <v>1003</v>
      </c>
      <c r="C89" s="306" t="s">
        <v>1004</v>
      </c>
      <c r="D89" s="306" t="s">
        <v>2435</v>
      </c>
      <c r="E89" s="306" t="s">
        <v>1148</v>
      </c>
      <c r="F89" s="306" t="s">
        <v>1007</v>
      </c>
      <c r="G89" s="308">
        <v>46014</v>
      </c>
      <c r="H89" s="308">
        <v>46014</v>
      </c>
      <c r="I89" s="309">
        <v>-21830.01</v>
      </c>
      <c r="J89" s="306" t="s">
        <v>1008</v>
      </c>
      <c r="K89" s="309">
        <v>-21830.01</v>
      </c>
      <c r="L89" s="306" t="s">
        <v>1008</v>
      </c>
      <c r="M89" s="306" t="s">
        <v>1043</v>
      </c>
      <c r="N89" s="306" t="s">
        <v>1043</v>
      </c>
      <c r="O89" s="306" t="s">
        <v>1093</v>
      </c>
      <c r="P89" s="306" t="s">
        <v>1026</v>
      </c>
      <c r="Q89" s="306" t="s">
        <v>1013</v>
      </c>
      <c r="R89" s="306" t="s">
        <v>1013</v>
      </c>
      <c r="S89" s="306" t="s">
        <v>1013</v>
      </c>
      <c r="T89" s="306" t="s">
        <v>1013</v>
      </c>
      <c r="U89" s="306" t="s">
        <v>1013</v>
      </c>
      <c r="V89" s="306" t="s">
        <v>1013</v>
      </c>
      <c r="W89" s="306" t="s">
        <v>1013</v>
      </c>
      <c r="X89" s="306" t="s">
        <v>1013</v>
      </c>
      <c r="Y89" s="306" t="s">
        <v>1036</v>
      </c>
      <c r="Z89" s="306" t="s">
        <v>1015</v>
      </c>
      <c r="AA89" s="306" t="s">
        <v>1013</v>
      </c>
    </row>
    <row r="90" spans="1:27">
      <c r="A90" s="306" t="s">
        <v>494</v>
      </c>
      <c r="B90" s="306" t="s">
        <v>1003</v>
      </c>
      <c r="C90" s="306" t="s">
        <v>1004</v>
      </c>
      <c r="D90" s="306" t="s">
        <v>2435</v>
      </c>
      <c r="E90" s="306" t="s">
        <v>1149</v>
      </c>
      <c r="F90" s="306" t="s">
        <v>1007</v>
      </c>
      <c r="G90" s="308">
        <v>46015</v>
      </c>
      <c r="H90" s="308">
        <v>46015</v>
      </c>
      <c r="I90" s="309">
        <v>-5837.36</v>
      </c>
      <c r="J90" s="306" t="s">
        <v>1008</v>
      </c>
      <c r="K90" s="309">
        <v>-5837.36</v>
      </c>
      <c r="L90" s="306" t="s">
        <v>1008</v>
      </c>
      <c r="M90" s="306" t="s">
        <v>1150</v>
      </c>
      <c r="N90" s="306" t="s">
        <v>1151</v>
      </c>
      <c r="O90" s="306" t="s">
        <v>1152</v>
      </c>
      <c r="P90" s="306" t="s">
        <v>244</v>
      </c>
      <c r="Q90" s="306" t="s">
        <v>1013</v>
      </c>
      <c r="R90" s="306" t="s">
        <v>1013</v>
      </c>
      <c r="S90" s="306" t="s">
        <v>1013</v>
      </c>
      <c r="T90" s="306" t="s">
        <v>1013</v>
      </c>
      <c r="U90" s="306" t="s">
        <v>1013</v>
      </c>
      <c r="V90" s="306" t="s">
        <v>1013</v>
      </c>
      <c r="W90" s="306" t="s">
        <v>1013</v>
      </c>
      <c r="X90" s="306" t="s">
        <v>1013</v>
      </c>
      <c r="Y90" s="306" t="s">
        <v>1153</v>
      </c>
      <c r="Z90" s="306" t="s">
        <v>1015</v>
      </c>
      <c r="AA90" s="306" t="s">
        <v>1013</v>
      </c>
    </row>
    <row r="91" spans="1:27">
      <c r="A91" s="306" t="s">
        <v>494</v>
      </c>
      <c r="B91" s="306" t="s">
        <v>1003</v>
      </c>
      <c r="C91" s="306" t="s">
        <v>1004</v>
      </c>
      <c r="D91" s="306" t="s">
        <v>2435</v>
      </c>
      <c r="E91" s="306" t="s">
        <v>1154</v>
      </c>
      <c r="F91" s="306" t="s">
        <v>1007</v>
      </c>
      <c r="G91" s="308">
        <v>46015</v>
      </c>
      <c r="H91" s="308">
        <v>46015</v>
      </c>
      <c r="I91" s="309">
        <v>-97131</v>
      </c>
      <c r="J91" s="306" t="s">
        <v>1008</v>
      </c>
      <c r="K91" s="309">
        <v>-97131</v>
      </c>
      <c r="L91" s="306" t="s">
        <v>1008</v>
      </c>
      <c r="M91" s="306" t="s">
        <v>1150</v>
      </c>
      <c r="N91" s="306" t="s">
        <v>1151</v>
      </c>
      <c r="O91" s="306" t="s">
        <v>1155</v>
      </c>
      <c r="P91" s="306" t="s">
        <v>244</v>
      </c>
      <c r="Q91" s="306" t="s">
        <v>1013</v>
      </c>
      <c r="R91" s="306" t="s">
        <v>1013</v>
      </c>
      <c r="S91" s="306" t="s">
        <v>1013</v>
      </c>
      <c r="T91" s="306" t="s">
        <v>1013</v>
      </c>
      <c r="U91" s="306" t="s">
        <v>1013</v>
      </c>
      <c r="V91" s="306" t="s">
        <v>1013</v>
      </c>
      <c r="W91" s="306" t="s">
        <v>1013</v>
      </c>
      <c r="X91" s="306" t="s">
        <v>1013</v>
      </c>
      <c r="Y91" s="306" t="s">
        <v>1153</v>
      </c>
      <c r="Z91" s="306" t="s">
        <v>1015</v>
      </c>
      <c r="AA91" s="306" t="s">
        <v>1013</v>
      </c>
    </row>
    <row r="92" spans="1:27">
      <c r="A92" s="306" t="s">
        <v>494</v>
      </c>
      <c r="B92" s="306" t="s">
        <v>1003</v>
      </c>
      <c r="C92" s="306" t="s">
        <v>1004</v>
      </c>
      <c r="D92" s="306" t="s">
        <v>2435</v>
      </c>
      <c r="E92" s="306" t="s">
        <v>1156</v>
      </c>
      <c r="F92" s="306" t="s">
        <v>1007</v>
      </c>
      <c r="G92" s="308">
        <v>46015</v>
      </c>
      <c r="H92" s="308">
        <v>46015</v>
      </c>
      <c r="I92" s="309">
        <v>-1108497.3</v>
      </c>
      <c r="J92" s="306" t="s">
        <v>1008</v>
      </c>
      <c r="K92" s="309">
        <v>-1108497.3</v>
      </c>
      <c r="L92" s="306" t="s">
        <v>1008</v>
      </c>
      <c r="M92" s="306" t="s">
        <v>1157</v>
      </c>
      <c r="N92" s="306" t="s">
        <v>1151</v>
      </c>
      <c r="O92" s="306" t="s">
        <v>1158</v>
      </c>
      <c r="P92" s="306" t="s">
        <v>244</v>
      </c>
      <c r="Q92" s="306" t="s">
        <v>1013</v>
      </c>
      <c r="R92" s="306" t="s">
        <v>1013</v>
      </c>
      <c r="S92" s="306" t="s">
        <v>1013</v>
      </c>
      <c r="T92" s="306" t="s">
        <v>1013</v>
      </c>
      <c r="U92" s="306" t="s">
        <v>1013</v>
      </c>
      <c r="V92" s="306" t="s">
        <v>1013</v>
      </c>
      <c r="W92" s="306" t="s">
        <v>1013</v>
      </c>
      <c r="X92" s="306" t="s">
        <v>1013</v>
      </c>
      <c r="Y92" s="306" t="s">
        <v>1153</v>
      </c>
      <c r="Z92" s="306" t="s">
        <v>1015</v>
      </c>
      <c r="AA92" s="306" t="s">
        <v>1013</v>
      </c>
    </row>
    <row r="93" spans="1:27">
      <c r="A93" s="306" t="s">
        <v>494</v>
      </c>
      <c r="B93" s="306" t="s">
        <v>1003</v>
      </c>
      <c r="C93" s="306" t="s">
        <v>1004</v>
      </c>
      <c r="D93" s="306" t="s">
        <v>2435</v>
      </c>
      <c r="E93" s="306" t="s">
        <v>1159</v>
      </c>
      <c r="F93" s="306" t="s">
        <v>1007</v>
      </c>
      <c r="G93" s="308">
        <v>46015</v>
      </c>
      <c r="H93" s="308">
        <v>46015</v>
      </c>
      <c r="I93" s="309">
        <v>-2613901.2200000002</v>
      </c>
      <c r="J93" s="306" t="s">
        <v>1008</v>
      </c>
      <c r="K93" s="309">
        <v>-2613901.2200000002</v>
      </c>
      <c r="L93" s="306" t="s">
        <v>1008</v>
      </c>
      <c r="M93" s="306" t="s">
        <v>1150</v>
      </c>
      <c r="N93" s="306" t="s">
        <v>1151</v>
      </c>
      <c r="O93" s="306" t="s">
        <v>1160</v>
      </c>
      <c r="P93" s="306" t="s">
        <v>244</v>
      </c>
      <c r="Q93" s="306" t="s">
        <v>1013</v>
      </c>
      <c r="R93" s="306" t="s">
        <v>1013</v>
      </c>
      <c r="S93" s="306" t="s">
        <v>1013</v>
      </c>
      <c r="T93" s="306" t="s">
        <v>1013</v>
      </c>
      <c r="U93" s="306" t="s">
        <v>1013</v>
      </c>
      <c r="V93" s="306" t="s">
        <v>1013</v>
      </c>
      <c r="W93" s="306" t="s">
        <v>1013</v>
      </c>
      <c r="X93" s="306" t="s">
        <v>1013</v>
      </c>
      <c r="Y93" s="306" t="s">
        <v>1153</v>
      </c>
      <c r="Z93" s="306" t="s">
        <v>1015</v>
      </c>
      <c r="AA93" s="306" t="s">
        <v>1013</v>
      </c>
    </row>
    <row r="94" spans="1:27">
      <c r="A94" s="306" t="s">
        <v>494</v>
      </c>
      <c r="B94" s="306" t="s">
        <v>1003</v>
      </c>
      <c r="C94" s="306" t="s">
        <v>1004</v>
      </c>
      <c r="D94" s="306" t="s">
        <v>2435</v>
      </c>
      <c r="E94" s="306" t="s">
        <v>1161</v>
      </c>
      <c r="F94" s="306" t="s">
        <v>1007</v>
      </c>
      <c r="G94" s="308">
        <v>46015</v>
      </c>
      <c r="H94" s="308">
        <v>46015</v>
      </c>
      <c r="I94" s="309">
        <v>-260333.69</v>
      </c>
      <c r="J94" s="306" t="s">
        <v>1008</v>
      </c>
      <c r="K94" s="309">
        <v>-260333.69</v>
      </c>
      <c r="L94" s="306" t="s">
        <v>1008</v>
      </c>
      <c r="M94" s="306" t="s">
        <v>1150</v>
      </c>
      <c r="N94" s="306" t="s">
        <v>1151</v>
      </c>
      <c r="O94" s="306" t="s">
        <v>1162</v>
      </c>
      <c r="P94" s="306" t="s">
        <v>244</v>
      </c>
      <c r="Q94" s="306" t="s">
        <v>1013</v>
      </c>
      <c r="R94" s="306" t="s">
        <v>1013</v>
      </c>
      <c r="S94" s="306" t="s">
        <v>1013</v>
      </c>
      <c r="T94" s="306" t="s">
        <v>1013</v>
      </c>
      <c r="U94" s="306" t="s">
        <v>1013</v>
      </c>
      <c r="V94" s="306" t="s">
        <v>1013</v>
      </c>
      <c r="W94" s="306" t="s">
        <v>1013</v>
      </c>
      <c r="X94" s="306" t="s">
        <v>1013</v>
      </c>
      <c r="Y94" s="306" t="s">
        <v>1153</v>
      </c>
      <c r="Z94" s="306" t="s">
        <v>1015</v>
      </c>
      <c r="AA94" s="306" t="s">
        <v>1013</v>
      </c>
    </row>
    <row r="95" spans="1:27">
      <c r="A95" s="306" t="s">
        <v>494</v>
      </c>
      <c r="B95" s="306" t="s">
        <v>1003</v>
      </c>
      <c r="C95" s="306" t="s">
        <v>1004</v>
      </c>
      <c r="D95" s="306" t="s">
        <v>2435</v>
      </c>
      <c r="E95" s="306" t="s">
        <v>1163</v>
      </c>
      <c r="F95" s="306" t="s">
        <v>1007</v>
      </c>
      <c r="G95" s="308">
        <v>46015</v>
      </c>
      <c r="H95" s="308">
        <v>46015</v>
      </c>
      <c r="I95" s="309">
        <v>-170076.53</v>
      </c>
      <c r="J95" s="306" t="s">
        <v>1008</v>
      </c>
      <c r="K95" s="309">
        <v>-170076.53</v>
      </c>
      <c r="L95" s="306" t="s">
        <v>1008</v>
      </c>
      <c r="M95" s="306" t="s">
        <v>1150</v>
      </c>
      <c r="N95" s="306" t="s">
        <v>1151</v>
      </c>
      <c r="O95" s="306" t="s">
        <v>1164</v>
      </c>
      <c r="P95" s="306" t="s">
        <v>244</v>
      </c>
      <c r="Q95" s="306" t="s">
        <v>1013</v>
      </c>
      <c r="R95" s="306" t="s">
        <v>1013</v>
      </c>
      <c r="S95" s="306" t="s">
        <v>1013</v>
      </c>
      <c r="T95" s="306" t="s">
        <v>1013</v>
      </c>
      <c r="U95" s="306" t="s">
        <v>1013</v>
      </c>
      <c r="V95" s="306" t="s">
        <v>1013</v>
      </c>
      <c r="W95" s="306" t="s">
        <v>1013</v>
      </c>
      <c r="X95" s="306" t="s">
        <v>1013</v>
      </c>
      <c r="Y95" s="306" t="s">
        <v>1153</v>
      </c>
      <c r="Z95" s="306" t="s">
        <v>1015</v>
      </c>
      <c r="AA95" s="306" t="s">
        <v>1013</v>
      </c>
    </row>
    <row r="96" spans="1:27">
      <c r="A96" s="306" t="s">
        <v>494</v>
      </c>
      <c r="B96" s="306" t="s">
        <v>1003</v>
      </c>
      <c r="C96" s="306" t="s">
        <v>1004</v>
      </c>
      <c r="D96" s="306" t="s">
        <v>2435</v>
      </c>
      <c r="E96" s="306" t="s">
        <v>1165</v>
      </c>
      <c r="F96" s="306" t="s">
        <v>1007</v>
      </c>
      <c r="G96" s="308">
        <v>46015</v>
      </c>
      <c r="H96" s="308">
        <v>46015</v>
      </c>
      <c r="I96" s="309">
        <v>-636769.91</v>
      </c>
      <c r="J96" s="306" t="s">
        <v>1008</v>
      </c>
      <c r="K96" s="309">
        <v>-636769.91</v>
      </c>
      <c r="L96" s="306" t="s">
        <v>1008</v>
      </c>
      <c r="M96" s="306" t="s">
        <v>1150</v>
      </c>
      <c r="N96" s="306" t="s">
        <v>1151</v>
      </c>
      <c r="O96" s="306" t="s">
        <v>1166</v>
      </c>
      <c r="P96" s="306" t="s">
        <v>244</v>
      </c>
      <c r="Q96" s="306" t="s">
        <v>1013</v>
      </c>
      <c r="R96" s="306" t="s">
        <v>1013</v>
      </c>
      <c r="S96" s="306" t="s">
        <v>1013</v>
      </c>
      <c r="T96" s="306" t="s">
        <v>1013</v>
      </c>
      <c r="U96" s="306" t="s">
        <v>1013</v>
      </c>
      <c r="V96" s="306" t="s">
        <v>1013</v>
      </c>
      <c r="W96" s="306" t="s">
        <v>1013</v>
      </c>
      <c r="X96" s="306" t="s">
        <v>1013</v>
      </c>
      <c r="Y96" s="306" t="s">
        <v>1153</v>
      </c>
      <c r="Z96" s="306" t="s">
        <v>1015</v>
      </c>
      <c r="AA96" s="306" t="s">
        <v>1013</v>
      </c>
    </row>
    <row r="97" spans="1:27">
      <c r="A97" s="306" t="s">
        <v>494</v>
      </c>
      <c r="B97" s="306" t="s">
        <v>1003</v>
      </c>
      <c r="C97" s="306" t="s">
        <v>1004</v>
      </c>
      <c r="D97" s="306" t="s">
        <v>2435</v>
      </c>
      <c r="E97" s="306" t="s">
        <v>1167</v>
      </c>
      <c r="F97" s="306" t="s">
        <v>1007</v>
      </c>
      <c r="G97" s="308">
        <v>46015</v>
      </c>
      <c r="H97" s="308">
        <v>46015</v>
      </c>
      <c r="I97" s="309">
        <v>-291.82</v>
      </c>
      <c r="J97" s="306" t="s">
        <v>1008</v>
      </c>
      <c r="K97" s="309">
        <v>-291.82</v>
      </c>
      <c r="L97" s="306" t="s">
        <v>1008</v>
      </c>
      <c r="M97" s="306" t="s">
        <v>1168</v>
      </c>
      <c r="N97" s="306" t="s">
        <v>1151</v>
      </c>
      <c r="O97" s="306" t="s">
        <v>1169</v>
      </c>
      <c r="P97" s="306" t="s">
        <v>244</v>
      </c>
      <c r="Q97" s="306" t="s">
        <v>1013</v>
      </c>
      <c r="R97" s="306" t="s">
        <v>1013</v>
      </c>
      <c r="S97" s="306" t="s">
        <v>1013</v>
      </c>
      <c r="T97" s="306" t="s">
        <v>1013</v>
      </c>
      <c r="U97" s="306" t="s">
        <v>1013</v>
      </c>
      <c r="V97" s="306" t="s">
        <v>1013</v>
      </c>
      <c r="W97" s="306" t="s">
        <v>1013</v>
      </c>
      <c r="X97" s="306" t="s">
        <v>1013</v>
      </c>
      <c r="Y97" s="306" t="s">
        <v>1153</v>
      </c>
      <c r="Z97" s="306" t="s">
        <v>1015</v>
      </c>
      <c r="AA97" s="306" t="s">
        <v>1013</v>
      </c>
    </row>
    <row r="98" spans="1:27">
      <c r="A98" s="306" t="s">
        <v>494</v>
      </c>
      <c r="B98" s="306" t="s">
        <v>1003</v>
      </c>
      <c r="C98" s="306" t="s">
        <v>1004</v>
      </c>
      <c r="D98" s="306" t="s">
        <v>2435</v>
      </c>
      <c r="E98" s="306" t="s">
        <v>1170</v>
      </c>
      <c r="F98" s="306" t="s">
        <v>1007</v>
      </c>
      <c r="G98" s="308">
        <v>46015</v>
      </c>
      <c r="H98" s="308">
        <v>46015</v>
      </c>
      <c r="I98" s="309">
        <v>-291.82</v>
      </c>
      <c r="J98" s="306" t="s">
        <v>1008</v>
      </c>
      <c r="K98" s="309">
        <v>-291.82</v>
      </c>
      <c r="L98" s="306" t="s">
        <v>1008</v>
      </c>
      <c r="M98" s="306" t="s">
        <v>1168</v>
      </c>
      <c r="N98" s="306" t="s">
        <v>1151</v>
      </c>
      <c r="O98" s="306" t="s">
        <v>1171</v>
      </c>
      <c r="P98" s="306" t="s">
        <v>244</v>
      </c>
      <c r="Q98" s="306" t="s">
        <v>1013</v>
      </c>
      <c r="R98" s="306" t="s">
        <v>1013</v>
      </c>
      <c r="S98" s="306" t="s">
        <v>1013</v>
      </c>
      <c r="T98" s="306" t="s">
        <v>1013</v>
      </c>
      <c r="U98" s="306" t="s">
        <v>1013</v>
      </c>
      <c r="V98" s="306" t="s">
        <v>1013</v>
      </c>
      <c r="W98" s="306" t="s">
        <v>1013</v>
      </c>
      <c r="X98" s="306" t="s">
        <v>1013</v>
      </c>
      <c r="Y98" s="306" t="s">
        <v>1153</v>
      </c>
      <c r="Z98" s="306" t="s">
        <v>1015</v>
      </c>
      <c r="AA98" s="306" t="s">
        <v>1013</v>
      </c>
    </row>
    <row r="99" spans="1:27">
      <c r="A99" s="306" t="s">
        <v>494</v>
      </c>
      <c r="B99" s="306" t="s">
        <v>1003</v>
      </c>
      <c r="C99" s="306" t="s">
        <v>1004</v>
      </c>
      <c r="D99" s="306" t="s">
        <v>2435</v>
      </c>
      <c r="E99" s="306" t="s">
        <v>1172</v>
      </c>
      <c r="F99" s="306" t="s">
        <v>1007</v>
      </c>
      <c r="G99" s="308">
        <v>46015</v>
      </c>
      <c r="H99" s="308">
        <v>46015</v>
      </c>
      <c r="I99" s="309">
        <v>-75640.72</v>
      </c>
      <c r="J99" s="306" t="s">
        <v>1008</v>
      </c>
      <c r="K99" s="309">
        <v>-75640.72</v>
      </c>
      <c r="L99" s="306" t="s">
        <v>1008</v>
      </c>
      <c r="M99" s="306" t="s">
        <v>1150</v>
      </c>
      <c r="N99" s="306" t="s">
        <v>1151</v>
      </c>
      <c r="O99" s="306" t="s">
        <v>1173</v>
      </c>
      <c r="P99" s="306" t="s">
        <v>244</v>
      </c>
      <c r="Q99" s="306" t="s">
        <v>1013</v>
      </c>
      <c r="R99" s="306" t="s">
        <v>1013</v>
      </c>
      <c r="S99" s="306" t="s">
        <v>1013</v>
      </c>
      <c r="T99" s="306" t="s">
        <v>1013</v>
      </c>
      <c r="U99" s="306" t="s">
        <v>1013</v>
      </c>
      <c r="V99" s="306" t="s">
        <v>1013</v>
      </c>
      <c r="W99" s="306" t="s">
        <v>1013</v>
      </c>
      <c r="X99" s="306" t="s">
        <v>1013</v>
      </c>
      <c r="Y99" s="306" t="s">
        <v>1153</v>
      </c>
      <c r="Z99" s="306" t="s">
        <v>1015</v>
      </c>
      <c r="AA99" s="306" t="s">
        <v>1013</v>
      </c>
    </row>
    <row r="100" spans="1:27">
      <c r="A100" s="306" t="s">
        <v>494</v>
      </c>
      <c r="B100" s="306" t="s">
        <v>1003</v>
      </c>
      <c r="C100" s="306" t="s">
        <v>1004</v>
      </c>
      <c r="D100" s="306" t="s">
        <v>2435</v>
      </c>
      <c r="E100" s="306" t="s">
        <v>1174</v>
      </c>
      <c r="F100" s="306" t="s">
        <v>1007</v>
      </c>
      <c r="G100" s="308">
        <v>46015</v>
      </c>
      <c r="H100" s="308">
        <v>46015</v>
      </c>
      <c r="I100" s="309">
        <v>-696267.37</v>
      </c>
      <c r="J100" s="306" t="s">
        <v>1008</v>
      </c>
      <c r="K100" s="309">
        <v>-696267.37</v>
      </c>
      <c r="L100" s="306" t="s">
        <v>1008</v>
      </c>
      <c r="M100" s="306" t="s">
        <v>1150</v>
      </c>
      <c r="N100" s="306" t="s">
        <v>1151</v>
      </c>
      <c r="O100" s="306" t="s">
        <v>1175</v>
      </c>
      <c r="P100" s="306" t="s">
        <v>244</v>
      </c>
      <c r="Q100" s="306" t="s">
        <v>1013</v>
      </c>
      <c r="R100" s="306" t="s">
        <v>1013</v>
      </c>
      <c r="S100" s="306" t="s">
        <v>1013</v>
      </c>
      <c r="T100" s="306" t="s">
        <v>1013</v>
      </c>
      <c r="U100" s="306" t="s">
        <v>1013</v>
      </c>
      <c r="V100" s="306" t="s">
        <v>1013</v>
      </c>
      <c r="W100" s="306" t="s">
        <v>1013</v>
      </c>
      <c r="X100" s="306" t="s">
        <v>1013</v>
      </c>
      <c r="Y100" s="306" t="s">
        <v>1153</v>
      </c>
      <c r="Z100" s="306" t="s">
        <v>1015</v>
      </c>
      <c r="AA100" s="306" t="s">
        <v>1013</v>
      </c>
    </row>
    <row r="101" spans="1:27">
      <c r="A101" s="306" t="s">
        <v>494</v>
      </c>
      <c r="B101" s="306" t="s">
        <v>1003</v>
      </c>
      <c r="C101" s="306" t="s">
        <v>1004</v>
      </c>
      <c r="D101" s="306" t="s">
        <v>2435</v>
      </c>
      <c r="E101" s="306" t="s">
        <v>1176</v>
      </c>
      <c r="F101" s="306" t="s">
        <v>1007</v>
      </c>
      <c r="G101" s="308">
        <v>46015</v>
      </c>
      <c r="H101" s="308">
        <v>46015</v>
      </c>
      <c r="I101" s="309">
        <v>-739452.38</v>
      </c>
      <c r="J101" s="306" t="s">
        <v>1008</v>
      </c>
      <c r="K101" s="309">
        <v>-739452.38</v>
      </c>
      <c r="L101" s="306" t="s">
        <v>1008</v>
      </c>
      <c r="M101" s="306" t="s">
        <v>1157</v>
      </c>
      <c r="N101" s="306" t="s">
        <v>1151</v>
      </c>
      <c r="O101" s="306" t="s">
        <v>1177</v>
      </c>
      <c r="P101" s="306" t="s">
        <v>244</v>
      </c>
      <c r="Q101" s="306" t="s">
        <v>1013</v>
      </c>
      <c r="R101" s="306" t="s">
        <v>1013</v>
      </c>
      <c r="S101" s="306" t="s">
        <v>1013</v>
      </c>
      <c r="T101" s="306" t="s">
        <v>1013</v>
      </c>
      <c r="U101" s="306" t="s">
        <v>1013</v>
      </c>
      <c r="V101" s="306" t="s">
        <v>1013</v>
      </c>
      <c r="W101" s="306" t="s">
        <v>1013</v>
      </c>
      <c r="X101" s="306" t="s">
        <v>1013</v>
      </c>
      <c r="Y101" s="306" t="s">
        <v>1153</v>
      </c>
      <c r="Z101" s="306" t="s">
        <v>1015</v>
      </c>
      <c r="AA101" s="306" t="s">
        <v>1013</v>
      </c>
    </row>
    <row r="102" spans="1:27">
      <c r="A102" s="306" t="s">
        <v>494</v>
      </c>
      <c r="B102" s="306" t="s">
        <v>1003</v>
      </c>
      <c r="C102" s="306" t="s">
        <v>1004</v>
      </c>
      <c r="D102" s="306" t="s">
        <v>2435</v>
      </c>
      <c r="E102" s="306" t="s">
        <v>1178</v>
      </c>
      <c r="F102" s="306" t="s">
        <v>1007</v>
      </c>
      <c r="G102" s="308">
        <v>46015</v>
      </c>
      <c r="H102" s="308">
        <v>46015</v>
      </c>
      <c r="I102" s="309">
        <v>-206.6</v>
      </c>
      <c r="J102" s="306" t="s">
        <v>1008</v>
      </c>
      <c r="K102" s="309">
        <v>-206.6</v>
      </c>
      <c r="L102" s="306" t="s">
        <v>1008</v>
      </c>
      <c r="M102" s="306" t="s">
        <v>1168</v>
      </c>
      <c r="N102" s="306" t="s">
        <v>1151</v>
      </c>
      <c r="O102" s="306" t="s">
        <v>1179</v>
      </c>
      <c r="P102" s="306" t="s">
        <v>244</v>
      </c>
      <c r="Q102" s="306" t="s">
        <v>1013</v>
      </c>
      <c r="R102" s="306" t="s">
        <v>1013</v>
      </c>
      <c r="S102" s="306" t="s">
        <v>1013</v>
      </c>
      <c r="T102" s="306" t="s">
        <v>1013</v>
      </c>
      <c r="U102" s="306" t="s">
        <v>1013</v>
      </c>
      <c r="V102" s="306" t="s">
        <v>1013</v>
      </c>
      <c r="W102" s="306" t="s">
        <v>1013</v>
      </c>
      <c r="X102" s="306" t="s">
        <v>1013</v>
      </c>
      <c r="Y102" s="306" t="s">
        <v>1153</v>
      </c>
      <c r="Z102" s="306" t="s">
        <v>1015</v>
      </c>
      <c r="AA102" s="306" t="s">
        <v>1013</v>
      </c>
    </row>
    <row r="103" spans="1:27">
      <c r="A103" s="306" t="s">
        <v>494</v>
      </c>
      <c r="B103" s="306" t="s">
        <v>1003</v>
      </c>
      <c r="C103" s="306" t="s">
        <v>1004</v>
      </c>
      <c r="D103" s="306" t="s">
        <v>2435</v>
      </c>
      <c r="E103" s="306" t="s">
        <v>1180</v>
      </c>
      <c r="F103" s="306" t="s">
        <v>1007</v>
      </c>
      <c r="G103" s="308">
        <v>46015</v>
      </c>
      <c r="H103" s="308">
        <v>46015</v>
      </c>
      <c r="I103" s="309">
        <v>-61223.47</v>
      </c>
      <c r="J103" s="306" t="s">
        <v>1008</v>
      </c>
      <c r="K103" s="309">
        <v>-61223.47</v>
      </c>
      <c r="L103" s="306" t="s">
        <v>1008</v>
      </c>
      <c r="M103" s="306" t="s">
        <v>1150</v>
      </c>
      <c r="N103" s="306" t="s">
        <v>1151</v>
      </c>
      <c r="O103" s="306" t="s">
        <v>1181</v>
      </c>
      <c r="P103" s="306" t="s">
        <v>244</v>
      </c>
      <c r="Q103" s="306" t="s">
        <v>1013</v>
      </c>
      <c r="R103" s="306" t="s">
        <v>1013</v>
      </c>
      <c r="S103" s="306" t="s">
        <v>1013</v>
      </c>
      <c r="T103" s="306" t="s">
        <v>1013</v>
      </c>
      <c r="U103" s="306" t="s">
        <v>1013</v>
      </c>
      <c r="V103" s="306" t="s">
        <v>1013</v>
      </c>
      <c r="W103" s="306" t="s">
        <v>1013</v>
      </c>
      <c r="X103" s="306" t="s">
        <v>1013</v>
      </c>
      <c r="Y103" s="306" t="s">
        <v>1153</v>
      </c>
      <c r="Z103" s="306" t="s">
        <v>1015</v>
      </c>
      <c r="AA103" s="306" t="s">
        <v>1013</v>
      </c>
    </row>
    <row r="104" spans="1:27">
      <c r="A104" s="306" t="s">
        <v>494</v>
      </c>
      <c r="B104" s="306" t="s">
        <v>1003</v>
      </c>
      <c r="C104" s="306" t="s">
        <v>1004</v>
      </c>
      <c r="D104" s="306" t="s">
        <v>2435</v>
      </c>
      <c r="E104" s="306" t="s">
        <v>1182</v>
      </c>
      <c r="F104" s="306" t="s">
        <v>1007</v>
      </c>
      <c r="G104" s="308">
        <v>46015</v>
      </c>
      <c r="H104" s="308">
        <v>46015</v>
      </c>
      <c r="I104" s="309">
        <v>-292091.23</v>
      </c>
      <c r="J104" s="306" t="s">
        <v>1008</v>
      </c>
      <c r="K104" s="309">
        <v>-292091.23</v>
      </c>
      <c r="L104" s="306" t="s">
        <v>1008</v>
      </c>
      <c r="M104" s="306" t="s">
        <v>1150</v>
      </c>
      <c r="N104" s="306" t="s">
        <v>1151</v>
      </c>
      <c r="O104" s="306" t="s">
        <v>1183</v>
      </c>
      <c r="P104" s="306" t="s">
        <v>244</v>
      </c>
      <c r="Q104" s="306" t="s">
        <v>1013</v>
      </c>
      <c r="R104" s="306" t="s">
        <v>1013</v>
      </c>
      <c r="S104" s="306" t="s">
        <v>1013</v>
      </c>
      <c r="T104" s="306" t="s">
        <v>1013</v>
      </c>
      <c r="U104" s="306" t="s">
        <v>1013</v>
      </c>
      <c r="V104" s="306" t="s">
        <v>1013</v>
      </c>
      <c r="W104" s="306" t="s">
        <v>1013</v>
      </c>
      <c r="X104" s="306" t="s">
        <v>1013</v>
      </c>
      <c r="Y104" s="306" t="s">
        <v>1153</v>
      </c>
      <c r="Z104" s="306" t="s">
        <v>1015</v>
      </c>
      <c r="AA104" s="306" t="s">
        <v>1013</v>
      </c>
    </row>
    <row r="105" spans="1:27">
      <c r="A105" s="306" t="s">
        <v>494</v>
      </c>
      <c r="B105" s="306" t="s">
        <v>1003</v>
      </c>
      <c r="C105" s="306" t="s">
        <v>1004</v>
      </c>
      <c r="D105" s="306" t="s">
        <v>2435</v>
      </c>
      <c r="E105" s="306" t="s">
        <v>1184</v>
      </c>
      <c r="F105" s="306" t="s">
        <v>1007</v>
      </c>
      <c r="G105" s="308">
        <v>46015</v>
      </c>
      <c r="H105" s="308">
        <v>46015</v>
      </c>
      <c r="I105" s="309">
        <v>-74897.919999999998</v>
      </c>
      <c r="J105" s="306" t="s">
        <v>1008</v>
      </c>
      <c r="K105" s="309">
        <v>-74897.919999999998</v>
      </c>
      <c r="L105" s="306" t="s">
        <v>1008</v>
      </c>
      <c r="M105" s="306" t="s">
        <v>1150</v>
      </c>
      <c r="N105" s="306" t="s">
        <v>1151</v>
      </c>
      <c r="O105" s="306" t="s">
        <v>1185</v>
      </c>
      <c r="P105" s="306" t="s">
        <v>244</v>
      </c>
      <c r="Q105" s="306" t="s">
        <v>1013</v>
      </c>
      <c r="R105" s="306" t="s">
        <v>1013</v>
      </c>
      <c r="S105" s="306" t="s">
        <v>1013</v>
      </c>
      <c r="T105" s="306" t="s">
        <v>1013</v>
      </c>
      <c r="U105" s="306" t="s">
        <v>1013</v>
      </c>
      <c r="V105" s="306" t="s">
        <v>1013</v>
      </c>
      <c r="W105" s="306" t="s">
        <v>1013</v>
      </c>
      <c r="X105" s="306" t="s">
        <v>1013</v>
      </c>
      <c r="Y105" s="306" t="s">
        <v>1153</v>
      </c>
      <c r="Z105" s="306" t="s">
        <v>1015</v>
      </c>
      <c r="AA105" s="306" t="s">
        <v>1013</v>
      </c>
    </row>
    <row r="106" spans="1:27">
      <c r="A106" s="306" t="s">
        <v>494</v>
      </c>
      <c r="B106" s="306" t="s">
        <v>1003</v>
      </c>
      <c r="C106" s="306" t="s">
        <v>1004</v>
      </c>
      <c r="D106" s="306" t="s">
        <v>2435</v>
      </c>
      <c r="E106" s="306" t="s">
        <v>1186</v>
      </c>
      <c r="F106" s="306" t="s">
        <v>1007</v>
      </c>
      <c r="G106" s="308">
        <v>46015</v>
      </c>
      <c r="H106" s="308">
        <v>46015</v>
      </c>
      <c r="I106" s="309">
        <v>-696.67</v>
      </c>
      <c r="J106" s="306" t="s">
        <v>1008</v>
      </c>
      <c r="K106" s="309">
        <v>-696.67</v>
      </c>
      <c r="L106" s="306" t="s">
        <v>1008</v>
      </c>
      <c r="M106" s="306" t="s">
        <v>1150</v>
      </c>
      <c r="N106" s="306" t="s">
        <v>1151</v>
      </c>
      <c r="O106" s="306" t="s">
        <v>1187</v>
      </c>
      <c r="P106" s="306" t="s">
        <v>244</v>
      </c>
      <c r="Q106" s="306" t="s">
        <v>1013</v>
      </c>
      <c r="R106" s="306" t="s">
        <v>1013</v>
      </c>
      <c r="S106" s="306" t="s">
        <v>1013</v>
      </c>
      <c r="T106" s="306" t="s">
        <v>1013</v>
      </c>
      <c r="U106" s="306" t="s">
        <v>1013</v>
      </c>
      <c r="V106" s="306" t="s">
        <v>1013</v>
      </c>
      <c r="W106" s="306" t="s">
        <v>1013</v>
      </c>
      <c r="X106" s="306" t="s">
        <v>1013</v>
      </c>
      <c r="Y106" s="306" t="s">
        <v>1153</v>
      </c>
      <c r="Z106" s="306" t="s">
        <v>1015</v>
      </c>
      <c r="AA106" s="306" t="s">
        <v>1013</v>
      </c>
    </row>
    <row r="107" spans="1:27">
      <c r="A107" s="306" t="s">
        <v>494</v>
      </c>
      <c r="B107" s="306" t="s">
        <v>1003</v>
      </c>
      <c r="C107" s="306" t="s">
        <v>1004</v>
      </c>
      <c r="D107" s="306" t="s">
        <v>2435</v>
      </c>
      <c r="E107" s="306" t="s">
        <v>1188</v>
      </c>
      <c r="F107" s="306" t="s">
        <v>1007</v>
      </c>
      <c r="G107" s="308">
        <v>46015</v>
      </c>
      <c r="H107" s="308">
        <v>46015</v>
      </c>
      <c r="I107" s="309">
        <v>-6459.33</v>
      </c>
      <c r="J107" s="306" t="s">
        <v>1008</v>
      </c>
      <c r="K107" s="309">
        <v>-6459.33</v>
      </c>
      <c r="L107" s="306" t="s">
        <v>1008</v>
      </c>
      <c r="M107" s="306" t="s">
        <v>1150</v>
      </c>
      <c r="N107" s="306" t="s">
        <v>1151</v>
      </c>
      <c r="O107" s="306" t="s">
        <v>1189</v>
      </c>
      <c r="P107" s="306" t="s">
        <v>244</v>
      </c>
      <c r="Q107" s="306" t="s">
        <v>1013</v>
      </c>
      <c r="R107" s="306" t="s">
        <v>1013</v>
      </c>
      <c r="S107" s="306" t="s">
        <v>1013</v>
      </c>
      <c r="T107" s="306" t="s">
        <v>1013</v>
      </c>
      <c r="U107" s="306" t="s">
        <v>1013</v>
      </c>
      <c r="V107" s="306" t="s">
        <v>1013</v>
      </c>
      <c r="W107" s="306" t="s">
        <v>1013</v>
      </c>
      <c r="X107" s="306" t="s">
        <v>1013</v>
      </c>
      <c r="Y107" s="306" t="s">
        <v>1153</v>
      </c>
      <c r="Z107" s="306" t="s">
        <v>1015</v>
      </c>
      <c r="AA107" s="306" t="s">
        <v>1013</v>
      </c>
    </row>
    <row r="108" spans="1:27">
      <c r="A108" s="306" t="s">
        <v>494</v>
      </c>
      <c r="B108" s="306" t="s">
        <v>1003</v>
      </c>
      <c r="C108" s="306" t="s">
        <v>1004</v>
      </c>
      <c r="D108" s="306" t="s">
        <v>2435</v>
      </c>
      <c r="E108" s="306" t="s">
        <v>1190</v>
      </c>
      <c r="F108" s="306" t="s">
        <v>1007</v>
      </c>
      <c r="G108" s="308">
        <v>46015</v>
      </c>
      <c r="H108" s="308">
        <v>46015</v>
      </c>
      <c r="I108" s="309">
        <v>-6663.5</v>
      </c>
      <c r="J108" s="306" t="s">
        <v>1008</v>
      </c>
      <c r="K108" s="309">
        <v>-6663.5</v>
      </c>
      <c r="L108" s="306" t="s">
        <v>1008</v>
      </c>
      <c r="M108" s="306" t="s">
        <v>1168</v>
      </c>
      <c r="N108" s="306" t="s">
        <v>1151</v>
      </c>
      <c r="O108" s="306" t="s">
        <v>1191</v>
      </c>
      <c r="P108" s="306" t="s">
        <v>244</v>
      </c>
      <c r="Q108" s="306" t="s">
        <v>1013</v>
      </c>
      <c r="R108" s="306" t="s">
        <v>1013</v>
      </c>
      <c r="S108" s="306" t="s">
        <v>1013</v>
      </c>
      <c r="T108" s="306" t="s">
        <v>1013</v>
      </c>
      <c r="U108" s="306" t="s">
        <v>1013</v>
      </c>
      <c r="V108" s="306" t="s">
        <v>1013</v>
      </c>
      <c r="W108" s="306" t="s">
        <v>1013</v>
      </c>
      <c r="X108" s="306" t="s">
        <v>1013</v>
      </c>
      <c r="Y108" s="306" t="s">
        <v>1153</v>
      </c>
      <c r="Z108" s="306" t="s">
        <v>1015</v>
      </c>
      <c r="AA108" s="306" t="s">
        <v>1013</v>
      </c>
    </row>
    <row r="109" spans="1:27">
      <c r="A109" s="306" t="s">
        <v>494</v>
      </c>
      <c r="B109" s="306" t="s">
        <v>1003</v>
      </c>
      <c r="C109" s="306" t="s">
        <v>1004</v>
      </c>
      <c r="D109" s="306" t="s">
        <v>2435</v>
      </c>
      <c r="E109" s="306" t="s">
        <v>1192</v>
      </c>
      <c r="F109" s="306" t="s">
        <v>1007</v>
      </c>
      <c r="G109" s="308">
        <v>46015</v>
      </c>
      <c r="H109" s="308">
        <v>46015</v>
      </c>
      <c r="I109" s="309">
        <v>-180166.53</v>
      </c>
      <c r="J109" s="306" t="s">
        <v>1008</v>
      </c>
      <c r="K109" s="309">
        <v>-180166.53</v>
      </c>
      <c r="L109" s="306" t="s">
        <v>1008</v>
      </c>
      <c r="M109" s="306" t="s">
        <v>1150</v>
      </c>
      <c r="N109" s="306" t="s">
        <v>1151</v>
      </c>
      <c r="O109" s="306" t="s">
        <v>1193</v>
      </c>
      <c r="P109" s="306" t="s">
        <v>244</v>
      </c>
      <c r="Q109" s="306" t="s">
        <v>1013</v>
      </c>
      <c r="R109" s="306" t="s">
        <v>1013</v>
      </c>
      <c r="S109" s="306" t="s">
        <v>1013</v>
      </c>
      <c r="T109" s="306" t="s">
        <v>1013</v>
      </c>
      <c r="U109" s="306" t="s">
        <v>1013</v>
      </c>
      <c r="V109" s="306" t="s">
        <v>1013</v>
      </c>
      <c r="W109" s="306" t="s">
        <v>1013</v>
      </c>
      <c r="X109" s="306" t="s">
        <v>1013</v>
      </c>
      <c r="Y109" s="306" t="s">
        <v>1153</v>
      </c>
      <c r="Z109" s="306" t="s">
        <v>1015</v>
      </c>
      <c r="AA109" s="306" t="s">
        <v>1013</v>
      </c>
    </row>
    <row r="110" spans="1:27">
      <c r="A110" s="306" t="s">
        <v>494</v>
      </c>
      <c r="B110" s="306" t="s">
        <v>1003</v>
      </c>
      <c r="C110" s="306" t="s">
        <v>1004</v>
      </c>
      <c r="D110" s="306" t="s">
        <v>2435</v>
      </c>
      <c r="E110" s="306" t="s">
        <v>1194</v>
      </c>
      <c r="F110" s="306" t="s">
        <v>1007</v>
      </c>
      <c r="G110" s="308">
        <v>46015</v>
      </c>
      <c r="H110" s="308">
        <v>46015</v>
      </c>
      <c r="I110" s="309">
        <v>-5552.91</v>
      </c>
      <c r="J110" s="306" t="s">
        <v>1008</v>
      </c>
      <c r="K110" s="309">
        <v>-5552.91</v>
      </c>
      <c r="L110" s="306" t="s">
        <v>1008</v>
      </c>
      <c r="M110" s="306" t="s">
        <v>1168</v>
      </c>
      <c r="N110" s="306" t="s">
        <v>1151</v>
      </c>
      <c r="O110" s="306" t="s">
        <v>1195</v>
      </c>
      <c r="P110" s="306" t="s">
        <v>244</v>
      </c>
      <c r="Q110" s="306" t="s">
        <v>1013</v>
      </c>
      <c r="R110" s="306" t="s">
        <v>1013</v>
      </c>
      <c r="S110" s="306" t="s">
        <v>1013</v>
      </c>
      <c r="T110" s="306" t="s">
        <v>1013</v>
      </c>
      <c r="U110" s="306" t="s">
        <v>1013</v>
      </c>
      <c r="V110" s="306" t="s">
        <v>1013</v>
      </c>
      <c r="W110" s="306" t="s">
        <v>1013</v>
      </c>
      <c r="X110" s="306" t="s">
        <v>1013</v>
      </c>
      <c r="Y110" s="306" t="s">
        <v>1153</v>
      </c>
      <c r="Z110" s="306" t="s">
        <v>1015</v>
      </c>
      <c r="AA110" s="306" t="s">
        <v>1013</v>
      </c>
    </row>
    <row r="111" spans="1:27">
      <c r="A111" s="306" t="s">
        <v>494</v>
      </c>
      <c r="B111" s="306" t="s">
        <v>1003</v>
      </c>
      <c r="C111" s="306" t="s">
        <v>1004</v>
      </c>
      <c r="D111" s="306" t="s">
        <v>2435</v>
      </c>
      <c r="E111" s="306" t="s">
        <v>1196</v>
      </c>
      <c r="F111" s="306" t="s">
        <v>1007</v>
      </c>
      <c r="G111" s="308">
        <v>46015</v>
      </c>
      <c r="H111" s="308">
        <v>46015</v>
      </c>
      <c r="I111" s="309">
        <v>-10861.52</v>
      </c>
      <c r="J111" s="306" t="s">
        <v>1008</v>
      </c>
      <c r="K111" s="309">
        <v>-10861.52</v>
      </c>
      <c r="L111" s="306" t="s">
        <v>1008</v>
      </c>
      <c r="M111" s="306" t="s">
        <v>1157</v>
      </c>
      <c r="N111" s="306" t="s">
        <v>1151</v>
      </c>
      <c r="O111" s="306" t="s">
        <v>1197</v>
      </c>
      <c r="P111" s="306" t="s">
        <v>244</v>
      </c>
      <c r="Q111" s="306" t="s">
        <v>1013</v>
      </c>
      <c r="R111" s="306" t="s">
        <v>1013</v>
      </c>
      <c r="S111" s="306" t="s">
        <v>1013</v>
      </c>
      <c r="T111" s="306" t="s">
        <v>1013</v>
      </c>
      <c r="U111" s="306" t="s">
        <v>1013</v>
      </c>
      <c r="V111" s="306" t="s">
        <v>1013</v>
      </c>
      <c r="W111" s="306" t="s">
        <v>1013</v>
      </c>
      <c r="X111" s="306" t="s">
        <v>1013</v>
      </c>
      <c r="Y111" s="306" t="s">
        <v>1153</v>
      </c>
      <c r="Z111" s="306" t="s">
        <v>1015</v>
      </c>
      <c r="AA111" s="306" t="s">
        <v>1013</v>
      </c>
    </row>
    <row r="112" spans="1:27">
      <c r="A112" s="306" t="s">
        <v>494</v>
      </c>
      <c r="B112" s="306" t="s">
        <v>1003</v>
      </c>
      <c r="C112" s="306" t="s">
        <v>1004</v>
      </c>
      <c r="D112" s="306" t="s">
        <v>2435</v>
      </c>
      <c r="E112" s="306" t="s">
        <v>1198</v>
      </c>
      <c r="F112" s="306" t="s">
        <v>1007</v>
      </c>
      <c r="G112" s="308">
        <v>46015</v>
      </c>
      <c r="H112" s="308">
        <v>46015</v>
      </c>
      <c r="I112" s="309">
        <v>-101454.93</v>
      </c>
      <c r="J112" s="306" t="s">
        <v>1008</v>
      </c>
      <c r="K112" s="309">
        <v>-101454.93</v>
      </c>
      <c r="L112" s="306" t="s">
        <v>1008</v>
      </c>
      <c r="M112" s="306" t="s">
        <v>1150</v>
      </c>
      <c r="N112" s="306" t="s">
        <v>1151</v>
      </c>
      <c r="O112" s="306" t="s">
        <v>1199</v>
      </c>
      <c r="P112" s="306" t="s">
        <v>244</v>
      </c>
      <c r="Q112" s="306" t="s">
        <v>1013</v>
      </c>
      <c r="R112" s="306" t="s">
        <v>1013</v>
      </c>
      <c r="S112" s="306" t="s">
        <v>1013</v>
      </c>
      <c r="T112" s="306" t="s">
        <v>1013</v>
      </c>
      <c r="U112" s="306" t="s">
        <v>1013</v>
      </c>
      <c r="V112" s="306" t="s">
        <v>1013</v>
      </c>
      <c r="W112" s="306" t="s">
        <v>1013</v>
      </c>
      <c r="X112" s="306" t="s">
        <v>1013</v>
      </c>
      <c r="Y112" s="306" t="s">
        <v>1153</v>
      </c>
      <c r="Z112" s="306" t="s">
        <v>1015</v>
      </c>
      <c r="AA112" s="306" t="s">
        <v>1013</v>
      </c>
    </row>
    <row r="113" spans="1:27">
      <c r="A113" s="306" t="s">
        <v>494</v>
      </c>
      <c r="B113" s="306" t="s">
        <v>1003</v>
      </c>
      <c r="C113" s="306" t="s">
        <v>1004</v>
      </c>
      <c r="D113" s="306" t="s">
        <v>2435</v>
      </c>
      <c r="E113" s="306" t="s">
        <v>1200</v>
      </c>
      <c r="F113" s="306" t="s">
        <v>1007</v>
      </c>
      <c r="G113" s="308">
        <v>46015</v>
      </c>
      <c r="H113" s="308">
        <v>46015</v>
      </c>
      <c r="I113" s="309">
        <v>-2496.9</v>
      </c>
      <c r="J113" s="306" t="s">
        <v>1008</v>
      </c>
      <c r="K113" s="309">
        <v>-2496.9</v>
      </c>
      <c r="L113" s="306" t="s">
        <v>1008</v>
      </c>
      <c r="M113" s="306" t="s">
        <v>1168</v>
      </c>
      <c r="N113" s="306" t="s">
        <v>1151</v>
      </c>
      <c r="O113" s="306" t="s">
        <v>1201</v>
      </c>
      <c r="P113" s="306" t="s">
        <v>244</v>
      </c>
      <c r="Q113" s="306" t="s">
        <v>1013</v>
      </c>
      <c r="R113" s="306" t="s">
        <v>1013</v>
      </c>
      <c r="S113" s="306" t="s">
        <v>1013</v>
      </c>
      <c r="T113" s="306" t="s">
        <v>1013</v>
      </c>
      <c r="U113" s="306" t="s">
        <v>1013</v>
      </c>
      <c r="V113" s="306" t="s">
        <v>1013</v>
      </c>
      <c r="W113" s="306" t="s">
        <v>1013</v>
      </c>
      <c r="X113" s="306" t="s">
        <v>1013</v>
      </c>
      <c r="Y113" s="306" t="s">
        <v>1153</v>
      </c>
      <c r="Z113" s="306" t="s">
        <v>1015</v>
      </c>
      <c r="AA113" s="306" t="s">
        <v>1013</v>
      </c>
    </row>
    <row r="114" spans="1:27">
      <c r="A114" s="306" t="s">
        <v>494</v>
      </c>
      <c r="B114" s="306" t="s">
        <v>1003</v>
      </c>
      <c r="C114" s="306" t="s">
        <v>1004</v>
      </c>
      <c r="D114" s="306" t="s">
        <v>2435</v>
      </c>
      <c r="E114" s="306" t="s">
        <v>1202</v>
      </c>
      <c r="F114" s="306" t="s">
        <v>1007</v>
      </c>
      <c r="G114" s="308">
        <v>46015</v>
      </c>
      <c r="H114" s="308">
        <v>46015</v>
      </c>
      <c r="I114" s="309">
        <v>-455077.16</v>
      </c>
      <c r="J114" s="306" t="s">
        <v>1008</v>
      </c>
      <c r="K114" s="309">
        <v>-455077.16</v>
      </c>
      <c r="L114" s="306" t="s">
        <v>1008</v>
      </c>
      <c r="M114" s="306" t="s">
        <v>1157</v>
      </c>
      <c r="N114" s="306" t="s">
        <v>1151</v>
      </c>
      <c r="O114" s="306" t="s">
        <v>1203</v>
      </c>
      <c r="P114" s="306" t="s">
        <v>244</v>
      </c>
      <c r="Q114" s="306" t="s">
        <v>1013</v>
      </c>
      <c r="R114" s="306" t="s">
        <v>1013</v>
      </c>
      <c r="S114" s="306" t="s">
        <v>1013</v>
      </c>
      <c r="T114" s="306" t="s">
        <v>1013</v>
      </c>
      <c r="U114" s="306" t="s">
        <v>1013</v>
      </c>
      <c r="V114" s="306" t="s">
        <v>1013</v>
      </c>
      <c r="W114" s="306" t="s">
        <v>1013</v>
      </c>
      <c r="X114" s="306" t="s">
        <v>1013</v>
      </c>
      <c r="Y114" s="306" t="s">
        <v>1153</v>
      </c>
      <c r="Z114" s="306" t="s">
        <v>1015</v>
      </c>
      <c r="AA114" s="306" t="s">
        <v>1013</v>
      </c>
    </row>
    <row r="115" spans="1:27">
      <c r="A115" s="306" t="s">
        <v>494</v>
      </c>
      <c r="B115" s="306" t="s">
        <v>1003</v>
      </c>
      <c r="C115" s="306" t="s">
        <v>1004</v>
      </c>
      <c r="D115" s="306" t="s">
        <v>2435</v>
      </c>
      <c r="E115" s="306" t="s">
        <v>1204</v>
      </c>
      <c r="F115" s="306" t="s">
        <v>1007</v>
      </c>
      <c r="G115" s="308">
        <v>46015</v>
      </c>
      <c r="H115" s="308">
        <v>46015</v>
      </c>
      <c r="I115" s="309">
        <v>-8796.24</v>
      </c>
      <c r="J115" s="306" t="s">
        <v>1008</v>
      </c>
      <c r="K115" s="309">
        <v>-8796.24</v>
      </c>
      <c r="L115" s="306" t="s">
        <v>1008</v>
      </c>
      <c r="M115" s="306" t="s">
        <v>1168</v>
      </c>
      <c r="N115" s="306" t="s">
        <v>1151</v>
      </c>
      <c r="O115" s="306" t="s">
        <v>1205</v>
      </c>
      <c r="P115" s="306" t="s">
        <v>244</v>
      </c>
      <c r="Q115" s="306" t="s">
        <v>1013</v>
      </c>
      <c r="R115" s="306" t="s">
        <v>1013</v>
      </c>
      <c r="S115" s="306" t="s">
        <v>1013</v>
      </c>
      <c r="T115" s="306" t="s">
        <v>1013</v>
      </c>
      <c r="U115" s="306" t="s">
        <v>1013</v>
      </c>
      <c r="V115" s="306" t="s">
        <v>1013</v>
      </c>
      <c r="W115" s="306" t="s">
        <v>1013</v>
      </c>
      <c r="X115" s="306" t="s">
        <v>1013</v>
      </c>
      <c r="Y115" s="306" t="s">
        <v>1153</v>
      </c>
      <c r="Z115" s="306" t="s">
        <v>1015</v>
      </c>
      <c r="AA115" s="306" t="s">
        <v>1013</v>
      </c>
    </row>
    <row r="116" spans="1:27">
      <c r="A116" s="306" t="s">
        <v>494</v>
      </c>
      <c r="B116" s="306" t="s">
        <v>1003</v>
      </c>
      <c r="C116" s="306" t="s">
        <v>1004</v>
      </c>
      <c r="D116" s="306" t="s">
        <v>2435</v>
      </c>
      <c r="E116" s="306" t="s">
        <v>1206</v>
      </c>
      <c r="F116" s="306" t="s">
        <v>1007</v>
      </c>
      <c r="G116" s="308">
        <v>46015</v>
      </c>
      <c r="H116" s="308">
        <v>46015</v>
      </c>
      <c r="I116" s="309">
        <v>-826.39</v>
      </c>
      <c r="J116" s="306" t="s">
        <v>1008</v>
      </c>
      <c r="K116" s="309">
        <v>-826.39</v>
      </c>
      <c r="L116" s="306" t="s">
        <v>1008</v>
      </c>
      <c r="M116" s="306" t="s">
        <v>1168</v>
      </c>
      <c r="N116" s="306" t="s">
        <v>1151</v>
      </c>
      <c r="O116" s="306" t="s">
        <v>1207</v>
      </c>
      <c r="P116" s="306" t="s">
        <v>244</v>
      </c>
      <c r="Q116" s="306" t="s">
        <v>1013</v>
      </c>
      <c r="R116" s="306" t="s">
        <v>1013</v>
      </c>
      <c r="S116" s="306" t="s">
        <v>1013</v>
      </c>
      <c r="T116" s="306" t="s">
        <v>1013</v>
      </c>
      <c r="U116" s="306" t="s">
        <v>1013</v>
      </c>
      <c r="V116" s="306" t="s">
        <v>1013</v>
      </c>
      <c r="W116" s="306" t="s">
        <v>1013</v>
      </c>
      <c r="X116" s="306" t="s">
        <v>1013</v>
      </c>
      <c r="Y116" s="306" t="s">
        <v>1153</v>
      </c>
      <c r="Z116" s="306" t="s">
        <v>1015</v>
      </c>
      <c r="AA116" s="306" t="s">
        <v>1013</v>
      </c>
    </row>
    <row r="117" spans="1:27">
      <c r="A117" s="306" t="s">
        <v>494</v>
      </c>
      <c r="B117" s="306" t="s">
        <v>1003</v>
      </c>
      <c r="C117" s="306" t="s">
        <v>1004</v>
      </c>
      <c r="D117" s="306" t="s">
        <v>2435</v>
      </c>
      <c r="E117" s="306" t="s">
        <v>1208</v>
      </c>
      <c r="F117" s="306" t="s">
        <v>1007</v>
      </c>
      <c r="G117" s="308">
        <v>46015</v>
      </c>
      <c r="H117" s="308">
        <v>46015</v>
      </c>
      <c r="I117" s="309">
        <v>-1074.53</v>
      </c>
      <c r="J117" s="306" t="s">
        <v>1008</v>
      </c>
      <c r="K117" s="309">
        <v>-1074.53</v>
      </c>
      <c r="L117" s="306" t="s">
        <v>1008</v>
      </c>
      <c r="M117" s="306" t="s">
        <v>1168</v>
      </c>
      <c r="N117" s="306" t="s">
        <v>1151</v>
      </c>
      <c r="O117" s="306" t="s">
        <v>1209</v>
      </c>
      <c r="P117" s="306" t="s">
        <v>244</v>
      </c>
      <c r="Q117" s="306" t="s">
        <v>1013</v>
      </c>
      <c r="R117" s="306" t="s">
        <v>1013</v>
      </c>
      <c r="S117" s="306" t="s">
        <v>1013</v>
      </c>
      <c r="T117" s="306" t="s">
        <v>1013</v>
      </c>
      <c r="U117" s="306" t="s">
        <v>1013</v>
      </c>
      <c r="V117" s="306" t="s">
        <v>1013</v>
      </c>
      <c r="W117" s="306" t="s">
        <v>1013</v>
      </c>
      <c r="X117" s="306" t="s">
        <v>1013</v>
      </c>
      <c r="Y117" s="306" t="s">
        <v>1153</v>
      </c>
      <c r="Z117" s="306" t="s">
        <v>1015</v>
      </c>
      <c r="AA117" s="306" t="s">
        <v>1013</v>
      </c>
    </row>
    <row r="118" spans="1:27">
      <c r="A118" s="306" t="s">
        <v>494</v>
      </c>
      <c r="B118" s="306" t="s">
        <v>1003</v>
      </c>
      <c r="C118" s="306" t="s">
        <v>1004</v>
      </c>
      <c r="D118" s="306" t="s">
        <v>2435</v>
      </c>
      <c r="E118" s="306" t="s">
        <v>1210</v>
      </c>
      <c r="F118" s="306" t="s">
        <v>1007</v>
      </c>
      <c r="G118" s="308">
        <v>46015</v>
      </c>
      <c r="H118" s="308">
        <v>46015</v>
      </c>
      <c r="I118" s="309">
        <v>-617.01</v>
      </c>
      <c r="J118" s="306" t="s">
        <v>1008</v>
      </c>
      <c r="K118" s="309">
        <v>-617.01</v>
      </c>
      <c r="L118" s="306" t="s">
        <v>1008</v>
      </c>
      <c r="M118" s="306" t="s">
        <v>1168</v>
      </c>
      <c r="N118" s="306" t="s">
        <v>1151</v>
      </c>
      <c r="O118" s="306" t="s">
        <v>1211</v>
      </c>
      <c r="P118" s="306" t="s">
        <v>244</v>
      </c>
      <c r="Q118" s="306" t="s">
        <v>1013</v>
      </c>
      <c r="R118" s="306" t="s">
        <v>1013</v>
      </c>
      <c r="S118" s="306" t="s">
        <v>1013</v>
      </c>
      <c r="T118" s="306" t="s">
        <v>1013</v>
      </c>
      <c r="U118" s="306" t="s">
        <v>1013</v>
      </c>
      <c r="V118" s="306" t="s">
        <v>1013</v>
      </c>
      <c r="W118" s="306" t="s">
        <v>1013</v>
      </c>
      <c r="X118" s="306" t="s">
        <v>1013</v>
      </c>
      <c r="Y118" s="306" t="s">
        <v>1153</v>
      </c>
      <c r="Z118" s="306" t="s">
        <v>1015</v>
      </c>
      <c r="AA118" s="306" t="s">
        <v>1013</v>
      </c>
    </row>
    <row r="119" spans="1:27">
      <c r="A119" s="306" t="s">
        <v>494</v>
      </c>
      <c r="B119" s="306" t="s">
        <v>1003</v>
      </c>
      <c r="C119" s="306" t="s">
        <v>1004</v>
      </c>
      <c r="D119" s="306" t="s">
        <v>2435</v>
      </c>
      <c r="E119" s="306" t="s">
        <v>1212</v>
      </c>
      <c r="F119" s="306" t="s">
        <v>1007</v>
      </c>
      <c r="G119" s="308">
        <v>46015</v>
      </c>
      <c r="H119" s="308">
        <v>46015</v>
      </c>
      <c r="I119" s="309">
        <v>-411.81</v>
      </c>
      <c r="J119" s="306" t="s">
        <v>1008</v>
      </c>
      <c r="K119" s="309">
        <v>-411.81</v>
      </c>
      <c r="L119" s="306" t="s">
        <v>1008</v>
      </c>
      <c r="M119" s="306" t="s">
        <v>1168</v>
      </c>
      <c r="N119" s="306" t="s">
        <v>1151</v>
      </c>
      <c r="O119" s="306" t="s">
        <v>1213</v>
      </c>
      <c r="P119" s="306" t="s">
        <v>244</v>
      </c>
      <c r="Q119" s="306" t="s">
        <v>1013</v>
      </c>
      <c r="R119" s="306" t="s">
        <v>1013</v>
      </c>
      <c r="S119" s="306" t="s">
        <v>1013</v>
      </c>
      <c r="T119" s="306" t="s">
        <v>1013</v>
      </c>
      <c r="U119" s="306" t="s">
        <v>1013</v>
      </c>
      <c r="V119" s="306" t="s">
        <v>1013</v>
      </c>
      <c r="W119" s="306" t="s">
        <v>1013</v>
      </c>
      <c r="X119" s="306" t="s">
        <v>1013</v>
      </c>
      <c r="Y119" s="306" t="s">
        <v>1153</v>
      </c>
      <c r="Z119" s="306" t="s">
        <v>1015</v>
      </c>
      <c r="AA119" s="306" t="s">
        <v>1013</v>
      </c>
    </row>
    <row r="120" spans="1:27">
      <c r="A120" s="306" t="s">
        <v>494</v>
      </c>
      <c r="B120" s="306" t="s">
        <v>1003</v>
      </c>
      <c r="C120" s="306" t="s">
        <v>1004</v>
      </c>
      <c r="D120" s="306" t="s">
        <v>2435</v>
      </c>
      <c r="E120" s="306" t="s">
        <v>1214</v>
      </c>
      <c r="F120" s="306" t="s">
        <v>1007</v>
      </c>
      <c r="G120" s="308">
        <v>46015</v>
      </c>
      <c r="H120" s="308">
        <v>46015</v>
      </c>
      <c r="I120" s="309">
        <v>-7660.41</v>
      </c>
      <c r="J120" s="306" t="s">
        <v>1008</v>
      </c>
      <c r="K120" s="309">
        <v>-7660.41</v>
      </c>
      <c r="L120" s="306" t="s">
        <v>1008</v>
      </c>
      <c r="M120" s="306" t="s">
        <v>1168</v>
      </c>
      <c r="N120" s="306" t="s">
        <v>1151</v>
      </c>
      <c r="O120" s="306" t="s">
        <v>1215</v>
      </c>
      <c r="P120" s="306" t="s">
        <v>244</v>
      </c>
      <c r="Q120" s="306" t="s">
        <v>1013</v>
      </c>
      <c r="R120" s="306" t="s">
        <v>1013</v>
      </c>
      <c r="S120" s="306" t="s">
        <v>1013</v>
      </c>
      <c r="T120" s="306" t="s">
        <v>1013</v>
      </c>
      <c r="U120" s="306" t="s">
        <v>1013</v>
      </c>
      <c r="V120" s="306" t="s">
        <v>1013</v>
      </c>
      <c r="W120" s="306" t="s">
        <v>1013</v>
      </c>
      <c r="X120" s="306" t="s">
        <v>1013</v>
      </c>
      <c r="Y120" s="306" t="s">
        <v>1153</v>
      </c>
      <c r="Z120" s="306" t="s">
        <v>1015</v>
      </c>
      <c r="AA120" s="306" t="s">
        <v>1013</v>
      </c>
    </row>
    <row r="121" spans="1:27">
      <c r="A121" s="306" t="s">
        <v>494</v>
      </c>
      <c r="B121" s="306" t="s">
        <v>1003</v>
      </c>
      <c r="C121" s="306" t="s">
        <v>1004</v>
      </c>
      <c r="D121" s="306" t="s">
        <v>2435</v>
      </c>
      <c r="E121" s="306" t="s">
        <v>1216</v>
      </c>
      <c r="F121" s="306" t="s">
        <v>1007</v>
      </c>
      <c r="G121" s="308">
        <v>46015</v>
      </c>
      <c r="H121" s="308">
        <v>46015</v>
      </c>
      <c r="I121" s="309">
        <v>-853.75</v>
      </c>
      <c r="J121" s="306" t="s">
        <v>1008</v>
      </c>
      <c r="K121" s="309">
        <v>-853.75</v>
      </c>
      <c r="L121" s="306" t="s">
        <v>1008</v>
      </c>
      <c r="M121" s="306" t="s">
        <v>1168</v>
      </c>
      <c r="N121" s="306" t="s">
        <v>1151</v>
      </c>
      <c r="O121" s="306" t="s">
        <v>1217</v>
      </c>
      <c r="P121" s="306" t="s">
        <v>244</v>
      </c>
      <c r="Q121" s="306" t="s">
        <v>1013</v>
      </c>
      <c r="R121" s="306" t="s">
        <v>1013</v>
      </c>
      <c r="S121" s="306" t="s">
        <v>1013</v>
      </c>
      <c r="T121" s="306" t="s">
        <v>1013</v>
      </c>
      <c r="U121" s="306" t="s">
        <v>1013</v>
      </c>
      <c r="V121" s="306" t="s">
        <v>1013</v>
      </c>
      <c r="W121" s="306" t="s">
        <v>1013</v>
      </c>
      <c r="X121" s="306" t="s">
        <v>1013</v>
      </c>
      <c r="Y121" s="306" t="s">
        <v>1153</v>
      </c>
      <c r="Z121" s="306" t="s">
        <v>1015</v>
      </c>
      <c r="AA121" s="306" t="s">
        <v>1013</v>
      </c>
    </row>
    <row r="122" spans="1:27">
      <c r="A122" s="306" t="s">
        <v>494</v>
      </c>
      <c r="B122" s="306" t="s">
        <v>1003</v>
      </c>
      <c r="C122" s="306" t="s">
        <v>1004</v>
      </c>
      <c r="D122" s="306" t="s">
        <v>2435</v>
      </c>
      <c r="E122" s="306" t="s">
        <v>1218</v>
      </c>
      <c r="F122" s="306" t="s">
        <v>1007</v>
      </c>
      <c r="G122" s="308">
        <v>46015</v>
      </c>
      <c r="H122" s="308">
        <v>46015</v>
      </c>
      <c r="I122" s="309">
        <v>-242.56</v>
      </c>
      <c r="J122" s="306" t="s">
        <v>1008</v>
      </c>
      <c r="K122" s="309">
        <v>-242.56</v>
      </c>
      <c r="L122" s="306" t="s">
        <v>1008</v>
      </c>
      <c r="M122" s="306" t="s">
        <v>1168</v>
      </c>
      <c r="N122" s="306" t="s">
        <v>1151</v>
      </c>
      <c r="O122" s="306" t="s">
        <v>1219</v>
      </c>
      <c r="P122" s="306" t="s">
        <v>244</v>
      </c>
      <c r="Q122" s="306" t="s">
        <v>1013</v>
      </c>
      <c r="R122" s="306" t="s">
        <v>1013</v>
      </c>
      <c r="S122" s="306" t="s">
        <v>1013</v>
      </c>
      <c r="T122" s="306" t="s">
        <v>1013</v>
      </c>
      <c r="U122" s="306" t="s">
        <v>1013</v>
      </c>
      <c r="V122" s="306" t="s">
        <v>1013</v>
      </c>
      <c r="W122" s="306" t="s">
        <v>1013</v>
      </c>
      <c r="X122" s="306" t="s">
        <v>1013</v>
      </c>
      <c r="Y122" s="306" t="s">
        <v>1153</v>
      </c>
      <c r="Z122" s="306" t="s">
        <v>1015</v>
      </c>
      <c r="AA122" s="306" t="s">
        <v>1013</v>
      </c>
    </row>
    <row r="123" spans="1:27">
      <c r="A123" s="306" t="s">
        <v>494</v>
      </c>
      <c r="B123" s="306" t="s">
        <v>1003</v>
      </c>
      <c r="C123" s="306" t="s">
        <v>1004</v>
      </c>
      <c r="D123" s="306" t="s">
        <v>2435</v>
      </c>
      <c r="E123" s="306" t="s">
        <v>1220</v>
      </c>
      <c r="F123" s="306" t="s">
        <v>1007</v>
      </c>
      <c r="G123" s="308">
        <v>46015</v>
      </c>
      <c r="H123" s="308">
        <v>46015</v>
      </c>
      <c r="I123" s="309">
        <v>-745001.46</v>
      </c>
      <c r="J123" s="306" t="s">
        <v>1008</v>
      </c>
      <c r="K123" s="309">
        <v>-745001.46</v>
      </c>
      <c r="L123" s="306" t="s">
        <v>1008</v>
      </c>
      <c r="M123" s="306" t="s">
        <v>1168</v>
      </c>
      <c r="N123" s="306" t="s">
        <v>1151</v>
      </c>
      <c r="O123" s="306" t="s">
        <v>1221</v>
      </c>
      <c r="P123" s="306" t="s">
        <v>244</v>
      </c>
      <c r="Q123" s="306" t="s">
        <v>1013</v>
      </c>
      <c r="R123" s="306" t="s">
        <v>1013</v>
      </c>
      <c r="S123" s="306" t="s">
        <v>1013</v>
      </c>
      <c r="T123" s="306" t="s">
        <v>1013</v>
      </c>
      <c r="U123" s="306" t="s">
        <v>1013</v>
      </c>
      <c r="V123" s="306" t="s">
        <v>1013</v>
      </c>
      <c r="W123" s="306" t="s">
        <v>1013</v>
      </c>
      <c r="X123" s="306" t="s">
        <v>1013</v>
      </c>
      <c r="Y123" s="306" t="s">
        <v>1153</v>
      </c>
      <c r="Z123" s="306" t="s">
        <v>1015</v>
      </c>
      <c r="AA123" s="306" t="s">
        <v>1013</v>
      </c>
    </row>
    <row r="124" spans="1:27">
      <c r="A124" s="306" t="s">
        <v>494</v>
      </c>
      <c r="B124" s="306" t="s">
        <v>1003</v>
      </c>
      <c r="C124" s="306" t="s">
        <v>1004</v>
      </c>
      <c r="D124" s="306" t="s">
        <v>2435</v>
      </c>
      <c r="E124" s="306" t="s">
        <v>1222</v>
      </c>
      <c r="F124" s="306" t="s">
        <v>1007</v>
      </c>
      <c r="G124" s="308">
        <v>46015</v>
      </c>
      <c r="H124" s="308">
        <v>46015</v>
      </c>
      <c r="I124" s="309">
        <v>-92.25</v>
      </c>
      <c r="J124" s="306" t="s">
        <v>1008</v>
      </c>
      <c r="K124" s="309">
        <v>-92.25</v>
      </c>
      <c r="L124" s="306" t="s">
        <v>1008</v>
      </c>
      <c r="M124" s="306" t="s">
        <v>1168</v>
      </c>
      <c r="N124" s="306" t="s">
        <v>1151</v>
      </c>
      <c r="O124" s="306" t="s">
        <v>1129</v>
      </c>
      <c r="P124" s="306" t="s">
        <v>244</v>
      </c>
      <c r="Q124" s="306" t="s">
        <v>1013</v>
      </c>
      <c r="R124" s="306" t="s">
        <v>1013</v>
      </c>
      <c r="S124" s="306" t="s">
        <v>1013</v>
      </c>
      <c r="T124" s="306" t="s">
        <v>1013</v>
      </c>
      <c r="U124" s="306" t="s">
        <v>1013</v>
      </c>
      <c r="V124" s="306" t="s">
        <v>1013</v>
      </c>
      <c r="W124" s="306" t="s">
        <v>1013</v>
      </c>
      <c r="X124" s="306" t="s">
        <v>1013</v>
      </c>
      <c r="Y124" s="306" t="s">
        <v>1153</v>
      </c>
      <c r="Z124" s="306" t="s">
        <v>1015</v>
      </c>
      <c r="AA124" s="306" t="s">
        <v>1013</v>
      </c>
    </row>
    <row r="125" spans="1:27">
      <c r="A125" s="306" t="s">
        <v>494</v>
      </c>
      <c r="B125" s="306" t="s">
        <v>1003</v>
      </c>
      <c r="C125" s="306" t="s">
        <v>1004</v>
      </c>
      <c r="D125" s="306" t="s">
        <v>2435</v>
      </c>
      <c r="E125" s="306" t="s">
        <v>1223</v>
      </c>
      <c r="F125" s="306" t="s">
        <v>1007</v>
      </c>
      <c r="G125" s="308">
        <v>46015</v>
      </c>
      <c r="H125" s="308">
        <v>46015</v>
      </c>
      <c r="I125" s="309">
        <v>-394.58</v>
      </c>
      <c r="J125" s="306" t="s">
        <v>1008</v>
      </c>
      <c r="K125" s="309">
        <v>-394.58</v>
      </c>
      <c r="L125" s="306" t="s">
        <v>1008</v>
      </c>
      <c r="M125" s="306" t="s">
        <v>1168</v>
      </c>
      <c r="N125" s="306" t="s">
        <v>1151</v>
      </c>
      <c r="O125" s="306" t="s">
        <v>1224</v>
      </c>
      <c r="P125" s="306" t="s">
        <v>244</v>
      </c>
      <c r="Q125" s="306" t="s">
        <v>1013</v>
      </c>
      <c r="R125" s="306" t="s">
        <v>1013</v>
      </c>
      <c r="S125" s="306" t="s">
        <v>1013</v>
      </c>
      <c r="T125" s="306" t="s">
        <v>1013</v>
      </c>
      <c r="U125" s="306" t="s">
        <v>1013</v>
      </c>
      <c r="V125" s="306" t="s">
        <v>1013</v>
      </c>
      <c r="W125" s="306" t="s">
        <v>1013</v>
      </c>
      <c r="X125" s="306" t="s">
        <v>1013</v>
      </c>
      <c r="Y125" s="306" t="s">
        <v>1153</v>
      </c>
      <c r="Z125" s="306" t="s">
        <v>1015</v>
      </c>
      <c r="AA125" s="306" t="s">
        <v>1013</v>
      </c>
    </row>
    <row r="126" spans="1:27">
      <c r="A126" s="306" t="s">
        <v>494</v>
      </c>
      <c r="B126" s="306" t="s">
        <v>1003</v>
      </c>
      <c r="C126" s="306" t="s">
        <v>1004</v>
      </c>
      <c r="D126" s="306" t="s">
        <v>2435</v>
      </c>
      <c r="E126" s="306" t="s">
        <v>1225</v>
      </c>
      <c r="F126" s="306" t="s">
        <v>1007</v>
      </c>
      <c r="G126" s="308">
        <v>46015</v>
      </c>
      <c r="H126" s="308">
        <v>46015</v>
      </c>
      <c r="I126" s="309">
        <v>-122419.81</v>
      </c>
      <c r="J126" s="306" t="s">
        <v>1008</v>
      </c>
      <c r="K126" s="309">
        <v>-122419.81</v>
      </c>
      <c r="L126" s="306" t="s">
        <v>1008</v>
      </c>
      <c r="M126" s="306" t="s">
        <v>1168</v>
      </c>
      <c r="N126" s="306" t="s">
        <v>1151</v>
      </c>
      <c r="O126" s="306" t="s">
        <v>1226</v>
      </c>
      <c r="P126" s="306" t="s">
        <v>244</v>
      </c>
      <c r="Q126" s="306" t="s">
        <v>1013</v>
      </c>
      <c r="R126" s="306" t="s">
        <v>1013</v>
      </c>
      <c r="S126" s="306" t="s">
        <v>1013</v>
      </c>
      <c r="T126" s="306" t="s">
        <v>1013</v>
      </c>
      <c r="U126" s="306" t="s">
        <v>1013</v>
      </c>
      <c r="V126" s="306" t="s">
        <v>1013</v>
      </c>
      <c r="W126" s="306" t="s">
        <v>1013</v>
      </c>
      <c r="X126" s="306" t="s">
        <v>1013</v>
      </c>
      <c r="Y126" s="306" t="s">
        <v>1153</v>
      </c>
      <c r="Z126" s="306" t="s">
        <v>1015</v>
      </c>
      <c r="AA126" s="306" t="s">
        <v>1013</v>
      </c>
    </row>
    <row r="127" spans="1:27">
      <c r="A127" s="306" t="s">
        <v>494</v>
      </c>
      <c r="B127" s="306" t="s">
        <v>1003</v>
      </c>
      <c r="C127" s="306" t="s">
        <v>1004</v>
      </c>
      <c r="D127" s="306" t="s">
        <v>2435</v>
      </c>
      <c r="E127" s="306" t="s">
        <v>1227</v>
      </c>
      <c r="F127" s="306" t="s">
        <v>1007</v>
      </c>
      <c r="G127" s="308">
        <v>46015</v>
      </c>
      <c r="H127" s="308">
        <v>46015</v>
      </c>
      <c r="I127" s="309">
        <v>-1205.6400000000001</v>
      </c>
      <c r="J127" s="306" t="s">
        <v>1008</v>
      </c>
      <c r="K127" s="309">
        <v>-1205.6400000000001</v>
      </c>
      <c r="L127" s="306" t="s">
        <v>1008</v>
      </c>
      <c r="M127" s="306" t="s">
        <v>1168</v>
      </c>
      <c r="N127" s="306" t="s">
        <v>1151</v>
      </c>
      <c r="O127" s="306" t="s">
        <v>1228</v>
      </c>
      <c r="P127" s="306" t="s">
        <v>244</v>
      </c>
      <c r="Q127" s="306" t="s">
        <v>1013</v>
      </c>
      <c r="R127" s="306" t="s">
        <v>1013</v>
      </c>
      <c r="S127" s="306" t="s">
        <v>1013</v>
      </c>
      <c r="T127" s="306" t="s">
        <v>1013</v>
      </c>
      <c r="U127" s="306" t="s">
        <v>1013</v>
      </c>
      <c r="V127" s="306" t="s">
        <v>1013</v>
      </c>
      <c r="W127" s="306" t="s">
        <v>1013</v>
      </c>
      <c r="X127" s="306" t="s">
        <v>1013</v>
      </c>
      <c r="Y127" s="306" t="s">
        <v>1153</v>
      </c>
      <c r="Z127" s="306" t="s">
        <v>1015</v>
      </c>
      <c r="AA127" s="306" t="s">
        <v>1013</v>
      </c>
    </row>
    <row r="128" spans="1:27">
      <c r="A128" s="306" t="s">
        <v>494</v>
      </c>
      <c r="B128" s="306" t="s">
        <v>1003</v>
      </c>
      <c r="C128" s="306" t="s">
        <v>1004</v>
      </c>
      <c r="D128" s="306" t="s">
        <v>2435</v>
      </c>
      <c r="E128" s="306" t="s">
        <v>1229</v>
      </c>
      <c r="F128" s="306" t="s">
        <v>1007</v>
      </c>
      <c r="G128" s="308">
        <v>46015</v>
      </c>
      <c r="H128" s="308">
        <v>46015</v>
      </c>
      <c r="I128" s="309">
        <v>-5221.7</v>
      </c>
      <c r="J128" s="306" t="s">
        <v>1008</v>
      </c>
      <c r="K128" s="309">
        <v>-5221.7</v>
      </c>
      <c r="L128" s="306" t="s">
        <v>1008</v>
      </c>
      <c r="M128" s="306" t="s">
        <v>1168</v>
      </c>
      <c r="N128" s="306" t="s">
        <v>1151</v>
      </c>
      <c r="O128" s="306" t="s">
        <v>1230</v>
      </c>
      <c r="P128" s="306" t="s">
        <v>244</v>
      </c>
      <c r="Q128" s="306" t="s">
        <v>1013</v>
      </c>
      <c r="R128" s="306" t="s">
        <v>1013</v>
      </c>
      <c r="S128" s="306" t="s">
        <v>1013</v>
      </c>
      <c r="T128" s="306" t="s">
        <v>1013</v>
      </c>
      <c r="U128" s="306" t="s">
        <v>1013</v>
      </c>
      <c r="V128" s="306" t="s">
        <v>1013</v>
      </c>
      <c r="W128" s="306" t="s">
        <v>1013</v>
      </c>
      <c r="X128" s="306" t="s">
        <v>1013</v>
      </c>
      <c r="Y128" s="306" t="s">
        <v>1153</v>
      </c>
      <c r="Z128" s="306" t="s">
        <v>1015</v>
      </c>
      <c r="AA128" s="306" t="s">
        <v>1013</v>
      </c>
    </row>
    <row r="129" spans="1:27">
      <c r="A129" s="306" t="s">
        <v>494</v>
      </c>
      <c r="B129" s="306" t="s">
        <v>1003</v>
      </c>
      <c r="C129" s="306" t="s">
        <v>1004</v>
      </c>
      <c r="D129" s="306" t="s">
        <v>2435</v>
      </c>
      <c r="E129" s="306" t="s">
        <v>1231</v>
      </c>
      <c r="F129" s="306" t="s">
        <v>1007</v>
      </c>
      <c r="G129" s="308">
        <v>46015</v>
      </c>
      <c r="H129" s="308">
        <v>46015</v>
      </c>
      <c r="I129" s="309">
        <v>-3336.08</v>
      </c>
      <c r="J129" s="306" t="s">
        <v>1008</v>
      </c>
      <c r="K129" s="309">
        <v>-3336.08</v>
      </c>
      <c r="L129" s="306" t="s">
        <v>1008</v>
      </c>
      <c r="M129" s="306" t="s">
        <v>1168</v>
      </c>
      <c r="N129" s="306" t="s">
        <v>1151</v>
      </c>
      <c r="O129" s="306" t="s">
        <v>1232</v>
      </c>
      <c r="P129" s="306" t="s">
        <v>244</v>
      </c>
      <c r="Q129" s="306" t="s">
        <v>1013</v>
      </c>
      <c r="R129" s="306" t="s">
        <v>1013</v>
      </c>
      <c r="S129" s="306" t="s">
        <v>1013</v>
      </c>
      <c r="T129" s="306" t="s">
        <v>1013</v>
      </c>
      <c r="U129" s="306" t="s">
        <v>1013</v>
      </c>
      <c r="V129" s="306" t="s">
        <v>1013</v>
      </c>
      <c r="W129" s="306" t="s">
        <v>1013</v>
      </c>
      <c r="X129" s="306" t="s">
        <v>1013</v>
      </c>
      <c r="Y129" s="306" t="s">
        <v>1153</v>
      </c>
      <c r="Z129" s="306" t="s">
        <v>1015</v>
      </c>
      <c r="AA129" s="306" t="s">
        <v>1013</v>
      </c>
    </row>
    <row r="130" spans="1:27">
      <c r="A130" s="306" t="s">
        <v>494</v>
      </c>
      <c r="B130" s="306" t="s">
        <v>1003</v>
      </c>
      <c r="C130" s="306" t="s">
        <v>1004</v>
      </c>
      <c r="D130" s="306" t="s">
        <v>2435</v>
      </c>
      <c r="E130" s="306" t="s">
        <v>1233</v>
      </c>
      <c r="F130" s="306" t="s">
        <v>1007</v>
      </c>
      <c r="G130" s="308">
        <v>46015</v>
      </c>
      <c r="H130" s="308">
        <v>46015</v>
      </c>
      <c r="I130" s="309">
        <v>-750854.91</v>
      </c>
      <c r="J130" s="306" t="s">
        <v>1008</v>
      </c>
      <c r="K130" s="309">
        <v>-750854.91</v>
      </c>
      <c r="L130" s="306" t="s">
        <v>1008</v>
      </c>
      <c r="M130" s="306" t="s">
        <v>1150</v>
      </c>
      <c r="N130" s="306" t="s">
        <v>1151</v>
      </c>
      <c r="O130" s="306" t="s">
        <v>1234</v>
      </c>
      <c r="P130" s="306" t="s">
        <v>244</v>
      </c>
      <c r="Q130" s="306" t="s">
        <v>1013</v>
      </c>
      <c r="R130" s="306" t="s">
        <v>1013</v>
      </c>
      <c r="S130" s="306" t="s">
        <v>1013</v>
      </c>
      <c r="T130" s="306" t="s">
        <v>1013</v>
      </c>
      <c r="U130" s="306" t="s">
        <v>1013</v>
      </c>
      <c r="V130" s="306" t="s">
        <v>1013</v>
      </c>
      <c r="W130" s="306" t="s">
        <v>1013</v>
      </c>
      <c r="X130" s="306" t="s">
        <v>1013</v>
      </c>
      <c r="Y130" s="306" t="s">
        <v>1153</v>
      </c>
      <c r="Z130" s="306" t="s">
        <v>1015</v>
      </c>
      <c r="AA130" s="306" t="s">
        <v>1013</v>
      </c>
    </row>
    <row r="131" spans="1:27">
      <c r="A131" s="306" t="s">
        <v>494</v>
      </c>
      <c r="B131" s="306" t="s">
        <v>1003</v>
      </c>
      <c r="C131" s="306" t="s">
        <v>1004</v>
      </c>
      <c r="D131" s="306" t="s">
        <v>2435</v>
      </c>
      <c r="E131" s="306" t="s">
        <v>1235</v>
      </c>
      <c r="F131" s="306" t="s">
        <v>1007</v>
      </c>
      <c r="G131" s="308">
        <v>46015</v>
      </c>
      <c r="H131" s="308">
        <v>46015</v>
      </c>
      <c r="I131" s="309">
        <v>-417485.22</v>
      </c>
      <c r="J131" s="306" t="s">
        <v>1008</v>
      </c>
      <c r="K131" s="309">
        <v>-417485.22</v>
      </c>
      <c r="L131" s="306" t="s">
        <v>1008</v>
      </c>
      <c r="M131" s="306" t="s">
        <v>1150</v>
      </c>
      <c r="N131" s="306" t="s">
        <v>1151</v>
      </c>
      <c r="O131" s="306" t="s">
        <v>1236</v>
      </c>
      <c r="P131" s="306" t="s">
        <v>244</v>
      </c>
      <c r="Q131" s="306" t="s">
        <v>1013</v>
      </c>
      <c r="R131" s="306" t="s">
        <v>1013</v>
      </c>
      <c r="S131" s="306" t="s">
        <v>1013</v>
      </c>
      <c r="T131" s="306" t="s">
        <v>1013</v>
      </c>
      <c r="U131" s="306" t="s">
        <v>1013</v>
      </c>
      <c r="V131" s="306" t="s">
        <v>1013</v>
      </c>
      <c r="W131" s="306" t="s">
        <v>1013</v>
      </c>
      <c r="X131" s="306" t="s">
        <v>1013</v>
      </c>
      <c r="Y131" s="306" t="s">
        <v>1153</v>
      </c>
      <c r="Z131" s="306" t="s">
        <v>1015</v>
      </c>
      <c r="AA131" s="306" t="s">
        <v>1013</v>
      </c>
    </row>
    <row r="132" spans="1:27">
      <c r="A132" s="306" t="s">
        <v>494</v>
      </c>
      <c r="B132" s="306" t="s">
        <v>1003</v>
      </c>
      <c r="C132" s="306" t="s">
        <v>1004</v>
      </c>
      <c r="D132" s="306" t="s">
        <v>2435</v>
      </c>
      <c r="E132" s="306" t="s">
        <v>1237</v>
      </c>
      <c r="F132" s="306" t="s">
        <v>1007</v>
      </c>
      <c r="G132" s="308">
        <v>46015</v>
      </c>
      <c r="H132" s="308">
        <v>46015</v>
      </c>
      <c r="I132" s="309">
        <v>-2037056.38</v>
      </c>
      <c r="J132" s="306" t="s">
        <v>1008</v>
      </c>
      <c r="K132" s="309">
        <v>-2037056.38</v>
      </c>
      <c r="L132" s="306" t="s">
        <v>1008</v>
      </c>
      <c r="M132" s="306" t="s">
        <v>1157</v>
      </c>
      <c r="N132" s="306" t="s">
        <v>1151</v>
      </c>
      <c r="O132" s="306" t="s">
        <v>1158</v>
      </c>
      <c r="P132" s="306" t="s">
        <v>244</v>
      </c>
      <c r="Q132" s="306" t="s">
        <v>1013</v>
      </c>
      <c r="R132" s="306" t="s">
        <v>1013</v>
      </c>
      <c r="S132" s="306" t="s">
        <v>1013</v>
      </c>
      <c r="T132" s="306" t="s">
        <v>1013</v>
      </c>
      <c r="U132" s="306" t="s">
        <v>1013</v>
      </c>
      <c r="V132" s="306" t="s">
        <v>1013</v>
      </c>
      <c r="W132" s="306" t="s">
        <v>1013</v>
      </c>
      <c r="X132" s="306" t="s">
        <v>1013</v>
      </c>
      <c r="Y132" s="306" t="s">
        <v>1153</v>
      </c>
      <c r="Z132" s="306" t="s">
        <v>1015</v>
      </c>
      <c r="AA132" s="306" t="s">
        <v>1013</v>
      </c>
    </row>
    <row r="133" spans="1:27">
      <c r="A133" s="306" t="s">
        <v>494</v>
      </c>
      <c r="B133" s="306" t="s">
        <v>1003</v>
      </c>
      <c r="C133" s="306" t="s">
        <v>1004</v>
      </c>
      <c r="D133" s="306" t="s">
        <v>2435</v>
      </c>
      <c r="E133" s="306" t="s">
        <v>1238</v>
      </c>
      <c r="F133" s="306" t="s">
        <v>1007</v>
      </c>
      <c r="G133" s="308">
        <v>46015</v>
      </c>
      <c r="H133" s="308">
        <v>46015</v>
      </c>
      <c r="I133" s="309">
        <v>-446289.98</v>
      </c>
      <c r="J133" s="306" t="s">
        <v>1008</v>
      </c>
      <c r="K133" s="309">
        <v>-446289.98</v>
      </c>
      <c r="L133" s="306" t="s">
        <v>1008</v>
      </c>
      <c r="M133" s="306" t="s">
        <v>1150</v>
      </c>
      <c r="N133" s="306" t="s">
        <v>1151</v>
      </c>
      <c r="O133" s="306" t="s">
        <v>1239</v>
      </c>
      <c r="P133" s="306" t="s">
        <v>244</v>
      </c>
      <c r="Q133" s="306" t="s">
        <v>1013</v>
      </c>
      <c r="R133" s="306" t="s">
        <v>1013</v>
      </c>
      <c r="S133" s="306" t="s">
        <v>1013</v>
      </c>
      <c r="T133" s="306" t="s">
        <v>1013</v>
      </c>
      <c r="U133" s="306" t="s">
        <v>1013</v>
      </c>
      <c r="V133" s="306" t="s">
        <v>1013</v>
      </c>
      <c r="W133" s="306" t="s">
        <v>1013</v>
      </c>
      <c r="X133" s="306" t="s">
        <v>1013</v>
      </c>
      <c r="Y133" s="306" t="s">
        <v>1153</v>
      </c>
      <c r="Z133" s="306" t="s">
        <v>1015</v>
      </c>
      <c r="AA133" s="306" t="s">
        <v>1013</v>
      </c>
    </row>
    <row r="134" spans="1:27">
      <c r="A134" s="306" t="s">
        <v>494</v>
      </c>
      <c r="B134" s="306" t="s">
        <v>1003</v>
      </c>
      <c r="C134" s="306" t="s">
        <v>1004</v>
      </c>
      <c r="D134" s="306" t="s">
        <v>2435</v>
      </c>
      <c r="E134" s="306" t="s">
        <v>1240</v>
      </c>
      <c r="F134" s="306" t="s">
        <v>1007</v>
      </c>
      <c r="G134" s="308">
        <v>46015</v>
      </c>
      <c r="H134" s="308">
        <v>46015</v>
      </c>
      <c r="I134" s="309">
        <v>-5450.92</v>
      </c>
      <c r="J134" s="306" t="s">
        <v>1008</v>
      </c>
      <c r="K134" s="309">
        <v>-5450.92</v>
      </c>
      <c r="L134" s="306" t="s">
        <v>1008</v>
      </c>
      <c r="M134" s="306" t="s">
        <v>1150</v>
      </c>
      <c r="N134" s="306" t="s">
        <v>1151</v>
      </c>
      <c r="O134" s="306" t="s">
        <v>1241</v>
      </c>
      <c r="P134" s="306" t="s">
        <v>244</v>
      </c>
      <c r="Q134" s="306" t="s">
        <v>1013</v>
      </c>
      <c r="R134" s="306" t="s">
        <v>1013</v>
      </c>
      <c r="S134" s="306" t="s">
        <v>1013</v>
      </c>
      <c r="T134" s="306" t="s">
        <v>1013</v>
      </c>
      <c r="U134" s="306" t="s">
        <v>1013</v>
      </c>
      <c r="V134" s="306" t="s">
        <v>1013</v>
      </c>
      <c r="W134" s="306" t="s">
        <v>1013</v>
      </c>
      <c r="X134" s="306" t="s">
        <v>1013</v>
      </c>
      <c r="Y134" s="306" t="s">
        <v>1153</v>
      </c>
      <c r="Z134" s="306" t="s">
        <v>1015</v>
      </c>
      <c r="AA134" s="306" t="s">
        <v>1013</v>
      </c>
    </row>
    <row r="135" spans="1:27">
      <c r="A135" s="306" t="s">
        <v>494</v>
      </c>
      <c r="B135" s="306" t="s">
        <v>1003</v>
      </c>
      <c r="C135" s="306" t="s">
        <v>1004</v>
      </c>
      <c r="D135" s="306" t="s">
        <v>2435</v>
      </c>
      <c r="E135" s="306" t="s">
        <v>1242</v>
      </c>
      <c r="F135" s="306" t="s">
        <v>1007</v>
      </c>
      <c r="G135" s="308">
        <v>46015</v>
      </c>
      <c r="H135" s="308">
        <v>46015</v>
      </c>
      <c r="I135" s="309">
        <v>-354.14</v>
      </c>
      <c r="J135" s="306" t="s">
        <v>1008</v>
      </c>
      <c r="K135" s="309">
        <v>-354.14</v>
      </c>
      <c r="L135" s="306" t="s">
        <v>1008</v>
      </c>
      <c r="M135" s="306" t="s">
        <v>1168</v>
      </c>
      <c r="N135" s="306" t="s">
        <v>1151</v>
      </c>
      <c r="O135" s="306" t="s">
        <v>1169</v>
      </c>
      <c r="P135" s="306" t="s">
        <v>244</v>
      </c>
      <c r="Q135" s="306" t="s">
        <v>1013</v>
      </c>
      <c r="R135" s="306" t="s">
        <v>1013</v>
      </c>
      <c r="S135" s="306" t="s">
        <v>1013</v>
      </c>
      <c r="T135" s="306" t="s">
        <v>1013</v>
      </c>
      <c r="U135" s="306" t="s">
        <v>1013</v>
      </c>
      <c r="V135" s="306" t="s">
        <v>1013</v>
      </c>
      <c r="W135" s="306" t="s">
        <v>1013</v>
      </c>
      <c r="X135" s="306" t="s">
        <v>1013</v>
      </c>
      <c r="Y135" s="306" t="s">
        <v>1153</v>
      </c>
      <c r="Z135" s="306" t="s">
        <v>1015</v>
      </c>
      <c r="AA135" s="306" t="s">
        <v>1013</v>
      </c>
    </row>
    <row r="136" spans="1:27">
      <c r="A136" s="306" t="s">
        <v>494</v>
      </c>
      <c r="B136" s="306" t="s">
        <v>1003</v>
      </c>
      <c r="C136" s="306" t="s">
        <v>1004</v>
      </c>
      <c r="D136" s="306" t="s">
        <v>2435</v>
      </c>
      <c r="E136" s="306" t="s">
        <v>1243</v>
      </c>
      <c r="F136" s="306" t="s">
        <v>1007</v>
      </c>
      <c r="G136" s="308">
        <v>46015</v>
      </c>
      <c r="H136" s="308">
        <v>46015</v>
      </c>
      <c r="I136" s="309">
        <v>-639.4</v>
      </c>
      <c r="J136" s="306" t="s">
        <v>1008</v>
      </c>
      <c r="K136" s="309">
        <v>-639.4</v>
      </c>
      <c r="L136" s="306" t="s">
        <v>1008</v>
      </c>
      <c r="M136" s="306" t="s">
        <v>1168</v>
      </c>
      <c r="N136" s="306" t="s">
        <v>1151</v>
      </c>
      <c r="O136" s="306" t="s">
        <v>1171</v>
      </c>
      <c r="P136" s="306" t="s">
        <v>244</v>
      </c>
      <c r="Q136" s="306" t="s">
        <v>1013</v>
      </c>
      <c r="R136" s="306" t="s">
        <v>1013</v>
      </c>
      <c r="S136" s="306" t="s">
        <v>1013</v>
      </c>
      <c r="T136" s="306" t="s">
        <v>1013</v>
      </c>
      <c r="U136" s="306" t="s">
        <v>1013</v>
      </c>
      <c r="V136" s="306" t="s">
        <v>1013</v>
      </c>
      <c r="W136" s="306" t="s">
        <v>1013</v>
      </c>
      <c r="X136" s="306" t="s">
        <v>1013</v>
      </c>
      <c r="Y136" s="306" t="s">
        <v>1153</v>
      </c>
      <c r="Z136" s="306" t="s">
        <v>1015</v>
      </c>
      <c r="AA136" s="306" t="s">
        <v>1013</v>
      </c>
    </row>
    <row r="137" spans="1:27">
      <c r="A137" s="306" t="s">
        <v>494</v>
      </c>
      <c r="B137" s="306" t="s">
        <v>1003</v>
      </c>
      <c r="C137" s="306" t="s">
        <v>1004</v>
      </c>
      <c r="D137" s="306" t="s">
        <v>2435</v>
      </c>
      <c r="E137" s="306" t="s">
        <v>1244</v>
      </c>
      <c r="F137" s="306" t="s">
        <v>1007</v>
      </c>
      <c r="G137" s="308">
        <v>46015</v>
      </c>
      <c r="H137" s="308">
        <v>46015</v>
      </c>
      <c r="I137" s="309">
        <v>-278826.21000000002</v>
      </c>
      <c r="J137" s="306" t="s">
        <v>1008</v>
      </c>
      <c r="K137" s="309">
        <v>-278826.21000000002</v>
      </c>
      <c r="L137" s="306" t="s">
        <v>1008</v>
      </c>
      <c r="M137" s="306" t="s">
        <v>1150</v>
      </c>
      <c r="N137" s="306" t="s">
        <v>1151</v>
      </c>
      <c r="O137" s="306" t="s">
        <v>1245</v>
      </c>
      <c r="P137" s="306" t="s">
        <v>244</v>
      </c>
      <c r="Q137" s="306" t="s">
        <v>1013</v>
      </c>
      <c r="R137" s="306" t="s">
        <v>1013</v>
      </c>
      <c r="S137" s="306" t="s">
        <v>1013</v>
      </c>
      <c r="T137" s="306" t="s">
        <v>1013</v>
      </c>
      <c r="U137" s="306" t="s">
        <v>1013</v>
      </c>
      <c r="V137" s="306" t="s">
        <v>1013</v>
      </c>
      <c r="W137" s="306" t="s">
        <v>1013</v>
      </c>
      <c r="X137" s="306" t="s">
        <v>1013</v>
      </c>
      <c r="Y137" s="306" t="s">
        <v>1153</v>
      </c>
      <c r="Z137" s="306" t="s">
        <v>1015</v>
      </c>
      <c r="AA137" s="306" t="s">
        <v>1013</v>
      </c>
    </row>
    <row r="138" spans="1:27">
      <c r="A138" s="306" t="s">
        <v>494</v>
      </c>
      <c r="B138" s="306" t="s">
        <v>1003</v>
      </c>
      <c r="C138" s="306" t="s">
        <v>1004</v>
      </c>
      <c r="D138" s="306" t="s">
        <v>2435</v>
      </c>
      <c r="E138" s="306" t="s">
        <v>1246</v>
      </c>
      <c r="F138" s="306" t="s">
        <v>1007</v>
      </c>
      <c r="G138" s="308">
        <v>46015</v>
      </c>
      <c r="H138" s="308">
        <v>46015</v>
      </c>
      <c r="I138" s="309">
        <v>-693.48</v>
      </c>
      <c r="J138" s="306" t="s">
        <v>1008</v>
      </c>
      <c r="K138" s="309">
        <v>-693.48</v>
      </c>
      <c r="L138" s="306" t="s">
        <v>1008</v>
      </c>
      <c r="M138" s="306" t="s">
        <v>1168</v>
      </c>
      <c r="N138" s="306" t="s">
        <v>1151</v>
      </c>
      <c r="O138" s="306" t="s">
        <v>1247</v>
      </c>
      <c r="P138" s="306" t="s">
        <v>244</v>
      </c>
      <c r="Q138" s="306" t="s">
        <v>1013</v>
      </c>
      <c r="R138" s="306" t="s">
        <v>1013</v>
      </c>
      <c r="S138" s="306" t="s">
        <v>1013</v>
      </c>
      <c r="T138" s="306" t="s">
        <v>1013</v>
      </c>
      <c r="U138" s="306" t="s">
        <v>1013</v>
      </c>
      <c r="V138" s="306" t="s">
        <v>1013</v>
      </c>
      <c r="W138" s="306" t="s">
        <v>1013</v>
      </c>
      <c r="X138" s="306" t="s">
        <v>1013</v>
      </c>
      <c r="Y138" s="306" t="s">
        <v>1153</v>
      </c>
      <c r="Z138" s="306" t="s">
        <v>1015</v>
      </c>
      <c r="AA138" s="306" t="s">
        <v>1013</v>
      </c>
    </row>
    <row r="139" spans="1:27">
      <c r="A139" s="306" t="s">
        <v>494</v>
      </c>
      <c r="B139" s="306" t="s">
        <v>1003</v>
      </c>
      <c r="C139" s="306" t="s">
        <v>1004</v>
      </c>
      <c r="D139" s="306" t="s">
        <v>2435</v>
      </c>
      <c r="E139" s="306" t="s">
        <v>1248</v>
      </c>
      <c r="F139" s="306" t="s">
        <v>1007</v>
      </c>
      <c r="G139" s="308">
        <v>46015</v>
      </c>
      <c r="H139" s="308">
        <v>46015</v>
      </c>
      <c r="I139" s="309">
        <v>-64933517.090000004</v>
      </c>
      <c r="J139" s="306" t="s">
        <v>1008</v>
      </c>
      <c r="K139" s="309">
        <v>-64933517.090000004</v>
      </c>
      <c r="L139" s="306" t="s">
        <v>1008</v>
      </c>
      <c r="M139" s="306" t="s">
        <v>1150</v>
      </c>
      <c r="N139" s="306" t="s">
        <v>1151</v>
      </c>
      <c r="O139" s="306" t="s">
        <v>1249</v>
      </c>
      <c r="P139" s="306" t="s">
        <v>244</v>
      </c>
      <c r="Q139" s="306" t="s">
        <v>1013</v>
      </c>
      <c r="R139" s="306" t="s">
        <v>1013</v>
      </c>
      <c r="S139" s="306" t="s">
        <v>1013</v>
      </c>
      <c r="T139" s="306" t="s">
        <v>1013</v>
      </c>
      <c r="U139" s="306" t="s">
        <v>1013</v>
      </c>
      <c r="V139" s="306" t="s">
        <v>1013</v>
      </c>
      <c r="W139" s="306" t="s">
        <v>1013</v>
      </c>
      <c r="X139" s="306" t="s">
        <v>1013</v>
      </c>
      <c r="Y139" s="306" t="s">
        <v>1153</v>
      </c>
      <c r="Z139" s="306" t="s">
        <v>1015</v>
      </c>
      <c r="AA139" s="306" t="s">
        <v>1013</v>
      </c>
    </row>
    <row r="140" spans="1:27">
      <c r="A140" s="306" t="s">
        <v>494</v>
      </c>
      <c r="B140" s="306" t="s">
        <v>1003</v>
      </c>
      <c r="C140" s="306" t="s">
        <v>1004</v>
      </c>
      <c r="D140" s="306" t="s">
        <v>2435</v>
      </c>
      <c r="E140" s="306" t="s">
        <v>1250</v>
      </c>
      <c r="F140" s="306" t="s">
        <v>1007</v>
      </c>
      <c r="G140" s="308">
        <v>46015</v>
      </c>
      <c r="H140" s="308">
        <v>46015</v>
      </c>
      <c r="I140" s="309">
        <v>-65089.56</v>
      </c>
      <c r="J140" s="306" t="s">
        <v>1008</v>
      </c>
      <c r="K140" s="309">
        <v>-65089.56</v>
      </c>
      <c r="L140" s="306" t="s">
        <v>1008</v>
      </c>
      <c r="M140" s="306" t="s">
        <v>1150</v>
      </c>
      <c r="N140" s="306" t="s">
        <v>1151</v>
      </c>
      <c r="O140" s="306" t="s">
        <v>1251</v>
      </c>
      <c r="P140" s="306" t="s">
        <v>244</v>
      </c>
      <c r="Q140" s="306" t="s">
        <v>1013</v>
      </c>
      <c r="R140" s="306" t="s">
        <v>1013</v>
      </c>
      <c r="S140" s="306" t="s">
        <v>1013</v>
      </c>
      <c r="T140" s="306" t="s">
        <v>1013</v>
      </c>
      <c r="U140" s="306" t="s">
        <v>1013</v>
      </c>
      <c r="V140" s="306" t="s">
        <v>1013</v>
      </c>
      <c r="W140" s="306" t="s">
        <v>1013</v>
      </c>
      <c r="X140" s="306" t="s">
        <v>1013</v>
      </c>
      <c r="Y140" s="306" t="s">
        <v>1153</v>
      </c>
      <c r="Z140" s="306" t="s">
        <v>1015</v>
      </c>
      <c r="AA140" s="306" t="s">
        <v>1013</v>
      </c>
    </row>
    <row r="141" spans="1:27">
      <c r="A141" s="306" t="s">
        <v>494</v>
      </c>
      <c r="B141" s="306" t="s">
        <v>1003</v>
      </c>
      <c r="C141" s="306" t="s">
        <v>1004</v>
      </c>
      <c r="D141" s="306" t="s">
        <v>2435</v>
      </c>
      <c r="E141" s="306" t="s">
        <v>1252</v>
      </c>
      <c r="F141" s="306" t="s">
        <v>1007</v>
      </c>
      <c r="G141" s="308">
        <v>46015</v>
      </c>
      <c r="H141" s="308">
        <v>46015</v>
      </c>
      <c r="I141" s="309">
        <v>-30164.52</v>
      </c>
      <c r="J141" s="306" t="s">
        <v>1008</v>
      </c>
      <c r="K141" s="309">
        <v>-30164.52</v>
      </c>
      <c r="L141" s="306" t="s">
        <v>1008</v>
      </c>
      <c r="M141" s="306" t="s">
        <v>1168</v>
      </c>
      <c r="N141" s="306" t="s">
        <v>1151</v>
      </c>
      <c r="O141" s="306" t="s">
        <v>1253</v>
      </c>
      <c r="P141" s="306" t="s">
        <v>244</v>
      </c>
      <c r="Q141" s="306" t="s">
        <v>1013</v>
      </c>
      <c r="R141" s="306" t="s">
        <v>1013</v>
      </c>
      <c r="S141" s="306" t="s">
        <v>1013</v>
      </c>
      <c r="T141" s="306" t="s">
        <v>1013</v>
      </c>
      <c r="U141" s="306" t="s">
        <v>1013</v>
      </c>
      <c r="V141" s="306" t="s">
        <v>1013</v>
      </c>
      <c r="W141" s="306" t="s">
        <v>1013</v>
      </c>
      <c r="X141" s="306" t="s">
        <v>1013</v>
      </c>
      <c r="Y141" s="306" t="s">
        <v>1153</v>
      </c>
      <c r="Z141" s="306" t="s">
        <v>1015</v>
      </c>
      <c r="AA141" s="306" t="s">
        <v>1013</v>
      </c>
    </row>
    <row r="142" spans="1:27">
      <c r="A142" s="306" t="s">
        <v>494</v>
      </c>
      <c r="B142" s="306" t="s">
        <v>1003</v>
      </c>
      <c r="C142" s="306" t="s">
        <v>1004</v>
      </c>
      <c r="D142" s="306" t="s">
        <v>2435</v>
      </c>
      <c r="E142" s="306" t="s">
        <v>1254</v>
      </c>
      <c r="F142" s="306" t="s">
        <v>1007</v>
      </c>
      <c r="G142" s="308">
        <v>46015</v>
      </c>
      <c r="H142" s="308">
        <v>46015</v>
      </c>
      <c r="I142" s="309">
        <v>-3378.42</v>
      </c>
      <c r="J142" s="306" t="s">
        <v>1008</v>
      </c>
      <c r="K142" s="309">
        <v>-3378.42</v>
      </c>
      <c r="L142" s="306" t="s">
        <v>1008</v>
      </c>
      <c r="M142" s="306" t="s">
        <v>1150</v>
      </c>
      <c r="N142" s="306" t="s">
        <v>1151</v>
      </c>
      <c r="O142" s="306" t="s">
        <v>1255</v>
      </c>
      <c r="P142" s="306" t="s">
        <v>244</v>
      </c>
      <c r="Q142" s="306" t="s">
        <v>1013</v>
      </c>
      <c r="R142" s="306" t="s">
        <v>1013</v>
      </c>
      <c r="S142" s="306" t="s">
        <v>1013</v>
      </c>
      <c r="T142" s="306" t="s">
        <v>1013</v>
      </c>
      <c r="U142" s="306" t="s">
        <v>1013</v>
      </c>
      <c r="V142" s="306" t="s">
        <v>1013</v>
      </c>
      <c r="W142" s="306" t="s">
        <v>1013</v>
      </c>
      <c r="X142" s="306" t="s">
        <v>1013</v>
      </c>
      <c r="Y142" s="306" t="s">
        <v>1153</v>
      </c>
      <c r="Z142" s="306" t="s">
        <v>1015</v>
      </c>
      <c r="AA142" s="306" t="s">
        <v>1013</v>
      </c>
    </row>
    <row r="143" spans="1:27">
      <c r="A143" s="306" t="s">
        <v>494</v>
      </c>
      <c r="B143" s="306" t="s">
        <v>1003</v>
      </c>
      <c r="C143" s="306" t="s">
        <v>1004</v>
      </c>
      <c r="D143" s="306" t="s">
        <v>2435</v>
      </c>
      <c r="E143" s="306" t="s">
        <v>1256</v>
      </c>
      <c r="F143" s="306" t="s">
        <v>1007</v>
      </c>
      <c r="G143" s="308">
        <v>46015</v>
      </c>
      <c r="H143" s="308">
        <v>46015</v>
      </c>
      <c r="I143" s="309">
        <v>-1017003.23</v>
      </c>
      <c r="J143" s="306" t="s">
        <v>1008</v>
      </c>
      <c r="K143" s="309">
        <v>-1017003.23</v>
      </c>
      <c r="L143" s="306" t="s">
        <v>1008</v>
      </c>
      <c r="M143" s="306" t="s">
        <v>1157</v>
      </c>
      <c r="N143" s="306" t="s">
        <v>1151</v>
      </c>
      <c r="O143" s="306" t="s">
        <v>1177</v>
      </c>
      <c r="P143" s="306" t="s">
        <v>244</v>
      </c>
      <c r="Q143" s="306" t="s">
        <v>1013</v>
      </c>
      <c r="R143" s="306" t="s">
        <v>1013</v>
      </c>
      <c r="S143" s="306" t="s">
        <v>1013</v>
      </c>
      <c r="T143" s="306" t="s">
        <v>1013</v>
      </c>
      <c r="U143" s="306" t="s">
        <v>1013</v>
      </c>
      <c r="V143" s="306" t="s">
        <v>1013</v>
      </c>
      <c r="W143" s="306" t="s">
        <v>1013</v>
      </c>
      <c r="X143" s="306" t="s">
        <v>1013</v>
      </c>
      <c r="Y143" s="306" t="s">
        <v>1153</v>
      </c>
      <c r="Z143" s="306" t="s">
        <v>1015</v>
      </c>
      <c r="AA143" s="306" t="s">
        <v>1013</v>
      </c>
    </row>
    <row r="144" spans="1:27">
      <c r="A144" s="306" t="s">
        <v>494</v>
      </c>
      <c r="B144" s="306" t="s">
        <v>1003</v>
      </c>
      <c r="C144" s="306" t="s">
        <v>1004</v>
      </c>
      <c r="D144" s="306" t="s">
        <v>2435</v>
      </c>
      <c r="E144" s="306" t="s">
        <v>1257</v>
      </c>
      <c r="F144" s="306" t="s">
        <v>1007</v>
      </c>
      <c r="G144" s="308">
        <v>46015</v>
      </c>
      <c r="H144" s="308">
        <v>46015</v>
      </c>
      <c r="I144" s="309">
        <v>-281086.33</v>
      </c>
      <c r="J144" s="306" t="s">
        <v>1008</v>
      </c>
      <c r="K144" s="309">
        <v>-281086.33</v>
      </c>
      <c r="L144" s="306" t="s">
        <v>1008</v>
      </c>
      <c r="M144" s="306" t="s">
        <v>1150</v>
      </c>
      <c r="N144" s="306" t="s">
        <v>1151</v>
      </c>
      <c r="O144" s="306" t="s">
        <v>1258</v>
      </c>
      <c r="P144" s="306" t="s">
        <v>244</v>
      </c>
      <c r="Q144" s="306" t="s">
        <v>1013</v>
      </c>
      <c r="R144" s="306" t="s">
        <v>1013</v>
      </c>
      <c r="S144" s="306" t="s">
        <v>1013</v>
      </c>
      <c r="T144" s="306" t="s">
        <v>1013</v>
      </c>
      <c r="U144" s="306" t="s">
        <v>1013</v>
      </c>
      <c r="V144" s="306" t="s">
        <v>1013</v>
      </c>
      <c r="W144" s="306" t="s">
        <v>1013</v>
      </c>
      <c r="X144" s="306" t="s">
        <v>1013</v>
      </c>
      <c r="Y144" s="306" t="s">
        <v>1153</v>
      </c>
      <c r="Z144" s="306" t="s">
        <v>1015</v>
      </c>
      <c r="AA144" s="306" t="s">
        <v>1013</v>
      </c>
    </row>
    <row r="145" spans="1:27">
      <c r="A145" s="306" t="s">
        <v>494</v>
      </c>
      <c r="B145" s="306" t="s">
        <v>1003</v>
      </c>
      <c r="C145" s="306" t="s">
        <v>1004</v>
      </c>
      <c r="D145" s="306" t="s">
        <v>2435</v>
      </c>
      <c r="E145" s="306" t="s">
        <v>1259</v>
      </c>
      <c r="F145" s="306" t="s">
        <v>1007</v>
      </c>
      <c r="G145" s="308">
        <v>46015</v>
      </c>
      <c r="H145" s="308">
        <v>46015</v>
      </c>
      <c r="I145" s="309">
        <v>-9355.6200000000008</v>
      </c>
      <c r="J145" s="306" t="s">
        <v>1008</v>
      </c>
      <c r="K145" s="309">
        <v>-9355.6200000000008</v>
      </c>
      <c r="L145" s="306" t="s">
        <v>1008</v>
      </c>
      <c r="M145" s="306" t="s">
        <v>1150</v>
      </c>
      <c r="N145" s="306" t="s">
        <v>1151</v>
      </c>
      <c r="O145" s="306" t="s">
        <v>1260</v>
      </c>
      <c r="P145" s="306" t="s">
        <v>244</v>
      </c>
      <c r="Q145" s="306" t="s">
        <v>1013</v>
      </c>
      <c r="R145" s="306" t="s">
        <v>1013</v>
      </c>
      <c r="S145" s="306" t="s">
        <v>1013</v>
      </c>
      <c r="T145" s="306" t="s">
        <v>1013</v>
      </c>
      <c r="U145" s="306" t="s">
        <v>1013</v>
      </c>
      <c r="V145" s="306" t="s">
        <v>1013</v>
      </c>
      <c r="W145" s="306" t="s">
        <v>1013</v>
      </c>
      <c r="X145" s="306" t="s">
        <v>1013</v>
      </c>
      <c r="Y145" s="306" t="s">
        <v>1153</v>
      </c>
      <c r="Z145" s="306" t="s">
        <v>1015</v>
      </c>
      <c r="AA145" s="306" t="s">
        <v>1013</v>
      </c>
    </row>
    <row r="146" spans="1:27">
      <c r="A146" s="306" t="s">
        <v>494</v>
      </c>
      <c r="B146" s="306" t="s">
        <v>1003</v>
      </c>
      <c r="C146" s="306" t="s">
        <v>1004</v>
      </c>
      <c r="D146" s="306" t="s">
        <v>2435</v>
      </c>
      <c r="E146" s="306" t="s">
        <v>1261</v>
      </c>
      <c r="F146" s="306" t="s">
        <v>1007</v>
      </c>
      <c r="G146" s="308">
        <v>46015</v>
      </c>
      <c r="H146" s="308">
        <v>46015</v>
      </c>
      <c r="I146" s="309">
        <v>-2403.3000000000002</v>
      </c>
      <c r="J146" s="306" t="s">
        <v>1008</v>
      </c>
      <c r="K146" s="309">
        <v>-2403.3000000000002</v>
      </c>
      <c r="L146" s="306" t="s">
        <v>1008</v>
      </c>
      <c r="M146" s="306" t="s">
        <v>1150</v>
      </c>
      <c r="N146" s="306" t="s">
        <v>1151</v>
      </c>
      <c r="O146" s="306" t="s">
        <v>1262</v>
      </c>
      <c r="P146" s="306" t="s">
        <v>244</v>
      </c>
      <c r="Q146" s="306" t="s">
        <v>1013</v>
      </c>
      <c r="R146" s="306" t="s">
        <v>1013</v>
      </c>
      <c r="S146" s="306" t="s">
        <v>1013</v>
      </c>
      <c r="T146" s="306" t="s">
        <v>1013</v>
      </c>
      <c r="U146" s="306" t="s">
        <v>1013</v>
      </c>
      <c r="V146" s="306" t="s">
        <v>1013</v>
      </c>
      <c r="W146" s="306" t="s">
        <v>1013</v>
      </c>
      <c r="X146" s="306" t="s">
        <v>1013</v>
      </c>
      <c r="Y146" s="306" t="s">
        <v>1153</v>
      </c>
      <c r="Z146" s="306" t="s">
        <v>1015</v>
      </c>
      <c r="AA146" s="306" t="s">
        <v>1013</v>
      </c>
    </row>
    <row r="147" spans="1:27">
      <c r="A147" s="306" t="s">
        <v>494</v>
      </c>
      <c r="B147" s="306" t="s">
        <v>1003</v>
      </c>
      <c r="C147" s="306" t="s">
        <v>1004</v>
      </c>
      <c r="D147" s="306" t="s">
        <v>2435</v>
      </c>
      <c r="E147" s="306" t="s">
        <v>1263</v>
      </c>
      <c r="F147" s="306" t="s">
        <v>1007</v>
      </c>
      <c r="G147" s="308">
        <v>46015</v>
      </c>
      <c r="H147" s="308">
        <v>46015</v>
      </c>
      <c r="I147" s="309">
        <v>-922.5</v>
      </c>
      <c r="J147" s="306" t="s">
        <v>1008</v>
      </c>
      <c r="K147" s="309">
        <v>-922.5</v>
      </c>
      <c r="L147" s="306" t="s">
        <v>1008</v>
      </c>
      <c r="M147" s="306" t="s">
        <v>1168</v>
      </c>
      <c r="N147" s="306" t="s">
        <v>1151</v>
      </c>
      <c r="O147" s="306" t="s">
        <v>1264</v>
      </c>
      <c r="P147" s="306" t="s">
        <v>244</v>
      </c>
      <c r="Q147" s="306" t="s">
        <v>1013</v>
      </c>
      <c r="R147" s="306" t="s">
        <v>1013</v>
      </c>
      <c r="S147" s="306" t="s">
        <v>1013</v>
      </c>
      <c r="T147" s="306" t="s">
        <v>1013</v>
      </c>
      <c r="U147" s="306" t="s">
        <v>1013</v>
      </c>
      <c r="V147" s="306" t="s">
        <v>1013</v>
      </c>
      <c r="W147" s="306" t="s">
        <v>1013</v>
      </c>
      <c r="X147" s="306" t="s">
        <v>1013</v>
      </c>
      <c r="Y147" s="306" t="s">
        <v>1153</v>
      </c>
      <c r="Z147" s="306" t="s">
        <v>1015</v>
      </c>
      <c r="AA147" s="306" t="s">
        <v>1013</v>
      </c>
    </row>
    <row r="148" spans="1:27">
      <c r="A148" s="306" t="s">
        <v>494</v>
      </c>
      <c r="B148" s="306" t="s">
        <v>1003</v>
      </c>
      <c r="C148" s="306" t="s">
        <v>1004</v>
      </c>
      <c r="D148" s="306" t="s">
        <v>2435</v>
      </c>
      <c r="E148" s="306" t="s">
        <v>1265</v>
      </c>
      <c r="F148" s="306" t="s">
        <v>1007</v>
      </c>
      <c r="G148" s="308">
        <v>46015</v>
      </c>
      <c r="H148" s="308">
        <v>46015</v>
      </c>
      <c r="I148" s="309">
        <v>-54532.98</v>
      </c>
      <c r="J148" s="306" t="s">
        <v>1008</v>
      </c>
      <c r="K148" s="309">
        <v>-54532.98</v>
      </c>
      <c r="L148" s="306" t="s">
        <v>1008</v>
      </c>
      <c r="M148" s="306" t="s">
        <v>1150</v>
      </c>
      <c r="N148" s="306" t="s">
        <v>1151</v>
      </c>
      <c r="O148" s="306" t="s">
        <v>1266</v>
      </c>
      <c r="P148" s="306" t="s">
        <v>244</v>
      </c>
      <c r="Q148" s="306" t="s">
        <v>1013</v>
      </c>
      <c r="R148" s="306" t="s">
        <v>1013</v>
      </c>
      <c r="S148" s="306" t="s">
        <v>1013</v>
      </c>
      <c r="T148" s="306" t="s">
        <v>1013</v>
      </c>
      <c r="U148" s="306" t="s">
        <v>1013</v>
      </c>
      <c r="V148" s="306" t="s">
        <v>1013</v>
      </c>
      <c r="W148" s="306" t="s">
        <v>1013</v>
      </c>
      <c r="X148" s="306" t="s">
        <v>1013</v>
      </c>
      <c r="Y148" s="306" t="s">
        <v>1153</v>
      </c>
      <c r="Z148" s="306" t="s">
        <v>1015</v>
      </c>
      <c r="AA148" s="306" t="s">
        <v>1013</v>
      </c>
    </row>
    <row r="149" spans="1:27">
      <c r="A149" s="306" t="s">
        <v>494</v>
      </c>
      <c r="B149" s="306" t="s">
        <v>1003</v>
      </c>
      <c r="C149" s="306" t="s">
        <v>1004</v>
      </c>
      <c r="D149" s="306" t="s">
        <v>2435</v>
      </c>
      <c r="E149" s="306" t="s">
        <v>1267</v>
      </c>
      <c r="F149" s="306" t="s">
        <v>1007</v>
      </c>
      <c r="G149" s="308">
        <v>46015</v>
      </c>
      <c r="H149" s="308">
        <v>46015</v>
      </c>
      <c r="I149" s="309">
        <v>-94923.88</v>
      </c>
      <c r="J149" s="306" t="s">
        <v>1008</v>
      </c>
      <c r="K149" s="309">
        <v>-94923.88</v>
      </c>
      <c r="L149" s="306" t="s">
        <v>1008</v>
      </c>
      <c r="M149" s="306" t="s">
        <v>1150</v>
      </c>
      <c r="N149" s="306" t="s">
        <v>1151</v>
      </c>
      <c r="O149" s="306" t="s">
        <v>1268</v>
      </c>
      <c r="P149" s="306" t="s">
        <v>244</v>
      </c>
      <c r="Q149" s="306" t="s">
        <v>1013</v>
      </c>
      <c r="R149" s="306" t="s">
        <v>1013</v>
      </c>
      <c r="S149" s="306" t="s">
        <v>1013</v>
      </c>
      <c r="T149" s="306" t="s">
        <v>1013</v>
      </c>
      <c r="U149" s="306" t="s">
        <v>1013</v>
      </c>
      <c r="V149" s="306" t="s">
        <v>1013</v>
      </c>
      <c r="W149" s="306" t="s">
        <v>1013</v>
      </c>
      <c r="X149" s="306" t="s">
        <v>1013</v>
      </c>
      <c r="Y149" s="306" t="s">
        <v>1153</v>
      </c>
      <c r="Z149" s="306" t="s">
        <v>1015</v>
      </c>
      <c r="AA149" s="306" t="s">
        <v>1013</v>
      </c>
    </row>
    <row r="150" spans="1:27">
      <c r="A150" s="306" t="s">
        <v>494</v>
      </c>
      <c r="B150" s="306" t="s">
        <v>1003</v>
      </c>
      <c r="C150" s="306" t="s">
        <v>1004</v>
      </c>
      <c r="D150" s="306" t="s">
        <v>2435</v>
      </c>
      <c r="E150" s="306" t="s">
        <v>1269</v>
      </c>
      <c r="F150" s="306" t="s">
        <v>1007</v>
      </c>
      <c r="G150" s="308">
        <v>46015</v>
      </c>
      <c r="H150" s="308">
        <v>46015</v>
      </c>
      <c r="I150" s="309">
        <v>-413.19</v>
      </c>
      <c r="J150" s="306" t="s">
        <v>1008</v>
      </c>
      <c r="K150" s="309">
        <v>-413.19</v>
      </c>
      <c r="L150" s="306" t="s">
        <v>1008</v>
      </c>
      <c r="M150" s="306" t="s">
        <v>1168</v>
      </c>
      <c r="N150" s="306" t="s">
        <v>1151</v>
      </c>
      <c r="O150" s="306" t="s">
        <v>1179</v>
      </c>
      <c r="P150" s="306" t="s">
        <v>244</v>
      </c>
      <c r="Q150" s="306" t="s">
        <v>1013</v>
      </c>
      <c r="R150" s="306" t="s">
        <v>1013</v>
      </c>
      <c r="S150" s="306" t="s">
        <v>1013</v>
      </c>
      <c r="T150" s="306" t="s">
        <v>1013</v>
      </c>
      <c r="U150" s="306" t="s">
        <v>1013</v>
      </c>
      <c r="V150" s="306" t="s">
        <v>1013</v>
      </c>
      <c r="W150" s="306" t="s">
        <v>1013</v>
      </c>
      <c r="X150" s="306" t="s">
        <v>1013</v>
      </c>
      <c r="Y150" s="306" t="s">
        <v>1153</v>
      </c>
      <c r="Z150" s="306" t="s">
        <v>1015</v>
      </c>
      <c r="AA150" s="306" t="s">
        <v>1013</v>
      </c>
    </row>
    <row r="151" spans="1:27">
      <c r="A151" s="306" t="s">
        <v>494</v>
      </c>
      <c r="B151" s="306" t="s">
        <v>1003</v>
      </c>
      <c r="C151" s="306" t="s">
        <v>1004</v>
      </c>
      <c r="D151" s="306" t="s">
        <v>2435</v>
      </c>
      <c r="E151" s="306" t="s">
        <v>1270</v>
      </c>
      <c r="F151" s="306" t="s">
        <v>1007</v>
      </c>
      <c r="G151" s="308">
        <v>46015</v>
      </c>
      <c r="H151" s="308">
        <v>46015</v>
      </c>
      <c r="I151" s="309">
        <v>-6825.97</v>
      </c>
      <c r="J151" s="306" t="s">
        <v>1008</v>
      </c>
      <c r="K151" s="309">
        <v>-6825.97</v>
      </c>
      <c r="L151" s="306" t="s">
        <v>1008</v>
      </c>
      <c r="M151" s="306" t="s">
        <v>1150</v>
      </c>
      <c r="N151" s="306" t="s">
        <v>1151</v>
      </c>
      <c r="O151" s="306" t="s">
        <v>1271</v>
      </c>
      <c r="P151" s="306" t="s">
        <v>244</v>
      </c>
      <c r="Q151" s="306" t="s">
        <v>1013</v>
      </c>
      <c r="R151" s="306" t="s">
        <v>1013</v>
      </c>
      <c r="S151" s="306" t="s">
        <v>1013</v>
      </c>
      <c r="T151" s="306" t="s">
        <v>1013</v>
      </c>
      <c r="U151" s="306" t="s">
        <v>1013</v>
      </c>
      <c r="V151" s="306" t="s">
        <v>1013</v>
      </c>
      <c r="W151" s="306" t="s">
        <v>1013</v>
      </c>
      <c r="X151" s="306" t="s">
        <v>1013</v>
      </c>
      <c r="Y151" s="306" t="s">
        <v>1153</v>
      </c>
      <c r="Z151" s="306" t="s">
        <v>1015</v>
      </c>
      <c r="AA151" s="306" t="s">
        <v>1013</v>
      </c>
    </row>
    <row r="152" spans="1:27">
      <c r="A152" s="306" t="s">
        <v>494</v>
      </c>
      <c r="B152" s="306" t="s">
        <v>1003</v>
      </c>
      <c r="C152" s="306" t="s">
        <v>1004</v>
      </c>
      <c r="D152" s="306" t="s">
        <v>2435</v>
      </c>
      <c r="E152" s="306" t="s">
        <v>1272</v>
      </c>
      <c r="F152" s="306" t="s">
        <v>1007</v>
      </c>
      <c r="G152" s="308">
        <v>46015</v>
      </c>
      <c r="H152" s="308">
        <v>46015</v>
      </c>
      <c r="I152" s="309">
        <v>-38028.04</v>
      </c>
      <c r="J152" s="306" t="s">
        <v>1008</v>
      </c>
      <c r="K152" s="309">
        <v>-38028.04</v>
      </c>
      <c r="L152" s="306" t="s">
        <v>1008</v>
      </c>
      <c r="M152" s="306" t="s">
        <v>1150</v>
      </c>
      <c r="N152" s="306" t="s">
        <v>1151</v>
      </c>
      <c r="O152" s="306" t="s">
        <v>1273</v>
      </c>
      <c r="P152" s="306" t="s">
        <v>244</v>
      </c>
      <c r="Q152" s="306" t="s">
        <v>1013</v>
      </c>
      <c r="R152" s="306" t="s">
        <v>1013</v>
      </c>
      <c r="S152" s="306" t="s">
        <v>1013</v>
      </c>
      <c r="T152" s="306" t="s">
        <v>1013</v>
      </c>
      <c r="U152" s="306" t="s">
        <v>1013</v>
      </c>
      <c r="V152" s="306" t="s">
        <v>1013</v>
      </c>
      <c r="W152" s="306" t="s">
        <v>1013</v>
      </c>
      <c r="X152" s="306" t="s">
        <v>1013</v>
      </c>
      <c r="Y152" s="306" t="s">
        <v>1153</v>
      </c>
      <c r="Z152" s="306" t="s">
        <v>1015</v>
      </c>
      <c r="AA152" s="306" t="s">
        <v>1013</v>
      </c>
    </row>
    <row r="153" spans="1:27">
      <c r="A153" s="306" t="s">
        <v>494</v>
      </c>
      <c r="B153" s="306" t="s">
        <v>1003</v>
      </c>
      <c r="C153" s="306" t="s">
        <v>1004</v>
      </c>
      <c r="D153" s="306" t="s">
        <v>2435</v>
      </c>
      <c r="E153" s="306" t="s">
        <v>1274</v>
      </c>
      <c r="F153" s="306" t="s">
        <v>1007</v>
      </c>
      <c r="G153" s="308">
        <v>46015</v>
      </c>
      <c r="H153" s="308">
        <v>46015</v>
      </c>
      <c r="I153" s="309">
        <v>-4641.51</v>
      </c>
      <c r="J153" s="306" t="s">
        <v>1008</v>
      </c>
      <c r="K153" s="309">
        <v>-4641.51</v>
      </c>
      <c r="L153" s="306" t="s">
        <v>1008</v>
      </c>
      <c r="M153" s="306" t="s">
        <v>1168</v>
      </c>
      <c r="N153" s="306" t="s">
        <v>1151</v>
      </c>
      <c r="O153" s="306" t="s">
        <v>1275</v>
      </c>
      <c r="P153" s="306" t="s">
        <v>244</v>
      </c>
      <c r="Q153" s="306" t="s">
        <v>1013</v>
      </c>
      <c r="R153" s="306" t="s">
        <v>1013</v>
      </c>
      <c r="S153" s="306" t="s">
        <v>1013</v>
      </c>
      <c r="T153" s="306" t="s">
        <v>1013</v>
      </c>
      <c r="U153" s="306" t="s">
        <v>1013</v>
      </c>
      <c r="V153" s="306" t="s">
        <v>1013</v>
      </c>
      <c r="W153" s="306" t="s">
        <v>1013</v>
      </c>
      <c r="X153" s="306" t="s">
        <v>1013</v>
      </c>
      <c r="Y153" s="306" t="s">
        <v>1153</v>
      </c>
      <c r="Z153" s="306" t="s">
        <v>1015</v>
      </c>
      <c r="AA153" s="306" t="s">
        <v>1013</v>
      </c>
    </row>
    <row r="154" spans="1:27">
      <c r="A154" s="306" t="s">
        <v>494</v>
      </c>
      <c r="B154" s="306" t="s">
        <v>1003</v>
      </c>
      <c r="C154" s="306" t="s">
        <v>1004</v>
      </c>
      <c r="D154" s="306" t="s">
        <v>2435</v>
      </c>
      <c r="E154" s="306" t="s">
        <v>1276</v>
      </c>
      <c r="F154" s="306" t="s">
        <v>1007</v>
      </c>
      <c r="G154" s="308">
        <v>46015</v>
      </c>
      <c r="H154" s="308">
        <v>46015</v>
      </c>
      <c r="I154" s="309">
        <v>-5784.65</v>
      </c>
      <c r="J154" s="306" t="s">
        <v>1008</v>
      </c>
      <c r="K154" s="309">
        <v>-5784.65</v>
      </c>
      <c r="L154" s="306" t="s">
        <v>1008</v>
      </c>
      <c r="M154" s="306" t="s">
        <v>1168</v>
      </c>
      <c r="N154" s="306" t="s">
        <v>1151</v>
      </c>
      <c r="O154" s="306" t="s">
        <v>1277</v>
      </c>
      <c r="P154" s="306" t="s">
        <v>244</v>
      </c>
      <c r="Q154" s="306" t="s">
        <v>1013</v>
      </c>
      <c r="R154" s="306" t="s">
        <v>1013</v>
      </c>
      <c r="S154" s="306" t="s">
        <v>1013</v>
      </c>
      <c r="T154" s="306" t="s">
        <v>1013</v>
      </c>
      <c r="U154" s="306" t="s">
        <v>1013</v>
      </c>
      <c r="V154" s="306" t="s">
        <v>1013</v>
      </c>
      <c r="W154" s="306" t="s">
        <v>1013</v>
      </c>
      <c r="X154" s="306" t="s">
        <v>1013</v>
      </c>
      <c r="Y154" s="306" t="s">
        <v>1153</v>
      </c>
      <c r="Z154" s="306" t="s">
        <v>1015</v>
      </c>
      <c r="AA154" s="306" t="s">
        <v>1013</v>
      </c>
    </row>
    <row r="155" spans="1:27">
      <c r="A155" s="306" t="s">
        <v>494</v>
      </c>
      <c r="B155" s="306" t="s">
        <v>1003</v>
      </c>
      <c r="C155" s="306" t="s">
        <v>1004</v>
      </c>
      <c r="D155" s="306" t="s">
        <v>2435</v>
      </c>
      <c r="E155" s="306" t="s">
        <v>1278</v>
      </c>
      <c r="F155" s="306" t="s">
        <v>1007</v>
      </c>
      <c r="G155" s="308">
        <v>46015</v>
      </c>
      <c r="H155" s="308">
        <v>46015</v>
      </c>
      <c r="I155" s="309">
        <v>-3349.01</v>
      </c>
      <c r="J155" s="306" t="s">
        <v>1008</v>
      </c>
      <c r="K155" s="309">
        <v>-3349.01</v>
      </c>
      <c r="L155" s="306" t="s">
        <v>1008</v>
      </c>
      <c r="M155" s="306" t="s">
        <v>1168</v>
      </c>
      <c r="N155" s="306" t="s">
        <v>1151</v>
      </c>
      <c r="O155" s="306" t="s">
        <v>1279</v>
      </c>
      <c r="P155" s="306" t="s">
        <v>244</v>
      </c>
      <c r="Q155" s="306" t="s">
        <v>1013</v>
      </c>
      <c r="R155" s="306" t="s">
        <v>1013</v>
      </c>
      <c r="S155" s="306" t="s">
        <v>1013</v>
      </c>
      <c r="T155" s="306" t="s">
        <v>1013</v>
      </c>
      <c r="U155" s="306" t="s">
        <v>1013</v>
      </c>
      <c r="V155" s="306" t="s">
        <v>1013</v>
      </c>
      <c r="W155" s="306" t="s">
        <v>1013</v>
      </c>
      <c r="X155" s="306" t="s">
        <v>1013</v>
      </c>
      <c r="Y155" s="306" t="s">
        <v>1153</v>
      </c>
      <c r="Z155" s="306" t="s">
        <v>1015</v>
      </c>
      <c r="AA155" s="306" t="s">
        <v>1013</v>
      </c>
    </row>
    <row r="156" spans="1:27">
      <c r="A156" s="306" t="s">
        <v>494</v>
      </c>
      <c r="B156" s="306" t="s">
        <v>1003</v>
      </c>
      <c r="C156" s="306" t="s">
        <v>1004</v>
      </c>
      <c r="D156" s="306" t="s">
        <v>2435</v>
      </c>
      <c r="E156" s="306" t="s">
        <v>1280</v>
      </c>
      <c r="F156" s="306" t="s">
        <v>1007</v>
      </c>
      <c r="G156" s="308">
        <v>46015</v>
      </c>
      <c r="H156" s="308">
        <v>46015</v>
      </c>
      <c r="I156" s="309">
        <v>-922.5</v>
      </c>
      <c r="J156" s="306" t="s">
        <v>1008</v>
      </c>
      <c r="K156" s="309">
        <v>-922.5</v>
      </c>
      <c r="L156" s="306" t="s">
        <v>1008</v>
      </c>
      <c r="M156" s="306" t="s">
        <v>1168</v>
      </c>
      <c r="N156" s="306" t="s">
        <v>1151</v>
      </c>
      <c r="O156" s="306" t="s">
        <v>1281</v>
      </c>
      <c r="P156" s="306" t="s">
        <v>244</v>
      </c>
      <c r="Q156" s="306" t="s">
        <v>1013</v>
      </c>
      <c r="R156" s="306" t="s">
        <v>1013</v>
      </c>
      <c r="S156" s="306" t="s">
        <v>1013</v>
      </c>
      <c r="T156" s="306" t="s">
        <v>1013</v>
      </c>
      <c r="U156" s="306" t="s">
        <v>1013</v>
      </c>
      <c r="V156" s="306" t="s">
        <v>1013</v>
      </c>
      <c r="W156" s="306" t="s">
        <v>1013</v>
      </c>
      <c r="X156" s="306" t="s">
        <v>1013</v>
      </c>
      <c r="Y156" s="306" t="s">
        <v>1153</v>
      </c>
      <c r="Z156" s="306" t="s">
        <v>1015</v>
      </c>
      <c r="AA156" s="306" t="s">
        <v>1013</v>
      </c>
    </row>
    <row r="157" spans="1:27">
      <c r="A157" s="306" t="s">
        <v>494</v>
      </c>
      <c r="B157" s="306" t="s">
        <v>1003</v>
      </c>
      <c r="C157" s="306" t="s">
        <v>1004</v>
      </c>
      <c r="D157" s="306" t="s">
        <v>2435</v>
      </c>
      <c r="E157" s="306" t="s">
        <v>1282</v>
      </c>
      <c r="F157" s="306" t="s">
        <v>1007</v>
      </c>
      <c r="G157" s="308">
        <v>46015</v>
      </c>
      <c r="H157" s="308">
        <v>46015</v>
      </c>
      <c r="I157" s="309">
        <v>-45041.63</v>
      </c>
      <c r="J157" s="306" t="s">
        <v>1008</v>
      </c>
      <c r="K157" s="309">
        <v>-45041.63</v>
      </c>
      <c r="L157" s="306" t="s">
        <v>1008</v>
      </c>
      <c r="M157" s="306" t="s">
        <v>1150</v>
      </c>
      <c r="N157" s="306" t="s">
        <v>1151</v>
      </c>
      <c r="O157" s="306" t="s">
        <v>1193</v>
      </c>
      <c r="P157" s="306" t="s">
        <v>244</v>
      </c>
      <c r="Q157" s="306" t="s">
        <v>1013</v>
      </c>
      <c r="R157" s="306" t="s">
        <v>1013</v>
      </c>
      <c r="S157" s="306" t="s">
        <v>1013</v>
      </c>
      <c r="T157" s="306" t="s">
        <v>1013</v>
      </c>
      <c r="U157" s="306" t="s">
        <v>1013</v>
      </c>
      <c r="V157" s="306" t="s">
        <v>1013</v>
      </c>
      <c r="W157" s="306" t="s">
        <v>1013</v>
      </c>
      <c r="X157" s="306" t="s">
        <v>1013</v>
      </c>
      <c r="Y157" s="306" t="s">
        <v>1153</v>
      </c>
      <c r="Z157" s="306" t="s">
        <v>1015</v>
      </c>
      <c r="AA157" s="306" t="s">
        <v>1013</v>
      </c>
    </row>
    <row r="158" spans="1:27">
      <c r="A158" s="306" t="s">
        <v>494</v>
      </c>
      <c r="B158" s="306" t="s">
        <v>1003</v>
      </c>
      <c r="C158" s="306" t="s">
        <v>1004</v>
      </c>
      <c r="D158" s="306" t="s">
        <v>2435</v>
      </c>
      <c r="E158" s="306" t="s">
        <v>1283</v>
      </c>
      <c r="F158" s="306" t="s">
        <v>1007</v>
      </c>
      <c r="G158" s="308">
        <v>46015</v>
      </c>
      <c r="H158" s="308">
        <v>46015</v>
      </c>
      <c r="I158" s="309">
        <v>-107921.27</v>
      </c>
      <c r="J158" s="306" t="s">
        <v>1008</v>
      </c>
      <c r="K158" s="309">
        <v>-107921.27</v>
      </c>
      <c r="L158" s="306" t="s">
        <v>1008</v>
      </c>
      <c r="M158" s="306" t="s">
        <v>1150</v>
      </c>
      <c r="N158" s="306" t="s">
        <v>1151</v>
      </c>
      <c r="O158" s="306" t="s">
        <v>1284</v>
      </c>
      <c r="P158" s="306" t="s">
        <v>244</v>
      </c>
      <c r="Q158" s="306" t="s">
        <v>1013</v>
      </c>
      <c r="R158" s="306" t="s">
        <v>1013</v>
      </c>
      <c r="S158" s="306" t="s">
        <v>1013</v>
      </c>
      <c r="T158" s="306" t="s">
        <v>1013</v>
      </c>
      <c r="U158" s="306" t="s">
        <v>1013</v>
      </c>
      <c r="V158" s="306" t="s">
        <v>1013</v>
      </c>
      <c r="W158" s="306" t="s">
        <v>1013</v>
      </c>
      <c r="X158" s="306" t="s">
        <v>1013</v>
      </c>
      <c r="Y158" s="306" t="s">
        <v>1153</v>
      </c>
      <c r="Z158" s="306" t="s">
        <v>1015</v>
      </c>
      <c r="AA158" s="306" t="s">
        <v>1013</v>
      </c>
    </row>
    <row r="159" spans="1:27">
      <c r="A159" s="306" t="s">
        <v>494</v>
      </c>
      <c r="B159" s="306" t="s">
        <v>1003</v>
      </c>
      <c r="C159" s="306" t="s">
        <v>1004</v>
      </c>
      <c r="D159" s="306" t="s">
        <v>2435</v>
      </c>
      <c r="E159" s="306" t="s">
        <v>1285</v>
      </c>
      <c r="F159" s="306" t="s">
        <v>1007</v>
      </c>
      <c r="G159" s="308">
        <v>46015</v>
      </c>
      <c r="H159" s="308">
        <v>46015</v>
      </c>
      <c r="I159" s="309">
        <v>-43480.69</v>
      </c>
      <c r="J159" s="306" t="s">
        <v>1008</v>
      </c>
      <c r="K159" s="309">
        <v>-43480.69</v>
      </c>
      <c r="L159" s="306" t="s">
        <v>1008</v>
      </c>
      <c r="M159" s="306" t="s">
        <v>1150</v>
      </c>
      <c r="N159" s="306" t="s">
        <v>1151</v>
      </c>
      <c r="O159" s="306" t="s">
        <v>1199</v>
      </c>
      <c r="P159" s="306" t="s">
        <v>244</v>
      </c>
      <c r="Q159" s="306" t="s">
        <v>1013</v>
      </c>
      <c r="R159" s="306" t="s">
        <v>1013</v>
      </c>
      <c r="S159" s="306" t="s">
        <v>1013</v>
      </c>
      <c r="T159" s="306" t="s">
        <v>1013</v>
      </c>
      <c r="U159" s="306" t="s">
        <v>1013</v>
      </c>
      <c r="V159" s="306" t="s">
        <v>1013</v>
      </c>
      <c r="W159" s="306" t="s">
        <v>1013</v>
      </c>
      <c r="X159" s="306" t="s">
        <v>1013</v>
      </c>
      <c r="Y159" s="306" t="s">
        <v>1153</v>
      </c>
      <c r="Z159" s="306" t="s">
        <v>1015</v>
      </c>
      <c r="AA159" s="306" t="s">
        <v>1013</v>
      </c>
    </row>
    <row r="160" spans="1:27">
      <c r="A160" s="306" t="s">
        <v>494</v>
      </c>
      <c r="B160" s="306" t="s">
        <v>1003</v>
      </c>
      <c r="C160" s="306" t="s">
        <v>1004</v>
      </c>
      <c r="D160" s="306" t="s">
        <v>2435</v>
      </c>
      <c r="E160" s="306" t="s">
        <v>1286</v>
      </c>
      <c r="F160" s="306" t="s">
        <v>1007</v>
      </c>
      <c r="G160" s="308">
        <v>46015</v>
      </c>
      <c r="H160" s="308">
        <v>46015</v>
      </c>
      <c r="I160" s="309">
        <v>-1827.59</v>
      </c>
      <c r="J160" s="306" t="s">
        <v>1008</v>
      </c>
      <c r="K160" s="309">
        <v>-1827.59</v>
      </c>
      <c r="L160" s="306" t="s">
        <v>1008</v>
      </c>
      <c r="M160" s="306" t="s">
        <v>1168</v>
      </c>
      <c r="N160" s="306" t="s">
        <v>1151</v>
      </c>
      <c r="O160" s="306" t="s">
        <v>1287</v>
      </c>
      <c r="P160" s="306" t="s">
        <v>244</v>
      </c>
      <c r="Q160" s="306" t="s">
        <v>1013</v>
      </c>
      <c r="R160" s="306" t="s">
        <v>1013</v>
      </c>
      <c r="S160" s="306" t="s">
        <v>1013</v>
      </c>
      <c r="T160" s="306" t="s">
        <v>1013</v>
      </c>
      <c r="U160" s="306" t="s">
        <v>1013</v>
      </c>
      <c r="V160" s="306" t="s">
        <v>1013</v>
      </c>
      <c r="W160" s="306" t="s">
        <v>1013</v>
      </c>
      <c r="X160" s="306" t="s">
        <v>1013</v>
      </c>
      <c r="Y160" s="306" t="s">
        <v>1153</v>
      </c>
      <c r="Z160" s="306" t="s">
        <v>1015</v>
      </c>
      <c r="AA160" s="306" t="s">
        <v>1013</v>
      </c>
    </row>
    <row r="161" spans="1:27">
      <c r="A161" s="306" t="s">
        <v>494</v>
      </c>
      <c r="B161" s="306" t="s">
        <v>1003</v>
      </c>
      <c r="C161" s="306" t="s">
        <v>1004</v>
      </c>
      <c r="D161" s="306" t="s">
        <v>2435</v>
      </c>
      <c r="E161" s="306" t="s">
        <v>1288</v>
      </c>
      <c r="F161" s="306" t="s">
        <v>1007</v>
      </c>
      <c r="G161" s="308">
        <v>46015</v>
      </c>
      <c r="H161" s="308">
        <v>46015</v>
      </c>
      <c r="I161" s="309">
        <v>-12474.06</v>
      </c>
      <c r="J161" s="306" t="s">
        <v>1008</v>
      </c>
      <c r="K161" s="309">
        <v>-12474.06</v>
      </c>
      <c r="L161" s="306" t="s">
        <v>1008</v>
      </c>
      <c r="M161" s="306" t="s">
        <v>1168</v>
      </c>
      <c r="N161" s="306" t="s">
        <v>1151</v>
      </c>
      <c r="O161" s="306" t="s">
        <v>1289</v>
      </c>
      <c r="P161" s="306" t="s">
        <v>244</v>
      </c>
      <c r="Q161" s="306" t="s">
        <v>1013</v>
      </c>
      <c r="R161" s="306" t="s">
        <v>1013</v>
      </c>
      <c r="S161" s="306" t="s">
        <v>1013</v>
      </c>
      <c r="T161" s="306" t="s">
        <v>1013</v>
      </c>
      <c r="U161" s="306" t="s">
        <v>1013</v>
      </c>
      <c r="V161" s="306" t="s">
        <v>1013</v>
      </c>
      <c r="W161" s="306" t="s">
        <v>1013</v>
      </c>
      <c r="X161" s="306" t="s">
        <v>1013</v>
      </c>
      <c r="Y161" s="306" t="s">
        <v>1153</v>
      </c>
      <c r="Z161" s="306" t="s">
        <v>1015</v>
      </c>
      <c r="AA161" s="306" t="s">
        <v>1013</v>
      </c>
    </row>
    <row r="162" spans="1:27">
      <c r="A162" s="306" t="s">
        <v>494</v>
      </c>
      <c r="B162" s="306" t="s">
        <v>1003</v>
      </c>
      <c r="C162" s="306" t="s">
        <v>1004</v>
      </c>
      <c r="D162" s="306" t="s">
        <v>2435</v>
      </c>
      <c r="E162" s="306" t="s">
        <v>1290</v>
      </c>
      <c r="F162" s="306" t="s">
        <v>1007</v>
      </c>
      <c r="G162" s="308">
        <v>46015</v>
      </c>
      <c r="H162" s="308">
        <v>46015</v>
      </c>
      <c r="I162" s="309">
        <v>-2041.8</v>
      </c>
      <c r="J162" s="306" t="s">
        <v>1008</v>
      </c>
      <c r="K162" s="309">
        <v>-2041.8</v>
      </c>
      <c r="L162" s="306" t="s">
        <v>1008</v>
      </c>
      <c r="M162" s="306" t="s">
        <v>1168</v>
      </c>
      <c r="N162" s="306" t="s">
        <v>1151</v>
      </c>
      <c r="O162" s="306" t="s">
        <v>1291</v>
      </c>
      <c r="P162" s="306" t="s">
        <v>244</v>
      </c>
      <c r="Q162" s="306" t="s">
        <v>1013</v>
      </c>
      <c r="R162" s="306" t="s">
        <v>1013</v>
      </c>
      <c r="S162" s="306" t="s">
        <v>1013</v>
      </c>
      <c r="T162" s="306" t="s">
        <v>1013</v>
      </c>
      <c r="U162" s="306" t="s">
        <v>1013</v>
      </c>
      <c r="V162" s="306" t="s">
        <v>1013</v>
      </c>
      <c r="W162" s="306" t="s">
        <v>1013</v>
      </c>
      <c r="X162" s="306" t="s">
        <v>1013</v>
      </c>
      <c r="Y162" s="306" t="s">
        <v>1153</v>
      </c>
      <c r="Z162" s="306" t="s">
        <v>1015</v>
      </c>
      <c r="AA162" s="306" t="s">
        <v>1013</v>
      </c>
    </row>
    <row r="163" spans="1:27">
      <c r="A163" s="306" t="s">
        <v>494</v>
      </c>
      <c r="B163" s="306" t="s">
        <v>1003</v>
      </c>
      <c r="C163" s="306" t="s">
        <v>1004</v>
      </c>
      <c r="D163" s="306" t="s">
        <v>2435</v>
      </c>
      <c r="E163" s="306" t="s">
        <v>1292</v>
      </c>
      <c r="F163" s="306" t="s">
        <v>1007</v>
      </c>
      <c r="G163" s="308">
        <v>46015</v>
      </c>
      <c r="H163" s="308">
        <v>46015</v>
      </c>
      <c r="I163" s="309">
        <v>-182257.68</v>
      </c>
      <c r="J163" s="306" t="s">
        <v>1008</v>
      </c>
      <c r="K163" s="309">
        <v>-182257.68</v>
      </c>
      <c r="L163" s="306" t="s">
        <v>1008</v>
      </c>
      <c r="M163" s="306" t="s">
        <v>1150</v>
      </c>
      <c r="N163" s="306" t="s">
        <v>1151</v>
      </c>
      <c r="O163" s="306" t="s">
        <v>1293</v>
      </c>
      <c r="P163" s="306" t="s">
        <v>244</v>
      </c>
      <c r="Q163" s="306" t="s">
        <v>1013</v>
      </c>
      <c r="R163" s="306" t="s">
        <v>1013</v>
      </c>
      <c r="S163" s="306" t="s">
        <v>1013</v>
      </c>
      <c r="T163" s="306" t="s">
        <v>1013</v>
      </c>
      <c r="U163" s="306" t="s">
        <v>1013</v>
      </c>
      <c r="V163" s="306" t="s">
        <v>1013</v>
      </c>
      <c r="W163" s="306" t="s">
        <v>1013</v>
      </c>
      <c r="X163" s="306" t="s">
        <v>1013</v>
      </c>
      <c r="Y163" s="306" t="s">
        <v>1153</v>
      </c>
      <c r="Z163" s="306" t="s">
        <v>1015</v>
      </c>
      <c r="AA163" s="306" t="s">
        <v>1013</v>
      </c>
    </row>
    <row r="164" spans="1:27">
      <c r="A164" s="306" t="s">
        <v>494</v>
      </c>
      <c r="B164" s="306" t="s">
        <v>1003</v>
      </c>
      <c r="C164" s="306" t="s">
        <v>1004</v>
      </c>
      <c r="D164" s="306" t="s">
        <v>2435</v>
      </c>
      <c r="E164" s="306" t="s">
        <v>1294</v>
      </c>
      <c r="F164" s="306" t="s">
        <v>1007</v>
      </c>
      <c r="G164" s="308">
        <v>46015</v>
      </c>
      <c r="H164" s="308">
        <v>46015</v>
      </c>
      <c r="I164" s="309">
        <v>-74262.23</v>
      </c>
      <c r="J164" s="306" t="s">
        <v>1008</v>
      </c>
      <c r="K164" s="309">
        <v>-74262.23</v>
      </c>
      <c r="L164" s="306" t="s">
        <v>1008</v>
      </c>
      <c r="M164" s="306" t="s">
        <v>1150</v>
      </c>
      <c r="N164" s="306" t="s">
        <v>1151</v>
      </c>
      <c r="O164" s="306" t="s">
        <v>1295</v>
      </c>
      <c r="P164" s="306" t="s">
        <v>244</v>
      </c>
      <c r="Q164" s="306" t="s">
        <v>1013</v>
      </c>
      <c r="R164" s="306" t="s">
        <v>1013</v>
      </c>
      <c r="S164" s="306" t="s">
        <v>1013</v>
      </c>
      <c r="T164" s="306" t="s">
        <v>1013</v>
      </c>
      <c r="U164" s="306" t="s">
        <v>1013</v>
      </c>
      <c r="V164" s="306" t="s">
        <v>1013</v>
      </c>
      <c r="W164" s="306" t="s">
        <v>1013</v>
      </c>
      <c r="X164" s="306" t="s">
        <v>1013</v>
      </c>
      <c r="Y164" s="306" t="s">
        <v>1153</v>
      </c>
      <c r="Z164" s="306" t="s">
        <v>1015</v>
      </c>
      <c r="AA164" s="306" t="s">
        <v>1013</v>
      </c>
    </row>
    <row r="165" spans="1:27">
      <c r="A165" s="306" t="s">
        <v>494</v>
      </c>
      <c r="B165" s="306" t="s">
        <v>1003</v>
      </c>
      <c r="C165" s="306" t="s">
        <v>1004</v>
      </c>
      <c r="D165" s="306" t="s">
        <v>2435</v>
      </c>
      <c r="E165" s="306" t="s">
        <v>1296</v>
      </c>
      <c r="F165" s="306" t="s">
        <v>1007</v>
      </c>
      <c r="G165" s="308">
        <v>46015</v>
      </c>
      <c r="H165" s="308">
        <v>46015</v>
      </c>
      <c r="I165" s="309">
        <v>-6382.08</v>
      </c>
      <c r="J165" s="306" t="s">
        <v>1008</v>
      </c>
      <c r="K165" s="309">
        <v>-6382.08</v>
      </c>
      <c r="L165" s="306" t="s">
        <v>1008</v>
      </c>
      <c r="M165" s="306" t="s">
        <v>1168</v>
      </c>
      <c r="N165" s="306" t="s">
        <v>1151</v>
      </c>
      <c r="O165" s="306" t="s">
        <v>1297</v>
      </c>
      <c r="P165" s="306" t="s">
        <v>244</v>
      </c>
      <c r="Q165" s="306" t="s">
        <v>1013</v>
      </c>
      <c r="R165" s="306" t="s">
        <v>1013</v>
      </c>
      <c r="S165" s="306" t="s">
        <v>1013</v>
      </c>
      <c r="T165" s="306" t="s">
        <v>1013</v>
      </c>
      <c r="U165" s="306" t="s">
        <v>1013</v>
      </c>
      <c r="V165" s="306" t="s">
        <v>1013</v>
      </c>
      <c r="W165" s="306" t="s">
        <v>1013</v>
      </c>
      <c r="X165" s="306" t="s">
        <v>1013</v>
      </c>
      <c r="Y165" s="306" t="s">
        <v>1153</v>
      </c>
      <c r="Z165" s="306" t="s">
        <v>1015</v>
      </c>
      <c r="AA165" s="306" t="s">
        <v>1013</v>
      </c>
    </row>
    <row r="166" spans="1:27">
      <c r="A166" s="306" t="s">
        <v>494</v>
      </c>
      <c r="B166" s="306" t="s">
        <v>1003</v>
      </c>
      <c r="C166" s="306" t="s">
        <v>1004</v>
      </c>
      <c r="D166" s="306" t="s">
        <v>2435</v>
      </c>
      <c r="E166" s="306" t="s">
        <v>1298</v>
      </c>
      <c r="F166" s="306" t="s">
        <v>1007</v>
      </c>
      <c r="G166" s="308">
        <v>46015</v>
      </c>
      <c r="H166" s="308">
        <v>46015</v>
      </c>
      <c r="I166" s="309">
        <v>-12743.99</v>
      </c>
      <c r="J166" s="306" t="s">
        <v>1008</v>
      </c>
      <c r="K166" s="309">
        <v>-12743.99</v>
      </c>
      <c r="L166" s="306" t="s">
        <v>1008</v>
      </c>
      <c r="M166" s="306" t="s">
        <v>1150</v>
      </c>
      <c r="N166" s="306" t="s">
        <v>1151</v>
      </c>
      <c r="O166" s="306" t="s">
        <v>1299</v>
      </c>
      <c r="P166" s="306" t="s">
        <v>244</v>
      </c>
      <c r="Q166" s="306" t="s">
        <v>1013</v>
      </c>
      <c r="R166" s="306" t="s">
        <v>1013</v>
      </c>
      <c r="S166" s="306" t="s">
        <v>1013</v>
      </c>
      <c r="T166" s="306" t="s">
        <v>1013</v>
      </c>
      <c r="U166" s="306" t="s">
        <v>1013</v>
      </c>
      <c r="V166" s="306" t="s">
        <v>1013</v>
      </c>
      <c r="W166" s="306" t="s">
        <v>1013</v>
      </c>
      <c r="X166" s="306" t="s">
        <v>1013</v>
      </c>
      <c r="Y166" s="306" t="s">
        <v>1153</v>
      </c>
      <c r="Z166" s="306" t="s">
        <v>1015</v>
      </c>
      <c r="AA166" s="306" t="s">
        <v>1013</v>
      </c>
    </row>
    <row r="167" spans="1:27">
      <c r="A167" s="306" t="s">
        <v>494</v>
      </c>
      <c r="B167" s="306" t="s">
        <v>1003</v>
      </c>
      <c r="C167" s="306" t="s">
        <v>1004</v>
      </c>
      <c r="D167" s="306" t="s">
        <v>2435</v>
      </c>
      <c r="E167" s="306" t="s">
        <v>1300</v>
      </c>
      <c r="F167" s="306" t="s">
        <v>1007</v>
      </c>
      <c r="G167" s="308">
        <v>46015</v>
      </c>
      <c r="H167" s="308">
        <v>46015</v>
      </c>
      <c r="I167" s="309">
        <v>-351.2</v>
      </c>
      <c r="J167" s="306" t="s">
        <v>1008</v>
      </c>
      <c r="K167" s="309">
        <v>-351.2</v>
      </c>
      <c r="L167" s="306" t="s">
        <v>1008</v>
      </c>
      <c r="M167" s="306" t="s">
        <v>1168</v>
      </c>
      <c r="N167" s="306" t="s">
        <v>1151</v>
      </c>
      <c r="O167" s="306" t="s">
        <v>1207</v>
      </c>
      <c r="P167" s="306" t="s">
        <v>244</v>
      </c>
      <c r="Q167" s="306" t="s">
        <v>1013</v>
      </c>
      <c r="R167" s="306" t="s">
        <v>1013</v>
      </c>
      <c r="S167" s="306" t="s">
        <v>1013</v>
      </c>
      <c r="T167" s="306" t="s">
        <v>1013</v>
      </c>
      <c r="U167" s="306" t="s">
        <v>1013</v>
      </c>
      <c r="V167" s="306" t="s">
        <v>1013</v>
      </c>
      <c r="W167" s="306" t="s">
        <v>1013</v>
      </c>
      <c r="X167" s="306" t="s">
        <v>1013</v>
      </c>
      <c r="Y167" s="306" t="s">
        <v>1153</v>
      </c>
      <c r="Z167" s="306" t="s">
        <v>1015</v>
      </c>
      <c r="AA167" s="306" t="s">
        <v>1013</v>
      </c>
    </row>
    <row r="168" spans="1:27">
      <c r="A168" s="306" t="s">
        <v>494</v>
      </c>
      <c r="B168" s="306" t="s">
        <v>1003</v>
      </c>
      <c r="C168" s="306" t="s">
        <v>1004</v>
      </c>
      <c r="D168" s="306" t="s">
        <v>2435</v>
      </c>
      <c r="E168" s="306" t="s">
        <v>1301</v>
      </c>
      <c r="F168" s="306" t="s">
        <v>1007</v>
      </c>
      <c r="G168" s="308">
        <v>46015</v>
      </c>
      <c r="H168" s="308">
        <v>46015</v>
      </c>
      <c r="I168" s="309">
        <v>-342.82</v>
      </c>
      <c r="J168" s="306" t="s">
        <v>1008</v>
      </c>
      <c r="K168" s="309">
        <v>-342.82</v>
      </c>
      <c r="L168" s="306" t="s">
        <v>1008</v>
      </c>
      <c r="M168" s="306" t="s">
        <v>1168</v>
      </c>
      <c r="N168" s="306" t="s">
        <v>1151</v>
      </c>
      <c r="O168" s="306" t="s">
        <v>1211</v>
      </c>
      <c r="P168" s="306" t="s">
        <v>244</v>
      </c>
      <c r="Q168" s="306" t="s">
        <v>1013</v>
      </c>
      <c r="R168" s="306" t="s">
        <v>1013</v>
      </c>
      <c r="S168" s="306" t="s">
        <v>1013</v>
      </c>
      <c r="T168" s="306" t="s">
        <v>1013</v>
      </c>
      <c r="U168" s="306" t="s">
        <v>1013</v>
      </c>
      <c r="V168" s="306" t="s">
        <v>1013</v>
      </c>
      <c r="W168" s="306" t="s">
        <v>1013</v>
      </c>
      <c r="X168" s="306" t="s">
        <v>1013</v>
      </c>
      <c r="Y168" s="306" t="s">
        <v>1153</v>
      </c>
      <c r="Z168" s="306" t="s">
        <v>1015</v>
      </c>
      <c r="AA168" s="306" t="s">
        <v>1013</v>
      </c>
    </row>
    <row r="169" spans="1:27">
      <c r="A169" s="306" t="s">
        <v>494</v>
      </c>
      <c r="B169" s="306" t="s">
        <v>1003</v>
      </c>
      <c r="C169" s="306" t="s">
        <v>1004</v>
      </c>
      <c r="D169" s="306" t="s">
        <v>2435</v>
      </c>
      <c r="E169" s="306" t="s">
        <v>1302</v>
      </c>
      <c r="F169" s="306" t="s">
        <v>1007</v>
      </c>
      <c r="G169" s="308">
        <v>46015</v>
      </c>
      <c r="H169" s="308">
        <v>46015</v>
      </c>
      <c r="I169" s="309">
        <v>-6273</v>
      </c>
      <c r="J169" s="306" t="s">
        <v>1008</v>
      </c>
      <c r="K169" s="309">
        <v>-6273</v>
      </c>
      <c r="L169" s="306" t="s">
        <v>1008</v>
      </c>
      <c r="M169" s="306" t="s">
        <v>1168</v>
      </c>
      <c r="N169" s="306" t="s">
        <v>1151</v>
      </c>
      <c r="O169" s="306" t="s">
        <v>1303</v>
      </c>
      <c r="P169" s="306" t="s">
        <v>244</v>
      </c>
      <c r="Q169" s="306" t="s">
        <v>1013</v>
      </c>
      <c r="R169" s="306" t="s">
        <v>1013</v>
      </c>
      <c r="S169" s="306" t="s">
        <v>1013</v>
      </c>
      <c r="T169" s="306" t="s">
        <v>1013</v>
      </c>
      <c r="U169" s="306" t="s">
        <v>1013</v>
      </c>
      <c r="V169" s="306" t="s">
        <v>1013</v>
      </c>
      <c r="W169" s="306" t="s">
        <v>1013</v>
      </c>
      <c r="X169" s="306" t="s">
        <v>1013</v>
      </c>
      <c r="Y169" s="306" t="s">
        <v>1153</v>
      </c>
      <c r="Z169" s="306" t="s">
        <v>1015</v>
      </c>
      <c r="AA169" s="306" t="s">
        <v>1013</v>
      </c>
    </row>
    <row r="170" spans="1:27">
      <c r="A170" s="306" t="s">
        <v>494</v>
      </c>
      <c r="B170" s="306" t="s">
        <v>1003</v>
      </c>
      <c r="C170" s="306" t="s">
        <v>1004</v>
      </c>
      <c r="D170" s="306" t="s">
        <v>2435</v>
      </c>
      <c r="E170" s="306" t="s">
        <v>1304</v>
      </c>
      <c r="F170" s="306" t="s">
        <v>1007</v>
      </c>
      <c r="G170" s="308">
        <v>46015</v>
      </c>
      <c r="H170" s="308">
        <v>46015</v>
      </c>
      <c r="I170" s="309">
        <v>-11291.4</v>
      </c>
      <c r="J170" s="306" t="s">
        <v>1008</v>
      </c>
      <c r="K170" s="309">
        <v>-11291.4</v>
      </c>
      <c r="L170" s="306" t="s">
        <v>1008</v>
      </c>
      <c r="M170" s="306" t="s">
        <v>1168</v>
      </c>
      <c r="N170" s="306" t="s">
        <v>1151</v>
      </c>
      <c r="O170" s="306" t="s">
        <v>1305</v>
      </c>
      <c r="P170" s="306" t="s">
        <v>244</v>
      </c>
      <c r="Q170" s="306" t="s">
        <v>1013</v>
      </c>
      <c r="R170" s="306" t="s">
        <v>1013</v>
      </c>
      <c r="S170" s="306" t="s">
        <v>1013</v>
      </c>
      <c r="T170" s="306" t="s">
        <v>1013</v>
      </c>
      <c r="U170" s="306" t="s">
        <v>1013</v>
      </c>
      <c r="V170" s="306" t="s">
        <v>1013</v>
      </c>
      <c r="W170" s="306" t="s">
        <v>1013</v>
      </c>
      <c r="X170" s="306" t="s">
        <v>1013</v>
      </c>
      <c r="Y170" s="306" t="s">
        <v>1153</v>
      </c>
      <c r="Z170" s="306" t="s">
        <v>1015</v>
      </c>
      <c r="AA170" s="306" t="s">
        <v>1013</v>
      </c>
    </row>
    <row r="171" spans="1:27">
      <c r="A171" s="306" t="s">
        <v>494</v>
      </c>
      <c r="B171" s="306" t="s">
        <v>1003</v>
      </c>
      <c r="C171" s="306" t="s">
        <v>1004</v>
      </c>
      <c r="D171" s="306" t="s">
        <v>2435</v>
      </c>
      <c r="E171" s="306" t="s">
        <v>1306</v>
      </c>
      <c r="F171" s="306" t="s">
        <v>1007</v>
      </c>
      <c r="G171" s="308">
        <v>46015</v>
      </c>
      <c r="H171" s="308">
        <v>46015</v>
      </c>
      <c r="I171" s="309">
        <v>-40381.129999999997</v>
      </c>
      <c r="J171" s="306" t="s">
        <v>1008</v>
      </c>
      <c r="K171" s="309">
        <v>-40381.129999999997</v>
      </c>
      <c r="L171" s="306" t="s">
        <v>1008</v>
      </c>
      <c r="M171" s="306" t="s">
        <v>1168</v>
      </c>
      <c r="N171" s="306" t="s">
        <v>1151</v>
      </c>
      <c r="O171" s="306" t="s">
        <v>1307</v>
      </c>
      <c r="P171" s="306" t="s">
        <v>244</v>
      </c>
      <c r="Q171" s="306" t="s">
        <v>1013</v>
      </c>
      <c r="R171" s="306" t="s">
        <v>1013</v>
      </c>
      <c r="S171" s="306" t="s">
        <v>1013</v>
      </c>
      <c r="T171" s="306" t="s">
        <v>1013</v>
      </c>
      <c r="U171" s="306" t="s">
        <v>1013</v>
      </c>
      <c r="V171" s="306" t="s">
        <v>1013</v>
      </c>
      <c r="W171" s="306" t="s">
        <v>1013</v>
      </c>
      <c r="X171" s="306" t="s">
        <v>1013</v>
      </c>
      <c r="Y171" s="306" t="s">
        <v>1153</v>
      </c>
      <c r="Z171" s="306" t="s">
        <v>1015</v>
      </c>
      <c r="AA171" s="306" t="s">
        <v>1013</v>
      </c>
    </row>
    <row r="172" spans="1:27">
      <c r="A172" s="306" t="s">
        <v>494</v>
      </c>
      <c r="B172" s="306" t="s">
        <v>1003</v>
      </c>
      <c r="C172" s="306" t="s">
        <v>1004</v>
      </c>
      <c r="D172" s="306" t="s">
        <v>2435</v>
      </c>
      <c r="E172" s="306" t="s">
        <v>1308</v>
      </c>
      <c r="F172" s="306" t="s">
        <v>1007</v>
      </c>
      <c r="G172" s="308">
        <v>46015</v>
      </c>
      <c r="H172" s="308">
        <v>46015</v>
      </c>
      <c r="I172" s="309">
        <v>-2146.6999999999998</v>
      </c>
      <c r="J172" s="306" t="s">
        <v>1008</v>
      </c>
      <c r="K172" s="309">
        <v>-2146.6999999999998</v>
      </c>
      <c r="L172" s="306" t="s">
        <v>1008</v>
      </c>
      <c r="M172" s="306" t="s">
        <v>1309</v>
      </c>
      <c r="N172" s="306" t="s">
        <v>1309</v>
      </c>
      <c r="O172" s="306" t="s">
        <v>1310</v>
      </c>
      <c r="P172" s="306" t="s">
        <v>212</v>
      </c>
      <c r="Q172" s="306" t="s">
        <v>1013</v>
      </c>
      <c r="R172" s="306" t="s">
        <v>1013</v>
      </c>
      <c r="S172" s="306" t="s">
        <v>1013</v>
      </c>
      <c r="T172" s="306" t="s">
        <v>1013</v>
      </c>
      <c r="U172" s="306" t="s">
        <v>1013</v>
      </c>
      <c r="V172" s="306" t="s">
        <v>1013</v>
      </c>
      <c r="W172" s="306" t="s">
        <v>1013</v>
      </c>
      <c r="X172" s="306" t="s">
        <v>1013</v>
      </c>
      <c r="Y172" s="306" t="s">
        <v>1112</v>
      </c>
      <c r="Z172" s="306" t="s">
        <v>1071</v>
      </c>
      <c r="AA172" s="306" t="s">
        <v>1013</v>
      </c>
    </row>
    <row r="173" spans="1:27">
      <c r="A173" s="306" t="s">
        <v>494</v>
      </c>
      <c r="B173" s="306" t="s">
        <v>1003</v>
      </c>
      <c r="C173" s="306" t="s">
        <v>1004</v>
      </c>
      <c r="D173" s="306" t="s">
        <v>2435</v>
      </c>
      <c r="E173" s="306" t="s">
        <v>1311</v>
      </c>
      <c r="F173" s="306" t="s">
        <v>1007</v>
      </c>
      <c r="G173" s="308">
        <v>46015</v>
      </c>
      <c r="H173" s="308">
        <v>46015</v>
      </c>
      <c r="I173" s="309">
        <v>-2030.66</v>
      </c>
      <c r="J173" s="306" t="s">
        <v>1008</v>
      </c>
      <c r="K173" s="309">
        <v>-2030.66</v>
      </c>
      <c r="L173" s="306" t="s">
        <v>1008</v>
      </c>
      <c r="M173" s="306" t="s">
        <v>1309</v>
      </c>
      <c r="N173" s="306" t="s">
        <v>1309</v>
      </c>
      <c r="O173" s="306" t="s">
        <v>1312</v>
      </c>
      <c r="P173" s="306" t="s">
        <v>212</v>
      </c>
      <c r="Q173" s="306" t="s">
        <v>1013</v>
      </c>
      <c r="R173" s="306" t="s">
        <v>1013</v>
      </c>
      <c r="S173" s="306" t="s">
        <v>1013</v>
      </c>
      <c r="T173" s="306" t="s">
        <v>1013</v>
      </c>
      <c r="U173" s="306" t="s">
        <v>1013</v>
      </c>
      <c r="V173" s="306" t="s">
        <v>1013</v>
      </c>
      <c r="W173" s="306" t="s">
        <v>1013</v>
      </c>
      <c r="X173" s="306" t="s">
        <v>1013</v>
      </c>
      <c r="Y173" s="306" t="s">
        <v>1112</v>
      </c>
      <c r="Z173" s="306" t="s">
        <v>1071</v>
      </c>
      <c r="AA173" s="306" t="s">
        <v>1013</v>
      </c>
    </row>
    <row r="174" spans="1:27">
      <c r="A174" s="306" t="s">
        <v>494</v>
      </c>
      <c r="B174" s="306" t="s">
        <v>1003</v>
      </c>
      <c r="C174" s="306" t="s">
        <v>1004</v>
      </c>
      <c r="D174" s="306" t="s">
        <v>2435</v>
      </c>
      <c r="E174" s="306" t="s">
        <v>1313</v>
      </c>
      <c r="F174" s="306" t="s">
        <v>1007</v>
      </c>
      <c r="G174" s="308">
        <v>46015</v>
      </c>
      <c r="H174" s="308">
        <v>46015</v>
      </c>
      <c r="I174" s="309">
        <v>-55073.18</v>
      </c>
      <c r="J174" s="306" t="s">
        <v>1008</v>
      </c>
      <c r="K174" s="309">
        <v>-55073.18</v>
      </c>
      <c r="L174" s="306" t="s">
        <v>1008</v>
      </c>
      <c r="M174" s="306" t="s">
        <v>1314</v>
      </c>
      <c r="N174" s="306" t="s">
        <v>1314</v>
      </c>
      <c r="O174" s="306" t="s">
        <v>1315</v>
      </c>
      <c r="P174" s="306" t="s">
        <v>212</v>
      </c>
      <c r="Q174" s="306" t="s">
        <v>1013</v>
      </c>
      <c r="R174" s="306" t="s">
        <v>1013</v>
      </c>
      <c r="S174" s="306" t="s">
        <v>1013</v>
      </c>
      <c r="T174" s="306" t="s">
        <v>1013</v>
      </c>
      <c r="U174" s="306" t="s">
        <v>1013</v>
      </c>
      <c r="V174" s="306" t="s">
        <v>1013</v>
      </c>
      <c r="W174" s="306" t="s">
        <v>1013</v>
      </c>
      <c r="X174" s="306" t="s">
        <v>1013</v>
      </c>
      <c r="Y174" s="306" t="s">
        <v>1112</v>
      </c>
      <c r="Z174" s="306" t="s">
        <v>1071</v>
      </c>
      <c r="AA174" s="306" t="s">
        <v>1013</v>
      </c>
    </row>
    <row r="175" spans="1:27">
      <c r="A175" s="306" t="s">
        <v>494</v>
      </c>
      <c r="B175" s="306" t="s">
        <v>1003</v>
      </c>
      <c r="C175" s="306" t="s">
        <v>1004</v>
      </c>
      <c r="D175" s="306" t="s">
        <v>2435</v>
      </c>
      <c r="E175" s="306" t="s">
        <v>1316</v>
      </c>
      <c r="F175" s="306" t="s">
        <v>1007</v>
      </c>
      <c r="G175" s="308">
        <v>46015</v>
      </c>
      <c r="H175" s="308">
        <v>46015</v>
      </c>
      <c r="I175" s="309">
        <v>-58365.42</v>
      </c>
      <c r="J175" s="306" t="s">
        <v>1008</v>
      </c>
      <c r="K175" s="309">
        <v>-58365.42</v>
      </c>
      <c r="L175" s="306" t="s">
        <v>1008</v>
      </c>
      <c r="M175" s="306" t="s">
        <v>1314</v>
      </c>
      <c r="N175" s="306" t="s">
        <v>1314</v>
      </c>
      <c r="O175" s="306" t="s">
        <v>1317</v>
      </c>
      <c r="P175" s="306" t="s">
        <v>212</v>
      </c>
      <c r="Q175" s="306" t="s">
        <v>1013</v>
      </c>
      <c r="R175" s="306" t="s">
        <v>1013</v>
      </c>
      <c r="S175" s="306" t="s">
        <v>1013</v>
      </c>
      <c r="T175" s="306" t="s">
        <v>1013</v>
      </c>
      <c r="U175" s="306" t="s">
        <v>1013</v>
      </c>
      <c r="V175" s="306" t="s">
        <v>1013</v>
      </c>
      <c r="W175" s="306" t="s">
        <v>1013</v>
      </c>
      <c r="X175" s="306" t="s">
        <v>1013</v>
      </c>
      <c r="Y175" s="306" t="s">
        <v>1112</v>
      </c>
      <c r="Z175" s="306" t="s">
        <v>1071</v>
      </c>
      <c r="AA175" s="306" t="s">
        <v>1013</v>
      </c>
    </row>
    <row r="176" spans="1:27">
      <c r="A176" s="306" t="s">
        <v>494</v>
      </c>
      <c r="B176" s="306" t="s">
        <v>1003</v>
      </c>
      <c r="C176" s="306" t="s">
        <v>1004</v>
      </c>
      <c r="D176" s="306" t="s">
        <v>2435</v>
      </c>
      <c r="E176" s="306" t="s">
        <v>1318</v>
      </c>
      <c r="F176" s="306" t="s">
        <v>1007</v>
      </c>
      <c r="G176" s="308">
        <v>46015</v>
      </c>
      <c r="H176" s="308">
        <v>46015</v>
      </c>
      <c r="I176" s="309">
        <v>-86957.05</v>
      </c>
      <c r="J176" s="306" t="s">
        <v>1008</v>
      </c>
      <c r="K176" s="309">
        <v>-86957.05</v>
      </c>
      <c r="L176" s="306" t="s">
        <v>1008</v>
      </c>
      <c r="M176" s="306" t="s">
        <v>1314</v>
      </c>
      <c r="N176" s="306" t="s">
        <v>1314</v>
      </c>
      <c r="O176" s="306" t="s">
        <v>1319</v>
      </c>
      <c r="P176" s="306" t="s">
        <v>212</v>
      </c>
      <c r="Q176" s="306" t="s">
        <v>1013</v>
      </c>
      <c r="R176" s="306" t="s">
        <v>1013</v>
      </c>
      <c r="S176" s="306" t="s">
        <v>1013</v>
      </c>
      <c r="T176" s="306" t="s">
        <v>1013</v>
      </c>
      <c r="U176" s="306" t="s">
        <v>1013</v>
      </c>
      <c r="V176" s="306" t="s">
        <v>1013</v>
      </c>
      <c r="W176" s="306" t="s">
        <v>1013</v>
      </c>
      <c r="X176" s="306" t="s">
        <v>1013</v>
      </c>
      <c r="Y176" s="306" t="s">
        <v>1112</v>
      </c>
      <c r="Z176" s="306" t="s">
        <v>1071</v>
      </c>
      <c r="AA176" s="306" t="s">
        <v>1013</v>
      </c>
    </row>
    <row r="177" spans="1:27">
      <c r="A177" s="306" t="s">
        <v>494</v>
      </c>
      <c r="B177" s="306" t="s">
        <v>1003</v>
      </c>
      <c r="C177" s="306" t="s">
        <v>1004</v>
      </c>
      <c r="D177" s="306" t="s">
        <v>2435</v>
      </c>
      <c r="E177" s="306" t="s">
        <v>1320</v>
      </c>
      <c r="F177" s="306" t="s">
        <v>1007</v>
      </c>
      <c r="G177" s="308">
        <v>46015</v>
      </c>
      <c r="H177" s="308">
        <v>46015</v>
      </c>
      <c r="I177" s="309">
        <v>-148848.74</v>
      </c>
      <c r="J177" s="306" t="s">
        <v>1008</v>
      </c>
      <c r="K177" s="309">
        <v>-148848.74</v>
      </c>
      <c r="L177" s="306" t="s">
        <v>1008</v>
      </c>
      <c r="M177" s="306" t="s">
        <v>1314</v>
      </c>
      <c r="N177" s="306" t="s">
        <v>1314</v>
      </c>
      <c r="O177" s="306" t="s">
        <v>1321</v>
      </c>
      <c r="P177" s="306" t="s">
        <v>212</v>
      </c>
      <c r="Q177" s="306" t="s">
        <v>1013</v>
      </c>
      <c r="R177" s="306" t="s">
        <v>1013</v>
      </c>
      <c r="S177" s="306" t="s">
        <v>1013</v>
      </c>
      <c r="T177" s="306" t="s">
        <v>1013</v>
      </c>
      <c r="U177" s="306" t="s">
        <v>1013</v>
      </c>
      <c r="V177" s="306" t="s">
        <v>1013</v>
      </c>
      <c r="W177" s="306" t="s">
        <v>1013</v>
      </c>
      <c r="X177" s="306" t="s">
        <v>1013</v>
      </c>
      <c r="Y177" s="306" t="s">
        <v>1112</v>
      </c>
      <c r="Z177" s="306" t="s">
        <v>1071</v>
      </c>
      <c r="AA177" s="306" t="s">
        <v>1013</v>
      </c>
    </row>
    <row r="178" spans="1:27">
      <c r="A178" s="306" t="s">
        <v>494</v>
      </c>
      <c r="B178" s="306" t="s">
        <v>1003</v>
      </c>
      <c r="C178" s="306" t="s">
        <v>1004</v>
      </c>
      <c r="D178" s="306" t="s">
        <v>2435</v>
      </c>
      <c r="E178" s="306" t="s">
        <v>1322</v>
      </c>
      <c r="F178" s="306" t="s">
        <v>1007</v>
      </c>
      <c r="G178" s="308">
        <v>46015</v>
      </c>
      <c r="H178" s="308">
        <v>46015</v>
      </c>
      <c r="I178" s="309">
        <v>-78660.240000000005</v>
      </c>
      <c r="J178" s="306" t="s">
        <v>1008</v>
      </c>
      <c r="K178" s="309">
        <v>-78660.240000000005</v>
      </c>
      <c r="L178" s="306" t="s">
        <v>1008</v>
      </c>
      <c r="M178" s="306" t="s">
        <v>1314</v>
      </c>
      <c r="N178" s="306" t="s">
        <v>1314</v>
      </c>
      <c r="O178" s="306" t="s">
        <v>1323</v>
      </c>
      <c r="P178" s="306" t="s">
        <v>212</v>
      </c>
      <c r="Q178" s="306" t="s">
        <v>1013</v>
      </c>
      <c r="R178" s="306" t="s">
        <v>1013</v>
      </c>
      <c r="S178" s="306" t="s">
        <v>1013</v>
      </c>
      <c r="T178" s="306" t="s">
        <v>1013</v>
      </c>
      <c r="U178" s="306" t="s">
        <v>1013</v>
      </c>
      <c r="V178" s="306" t="s">
        <v>1013</v>
      </c>
      <c r="W178" s="306" t="s">
        <v>1013</v>
      </c>
      <c r="X178" s="306" t="s">
        <v>1013</v>
      </c>
      <c r="Y178" s="306" t="s">
        <v>1112</v>
      </c>
      <c r="Z178" s="306" t="s">
        <v>1071</v>
      </c>
      <c r="AA178" s="306" t="s">
        <v>1013</v>
      </c>
    </row>
    <row r="179" spans="1:27">
      <c r="A179" s="306" t="s">
        <v>494</v>
      </c>
      <c r="B179" s="306" t="s">
        <v>1003</v>
      </c>
      <c r="C179" s="306" t="s">
        <v>1004</v>
      </c>
      <c r="D179" s="306" t="s">
        <v>2435</v>
      </c>
      <c r="E179" s="306" t="s">
        <v>1324</v>
      </c>
      <c r="F179" s="306" t="s">
        <v>1007</v>
      </c>
      <c r="G179" s="308">
        <v>46015</v>
      </c>
      <c r="H179" s="308">
        <v>46015</v>
      </c>
      <c r="I179" s="309">
        <v>-11216.98</v>
      </c>
      <c r="J179" s="306" t="s">
        <v>1008</v>
      </c>
      <c r="K179" s="309">
        <v>-11216.98</v>
      </c>
      <c r="L179" s="306" t="s">
        <v>1008</v>
      </c>
      <c r="M179" s="306" t="s">
        <v>1309</v>
      </c>
      <c r="N179" s="306" t="s">
        <v>1309</v>
      </c>
      <c r="O179" s="306" t="s">
        <v>1325</v>
      </c>
      <c r="P179" s="306" t="s">
        <v>212</v>
      </c>
      <c r="Q179" s="306" t="s">
        <v>1013</v>
      </c>
      <c r="R179" s="306" t="s">
        <v>1013</v>
      </c>
      <c r="S179" s="306" t="s">
        <v>1013</v>
      </c>
      <c r="T179" s="306" t="s">
        <v>1013</v>
      </c>
      <c r="U179" s="306" t="s">
        <v>1013</v>
      </c>
      <c r="V179" s="306" t="s">
        <v>1013</v>
      </c>
      <c r="W179" s="306" t="s">
        <v>1013</v>
      </c>
      <c r="X179" s="306" t="s">
        <v>1013</v>
      </c>
      <c r="Y179" s="306" t="s">
        <v>1112</v>
      </c>
      <c r="Z179" s="306" t="s">
        <v>1071</v>
      </c>
      <c r="AA179" s="306" t="s">
        <v>1013</v>
      </c>
    </row>
    <row r="180" spans="1:27">
      <c r="A180" s="306" t="s">
        <v>494</v>
      </c>
      <c r="B180" s="306" t="s">
        <v>1003</v>
      </c>
      <c r="C180" s="306" t="s">
        <v>1004</v>
      </c>
      <c r="D180" s="306" t="s">
        <v>2435</v>
      </c>
      <c r="E180" s="306" t="s">
        <v>1326</v>
      </c>
      <c r="F180" s="306" t="s">
        <v>1007</v>
      </c>
      <c r="G180" s="308">
        <v>46015</v>
      </c>
      <c r="H180" s="308">
        <v>46015</v>
      </c>
      <c r="I180" s="309">
        <v>-128094.31</v>
      </c>
      <c r="J180" s="306" t="s">
        <v>1008</v>
      </c>
      <c r="K180" s="309">
        <v>-128094.31</v>
      </c>
      <c r="L180" s="306" t="s">
        <v>1008</v>
      </c>
      <c r="M180" s="306" t="s">
        <v>1327</v>
      </c>
      <c r="N180" s="306" t="s">
        <v>1327</v>
      </c>
      <c r="O180" s="306" t="s">
        <v>1328</v>
      </c>
      <c r="P180" s="306" t="s">
        <v>212</v>
      </c>
      <c r="Q180" s="306" t="s">
        <v>1013</v>
      </c>
      <c r="R180" s="306" t="s">
        <v>1013</v>
      </c>
      <c r="S180" s="306" t="s">
        <v>1013</v>
      </c>
      <c r="T180" s="306" t="s">
        <v>1013</v>
      </c>
      <c r="U180" s="306" t="s">
        <v>1013</v>
      </c>
      <c r="V180" s="306" t="s">
        <v>1013</v>
      </c>
      <c r="W180" s="306" t="s">
        <v>1013</v>
      </c>
      <c r="X180" s="306" t="s">
        <v>1013</v>
      </c>
      <c r="Y180" s="306" t="s">
        <v>1112</v>
      </c>
      <c r="Z180" s="306" t="s">
        <v>1071</v>
      </c>
      <c r="AA180" s="306" t="s">
        <v>1013</v>
      </c>
    </row>
    <row r="181" spans="1:27">
      <c r="A181" s="306" t="s">
        <v>494</v>
      </c>
      <c r="B181" s="306" t="s">
        <v>1003</v>
      </c>
      <c r="C181" s="306" t="s">
        <v>1004</v>
      </c>
      <c r="D181" s="306" t="s">
        <v>2435</v>
      </c>
      <c r="E181" s="306" t="s">
        <v>1329</v>
      </c>
      <c r="F181" s="306" t="s">
        <v>1007</v>
      </c>
      <c r="G181" s="308">
        <v>46015</v>
      </c>
      <c r="H181" s="308">
        <v>46015</v>
      </c>
      <c r="I181" s="309">
        <v>-1893211.29</v>
      </c>
      <c r="J181" s="306" t="s">
        <v>1008</v>
      </c>
      <c r="K181" s="309">
        <v>-1893211.29</v>
      </c>
      <c r="L181" s="306" t="s">
        <v>1008</v>
      </c>
      <c r="M181" s="306" t="s">
        <v>1327</v>
      </c>
      <c r="N181" s="306" t="s">
        <v>1327</v>
      </c>
      <c r="O181" s="306" t="s">
        <v>1330</v>
      </c>
      <c r="P181" s="306" t="s">
        <v>212</v>
      </c>
      <c r="Q181" s="306" t="s">
        <v>1013</v>
      </c>
      <c r="R181" s="306" t="s">
        <v>1013</v>
      </c>
      <c r="S181" s="306" t="s">
        <v>1013</v>
      </c>
      <c r="T181" s="306" t="s">
        <v>1013</v>
      </c>
      <c r="U181" s="306" t="s">
        <v>1013</v>
      </c>
      <c r="V181" s="306" t="s">
        <v>1013</v>
      </c>
      <c r="W181" s="306" t="s">
        <v>1013</v>
      </c>
      <c r="X181" s="306" t="s">
        <v>1013</v>
      </c>
      <c r="Y181" s="306" t="s">
        <v>1112</v>
      </c>
      <c r="Z181" s="306" t="s">
        <v>1071</v>
      </c>
      <c r="AA181" s="306" t="s">
        <v>1013</v>
      </c>
    </row>
    <row r="182" spans="1:27">
      <c r="A182" s="306" t="s">
        <v>494</v>
      </c>
      <c r="B182" s="306" t="s">
        <v>1003</v>
      </c>
      <c r="C182" s="306" t="s">
        <v>1004</v>
      </c>
      <c r="D182" s="306" t="s">
        <v>2435</v>
      </c>
      <c r="E182" s="306" t="s">
        <v>1331</v>
      </c>
      <c r="F182" s="306" t="s">
        <v>1007</v>
      </c>
      <c r="G182" s="308">
        <v>46015</v>
      </c>
      <c r="H182" s="308">
        <v>46015</v>
      </c>
      <c r="I182" s="309">
        <v>-42204.06</v>
      </c>
      <c r="J182" s="306" t="s">
        <v>1008</v>
      </c>
      <c r="K182" s="309">
        <v>-42204.06</v>
      </c>
      <c r="L182" s="306" t="s">
        <v>1008</v>
      </c>
      <c r="M182" s="306" t="s">
        <v>1314</v>
      </c>
      <c r="N182" s="306" t="s">
        <v>1314</v>
      </c>
      <c r="O182" s="306" t="s">
        <v>1332</v>
      </c>
      <c r="P182" s="306" t="s">
        <v>212</v>
      </c>
      <c r="Q182" s="306" t="s">
        <v>1013</v>
      </c>
      <c r="R182" s="306" t="s">
        <v>1013</v>
      </c>
      <c r="S182" s="306" t="s">
        <v>1013</v>
      </c>
      <c r="T182" s="306" t="s">
        <v>1013</v>
      </c>
      <c r="U182" s="306" t="s">
        <v>1013</v>
      </c>
      <c r="V182" s="306" t="s">
        <v>1013</v>
      </c>
      <c r="W182" s="306" t="s">
        <v>1013</v>
      </c>
      <c r="X182" s="306" t="s">
        <v>1013</v>
      </c>
      <c r="Y182" s="306" t="s">
        <v>1112</v>
      </c>
      <c r="Z182" s="306" t="s">
        <v>1071</v>
      </c>
      <c r="AA182" s="306" t="s">
        <v>1013</v>
      </c>
    </row>
    <row r="183" spans="1:27">
      <c r="A183" s="306" t="s">
        <v>494</v>
      </c>
      <c r="B183" s="306" t="s">
        <v>1003</v>
      </c>
      <c r="C183" s="306" t="s">
        <v>1004</v>
      </c>
      <c r="D183" s="306" t="s">
        <v>2435</v>
      </c>
      <c r="E183" s="306" t="s">
        <v>1333</v>
      </c>
      <c r="F183" s="306" t="s">
        <v>1007</v>
      </c>
      <c r="G183" s="308">
        <v>46015</v>
      </c>
      <c r="H183" s="308">
        <v>46015</v>
      </c>
      <c r="I183" s="309">
        <v>-8122.64</v>
      </c>
      <c r="J183" s="306" t="s">
        <v>1008</v>
      </c>
      <c r="K183" s="309">
        <v>-8122.64</v>
      </c>
      <c r="L183" s="306" t="s">
        <v>1008</v>
      </c>
      <c r="M183" s="306" t="s">
        <v>1309</v>
      </c>
      <c r="N183" s="306" t="s">
        <v>1309</v>
      </c>
      <c r="O183" s="306" t="s">
        <v>1334</v>
      </c>
      <c r="P183" s="306" t="s">
        <v>212</v>
      </c>
      <c r="Q183" s="306" t="s">
        <v>1013</v>
      </c>
      <c r="R183" s="306" t="s">
        <v>1013</v>
      </c>
      <c r="S183" s="306" t="s">
        <v>1013</v>
      </c>
      <c r="T183" s="306" t="s">
        <v>1013</v>
      </c>
      <c r="U183" s="306" t="s">
        <v>1013</v>
      </c>
      <c r="V183" s="306" t="s">
        <v>1013</v>
      </c>
      <c r="W183" s="306" t="s">
        <v>1013</v>
      </c>
      <c r="X183" s="306" t="s">
        <v>1013</v>
      </c>
      <c r="Y183" s="306" t="s">
        <v>1112</v>
      </c>
      <c r="Z183" s="306" t="s">
        <v>1071</v>
      </c>
      <c r="AA183" s="306" t="s">
        <v>1013</v>
      </c>
    </row>
    <row r="184" spans="1:27">
      <c r="A184" s="306" t="s">
        <v>494</v>
      </c>
      <c r="B184" s="306" t="s">
        <v>1003</v>
      </c>
      <c r="C184" s="306" t="s">
        <v>1004</v>
      </c>
      <c r="D184" s="306" t="s">
        <v>2435</v>
      </c>
      <c r="E184" s="306" t="s">
        <v>1335</v>
      </c>
      <c r="F184" s="306" t="s">
        <v>1007</v>
      </c>
      <c r="G184" s="308">
        <v>46015</v>
      </c>
      <c r="H184" s="308">
        <v>46015</v>
      </c>
      <c r="I184" s="309">
        <v>-11216.98</v>
      </c>
      <c r="J184" s="306" t="s">
        <v>1008</v>
      </c>
      <c r="K184" s="309">
        <v>-11216.98</v>
      </c>
      <c r="L184" s="306" t="s">
        <v>1008</v>
      </c>
      <c r="M184" s="306" t="s">
        <v>1309</v>
      </c>
      <c r="N184" s="306" t="s">
        <v>1309</v>
      </c>
      <c r="O184" s="306" t="s">
        <v>1325</v>
      </c>
      <c r="P184" s="306" t="s">
        <v>212</v>
      </c>
      <c r="Q184" s="306" t="s">
        <v>1013</v>
      </c>
      <c r="R184" s="306" t="s">
        <v>1013</v>
      </c>
      <c r="S184" s="306" t="s">
        <v>1013</v>
      </c>
      <c r="T184" s="306" t="s">
        <v>1013</v>
      </c>
      <c r="U184" s="306" t="s">
        <v>1013</v>
      </c>
      <c r="V184" s="306" t="s">
        <v>1013</v>
      </c>
      <c r="W184" s="306" t="s">
        <v>1013</v>
      </c>
      <c r="X184" s="306" t="s">
        <v>1013</v>
      </c>
      <c r="Y184" s="306" t="s">
        <v>1112</v>
      </c>
      <c r="Z184" s="306" t="s">
        <v>1071</v>
      </c>
      <c r="AA184" s="306" t="s">
        <v>1013</v>
      </c>
    </row>
    <row r="185" spans="1:27">
      <c r="A185" s="306" t="s">
        <v>494</v>
      </c>
      <c r="B185" s="306" t="s">
        <v>1003</v>
      </c>
      <c r="C185" s="306" t="s">
        <v>1004</v>
      </c>
      <c r="D185" s="306" t="s">
        <v>2435</v>
      </c>
      <c r="E185" s="306" t="s">
        <v>1336</v>
      </c>
      <c r="F185" s="306" t="s">
        <v>1007</v>
      </c>
      <c r="G185" s="308">
        <v>46015</v>
      </c>
      <c r="H185" s="308">
        <v>46015</v>
      </c>
      <c r="I185" s="309">
        <v>-3313119.75</v>
      </c>
      <c r="J185" s="306" t="s">
        <v>1008</v>
      </c>
      <c r="K185" s="309">
        <v>-3313119.75</v>
      </c>
      <c r="L185" s="306" t="s">
        <v>1008</v>
      </c>
      <c r="M185" s="306" t="s">
        <v>1327</v>
      </c>
      <c r="N185" s="306" t="s">
        <v>1327</v>
      </c>
      <c r="O185" s="306" t="s">
        <v>1330</v>
      </c>
      <c r="P185" s="306" t="s">
        <v>212</v>
      </c>
      <c r="Q185" s="306" t="s">
        <v>1013</v>
      </c>
      <c r="R185" s="306" t="s">
        <v>1013</v>
      </c>
      <c r="S185" s="306" t="s">
        <v>1013</v>
      </c>
      <c r="T185" s="306" t="s">
        <v>1013</v>
      </c>
      <c r="U185" s="306" t="s">
        <v>1013</v>
      </c>
      <c r="V185" s="306" t="s">
        <v>1013</v>
      </c>
      <c r="W185" s="306" t="s">
        <v>1013</v>
      </c>
      <c r="X185" s="306" t="s">
        <v>1013</v>
      </c>
      <c r="Y185" s="306" t="s">
        <v>1112</v>
      </c>
      <c r="Z185" s="306" t="s">
        <v>1071</v>
      </c>
      <c r="AA185" s="306" t="s">
        <v>1013</v>
      </c>
    </row>
    <row r="186" spans="1:27">
      <c r="A186" s="306" t="s">
        <v>494</v>
      </c>
      <c r="B186" s="306" t="s">
        <v>1003</v>
      </c>
      <c r="C186" s="306" t="s">
        <v>1004</v>
      </c>
      <c r="D186" s="306" t="s">
        <v>2435</v>
      </c>
      <c r="E186" s="306" t="s">
        <v>1337</v>
      </c>
      <c r="F186" s="306" t="s">
        <v>1007</v>
      </c>
      <c r="G186" s="308">
        <v>46015</v>
      </c>
      <c r="H186" s="308">
        <v>46015</v>
      </c>
      <c r="I186" s="309">
        <v>-12984.62</v>
      </c>
      <c r="J186" s="306" t="s">
        <v>1008</v>
      </c>
      <c r="K186" s="309">
        <v>-12984.62</v>
      </c>
      <c r="L186" s="306" t="s">
        <v>1008</v>
      </c>
      <c r="M186" s="306" t="s">
        <v>1309</v>
      </c>
      <c r="N186" s="306" t="s">
        <v>1309</v>
      </c>
      <c r="O186" s="306" t="s">
        <v>1338</v>
      </c>
      <c r="P186" s="306" t="s">
        <v>212</v>
      </c>
      <c r="Q186" s="306" t="s">
        <v>1013</v>
      </c>
      <c r="R186" s="306" t="s">
        <v>1013</v>
      </c>
      <c r="S186" s="306" t="s">
        <v>1013</v>
      </c>
      <c r="T186" s="306" t="s">
        <v>1013</v>
      </c>
      <c r="U186" s="306" t="s">
        <v>1013</v>
      </c>
      <c r="V186" s="306" t="s">
        <v>1013</v>
      </c>
      <c r="W186" s="306" t="s">
        <v>1013</v>
      </c>
      <c r="X186" s="306" t="s">
        <v>1013</v>
      </c>
      <c r="Y186" s="306" t="s">
        <v>1112</v>
      </c>
      <c r="Z186" s="306" t="s">
        <v>1071</v>
      </c>
      <c r="AA186" s="306" t="s">
        <v>1013</v>
      </c>
    </row>
    <row r="187" spans="1:27">
      <c r="A187" s="306" t="s">
        <v>494</v>
      </c>
      <c r="B187" s="306" t="s">
        <v>1003</v>
      </c>
      <c r="C187" s="306" t="s">
        <v>1004</v>
      </c>
      <c r="D187" s="306" t="s">
        <v>2435</v>
      </c>
      <c r="E187" s="306" t="s">
        <v>1339</v>
      </c>
      <c r="F187" s="306" t="s">
        <v>1007</v>
      </c>
      <c r="G187" s="308">
        <v>46015</v>
      </c>
      <c r="H187" s="308">
        <v>46015</v>
      </c>
      <c r="I187" s="309">
        <v>-133102.63</v>
      </c>
      <c r="J187" s="306" t="s">
        <v>1008</v>
      </c>
      <c r="K187" s="309">
        <v>-133102.63</v>
      </c>
      <c r="L187" s="306" t="s">
        <v>1008</v>
      </c>
      <c r="M187" s="306" t="s">
        <v>1314</v>
      </c>
      <c r="N187" s="306" t="s">
        <v>1314</v>
      </c>
      <c r="O187" s="306" t="s">
        <v>1319</v>
      </c>
      <c r="P187" s="306" t="s">
        <v>212</v>
      </c>
      <c r="Q187" s="306" t="s">
        <v>1013</v>
      </c>
      <c r="R187" s="306" t="s">
        <v>1013</v>
      </c>
      <c r="S187" s="306" t="s">
        <v>1013</v>
      </c>
      <c r="T187" s="306" t="s">
        <v>1013</v>
      </c>
      <c r="U187" s="306" t="s">
        <v>1013</v>
      </c>
      <c r="V187" s="306" t="s">
        <v>1013</v>
      </c>
      <c r="W187" s="306" t="s">
        <v>1013</v>
      </c>
      <c r="X187" s="306" t="s">
        <v>1013</v>
      </c>
      <c r="Y187" s="306" t="s">
        <v>1112</v>
      </c>
      <c r="Z187" s="306" t="s">
        <v>1071</v>
      </c>
      <c r="AA187" s="306" t="s">
        <v>1013</v>
      </c>
    </row>
    <row r="188" spans="1:27">
      <c r="A188" s="306" t="s">
        <v>494</v>
      </c>
      <c r="B188" s="306" t="s">
        <v>1003</v>
      </c>
      <c r="C188" s="306" t="s">
        <v>1004</v>
      </c>
      <c r="D188" s="306" t="s">
        <v>2435</v>
      </c>
      <c r="E188" s="306" t="s">
        <v>1340</v>
      </c>
      <c r="F188" s="306" t="s">
        <v>1007</v>
      </c>
      <c r="G188" s="308">
        <v>46015</v>
      </c>
      <c r="H188" s="308">
        <v>46015</v>
      </c>
      <c r="I188" s="309">
        <v>-737145.43</v>
      </c>
      <c r="J188" s="306" t="s">
        <v>1008</v>
      </c>
      <c r="K188" s="309">
        <v>-737145.43</v>
      </c>
      <c r="L188" s="306" t="s">
        <v>1008</v>
      </c>
      <c r="M188" s="306" t="s">
        <v>1314</v>
      </c>
      <c r="N188" s="306" t="s">
        <v>1314</v>
      </c>
      <c r="O188" s="306" t="s">
        <v>1321</v>
      </c>
      <c r="P188" s="306" t="s">
        <v>212</v>
      </c>
      <c r="Q188" s="306" t="s">
        <v>1013</v>
      </c>
      <c r="R188" s="306" t="s">
        <v>1013</v>
      </c>
      <c r="S188" s="306" t="s">
        <v>1013</v>
      </c>
      <c r="T188" s="306" t="s">
        <v>1013</v>
      </c>
      <c r="U188" s="306" t="s">
        <v>1013</v>
      </c>
      <c r="V188" s="306" t="s">
        <v>1013</v>
      </c>
      <c r="W188" s="306" t="s">
        <v>1013</v>
      </c>
      <c r="X188" s="306" t="s">
        <v>1013</v>
      </c>
      <c r="Y188" s="306" t="s">
        <v>1112</v>
      </c>
      <c r="Z188" s="306" t="s">
        <v>1071</v>
      </c>
      <c r="AA188" s="306" t="s">
        <v>1013</v>
      </c>
    </row>
    <row r="189" spans="1:27">
      <c r="A189" s="306" t="s">
        <v>494</v>
      </c>
      <c r="B189" s="306" t="s">
        <v>1003</v>
      </c>
      <c r="C189" s="306" t="s">
        <v>1004</v>
      </c>
      <c r="D189" s="306" t="s">
        <v>2435</v>
      </c>
      <c r="E189" s="306" t="s">
        <v>1341</v>
      </c>
      <c r="F189" s="306" t="s">
        <v>1007</v>
      </c>
      <c r="G189" s="308">
        <v>46015</v>
      </c>
      <c r="H189" s="308">
        <v>46015</v>
      </c>
      <c r="I189" s="309">
        <v>-2856740.98</v>
      </c>
      <c r="J189" s="306" t="s">
        <v>1008</v>
      </c>
      <c r="K189" s="309">
        <v>-2856740.98</v>
      </c>
      <c r="L189" s="306" t="s">
        <v>1008</v>
      </c>
      <c r="M189" s="306" t="s">
        <v>1314</v>
      </c>
      <c r="N189" s="306" t="s">
        <v>1314</v>
      </c>
      <c r="O189" s="306" t="s">
        <v>1323</v>
      </c>
      <c r="P189" s="306" t="s">
        <v>212</v>
      </c>
      <c r="Q189" s="306" t="s">
        <v>1013</v>
      </c>
      <c r="R189" s="306" t="s">
        <v>1013</v>
      </c>
      <c r="S189" s="306" t="s">
        <v>1013</v>
      </c>
      <c r="T189" s="306" t="s">
        <v>1013</v>
      </c>
      <c r="U189" s="306" t="s">
        <v>1013</v>
      </c>
      <c r="V189" s="306" t="s">
        <v>1013</v>
      </c>
      <c r="W189" s="306" t="s">
        <v>1013</v>
      </c>
      <c r="X189" s="306" t="s">
        <v>1013</v>
      </c>
      <c r="Y189" s="306" t="s">
        <v>1112</v>
      </c>
      <c r="Z189" s="306" t="s">
        <v>1071</v>
      </c>
      <c r="AA189" s="306" t="s">
        <v>1013</v>
      </c>
    </row>
    <row r="190" spans="1:27">
      <c r="A190" s="306" t="s">
        <v>494</v>
      </c>
      <c r="B190" s="306" t="s">
        <v>1003</v>
      </c>
      <c r="C190" s="306" t="s">
        <v>1004</v>
      </c>
      <c r="D190" s="306" t="s">
        <v>2435</v>
      </c>
      <c r="E190" s="306" t="s">
        <v>1342</v>
      </c>
      <c r="F190" s="306" t="s">
        <v>1007</v>
      </c>
      <c r="G190" s="308">
        <v>46015</v>
      </c>
      <c r="H190" s="308">
        <v>46015</v>
      </c>
      <c r="I190" s="309">
        <v>-42204.05</v>
      </c>
      <c r="J190" s="306" t="s">
        <v>1008</v>
      </c>
      <c r="K190" s="309">
        <v>-42204.05</v>
      </c>
      <c r="L190" s="306" t="s">
        <v>1008</v>
      </c>
      <c r="M190" s="306" t="s">
        <v>1314</v>
      </c>
      <c r="N190" s="306" t="s">
        <v>1314</v>
      </c>
      <c r="O190" s="306" t="s">
        <v>1332</v>
      </c>
      <c r="P190" s="306" t="s">
        <v>212</v>
      </c>
      <c r="Q190" s="306" t="s">
        <v>1013</v>
      </c>
      <c r="R190" s="306" t="s">
        <v>1013</v>
      </c>
      <c r="S190" s="306" t="s">
        <v>1013</v>
      </c>
      <c r="T190" s="306" t="s">
        <v>1013</v>
      </c>
      <c r="U190" s="306" t="s">
        <v>1013</v>
      </c>
      <c r="V190" s="306" t="s">
        <v>1013</v>
      </c>
      <c r="W190" s="306" t="s">
        <v>1013</v>
      </c>
      <c r="X190" s="306" t="s">
        <v>1013</v>
      </c>
      <c r="Y190" s="306" t="s">
        <v>1112</v>
      </c>
      <c r="Z190" s="306" t="s">
        <v>1071</v>
      </c>
      <c r="AA190" s="306" t="s">
        <v>1013</v>
      </c>
    </row>
    <row r="191" spans="1:27">
      <c r="A191" s="306" t="s">
        <v>494</v>
      </c>
      <c r="B191" s="306" t="s">
        <v>1003</v>
      </c>
      <c r="C191" s="306" t="s">
        <v>1004</v>
      </c>
      <c r="D191" s="306" t="s">
        <v>2435</v>
      </c>
      <c r="E191" s="306" t="s">
        <v>1343</v>
      </c>
      <c r="F191" s="306" t="s">
        <v>1007</v>
      </c>
      <c r="G191" s="308">
        <v>46015</v>
      </c>
      <c r="H191" s="308">
        <v>46015</v>
      </c>
      <c r="I191" s="309">
        <v>-335831.23</v>
      </c>
      <c r="J191" s="306" t="s">
        <v>1008</v>
      </c>
      <c r="K191" s="309">
        <v>-335831.23</v>
      </c>
      <c r="L191" s="306" t="s">
        <v>1008</v>
      </c>
      <c r="M191" s="306" t="s">
        <v>1314</v>
      </c>
      <c r="N191" s="306" t="s">
        <v>1314</v>
      </c>
      <c r="O191" s="306" t="s">
        <v>1344</v>
      </c>
      <c r="P191" s="306" t="s">
        <v>212</v>
      </c>
      <c r="Q191" s="306" t="s">
        <v>1013</v>
      </c>
      <c r="R191" s="306" t="s">
        <v>1013</v>
      </c>
      <c r="S191" s="306" t="s">
        <v>1013</v>
      </c>
      <c r="T191" s="306" t="s">
        <v>1013</v>
      </c>
      <c r="U191" s="306" t="s">
        <v>1013</v>
      </c>
      <c r="V191" s="306" t="s">
        <v>1013</v>
      </c>
      <c r="W191" s="306" t="s">
        <v>1013</v>
      </c>
      <c r="X191" s="306" t="s">
        <v>1013</v>
      </c>
      <c r="Y191" s="306" t="s">
        <v>1112</v>
      </c>
      <c r="Z191" s="306" t="s">
        <v>1071</v>
      </c>
      <c r="AA191" s="306" t="s">
        <v>1013</v>
      </c>
    </row>
    <row r="192" spans="1:27">
      <c r="A192" s="306" t="s">
        <v>494</v>
      </c>
      <c r="B192" s="306" t="s">
        <v>1003</v>
      </c>
      <c r="C192" s="306" t="s">
        <v>1004</v>
      </c>
      <c r="D192" s="306" t="s">
        <v>2435</v>
      </c>
      <c r="E192" s="306" t="s">
        <v>1345</v>
      </c>
      <c r="F192" s="306" t="s">
        <v>1007</v>
      </c>
      <c r="G192" s="308">
        <v>46015</v>
      </c>
      <c r="H192" s="308">
        <v>46015</v>
      </c>
      <c r="I192" s="309">
        <v>-1655667.65</v>
      </c>
      <c r="J192" s="306" t="s">
        <v>1008</v>
      </c>
      <c r="K192" s="309">
        <v>-1655667.65</v>
      </c>
      <c r="L192" s="306" t="s">
        <v>1008</v>
      </c>
      <c r="M192" s="306" t="s">
        <v>1314</v>
      </c>
      <c r="N192" s="306" t="s">
        <v>1314</v>
      </c>
      <c r="O192" s="306" t="s">
        <v>1317</v>
      </c>
      <c r="P192" s="306" t="s">
        <v>212</v>
      </c>
      <c r="Q192" s="306" t="s">
        <v>1013</v>
      </c>
      <c r="R192" s="306" t="s">
        <v>1013</v>
      </c>
      <c r="S192" s="306" t="s">
        <v>1013</v>
      </c>
      <c r="T192" s="306" t="s">
        <v>1013</v>
      </c>
      <c r="U192" s="306" t="s">
        <v>1013</v>
      </c>
      <c r="V192" s="306" t="s">
        <v>1013</v>
      </c>
      <c r="W192" s="306" t="s">
        <v>1013</v>
      </c>
      <c r="X192" s="306" t="s">
        <v>1013</v>
      </c>
      <c r="Y192" s="306" t="s">
        <v>1112</v>
      </c>
      <c r="Z192" s="306" t="s">
        <v>1071</v>
      </c>
      <c r="AA192" s="306" t="s">
        <v>1013</v>
      </c>
    </row>
    <row r="193" spans="1:27">
      <c r="A193" s="306" t="s">
        <v>494</v>
      </c>
      <c r="B193" s="306" t="s">
        <v>1003</v>
      </c>
      <c r="C193" s="306" t="s">
        <v>1004</v>
      </c>
      <c r="D193" s="306" t="s">
        <v>2435</v>
      </c>
      <c r="E193" s="306" t="s">
        <v>1346</v>
      </c>
      <c r="F193" s="306" t="s">
        <v>1007</v>
      </c>
      <c r="G193" s="308">
        <v>46015</v>
      </c>
      <c r="H193" s="308">
        <v>46015</v>
      </c>
      <c r="I193" s="309">
        <v>-304678.90000000002</v>
      </c>
      <c r="J193" s="306" t="s">
        <v>1008</v>
      </c>
      <c r="K193" s="309">
        <v>-304678.90000000002</v>
      </c>
      <c r="L193" s="306" t="s">
        <v>1008</v>
      </c>
      <c r="M193" s="306" t="s">
        <v>1314</v>
      </c>
      <c r="N193" s="306" t="s">
        <v>1314</v>
      </c>
      <c r="O193" s="306" t="s">
        <v>1347</v>
      </c>
      <c r="P193" s="306" t="s">
        <v>212</v>
      </c>
      <c r="Q193" s="306" t="s">
        <v>1013</v>
      </c>
      <c r="R193" s="306" t="s">
        <v>1013</v>
      </c>
      <c r="S193" s="306" t="s">
        <v>1013</v>
      </c>
      <c r="T193" s="306" t="s">
        <v>1013</v>
      </c>
      <c r="U193" s="306" t="s">
        <v>1013</v>
      </c>
      <c r="V193" s="306" t="s">
        <v>1013</v>
      </c>
      <c r="W193" s="306" t="s">
        <v>1013</v>
      </c>
      <c r="X193" s="306" t="s">
        <v>1013</v>
      </c>
      <c r="Y193" s="306" t="s">
        <v>1112</v>
      </c>
      <c r="Z193" s="306" t="s">
        <v>1071</v>
      </c>
      <c r="AA193" s="306" t="s">
        <v>1013</v>
      </c>
    </row>
    <row r="194" spans="1:27">
      <c r="A194" s="306" t="s">
        <v>494</v>
      </c>
      <c r="B194" s="306" t="s">
        <v>1003</v>
      </c>
      <c r="C194" s="306" t="s">
        <v>1004</v>
      </c>
      <c r="D194" s="306" t="s">
        <v>2435</v>
      </c>
      <c r="E194" s="306" t="s">
        <v>1348</v>
      </c>
      <c r="F194" s="306" t="s">
        <v>1007</v>
      </c>
      <c r="G194" s="308">
        <v>46015</v>
      </c>
      <c r="H194" s="308">
        <v>46015</v>
      </c>
      <c r="I194" s="309">
        <v>-1099896.79</v>
      </c>
      <c r="J194" s="306" t="s">
        <v>1008</v>
      </c>
      <c r="K194" s="309">
        <v>-1099896.79</v>
      </c>
      <c r="L194" s="306" t="s">
        <v>1008</v>
      </c>
      <c r="M194" s="306" t="s">
        <v>1314</v>
      </c>
      <c r="N194" s="306" t="s">
        <v>1314</v>
      </c>
      <c r="O194" s="306" t="s">
        <v>1315</v>
      </c>
      <c r="P194" s="306" t="s">
        <v>212</v>
      </c>
      <c r="Q194" s="306" t="s">
        <v>1013</v>
      </c>
      <c r="R194" s="306" t="s">
        <v>1013</v>
      </c>
      <c r="S194" s="306" t="s">
        <v>1013</v>
      </c>
      <c r="T194" s="306" t="s">
        <v>1013</v>
      </c>
      <c r="U194" s="306" t="s">
        <v>1013</v>
      </c>
      <c r="V194" s="306" t="s">
        <v>1013</v>
      </c>
      <c r="W194" s="306" t="s">
        <v>1013</v>
      </c>
      <c r="X194" s="306" t="s">
        <v>1013</v>
      </c>
      <c r="Y194" s="306" t="s">
        <v>1112</v>
      </c>
      <c r="Z194" s="306" t="s">
        <v>1071</v>
      </c>
      <c r="AA194" s="306" t="s">
        <v>1013</v>
      </c>
    </row>
    <row r="195" spans="1:27">
      <c r="A195" s="306" t="s">
        <v>494</v>
      </c>
      <c r="B195" s="306" t="s">
        <v>1003</v>
      </c>
      <c r="C195" s="306" t="s">
        <v>1004</v>
      </c>
      <c r="D195" s="306" t="s">
        <v>2435</v>
      </c>
      <c r="E195" s="306" t="s">
        <v>1349</v>
      </c>
      <c r="F195" s="306" t="s">
        <v>1007</v>
      </c>
      <c r="G195" s="308">
        <v>46015</v>
      </c>
      <c r="H195" s="308">
        <v>46015</v>
      </c>
      <c r="I195" s="309">
        <v>-1791919.08</v>
      </c>
      <c r="J195" s="306" t="s">
        <v>1008</v>
      </c>
      <c r="K195" s="309">
        <v>-1791919.08</v>
      </c>
      <c r="L195" s="306" t="s">
        <v>1008</v>
      </c>
      <c r="M195" s="306" t="s">
        <v>1327</v>
      </c>
      <c r="N195" s="306" t="s">
        <v>1327</v>
      </c>
      <c r="O195" s="306" t="s">
        <v>1350</v>
      </c>
      <c r="P195" s="306" t="s">
        <v>212</v>
      </c>
      <c r="Q195" s="306" t="s">
        <v>1013</v>
      </c>
      <c r="R195" s="306" t="s">
        <v>1013</v>
      </c>
      <c r="S195" s="306" t="s">
        <v>1013</v>
      </c>
      <c r="T195" s="306" t="s">
        <v>1013</v>
      </c>
      <c r="U195" s="306" t="s">
        <v>1013</v>
      </c>
      <c r="V195" s="306" t="s">
        <v>1013</v>
      </c>
      <c r="W195" s="306" t="s">
        <v>1013</v>
      </c>
      <c r="X195" s="306" t="s">
        <v>1013</v>
      </c>
      <c r="Y195" s="306" t="s">
        <v>1112</v>
      </c>
      <c r="Z195" s="306" t="s">
        <v>1071</v>
      </c>
      <c r="AA195" s="306" t="s">
        <v>1013</v>
      </c>
    </row>
    <row r="196" spans="1:27">
      <c r="A196" s="306" t="s">
        <v>494</v>
      </c>
      <c r="B196" s="306" t="s">
        <v>1003</v>
      </c>
      <c r="C196" s="306" t="s">
        <v>1004</v>
      </c>
      <c r="D196" s="306" t="s">
        <v>2435</v>
      </c>
      <c r="E196" s="306" t="s">
        <v>1351</v>
      </c>
      <c r="F196" s="306" t="s">
        <v>1007</v>
      </c>
      <c r="G196" s="308">
        <v>46015</v>
      </c>
      <c r="H196" s="308">
        <v>46015</v>
      </c>
      <c r="I196" s="309">
        <v>-26868.93</v>
      </c>
      <c r="J196" s="306" t="s">
        <v>1008</v>
      </c>
      <c r="K196" s="309">
        <v>-26868.93</v>
      </c>
      <c r="L196" s="306" t="s">
        <v>1008</v>
      </c>
      <c r="M196" s="306" t="s">
        <v>1314</v>
      </c>
      <c r="N196" s="306" t="s">
        <v>1314</v>
      </c>
      <c r="O196" s="306" t="s">
        <v>1352</v>
      </c>
      <c r="P196" s="306" t="s">
        <v>212</v>
      </c>
      <c r="Q196" s="306" t="s">
        <v>1013</v>
      </c>
      <c r="R196" s="306" t="s">
        <v>1013</v>
      </c>
      <c r="S196" s="306" t="s">
        <v>1013</v>
      </c>
      <c r="T196" s="306" t="s">
        <v>1013</v>
      </c>
      <c r="U196" s="306" t="s">
        <v>1013</v>
      </c>
      <c r="V196" s="306" t="s">
        <v>1013</v>
      </c>
      <c r="W196" s="306" t="s">
        <v>1013</v>
      </c>
      <c r="X196" s="306" t="s">
        <v>1013</v>
      </c>
      <c r="Y196" s="306" t="s">
        <v>1112</v>
      </c>
      <c r="Z196" s="306" t="s">
        <v>1071</v>
      </c>
      <c r="AA196" s="306" t="s">
        <v>1013</v>
      </c>
    </row>
    <row r="197" spans="1:27">
      <c r="A197" s="306" t="s">
        <v>494</v>
      </c>
      <c r="B197" s="306" t="s">
        <v>1003</v>
      </c>
      <c r="C197" s="306" t="s">
        <v>1004</v>
      </c>
      <c r="D197" s="306" t="s">
        <v>2435</v>
      </c>
      <c r="E197" s="306" t="s">
        <v>1353</v>
      </c>
      <c r="F197" s="306" t="s">
        <v>1007</v>
      </c>
      <c r="G197" s="308">
        <v>46015</v>
      </c>
      <c r="H197" s="308">
        <v>46015</v>
      </c>
      <c r="I197" s="309">
        <v>-29009.43</v>
      </c>
      <c r="J197" s="306" t="s">
        <v>1008</v>
      </c>
      <c r="K197" s="309">
        <v>-29009.43</v>
      </c>
      <c r="L197" s="306" t="s">
        <v>1008</v>
      </c>
      <c r="M197" s="306" t="s">
        <v>1309</v>
      </c>
      <c r="N197" s="306" t="s">
        <v>1309</v>
      </c>
      <c r="O197" s="306" t="s">
        <v>1354</v>
      </c>
      <c r="P197" s="306" t="s">
        <v>212</v>
      </c>
      <c r="Q197" s="306" t="s">
        <v>1013</v>
      </c>
      <c r="R197" s="306" t="s">
        <v>1013</v>
      </c>
      <c r="S197" s="306" t="s">
        <v>1013</v>
      </c>
      <c r="T197" s="306" t="s">
        <v>1013</v>
      </c>
      <c r="U197" s="306" t="s">
        <v>1013</v>
      </c>
      <c r="V197" s="306" t="s">
        <v>1013</v>
      </c>
      <c r="W197" s="306" t="s">
        <v>1013</v>
      </c>
      <c r="X197" s="306" t="s">
        <v>1013</v>
      </c>
      <c r="Y197" s="306" t="s">
        <v>1112</v>
      </c>
      <c r="Z197" s="306" t="s">
        <v>1071</v>
      </c>
      <c r="AA197" s="306" t="s">
        <v>1013</v>
      </c>
    </row>
    <row r="198" spans="1:27">
      <c r="A198" s="306" t="s">
        <v>494</v>
      </c>
      <c r="B198" s="306" t="s">
        <v>1003</v>
      </c>
      <c r="C198" s="306" t="s">
        <v>1004</v>
      </c>
      <c r="D198" s="306" t="s">
        <v>2435</v>
      </c>
      <c r="E198" s="306" t="s">
        <v>1355</v>
      </c>
      <c r="F198" s="306" t="s">
        <v>1007</v>
      </c>
      <c r="G198" s="308">
        <v>46015</v>
      </c>
      <c r="H198" s="308">
        <v>46015</v>
      </c>
      <c r="I198" s="309">
        <v>-17049.5</v>
      </c>
      <c r="J198" s="306" t="s">
        <v>1008</v>
      </c>
      <c r="K198" s="309">
        <v>-17049.5</v>
      </c>
      <c r="L198" s="306" t="s">
        <v>1008</v>
      </c>
      <c r="M198" s="306" t="s">
        <v>1309</v>
      </c>
      <c r="N198" s="306" t="s">
        <v>1309</v>
      </c>
      <c r="O198" s="306" t="s">
        <v>1356</v>
      </c>
      <c r="P198" s="306" t="s">
        <v>212</v>
      </c>
      <c r="Q198" s="306" t="s">
        <v>1013</v>
      </c>
      <c r="R198" s="306" t="s">
        <v>1013</v>
      </c>
      <c r="S198" s="306" t="s">
        <v>1013</v>
      </c>
      <c r="T198" s="306" t="s">
        <v>1013</v>
      </c>
      <c r="U198" s="306" t="s">
        <v>1013</v>
      </c>
      <c r="V198" s="306" t="s">
        <v>1013</v>
      </c>
      <c r="W198" s="306" t="s">
        <v>1013</v>
      </c>
      <c r="X198" s="306" t="s">
        <v>1013</v>
      </c>
      <c r="Y198" s="306" t="s">
        <v>1112</v>
      </c>
      <c r="Z198" s="306" t="s">
        <v>1071</v>
      </c>
      <c r="AA198" s="306" t="s">
        <v>1013</v>
      </c>
    </row>
    <row r="199" spans="1:27">
      <c r="A199" s="306" t="s">
        <v>494</v>
      </c>
      <c r="B199" s="306" t="s">
        <v>1003</v>
      </c>
      <c r="C199" s="306" t="s">
        <v>1004</v>
      </c>
      <c r="D199" s="306" t="s">
        <v>2435</v>
      </c>
      <c r="E199" s="306" t="s">
        <v>1357</v>
      </c>
      <c r="F199" s="306" t="s">
        <v>1007</v>
      </c>
      <c r="G199" s="308">
        <v>46015</v>
      </c>
      <c r="H199" s="308">
        <v>46015</v>
      </c>
      <c r="I199" s="309">
        <v>-15466.34</v>
      </c>
      <c r="J199" s="306" t="s">
        <v>1008</v>
      </c>
      <c r="K199" s="309">
        <v>-15466.34</v>
      </c>
      <c r="L199" s="306" t="s">
        <v>1008</v>
      </c>
      <c r="M199" s="306" t="s">
        <v>1309</v>
      </c>
      <c r="N199" s="306" t="s">
        <v>1309</v>
      </c>
      <c r="O199" s="306" t="s">
        <v>1358</v>
      </c>
      <c r="P199" s="306" t="s">
        <v>212</v>
      </c>
      <c r="Q199" s="306" t="s">
        <v>1013</v>
      </c>
      <c r="R199" s="306" t="s">
        <v>1013</v>
      </c>
      <c r="S199" s="306" t="s">
        <v>1013</v>
      </c>
      <c r="T199" s="306" t="s">
        <v>1013</v>
      </c>
      <c r="U199" s="306" t="s">
        <v>1013</v>
      </c>
      <c r="V199" s="306" t="s">
        <v>1013</v>
      </c>
      <c r="W199" s="306" t="s">
        <v>1013</v>
      </c>
      <c r="X199" s="306" t="s">
        <v>1013</v>
      </c>
      <c r="Y199" s="306" t="s">
        <v>1112</v>
      </c>
      <c r="Z199" s="306" t="s">
        <v>1071</v>
      </c>
      <c r="AA199" s="306" t="s">
        <v>1013</v>
      </c>
    </row>
    <row r="200" spans="1:27">
      <c r="A200" s="306" t="s">
        <v>494</v>
      </c>
      <c r="B200" s="306" t="s">
        <v>1003</v>
      </c>
      <c r="C200" s="306" t="s">
        <v>1004</v>
      </c>
      <c r="D200" s="306" t="s">
        <v>2435</v>
      </c>
      <c r="E200" s="306" t="s">
        <v>1359</v>
      </c>
      <c r="F200" s="306" t="s">
        <v>1007</v>
      </c>
      <c r="G200" s="308">
        <v>46015</v>
      </c>
      <c r="H200" s="308">
        <v>46015</v>
      </c>
      <c r="I200" s="309">
        <v>-20886.79</v>
      </c>
      <c r="J200" s="306" t="s">
        <v>1008</v>
      </c>
      <c r="K200" s="309">
        <v>-20886.79</v>
      </c>
      <c r="L200" s="306" t="s">
        <v>1008</v>
      </c>
      <c r="M200" s="306" t="s">
        <v>1309</v>
      </c>
      <c r="N200" s="306" t="s">
        <v>1309</v>
      </c>
      <c r="O200" s="306" t="s">
        <v>1360</v>
      </c>
      <c r="P200" s="306" t="s">
        <v>212</v>
      </c>
      <c r="Q200" s="306" t="s">
        <v>1013</v>
      </c>
      <c r="R200" s="306" t="s">
        <v>1013</v>
      </c>
      <c r="S200" s="306" t="s">
        <v>1013</v>
      </c>
      <c r="T200" s="306" t="s">
        <v>1013</v>
      </c>
      <c r="U200" s="306" t="s">
        <v>1013</v>
      </c>
      <c r="V200" s="306" t="s">
        <v>1013</v>
      </c>
      <c r="W200" s="306" t="s">
        <v>1013</v>
      </c>
      <c r="X200" s="306" t="s">
        <v>1013</v>
      </c>
      <c r="Y200" s="306" t="s">
        <v>1112</v>
      </c>
      <c r="Z200" s="306" t="s">
        <v>1071</v>
      </c>
      <c r="AA200" s="306" t="s">
        <v>1013</v>
      </c>
    </row>
    <row r="201" spans="1:27">
      <c r="A201" s="306" t="s">
        <v>494</v>
      </c>
      <c r="B201" s="306" t="s">
        <v>1003</v>
      </c>
      <c r="C201" s="306" t="s">
        <v>1004</v>
      </c>
      <c r="D201" s="306" t="s">
        <v>2435</v>
      </c>
      <c r="E201" s="306" t="s">
        <v>1361</v>
      </c>
      <c r="F201" s="306" t="s">
        <v>1007</v>
      </c>
      <c r="G201" s="308">
        <v>46015</v>
      </c>
      <c r="H201" s="308">
        <v>46015</v>
      </c>
      <c r="I201" s="309">
        <v>-13924.53</v>
      </c>
      <c r="J201" s="306" t="s">
        <v>1008</v>
      </c>
      <c r="K201" s="309">
        <v>-13924.53</v>
      </c>
      <c r="L201" s="306" t="s">
        <v>1008</v>
      </c>
      <c r="M201" s="306" t="s">
        <v>1309</v>
      </c>
      <c r="N201" s="306" t="s">
        <v>1309</v>
      </c>
      <c r="O201" s="306" t="s">
        <v>1362</v>
      </c>
      <c r="P201" s="306" t="s">
        <v>212</v>
      </c>
      <c r="Q201" s="306" t="s">
        <v>1013</v>
      </c>
      <c r="R201" s="306" t="s">
        <v>1013</v>
      </c>
      <c r="S201" s="306" t="s">
        <v>1013</v>
      </c>
      <c r="T201" s="306" t="s">
        <v>1013</v>
      </c>
      <c r="U201" s="306" t="s">
        <v>1013</v>
      </c>
      <c r="V201" s="306" t="s">
        <v>1013</v>
      </c>
      <c r="W201" s="306" t="s">
        <v>1013</v>
      </c>
      <c r="X201" s="306" t="s">
        <v>1013</v>
      </c>
      <c r="Y201" s="306" t="s">
        <v>1112</v>
      </c>
      <c r="Z201" s="306" t="s">
        <v>1071</v>
      </c>
      <c r="AA201" s="306" t="s">
        <v>1013</v>
      </c>
    </row>
    <row r="202" spans="1:27">
      <c r="A202" s="306" t="s">
        <v>494</v>
      </c>
      <c r="B202" s="306" t="s">
        <v>1003</v>
      </c>
      <c r="C202" s="306" t="s">
        <v>1004</v>
      </c>
      <c r="D202" s="306" t="s">
        <v>2435</v>
      </c>
      <c r="E202" s="306" t="s">
        <v>1363</v>
      </c>
      <c r="F202" s="306" t="s">
        <v>1007</v>
      </c>
      <c r="G202" s="308">
        <v>46015</v>
      </c>
      <c r="H202" s="308">
        <v>46015</v>
      </c>
      <c r="I202" s="309">
        <v>-15084.91</v>
      </c>
      <c r="J202" s="306" t="s">
        <v>1008</v>
      </c>
      <c r="K202" s="309">
        <v>-15084.91</v>
      </c>
      <c r="L202" s="306" t="s">
        <v>1008</v>
      </c>
      <c r="M202" s="306" t="s">
        <v>1309</v>
      </c>
      <c r="N202" s="306" t="s">
        <v>1309</v>
      </c>
      <c r="O202" s="306" t="s">
        <v>1364</v>
      </c>
      <c r="P202" s="306" t="s">
        <v>212</v>
      </c>
      <c r="Q202" s="306" t="s">
        <v>1013</v>
      </c>
      <c r="R202" s="306" t="s">
        <v>1013</v>
      </c>
      <c r="S202" s="306" t="s">
        <v>1013</v>
      </c>
      <c r="T202" s="306" t="s">
        <v>1013</v>
      </c>
      <c r="U202" s="306" t="s">
        <v>1013</v>
      </c>
      <c r="V202" s="306" t="s">
        <v>1013</v>
      </c>
      <c r="W202" s="306" t="s">
        <v>1013</v>
      </c>
      <c r="X202" s="306" t="s">
        <v>1013</v>
      </c>
      <c r="Y202" s="306" t="s">
        <v>1112</v>
      </c>
      <c r="Z202" s="306" t="s">
        <v>1071</v>
      </c>
      <c r="AA202" s="306" t="s">
        <v>1013</v>
      </c>
    </row>
    <row r="203" spans="1:27">
      <c r="A203" s="306" t="s">
        <v>494</v>
      </c>
      <c r="B203" s="306" t="s">
        <v>1003</v>
      </c>
      <c r="C203" s="306" t="s">
        <v>1004</v>
      </c>
      <c r="D203" s="306" t="s">
        <v>2435</v>
      </c>
      <c r="E203" s="306" t="s">
        <v>1365</v>
      </c>
      <c r="F203" s="306" t="s">
        <v>1007</v>
      </c>
      <c r="G203" s="308">
        <v>46015</v>
      </c>
      <c r="H203" s="308">
        <v>46015</v>
      </c>
      <c r="I203" s="309">
        <v>-12178.22</v>
      </c>
      <c r="J203" s="306" t="s">
        <v>1008</v>
      </c>
      <c r="K203" s="309">
        <v>-12178.22</v>
      </c>
      <c r="L203" s="306" t="s">
        <v>1008</v>
      </c>
      <c r="M203" s="306" t="s">
        <v>1309</v>
      </c>
      <c r="N203" s="306" t="s">
        <v>1309</v>
      </c>
      <c r="O203" s="306" t="s">
        <v>1366</v>
      </c>
      <c r="P203" s="306" t="s">
        <v>212</v>
      </c>
      <c r="Q203" s="306" t="s">
        <v>1013</v>
      </c>
      <c r="R203" s="306" t="s">
        <v>1013</v>
      </c>
      <c r="S203" s="306" t="s">
        <v>1013</v>
      </c>
      <c r="T203" s="306" t="s">
        <v>1013</v>
      </c>
      <c r="U203" s="306" t="s">
        <v>1013</v>
      </c>
      <c r="V203" s="306" t="s">
        <v>1013</v>
      </c>
      <c r="W203" s="306" t="s">
        <v>1013</v>
      </c>
      <c r="X203" s="306" t="s">
        <v>1013</v>
      </c>
      <c r="Y203" s="306" t="s">
        <v>1112</v>
      </c>
      <c r="Z203" s="306" t="s">
        <v>1071</v>
      </c>
      <c r="AA203" s="306" t="s">
        <v>1013</v>
      </c>
    </row>
    <row r="204" spans="1:27">
      <c r="A204" s="306" t="s">
        <v>494</v>
      </c>
      <c r="B204" s="306" t="s">
        <v>1003</v>
      </c>
      <c r="C204" s="306" t="s">
        <v>1004</v>
      </c>
      <c r="D204" s="306" t="s">
        <v>2435</v>
      </c>
      <c r="E204" s="306" t="s">
        <v>1367</v>
      </c>
      <c r="F204" s="306" t="s">
        <v>1007</v>
      </c>
      <c r="G204" s="308">
        <v>46015</v>
      </c>
      <c r="H204" s="308">
        <v>46015</v>
      </c>
      <c r="I204" s="309">
        <v>-27849.06</v>
      </c>
      <c r="J204" s="306" t="s">
        <v>1008</v>
      </c>
      <c r="K204" s="309">
        <v>-27849.06</v>
      </c>
      <c r="L204" s="306" t="s">
        <v>1008</v>
      </c>
      <c r="M204" s="306" t="s">
        <v>1309</v>
      </c>
      <c r="N204" s="306" t="s">
        <v>1309</v>
      </c>
      <c r="O204" s="306" t="s">
        <v>1368</v>
      </c>
      <c r="P204" s="306" t="s">
        <v>212</v>
      </c>
      <c r="Q204" s="306" t="s">
        <v>1013</v>
      </c>
      <c r="R204" s="306" t="s">
        <v>1013</v>
      </c>
      <c r="S204" s="306" t="s">
        <v>1013</v>
      </c>
      <c r="T204" s="306" t="s">
        <v>1013</v>
      </c>
      <c r="U204" s="306" t="s">
        <v>1013</v>
      </c>
      <c r="V204" s="306" t="s">
        <v>1013</v>
      </c>
      <c r="W204" s="306" t="s">
        <v>1013</v>
      </c>
      <c r="X204" s="306" t="s">
        <v>1013</v>
      </c>
      <c r="Y204" s="306" t="s">
        <v>1112</v>
      </c>
      <c r="Z204" s="306" t="s">
        <v>1071</v>
      </c>
      <c r="AA204" s="306" t="s">
        <v>1013</v>
      </c>
    </row>
    <row r="205" spans="1:27">
      <c r="A205" s="306" t="s">
        <v>494</v>
      </c>
      <c r="B205" s="306" t="s">
        <v>1003</v>
      </c>
      <c r="C205" s="306" t="s">
        <v>1004</v>
      </c>
      <c r="D205" s="306" t="s">
        <v>2435</v>
      </c>
      <c r="E205" s="306" t="s">
        <v>1369</v>
      </c>
      <c r="F205" s="306" t="s">
        <v>1007</v>
      </c>
      <c r="G205" s="308">
        <v>46015</v>
      </c>
      <c r="H205" s="308">
        <v>46015</v>
      </c>
      <c r="I205" s="309">
        <v>-14613.86</v>
      </c>
      <c r="J205" s="306" t="s">
        <v>1008</v>
      </c>
      <c r="K205" s="309">
        <v>-14613.86</v>
      </c>
      <c r="L205" s="306" t="s">
        <v>1008</v>
      </c>
      <c r="M205" s="306" t="s">
        <v>1309</v>
      </c>
      <c r="N205" s="306" t="s">
        <v>1309</v>
      </c>
      <c r="O205" s="306" t="s">
        <v>1370</v>
      </c>
      <c r="P205" s="306" t="s">
        <v>212</v>
      </c>
      <c r="Q205" s="306" t="s">
        <v>1013</v>
      </c>
      <c r="R205" s="306" t="s">
        <v>1013</v>
      </c>
      <c r="S205" s="306" t="s">
        <v>1013</v>
      </c>
      <c r="T205" s="306" t="s">
        <v>1013</v>
      </c>
      <c r="U205" s="306" t="s">
        <v>1013</v>
      </c>
      <c r="V205" s="306" t="s">
        <v>1013</v>
      </c>
      <c r="W205" s="306" t="s">
        <v>1013</v>
      </c>
      <c r="X205" s="306" t="s">
        <v>1013</v>
      </c>
      <c r="Y205" s="306" t="s">
        <v>1112</v>
      </c>
      <c r="Z205" s="306" t="s">
        <v>1071</v>
      </c>
      <c r="AA205" s="306" t="s">
        <v>1013</v>
      </c>
    </row>
    <row r="206" spans="1:27">
      <c r="A206" s="306" t="s">
        <v>494</v>
      </c>
      <c r="B206" s="306" t="s">
        <v>1003</v>
      </c>
      <c r="C206" s="306" t="s">
        <v>1004</v>
      </c>
      <c r="D206" s="306" t="s">
        <v>2435</v>
      </c>
      <c r="E206" s="306" t="s">
        <v>1371</v>
      </c>
      <c r="F206" s="306" t="s">
        <v>1007</v>
      </c>
      <c r="G206" s="308">
        <v>46015</v>
      </c>
      <c r="H206" s="308">
        <v>46015</v>
      </c>
      <c r="I206" s="309">
        <v>-24965.35</v>
      </c>
      <c r="J206" s="306" t="s">
        <v>1008</v>
      </c>
      <c r="K206" s="309">
        <v>-24965.35</v>
      </c>
      <c r="L206" s="306" t="s">
        <v>1008</v>
      </c>
      <c r="M206" s="306" t="s">
        <v>1309</v>
      </c>
      <c r="N206" s="306" t="s">
        <v>1309</v>
      </c>
      <c r="O206" s="306" t="s">
        <v>1372</v>
      </c>
      <c r="P206" s="306" t="s">
        <v>212</v>
      </c>
      <c r="Q206" s="306" t="s">
        <v>1013</v>
      </c>
      <c r="R206" s="306" t="s">
        <v>1013</v>
      </c>
      <c r="S206" s="306" t="s">
        <v>1013</v>
      </c>
      <c r="T206" s="306" t="s">
        <v>1013</v>
      </c>
      <c r="U206" s="306" t="s">
        <v>1013</v>
      </c>
      <c r="V206" s="306" t="s">
        <v>1013</v>
      </c>
      <c r="W206" s="306" t="s">
        <v>1013</v>
      </c>
      <c r="X206" s="306" t="s">
        <v>1013</v>
      </c>
      <c r="Y206" s="306" t="s">
        <v>1112</v>
      </c>
      <c r="Z206" s="306" t="s">
        <v>1071</v>
      </c>
      <c r="AA206" s="306" t="s">
        <v>1013</v>
      </c>
    </row>
    <row r="207" spans="1:27">
      <c r="A207" s="306" t="s">
        <v>494</v>
      </c>
      <c r="B207" s="306" t="s">
        <v>1003</v>
      </c>
      <c r="C207" s="306" t="s">
        <v>1004</v>
      </c>
      <c r="D207" s="306" t="s">
        <v>2435</v>
      </c>
      <c r="E207" s="306" t="s">
        <v>1373</v>
      </c>
      <c r="F207" s="306" t="s">
        <v>1007</v>
      </c>
      <c r="G207" s="308">
        <v>46015</v>
      </c>
      <c r="H207" s="308">
        <v>46015</v>
      </c>
      <c r="I207" s="309">
        <v>-12764.15</v>
      </c>
      <c r="J207" s="306" t="s">
        <v>1008</v>
      </c>
      <c r="K207" s="309">
        <v>-12764.15</v>
      </c>
      <c r="L207" s="306" t="s">
        <v>1008</v>
      </c>
      <c r="M207" s="306" t="s">
        <v>1309</v>
      </c>
      <c r="N207" s="306" t="s">
        <v>1309</v>
      </c>
      <c r="O207" s="306" t="s">
        <v>1334</v>
      </c>
      <c r="P207" s="306" t="s">
        <v>212</v>
      </c>
      <c r="Q207" s="306" t="s">
        <v>1013</v>
      </c>
      <c r="R207" s="306" t="s">
        <v>1013</v>
      </c>
      <c r="S207" s="306" t="s">
        <v>1013</v>
      </c>
      <c r="T207" s="306" t="s">
        <v>1013</v>
      </c>
      <c r="U207" s="306" t="s">
        <v>1013</v>
      </c>
      <c r="V207" s="306" t="s">
        <v>1013</v>
      </c>
      <c r="W207" s="306" t="s">
        <v>1013</v>
      </c>
      <c r="X207" s="306" t="s">
        <v>1013</v>
      </c>
      <c r="Y207" s="306" t="s">
        <v>1112</v>
      </c>
      <c r="Z207" s="306" t="s">
        <v>1071</v>
      </c>
      <c r="AA207" s="306" t="s">
        <v>1013</v>
      </c>
    </row>
    <row r="208" spans="1:27">
      <c r="A208" s="306" t="s">
        <v>494</v>
      </c>
      <c r="B208" s="306" t="s">
        <v>1003</v>
      </c>
      <c r="C208" s="306" t="s">
        <v>1004</v>
      </c>
      <c r="D208" s="306" t="s">
        <v>2435</v>
      </c>
      <c r="E208" s="306" t="s">
        <v>1374</v>
      </c>
      <c r="F208" s="306" t="s">
        <v>1007</v>
      </c>
      <c r="G208" s="308">
        <v>46015</v>
      </c>
      <c r="H208" s="308">
        <v>46015</v>
      </c>
      <c r="I208" s="309">
        <v>-469679.13</v>
      </c>
      <c r="J208" s="306" t="s">
        <v>1008</v>
      </c>
      <c r="K208" s="309">
        <v>-469679.13</v>
      </c>
      <c r="L208" s="306" t="s">
        <v>1008</v>
      </c>
      <c r="M208" s="306" t="s">
        <v>1327</v>
      </c>
      <c r="N208" s="306" t="s">
        <v>1327</v>
      </c>
      <c r="O208" s="306" t="s">
        <v>1328</v>
      </c>
      <c r="P208" s="306" t="s">
        <v>212</v>
      </c>
      <c r="Q208" s="306" t="s">
        <v>1013</v>
      </c>
      <c r="R208" s="306" t="s">
        <v>1013</v>
      </c>
      <c r="S208" s="306" t="s">
        <v>1013</v>
      </c>
      <c r="T208" s="306" t="s">
        <v>1013</v>
      </c>
      <c r="U208" s="306" t="s">
        <v>1013</v>
      </c>
      <c r="V208" s="306" t="s">
        <v>1013</v>
      </c>
      <c r="W208" s="306" t="s">
        <v>1013</v>
      </c>
      <c r="X208" s="306" t="s">
        <v>1013</v>
      </c>
      <c r="Y208" s="306" t="s">
        <v>1112</v>
      </c>
      <c r="Z208" s="306" t="s">
        <v>1071</v>
      </c>
      <c r="AA208" s="306" t="s">
        <v>1013</v>
      </c>
    </row>
    <row r="209" spans="1:27">
      <c r="A209" s="306" t="s">
        <v>494</v>
      </c>
      <c r="B209" s="306" t="s">
        <v>1003</v>
      </c>
      <c r="C209" s="306" t="s">
        <v>1004</v>
      </c>
      <c r="D209" s="306" t="s">
        <v>2435</v>
      </c>
      <c r="E209" s="306" t="s">
        <v>1375</v>
      </c>
      <c r="F209" s="306" t="s">
        <v>1007</v>
      </c>
      <c r="G209" s="308">
        <v>46015</v>
      </c>
      <c r="H209" s="308">
        <v>46015</v>
      </c>
      <c r="I209" s="309">
        <v>-3303.66</v>
      </c>
      <c r="J209" s="306" t="s">
        <v>1008</v>
      </c>
      <c r="K209" s="309">
        <v>-3303.66</v>
      </c>
      <c r="L209" s="306" t="s">
        <v>1008</v>
      </c>
      <c r="M209" s="306" t="s">
        <v>1327</v>
      </c>
      <c r="N209" s="306" t="s">
        <v>1327</v>
      </c>
      <c r="O209" s="306" t="s">
        <v>1376</v>
      </c>
      <c r="P209" s="306" t="s">
        <v>212</v>
      </c>
      <c r="Q209" s="306" t="s">
        <v>1013</v>
      </c>
      <c r="R209" s="306" t="s">
        <v>1013</v>
      </c>
      <c r="S209" s="306" t="s">
        <v>1013</v>
      </c>
      <c r="T209" s="306" t="s">
        <v>1013</v>
      </c>
      <c r="U209" s="306" t="s">
        <v>1013</v>
      </c>
      <c r="V209" s="306" t="s">
        <v>1013</v>
      </c>
      <c r="W209" s="306" t="s">
        <v>1013</v>
      </c>
      <c r="X209" s="306" t="s">
        <v>1013</v>
      </c>
      <c r="Y209" s="306" t="s">
        <v>1112</v>
      </c>
      <c r="Z209" s="306" t="s">
        <v>1071</v>
      </c>
      <c r="AA209" s="306" t="s">
        <v>1013</v>
      </c>
    </row>
    <row r="210" spans="1:27">
      <c r="A210" s="306" t="s">
        <v>494</v>
      </c>
      <c r="B210" s="306" t="s">
        <v>1003</v>
      </c>
      <c r="C210" s="306" t="s">
        <v>1004</v>
      </c>
      <c r="D210" s="306" t="s">
        <v>2435</v>
      </c>
      <c r="E210" s="306" t="s">
        <v>1377</v>
      </c>
      <c r="F210" s="306" t="s">
        <v>1007</v>
      </c>
      <c r="G210" s="308">
        <v>46015</v>
      </c>
      <c r="H210" s="308">
        <v>46015</v>
      </c>
      <c r="I210" s="309">
        <v>-669988.07999999996</v>
      </c>
      <c r="J210" s="306" t="s">
        <v>1008</v>
      </c>
      <c r="K210" s="309">
        <v>-669988.07999999996</v>
      </c>
      <c r="L210" s="306" t="s">
        <v>1008</v>
      </c>
      <c r="M210" s="306" t="s">
        <v>1327</v>
      </c>
      <c r="N210" s="306" t="s">
        <v>1327</v>
      </c>
      <c r="O210" s="306" t="s">
        <v>1378</v>
      </c>
      <c r="P210" s="306" t="s">
        <v>212</v>
      </c>
      <c r="Q210" s="306" t="s">
        <v>1013</v>
      </c>
      <c r="R210" s="306" t="s">
        <v>1013</v>
      </c>
      <c r="S210" s="306" t="s">
        <v>1013</v>
      </c>
      <c r="T210" s="306" t="s">
        <v>1013</v>
      </c>
      <c r="U210" s="306" t="s">
        <v>1013</v>
      </c>
      <c r="V210" s="306" t="s">
        <v>1013</v>
      </c>
      <c r="W210" s="306" t="s">
        <v>1013</v>
      </c>
      <c r="X210" s="306" t="s">
        <v>1013</v>
      </c>
      <c r="Y210" s="306" t="s">
        <v>1112</v>
      </c>
      <c r="Z210" s="306" t="s">
        <v>1071</v>
      </c>
      <c r="AA210" s="306" t="s">
        <v>1013</v>
      </c>
    </row>
    <row r="211" spans="1:27">
      <c r="A211" s="306" t="s">
        <v>494</v>
      </c>
      <c r="B211" s="306" t="s">
        <v>1003</v>
      </c>
      <c r="C211" s="306" t="s">
        <v>1004</v>
      </c>
      <c r="D211" s="306" t="s">
        <v>2435</v>
      </c>
      <c r="E211" s="306" t="s">
        <v>1379</v>
      </c>
      <c r="F211" s="306" t="s">
        <v>1007</v>
      </c>
      <c r="G211" s="308">
        <v>46015</v>
      </c>
      <c r="H211" s="308">
        <v>46015</v>
      </c>
      <c r="I211" s="309">
        <v>-151099.37</v>
      </c>
      <c r="J211" s="306" t="s">
        <v>1008</v>
      </c>
      <c r="K211" s="309">
        <v>-151099.37</v>
      </c>
      <c r="L211" s="306" t="s">
        <v>1008</v>
      </c>
      <c r="M211" s="306" t="s">
        <v>1327</v>
      </c>
      <c r="N211" s="306" t="s">
        <v>1327</v>
      </c>
      <c r="O211" s="306" t="s">
        <v>1380</v>
      </c>
      <c r="P211" s="306" t="s">
        <v>212</v>
      </c>
      <c r="Q211" s="306" t="s">
        <v>1013</v>
      </c>
      <c r="R211" s="306" t="s">
        <v>1013</v>
      </c>
      <c r="S211" s="306" t="s">
        <v>1013</v>
      </c>
      <c r="T211" s="306" t="s">
        <v>1013</v>
      </c>
      <c r="U211" s="306" t="s">
        <v>1013</v>
      </c>
      <c r="V211" s="306" t="s">
        <v>1013</v>
      </c>
      <c r="W211" s="306" t="s">
        <v>1013</v>
      </c>
      <c r="X211" s="306" t="s">
        <v>1013</v>
      </c>
      <c r="Y211" s="306" t="s">
        <v>1112</v>
      </c>
      <c r="Z211" s="306" t="s">
        <v>1071</v>
      </c>
      <c r="AA211" s="306" t="s">
        <v>1013</v>
      </c>
    </row>
    <row r="212" spans="1:27">
      <c r="A212" s="306" t="s">
        <v>494</v>
      </c>
      <c r="B212" s="306" t="s">
        <v>1003</v>
      </c>
      <c r="C212" s="306" t="s">
        <v>1004</v>
      </c>
      <c r="D212" s="306" t="s">
        <v>2435</v>
      </c>
      <c r="E212" s="306" t="s">
        <v>1381</v>
      </c>
      <c r="F212" s="306" t="s">
        <v>1007</v>
      </c>
      <c r="G212" s="308">
        <v>46015</v>
      </c>
      <c r="H212" s="308">
        <v>46015</v>
      </c>
      <c r="I212" s="309">
        <v>-14149.47</v>
      </c>
      <c r="J212" s="306" t="s">
        <v>1008</v>
      </c>
      <c r="K212" s="309">
        <v>-14149.47</v>
      </c>
      <c r="L212" s="306" t="s">
        <v>1008</v>
      </c>
      <c r="M212" s="306" t="s">
        <v>1309</v>
      </c>
      <c r="N212" s="306" t="s">
        <v>1309</v>
      </c>
      <c r="O212" s="306" t="s">
        <v>1382</v>
      </c>
      <c r="P212" s="306" t="s">
        <v>212</v>
      </c>
      <c r="Q212" s="306" t="s">
        <v>1013</v>
      </c>
      <c r="R212" s="306" t="s">
        <v>1013</v>
      </c>
      <c r="S212" s="306" t="s">
        <v>1013</v>
      </c>
      <c r="T212" s="306" t="s">
        <v>1013</v>
      </c>
      <c r="U212" s="306" t="s">
        <v>1013</v>
      </c>
      <c r="V212" s="306" t="s">
        <v>1013</v>
      </c>
      <c r="W212" s="306" t="s">
        <v>1013</v>
      </c>
      <c r="X212" s="306" t="s">
        <v>1013</v>
      </c>
      <c r="Y212" s="306" t="s">
        <v>1112</v>
      </c>
      <c r="Z212" s="306" t="s">
        <v>1071</v>
      </c>
      <c r="AA212" s="306" t="s">
        <v>1013</v>
      </c>
    </row>
    <row r="213" spans="1:27">
      <c r="A213" s="306" t="s">
        <v>494</v>
      </c>
      <c r="B213" s="306" t="s">
        <v>1003</v>
      </c>
      <c r="C213" s="306" t="s">
        <v>1004</v>
      </c>
      <c r="D213" s="306" t="s">
        <v>2435</v>
      </c>
      <c r="E213" s="306" t="s">
        <v>1383</v>
      </c>
      <c r="F213" s="306" t="s">
        <v>1007</v>
      </c>
      <c r="G213" s="308">
        <v>46015</v>
      </c>
      <c r="H213" s="308">
        <v>46015</v>
      </c>
      <c r="I213" s="309">
        <v>-4061.32</v>
      </c>
      <c r="J213" s="306" t="s">
        <v>1008</v>
      </c>
      <c r="K213" s="309">
        <v>-4061.32</v>
      </c>
      <c r="L213" s="306" t="s">
        <v>1008</v>
      </c>
      <c r="M213" s="306" t="s">
        <v>1309</v>
      </c>
      <c r="N213" s="306" t="s">
        <v>1309</v>
      </c>
      <c r="O213" s="306" t="s">
        <v>1310</v>
      </c>
      <c r="P213" s="306" t="s">
        <v>212</v>
      </c>
      <c r="Q213" s="306" t="s">
        <v>1013</v>
      </c>
      <c r="R213" s="306" t="s">
        <v>1013</v>
      </c>
      <c r="S213" s="306" t="s">
        <v>1013</v>
      </c>
      <c r="T213" s="306" t="s">
        <v>1013</v>
      </c>
      <c r="U213" s="306" t="s">
        <v>1013</v>
      </c>
      <c r="V213" s="306" t="s">
        <v>1013</v>
      </c>
      <c r="W213" s="306" t="s">
        <v>1013</v>
      </c>
      <c r="X213" s="306" t="s">
        <v>1013</v>
      </c>
      <c r="Y213" s="306" t="s">
        <v>1112</v>
      </c>
      <c r="Z213" s="306" t="s">
        <v>1071</v>
      </c>
      <c r="AA213" s="306" t="s">
        <v>1013</v>
      </c>
    </row>
    <row r="214" spans="1:27">
      <c r="A214" s="306" t="s">
        <v>494</v>
      </c>
      <c r="B214" s="306" t="s">
        <v>1003</v>
      </c>
      <c r="C214" s="306" t="s">
        <v>1004</v>
      </c>
      <c r="D214" s="306" t="s">
        <v>2435</v>
      </c>
      <c r="E214" s="306" t="s">
        <v>1384</v>
      </c>
      <c r="F214" s="306" t="s">
        <v>1007</v>
      </c>
      <c r="G214" s="308">
        <v>46015</v>
      </c>
      <c r="H214" s="308">
        <v>46015</v>
      </c>
      <c r="I214" s="309">
        <v>-2726.89</v>
      </c>
      <c r="J214" s="306" t="s">
        <v>1008</v>
      </c>
      <c r="K214" s="309">
        <v>-2726.89</v>
      </c>
      <c r="L214" s="306" t="s">
        <v>1008</v>
      </c>
      <c r="M214" s="306" t="s">
        <v>1309</v>
      </c>
      <c r="N214" s="306" t="s">
        <v>1309</v>
      </c>
      <c r="O214" s="306" t="s">
        <v>1312</v>
      </c>
      <c r="P214" s="306" t="s">
        <v>212</v>
      </c>
      <c r="Q214" s="306" t="s">
        <v>1013</v>
      </c>
      <c r="R214" s="306" t="s">
        <v>1013</v>
      </c>
      <c r="S214" s="306" t="s">
        <v>1013</v>
      </c>
      <c r="T214" s="306" t="s">
        <v>1013</v>
      </c>
      <c r="U214" s="306" t="s">
        <v>1013</v>
      </c>
      <c r="V214" s="306" t="s">
        <v>1013</v>
      </c>
      <c r="W214" s="306" t="s">
        <v>1013</v>
      </c>
      <c r="X214" s="306" t="s">
        <v>1013</v>
      </c>
      <c r="Y214" s="306" t="s">
        <v>1112</v>
      </c>
      <c r="Z214" s="306" t="s">
        <v>1071</v>
      </c>
      <c r="AA214" s="306" t="s">
        <v>1013</v>
      </c>
    </row>
    <row r="215" spans="1:27">
      <c r="A215" s="306" t="s">
        <v>494</v>
      </c>
      <c r="B215" s="306" t="s">
        <v>1003</v>
      </c>
      <c r="C215" s="306" t="s">
        <v>1004</v>
      </c>
      <c r="D215" s="306" t="s">
        <v>2435</v>
      </c>
      <c r="E215" s="306" t="s">
        <v>1385</v>
      </c>
      <c r="F215" s="306" t="s">
        <v>1007</v>
      </c>
      <c r="G215" s="308">
        <v>46015</v>
      </c>
      <c r="H215" s="308">
        <v>46015</v>
      </c>
      <c r="I215" s="309">
        <v>-53737.86</v>
      </c>
      <c r="J215" s="306" t="s">
        <v>1008</v>
      </c>
      <c r="K215" s="309">
        <v>-53737.86</v>
      </c>
      <c r="L215" s="306" t="s">
        <v>1008</v>
      </c>
      <c r="M215" s="306" t="s">
        <v>1309</v>
      </c>
      <c r="N215" s="306" t="s">
        <v>1309</v>
      </c>
      <c r="O215" s="306" t="s">
        <v>1386</v>
      </c>
      <c r="P215" s="306" t="s">
        <v>212</v>
      </c>
      <c r="Q215" s="306" t="s">
        <v>1013</v>
      </c>
      <c r="R215" s="306" t="s">
        <v>1013</v>
      </c>
      <c r="S215" s="306" t="s">
        <v>1013</v>
      </c>
      <c r="T215" s="306" t="s">
        <v>1013</v>
      </c>
      <c r="U215" s="306" t="s">
        <v>1013</v>
      </c>
      <c r="V215" s="306" t="s">
        <v>1013</v>
      </c>
      <c r="W215" s="306" t="s">
        <v>1013</v>
      </c>
      <c r="X215" s="306" t="s">
        <v>1013</v>
      </c>
      <c r="Y215" s="306" t="s">
        <v>1112</v>
      </c>
      <c r="Z215" s="306" t="s">
        <v>1071</v>
      </c>
      <c r="AA215" s="306" t="s">
        <v>1013</v>
      </c>
    </row>
    <row r="216" spans="1:27">
      <c r="A216" s="306" t="s">
        <v>494</v>
      </c>
      <c r="B216" s="306" t="s">
        <v>1003</v>
      </c>
      <c r="C216" s="306" t="s">
        <v>1004</v>
      </c>
      <c r="D216" s="306" t="s">
        <v>2435</v>
      </c>
      <c r="E216" s="306" t="s">
        <v>1387</v>
      </c>
      <c r="F216" s="306" t="s">
        <v>1007</v>
      </c>
      <c r="G216" s="308">
        <v>46015</v>
      </c>
      <c r="H216" s="308">
        <v>46015</v>
      </c>
      <c r="I216" s="309">
        <v>-26885.84</v>
      </c>
      <c r="J216" s="306" t="s">
        <v>1008</v>
      </c>
      <c r="K216" s="309">
        <v>-26885.84</v>
      </c>
      <c r="L216" s="306" t="s">
        <v>1008</v>
      </c>
      <c r="M216" s="306" t="s">
        <v>1327</v>
      </c>
      <c r="N216" s="306" t="s">
        <v>1327</v>
      </c>
      <c r="O216" s="306" t="s">
        <v>1388</v>
      </c>
      <c r="P216" s="306" t="s">
        <v>212</v>
      </c>
      <c r="Q216" s="306" t="s">
        <v>1013</v>
      </c>
      <c r="R216" s="306" t="s">
        <v>1013</v>
      </c>
      <c r="S216" s="306" t="s">
        <v>1013</v>
      </c>
      <c r="T216" s="306" t="s">
        <v>1013</v>
      </c>
      <c r="U216" s="306" t="s">
        <v>1013</v>
      </c>
      <c r="V216" s="306" t="s">
        <v>1013</v>
      </c>
      <c r="W216" s="306" t="s">
        <v>1013</v>
      </c>
      <c r="X216" s="306" t="s">
        <v>1013</v>
      </c>
      <c r="Y216" s="306" t="s">
        <v>1112</v>
      </c>
      <c r="Z216" s="306" t="s">
        <v>1071</v>
      </c>
      <c r="AA216" s="306" t="s">
        <v>1013</v>
      </c>
    </row>
    <row r="217" spans="1:27">
      <c r="A217" s="306" t="s">
        <v>494</v>
      </c>
      <c r="B217" s="306" t="s">
        <v>1003</v>
      </c>
      <c r="C217" s="306" t="s">
        <v>1004</v>
      </c>
      <c r="D217" s="306" t="s">
        <v>2435</v>
      </c>
      <c r="E217" s="306" t="s">
        <v>1389</v>
      </c>
      <c r="F217" s="306" t="s">
        <v>1007</v>
      </c>
      <c r="G217" s="308">
        <v>46015</v>
      </c>
      <c r="H217" s="308">
        <v>46015</v>
      </c>
      <c r="I217" s="309">
        <v>-131599.12</v>
      </c>
      <c r="J217" s="306" t="s">
        <v>1008</v>
      </c>
      <c r="K217" s="309">
        <v>-131599.12</v>
      </c>
      <c r="L217" s="306" t="s">
        <v>1008</v>
      </c>
      <c r="M217" s="306" t="s">
        <v>1327</v>
      </c>
      <c r="N217" s="306" t="s">
        <v>1327</v>
      </c>
      <c r="O217" s="306" t="s">
        <v>1390</v>
      </c>
      <c r="P217" s="306" t="s">
        <v>212</v>
      </c>
      <c r="Q217" s="306" t="s">
        <v>1013</v>
      </c>
      <c r="R217" s="306" t="s">
        <v>1013</v>
      </c>
      <c r="S217" s="306" t="s">
        <v>1013</v>
      </c>
      <c r="T217" s="306" t="s">
        <v>1013</v>
      </c>
      <c r="U217" s="306" t="s">
        <v>1013</v>
      </c>
      <c r="V217" s="306" t="s">
        <v>1013</v>
      </c>
      <c r="W217" s="306" t="s">
        <v>1013</v>
      </c>
      <c r="X217" s="306" t="s">
        <v>1013</v>
      </c>
      <c r="Y217" s="306" t="s">
        <v>1112</v>
      </c>
      <c r="Z217" s="306" t="s">
        <v>1071</v>
      </c>
      <c r="AA217" s="306" t="s">
        <v>1013</v>
      </c>
    </row>
    <row r="218" spans="1:27">
      <c r="A218" s="306" t="s">
        <v>494</v>
      </c>
      <c r="B218" s="306" t="s">
        <v>1003</v>
      </c>
      <c r="C218" s="306" t="s">
        <v>1004</v>
      </c>
      <c r="D218" s="306" t="s">
        <v>2435</v>
      </c>
      <c r="E218" s="306" t="s">
        <v>1391</v>
      </c>
      <c r="F218" s="306" t="s">
        <v>1007</v>
      </c>
      <c r="G218" s="308">
        <v>46015</v>
      </c>
      <c r="H218" s="308">
        <v>46015</v>
      </c>
      <c r="I218" s="309">
        <v>-24807.66</v>
      </c>
      <c r="J218" s="306" t="s">
        <v>1008</v>
      </c>
      <c r="K218" s="309">
        <v>-24807.66</v>
      </c>
      <c r="L218" s="306" t="s">
        <v>1008</v>
      </c>
      <c r="M218" s="306" t="s">
        <v>1327</v>
      </c>
      <c r="N218" s="306" t="s">
        <v>1327</v>
      </c>
      <c r="O218" s="306" t="s">
        <v>1392</v>
      </c>
      <c r="P218" s="306" t="s">
        <v>212</v>
      </c>
      <c r="Q218" s="306" t="s">
        <v>1013</v>
      </c>
      <c r="R218" s="306" t="s">
        <v>1013</v>
      </c>
      <c r="S218" s="306" t="s">
        <v>1013</v>
      </c>
      <c r="T218" s="306" t="s">
        <v>1013</v>
      </c>
      <c r="U218" s="306" t="s">
        <v>1013</v>
      </c>
      <c r="V218" s="306" t="s">
        <v>1013</v>
      </c>
      <c r="W218" s="306" t="s">
        <v>1013</v>
      </c>
      <c r="X218" s="306" t="s">
        <v>1013</v>
      </c>
      <c r="Y218" s="306" t="s">
        <v>1112</v>
      </c>
      <c r="Z218" s="306" t="s">
        <v>1071</v>
      </c>
      <c r="AA218" s="306" t="s">
        <v>1013</v>
      </c>
    </row>
    <row r="219" spans="1:27">
      <c r="A219" s="306" t="s">
        <v>494</v>
      </c>
      <c r="B219" s="306" t="s">
        <v>1003</v>
      </c>
      <c r="C219" s="306" t="s">
        <v>1004</v>
      </c>
      <c r="D219" s="306" t="s">
        <v>2435</v>
      </c>
      <c r="E219" s="306" t="s">
        <v>1393</v>
      </c>
      <c r="F219" s="306" t="s">
        <v>1007</v>
      </c>
      <c r="G219" s="308">
        <v>46015</v>
      </c>
      <c r="H219" s="308">
        <v>46015</v>
      </c>
      <c r="I219" s="309">
        <v>-317887.77</v>
      </c>
      <c r="J219" s="306" t="s">
        <v>1008</v>
      </c>
      <c r="K219" s="309">
        <v>-317887.77</v>
      </c>
      <c r="L219" s="306" t="s">
        <v>1008</v>
      </c>
      <c r="M219" s="306" t="s">
        <v>1327</v>
      </c>
      <c r="N219" s="306" t="s">
        <v>1327</v>
      </c>
      <c r="O219" s="306" t="s">
        <v>1394</v>
      </c>
      <c r="P219" s="306" t="s">
        <v>212</v>
      </c>
      <c r="Q219" s="306" t="s">
        <v>1013</v>
      </c>
      <c r="R219" s="306" t="s">
        <v>1013</v>
      </c>
      <c r="S219" s="306" t="s">
        <v>1013</v>
      </c>
      <c r="T219" s="306" t="s">
        <v>1013</v>
      </c>
      <c r="U219" s="306" t="s">
        <v>1013</v>
      </c>
      <c r="V219" s="306" t="s">
        <v>1013</v>
      </c>
      <c r="W219" s="306" t="s">
        <v>1013</v>
      </c>
      <c r="X219" s="306" t="s">
        <v>1013</v>
      </c>
      <c r="Y219" s="306" t="s">
        <v>1112</v>
      </c>
      <c r="Z219" s="306" t="s">
        <v>1071</v>
      </c>
      <c r="AA219" s="306" t="s">
        <v>1013</v>
      </c>
    </row>
    <row r="220" spans="1:27">
      <c r="A220" s="306" t="s">
        <v>494</v>
      </c>
      <c r="B220" s="306" t="s">
        <v>1003</v>
      </c>
      <c r="C220" s="306" t="s">
        <v>1004</v>
      </c>
      <c r="D220" s="306" t="s">
        <v>2435</v>
      </c>
      <c r="E220" s="306" t="s">
        <v>1395</v>
      </c>
      <c r="F220" s="306" t="s">
        <v>1007</v>
      </c>
      <c r="G220" s="308">
        <v>46015</v>
      </c>
      <c r="H220" s="308">
        <v>46015</v>
      </c>
      <c r="I220" s="309">
        <v>-38559.96</v>
      </c>
      <c r="J220" s="306" t="s">
        <v>1008</v>
      </c>
      <c r="K220" s="309">
        <v>-38559.96</v>
      </c>
      <c r="L220" s="306" t="s">
        <v>1008</v>
      </c>
      <c r="M220" s="306" t="s">
        <v>1327</v>
      </c>
      <c r="N220" s="306" t="s">
        <v>1327</v>
      </c>
      <c r="O220" s="306" t="s">
        <v>1396</v>
      </c>
      <c r="P220" s="306" t="s">
        <v>212</v>
      </c>
      <c r="Q220" s="306" t="s">
        <v>1013</v>
      </c>
      <c r="R220" s="306" t="s">
        <v>1013</v>
      </c>
      <c r="S220" s="306" t="s">
        <v>1013</v>
      </c>
      <c r="T220" s="306" t="s">
        <v>1013</v>
      </c>
      <c r="U220" s="306" t="s">
        <v>1013</v>
      </c>
      <c r="V220" s="306" t="s">
        <v>1013</v>
      </c>
      <c r="W220" s="306" t="s">
        <v>1013</v>
      </c>
      <c r="X220" s="306" t="s">
        <v>1013</v>
      </c>
      <c r="Y220" s="306" t="s">
        <v>1112</v>
      </c>
      <c r="Z220" s="306" t="s">
        <v>1071</v>
      </c>
      <c r="AA220" s="306" t="s">
        <v>1013</v>
      </c>
    </row>
    <row r="221" spans="1:27">
      <c r="A221" s="306" t="s">
        <v>494</v>
      </c>
      <c r="B221" s="306" t="s">
        <v>1003</v>
      </c>
      <c r="C221" s="306" t="s">
        <v>1004</v>
      </c>
      <c r="D221" s="306" t="s">
        <v>2435</v>
      </c>
      <c r="E221" s="306" t="s">
        <v>1397</v>
      </c>
      <c r="F221" s="306" t="s">
        <v>1007</v>
      </c>
      <c r="G221" s="308">
        <v>46015</v>
      </c>
      <c r="H221" s="308">
        <v>46015</v>
      </c>
      <c r="I221" s="309">
        <v>-3481.13</v>
      </c>
      <c r="J221" s="306" t="s">
        <v>1008</v>
      </c>
      <c r="K221" s="309">
        <v>-3481.13</v>
      </c>
      <c r="L221" s="306" t="s">
        <v>1008</v>
      </c>
      <c r="M221" s="306" t="s">
        <v>1309</v>
      </c>
      <c r="N221" s="306" t="s">
        <v>1309</v>
      </c>
      <c r="O221" s="306" t="s">
        <v>1398</v>
      </c>
      <c r="P221" s="306" t="s">
        <v>212</v>
      </c>
      <c r="Q221" s="306" t="s">
        <v>1013</v>
      </c>
      <c r="R221" s="306" t="s">
        <v>1013</v>
      </c>
      <c r="S221" s="306" t="s">
        <v>1013</v>
      </c>
      <c r="T221" s="306" t="s">
        <v>1013</v>
      </c>
      <c r="U221" s="306" t="s">
        <v>1013</v>
      </c>
      <c r="V221" s="306" t="s">
        <v>1013</v>
      </c>
      <c r="W221" s="306" t="s">
        <v>1013</v>
      </c>
      <c r="X221" s="306" t="s">
        <v>1013</v>
      </c>
      <c r="Y221" s="306" t="s">
        <v>1112</v>
      </c>
      <c r="Z221" s="306" t="s">
        <v>1071</v>
      </c>
      <c r="AA221" s="306" t="s">
        <v>1013</v>
      </c>
    </row>
    <row r="222" spans="1:27">
      <c r="A222" s="306" t="s">
        <v>494</v>
      </c>
      <c r="B222" s="306" t="s">
        <v>1003</v>
      </c>
      <c r="C222" s="306" t="s">
        <v>1004</v>
      </c>
      <c r="D222" s="306" t="s">
        <v>2435</v>
      </c>
      <c r="E222" s="306" t="s">
        <v>1399</v>
      </c>
      <c r="F222" s="306" t="s">
        <v>1007</v>
      </c>
      <c r="G222" s="308">
        <v>46015</v>
      </c>
      <c r="H222" s="308">
        <v>46015</v>
      </c>
      <c r="I222" s="309">
        <v>-33283.47</v>
      </c>
      <c r="J222" s="306" t="s">
        <v>1008</v>
      </c>
      <c r="K222" s="309">
        <v>-33283.47</v>
      </c>
      <c r="L222" s="306" t="s">
        <v>1008</v>
      </c>
      <c r="M222" s="306" t="s">
        <v>1314</v>
      </c>
      <c r="N222" s="306" t="s">
        <v>1314</v>
      </c>
      <c r="O222" s="306" t="s">
        <v>1400</v>
      </c>
      <c r="P222" s="306" t="s">
        <v>212</v>
      </c>
      <c r="Q222" s="306" t="s">
        <v>1013</v>
      </c>
      <c r="R222" s="306" t="s">
        <v>1013</v>
      </c>
      <c r="S222" s="306" t="s">
        <v>1013</v>
      </c>
      <c r="T222" s="306" t="s">
        <v>1013</v>
      </c>
      <c r="U222" s="306" t="s">
        <v>1013</v>
      </c>
      <c r="V222" s="306" t="s">
        <v>1013</v>
      </c>
      <c r="W222" s="306" t="s">
        <v>1013</v>
      </c>
      <c r="X222" s="306" t="s">
        <v>1013</v>
      </c>
      <c r="Y222" s="306" t="s">
        <v>1112</v>
      </c>
      <c r="Z222" s="306" t="s">
        <v>1071</v>
      </c>
      <c r="AA222" s="306" t="s">
        <v>1013</v>
      </c>
    </row>
    <row r="223" spans="1:27">
      <c r="A223" s="306" t="s">
        <v>494</v>
      </c>
      <c r="B223" s="306" t="s">
        <v>1003</v>
      </c>
      <c r="C223" s="306" t="s">
        <v>1004</v>
      </c>
      <c r="D223" s="306" t="s">
        <v>2435</v>
      </c>
      <c r="E223" s="306" t="s">
        <v>1401</v>
      </c>
      <c r="F223" s="306" t="s">
        <v>1007</v>
      </c>
      <c r="G223" s="308">
        <v>46016</v>
      </c>
      <c r="H223" s="308">
        <v>46016</v>
      </c>
      <c r="I223" s="309">
        <v>-3331.75</v>
      </c>
      <c r="J223" s="306" t="s">
        <v>1008</v>
      </c>
      <c r="K223" s="309">
        <v>-3331.75</v>
      </c>
      <c r="L223" s="306" t="s">
        <v>1008</v>
      </c>
      <c r="M223" s="306" t="s">
        <v>1402</v>
      </c>
      <c r="N223" s="306" t="s">
        <v>1403</v>
      </c>
      <c r="O223" s="306" t="s">
        <v>1404</v>
      </c>
      <c r="P223" s="306" t="s">
        <v>1405</v>
      </c>
      <c r="Q223" s="306" t="s">
        <v>1013</v>
      </c>
      <c r="R223" s="306" t="s">
        <v>1013</v>
      </c>
      <c r="S223" s="306" t="s">
        <v>1013</v>
      </c>
      <c r="T223" s="306" t="s">
        <v>1013</v>
      </c>
      <c r="U223" s="306" t="s">
        <v>1013</v>
      </c>
      <c r="V223" s="306" t="s">
        <v>1013</v>
      </c>
      <c r="W223" s="306" t="s">
        <v>1013</v>
      </c>
      <c r="X223" s="306" t="s">
        <v>1013</v>
      </c>
      <c r="Y223" s="306" t="s">
        <v>1406</v>
      </c>
      <c r="Z223" s="306" t="s">
        <v>1015</v>
      </c>
      <c r="AA223" s="306" t="s">
        <v>1013</v>
      </c>
    </row>
    <row r="224" spans="1:27">
      <c r="A224" s="306" t="s">
        <v>494</v>
      </c>
      <c r="B224" s="306" t="s">
        <v>1003</v>
      </c>
      <c r="C224" s="306" t="s">
        <v>1004</v>
      </c>
      <c r="D224" s="306" t="s">
        <v>2435</v>
      </c>
      <c r="E224" s="306" t="s">
        <v>1407</v>
      </c>
      <c r="F224" s="306" t="s">
        <v>1007</v>
      </c>
      <c r="G224" s="308">
        <v>46016</v>
      </c>
      <c r="H224" s="308">
        <v>46016</v>
      </c>
      <c r="I224" s="309">
        <v>-12494.05</v>
      </c>
      <c r="J224" s="306" t="s">
        <v>1008</v>
      </c>
      <c r="K224" s="309">
        <v>-12494.05</v>
      </c>
      <c r="L224" s="306" t="s">
        <v>1008</v>
      </c>
      <c r="M224" s="306" t="s">
        <v>1402</v>
      </c>
      <c r="N224" s="306" t="s">
        <v>1403</v>
      </c>
      <c r="O224" s="306" t="s">
        <v>1408</v>
      </c>
      <c r="P224" s="306" t="s">
        <v>1405</v>
      </c>
      <c r="Q224" s="306" t="s">
        <v>1013</v>
      </c>
      <c r="R224" s="306" t="s">
        <v>1013</v>
      </c>
      <c r="S224" s="306" t="s">
        <v>1013</v>
      </c>
      <c r="T224" s="306" t="s">
        <v>1013</v>
      </c>
      <c r="U224" s="306" t="s">
        <v>1013</v>
      </c>
      <c r="V224" s="306" t="s">
        <v>1013</v>
      </c>
      <c r="W224" s="306" t="s">
        <v>1013</v>
      </c>
      <c r="X224" s="306" t="s">
        <v>1013</v>
      </c>
      <c r="Y224" s="306" t="s">
        <v>1406</v>
      </c>
      <c r="Z224" s="306" t="s">
        <v>1015</v>
      </c>
      <c r="AA224" s="306" t="s">
        <v>1013</v>
      </c>
    </row>
    <row r="225" spans="1:27">
      <c r="A225" s="306" t="s">
        <v>494</v>
      </c>
      <c r="B225" s="306" t="s">
        <v>1003</v>
      </c>
      <c r="C225" s="306" t="s">
        <v>1004</v>
      </c>
      <c r="D225" s="306" t="s">
        <v>2435</v>
      </c>
      <c r="E225" s="306" t="s">
        <v>1409</v>
      </c>
      <c r="F225" s="306" t="s">
        <v>1007</v>
      </c>
      <c r="G225" s="308">
        <v>46016</v>
      </c>
      <c r="H225" s="308">
        <v>46016</v>
      </c>
      <c r="I225" s="309">
        <v>-3408.9</v>
      </c>
      <c r="J225" s="306" t="s">
        <v>1008</v>
      </c>
      <c r="K225" s="309">
        <v>-3408.9</v>
      </c>
      <c r="L225" s="306" t="s">
        <v>1008</v>
      </c>
      <c r="M225" s="306" t="s">
        <v>1410</v>
      </c>
      <c r="N225" s="306" t="s">
        <v>1403</v>
      </c>
      <c r="O225" s="306" t="s">
        <v>1411</v>
      </c>
      <c r="P225" s="306" t="s">
        <v>1405</v>
      </c>
      <c r="Q225" s="306" t="s">
        <v>1013</v>
      </c>
      <c r="R225" s="306" t="s">
        <v>1013</v>
      </c>
      <c r="S225" s="306" t="s">
        <v>1013</v>
      </c>
      <c r="T225" s="306" t="s">
        <v>1013</v>
      </c>
      <c r="U225" s="306" t="s">
        <v>1013</v>
      </c>
      <c r="V225" s="306" t="s">
        <v>1013</v>
      </c>
      <c r="W225" s="306" t="s">
        <v>1013</v>
      </c>
      <c r="X225" s="306" t="s">
        <v>1013</v>
      </c>
      <c r="Y225" s="306" t="s">
        <v>1406</v>
      </c>
      <c r="Z225" s="306" t="s">
        <v>1015</v>
      </c>
      <c r="AA225" s="306" t="s">
        <v>1013</v>
      </c>
    </row>
    <row r="226" spans="1:27">
      <c r="A226" s="306" t="s">
        <v>494</v>
      </c>
      <c r="B226" s="306" t="s">
        <v>1003</v>
      </c>
      <c r="C226" s="306" t="s">
        <v>1004</v>
      </c>
      <c r="D226" s="306" t="s">
        <v>2435</v>
      </c>
      <c r="E226" s="306" t="s">
        <v>1412</v>
      </c>
      <c r="F226" s="306" t="s">
        <v>1007</v>
      </c>
      <c r="G226" s="308">
        <v>46016</v>
      </c>
      <c r="H226" s="308">
        <v>46016</v>
      </c>
      <c r="I226" s="309">
        <v>-302584.73</v>
      </c>
      <c r="J226" s="306" t="s">
        <v>1008</v>
      </c>
      <c r="K226" s="309">
        <v>-302584.73</v>
      </c>
      <c r="L226" s="306" t="s">
        <v>1008</v>
      </c>
      <c r="M226" s="306" t="s">
        <v>1402</v>
      </c>
      <c r="N226" s="306" t="s">
        <v>1403</v>
      </c>
      <c r="O226" s="306" t="s">
        <v>1413</v>
      </c>
      <c r="P226" s="306" t="s">
        <v>1405</v>
      </c>
      <c r="Q226" s="306" t="s">
        <v>1013</v>
      </c>
      <c r="R226" s="306" t="s">
        <v>1013</v>
      </c>
      <c r="S226" s="306" t="s">
        <v>1013</v>
      </c>
      <c r="T226" s="306" t="s">
        <v>1013</v>
      </c>
      <c r="U226" s="306" t="s">
        <v>1013</v>
      </c>
      <c r="V226" s="306" t="s">
        <v>1013</v>
      </c>
      <c r="W226" s="306" t="s">
        <v>1013</v>
      </c>
      <c r="X226" s="306" t="s">
        <v>1013</v>
      </c>
      <c r="Y226" s="306" t="s">
        <v>1406</v>
      </c>
      <c r="Z226" s="306" t="s">
        <v>1015</v>
      </c>
      <c r="AA226" s="306" t="s">
        <v>1013</v>
      </c>
    </row>
    <row r="227" spans="1:27">
      <c r="A227" s="306" t="s">
        <v>494</v>
      </c>
      <c r="B227" s="306" t="s">
        <v>1003</v>
      </c>
      <c r="C227" s="306" t="s">
        <v>1004</v>
      </c>
      <c r="D227" s="306" t="s">
        <v>2435</v>
      </c>
      <c r="E227" s="306" t="s">
        <v>1414</v>
      </c>
      <c r="F227" s="306" t="s">
        <v>1007</v>
      </c>
      <c r="G227" s="308">
        <v>46016</v>
      </c>
      <c r="H227" s="308">
        <v>46016</v>
      </c>
      <c r="I227" s="309">
        <v>-227684.29</v>
      </c>
      <c r="J227" s="306" t="s">
        <v>1008</v>
      </c>
      <c r="K227" s="309">
        <v>-227684.29</v>
      </c>
      <c r="L227" s="306" t="s">
        <v>1008</v>
      </c>
      <c r="M227" s="306" t="s">
        <v>1410</v>
      </c>
      <c r="N227" s="306" t="s">
        <v>1403</v>
      </c>
      <c r="O227" s="306" t="s">
        <v>1415</v>
      </c>
      <c r="P227" s="306" t="s">
        <v>1405</v>
      </c>
      <c r="Q227" s="306" t="s">
        <v>1013</v>
      </c>
      <c r="R227" s="306" t="s">
        <v>1013</v>
      </c>
      <c r="S227" s="306" t="s">
        <v>1013</v>
      </c>
      <c r="T227" s="306" t="s">
        <v>1013</v>
      </c>
      <c r="U227" s="306" t="s">
        <v>1013</v>
      </c>
      <c r="V227" s="306" t="s">
        <v>1013</v>
      </c>
      <c r="W227" s="306" t="s">
        <v>1013</v>
      </c>
      <c r="X227" s="306" t="s">
        <v>1013</v>
      </c>
      <c r="Y227" s="306" t="s">
        <v>1406</v>
      </c>
      <c r="Z227" s="306" t="s">
        <v>1015</v>
      </c>
      <c r="AA227" s="306" t="s">
        <v>1013</v>
      </c>
    </row>
    <row r="228" spans="1:27">
      <c r="A228" s="306" t="s">
        <v>494</v>
      </c>
      <c r="B228" s="306" t="s">
        <v>1003</v>
      </c>
      <c r="C228" s="306" t="s">
        <v>1004</v>
      </c>
      <c r="D228" s="306" t="s">
        <v>2435</v>
      </c>
      <c r="E228" s="306" t="s">
        <v>1416</v>
      </c>
      <c r="F228" s="306" t="s">
        <v>1007</v>
      </c>
      <c r="G228" s="308">
        <v>46016</v>
      </c>
      <c r="H228" s="308">
        <v>46016</v>
      </c>
      <c r="I228" s="309">
        <v>-75787.08</v>
      </c>
      <c r="J228" s="306" t="s">
        <v>1008</v>
      </c>
      <c r="K228" s="309">
        <v>-75787.08</v>
      </c>
      <c r="L228" s="306" t="s">
        <v>1008</v>
      </c>
      <c r="M228" s="306" t="s">
        <v>1410</v>
      </c>
      <c r="N228" s="306" t="s">
        <v>1403</v>
      </c>
      <c r="O228" s="306" t="s">
        <v>1417</v>
      </c>
      <c r="P228" s="306" t="s">
        <v>1405</v>
      </c>
      <c r="Q228" s="306" t="s">
        <v>1013</v>
      </c>
      <c r="R228" s="306" t="s">
        <v>1013</v>
      </c>
      <c r="S228" s="306" t="s">
        <v>1013</v>
      </c>
      <c r="T228" s="306" t="s">
        <v>1013</v>
      </c>
      <c r="U228" s="306" t="s">
        <v>1013</v>
      </c>
      <c r="V228" s="306" t="s">
        <v>1013</v>
      </c>
      <c r="W228" s="306" t="s">
        <v>1013</v>
      </c>
      <c r="X228" s="306" t="s">
        <v>1013</v>
      </c>
      <c r="Y228" s="306" t="s">
        <v>1406</v>
      </c>
      <c r="Z228" s="306" t="s">
        <v>1015</v>
      </c>
      <c r="AA228" s="306" t="s">
        <v>1013</v>
      </c>
    </row>
    <row r="229" spans="1:27">
      <c r="A229" s="306" t="s">
        <v>494</v>
      </c>
      <c r="B229" s="306" t="s">
        <v>1003</v>
      </c>
      <c r="C229" s="306" t="s">
        <v>1004</v>
      </c>
      <c r="D229" s="306" t="s">
        <v>2435</v>
      </c>
      <c r="E229" s="306" t="s">
        <v>1418</v>
      </c>
      <c r="F229" s="306" t="s">
        <v>1007</v>
      </c>
      <c r="G229" s="308">
        <v>46016</v>
      </c>
      <c r="H229" s="308">
        <v>46016</v>
      </c>
      <c r="I229" s="309">
        <v>-283087.48</v>
      </c>
      <c r="J229" s="306" t="s">
        <v>1008</v>
      </c>
      <c r="K229" s="309">
        <v>-283087.48</v>
      </c>
      <c r="L229" s="306" t="s">
        <v>1008</v>
      </c>
      <c r="M229" s="306" t="s">
        <v>1410</v>
      </c>
      <c r="N229" s="306" t="s">
        <v>1403</v>
      </c>
      <c r="O229" s="306" t="s">
        <v>1419</v>
      </c>
      <c r="P229" s="306" t="s">
        <v>1405</v>
      </c>
      <c r="Q229" s="306" t="s">
        <v>1013</v>
      </c>
      <c r="R229" s="306" t="s">
        <v>1013</v>
      </c>
      <c r="S229" s="306" t="s">
        <v>1013</v>
      </c>
      <c r="T229" s="306" t="s">
        <v>1013</v>
      </c>
      <c r="U229" s="306" t="s">
        <v>1013</v>
      </c>
      <c r="V229" s="306" t="s">
        <v>1013</v>
      </c>
      <c r="W229" s="306" t="s">
        <v>1013</v>
      </c>
      <c r="X229" s="306" t="s">
        <v>1013</v>
      </c>
      <c r="Y229" s="306" t="s">
        <v>1406</v>
      </c>
      <c r="Z229" s="306" t="s">
        <v>1015</v>
      </c>
      <c r="AA229" s="306" t="s">
        <v>1013</v>
      </c>
    </row>
    <row r="230" spans="1:27">
      <c r="A230" s="306" t="s">
        <v>494</v>
      </c>
      <c r="B230" s="306" t="s">
        <v>1003</v>
      </c>
      <c r="C230" s="306" t="s">
        <v>1004</v>
      </c>
      <c r="D230" s="306" t="s">
        <v>2435</v>
      </c>
      <c r="E230" s="306" t="s">
        <v>1420</v>
      </c>
      <c r="F230" s="306" t="s">
        <v>1007</v>
      </c>
      <c r="G230" s="308">
        <v>46016</v>
      </c>
      <c r="H230" s="308">
        <v>46016</v>
      </c>
      <c r="I230" s="309">
        <v>-411.84</v>
      </c>
      <c r="J230" s="306" t="s">
        <v>1008</v>
      </c>
      <c r="K230" s="309">
        <v>-411.84</v>
      </c>
      <c r="L230" s="306" t="s">
        <v>1008</v>
      </c>
      <c r="M230" s="306" t="s">
        <v>1421</v>
      </c>
      <c r="N230" s="306" t="s">
        <v>1403</v>
      </c>
      <c r="O230" s="306" t="s">
        <v>1422</v>
      </c>
      <c r="P230" s="306" t="s">
        <v>1405</v>
      </c>
      <c r="Q230" s="306" t="s">
        <v>1013</v>
      </c>
      <c r="R230" s="306" t="s">
        <v>1013</v>
      </c>
      <c r="S230" s="306" t="s">
        <v>1013</v>
      </c>
      <c r="T230" s="306" t="s">
        <v>1013</v>
      </c>
      <c r="U230" s="306" t="s">
        <v>1013</v>
      </c>
      <c r="V230" s="306" t="s">
        <v>1013</v>
      </c>
      <c r="W230" s="306" t="s">
        <v>1013</v>
      </c>
      <c r="X230" s="306" t="s">
        <v>1013</v>
      </c>
      <c r="Y230" s="306" t="s">
        <v>1406</v>
      </c>
      <c r="Z230" s="306" t="s">
        <v>1015</v>
      </c>
      <c r="AA230" s="306" t="s">
        <v>1013</v>
      </c>
    </row>
    <row r="231" spans="1:27">
      <c r="A231" s="306" t="s">
        <v>494</v>
      </c>
      <c r="B231" s="306" t="s">
        <v>1003</v>
      </c>
      <c r="C231" s="306" t="s">
        <v>1004</v>
      </c>
      <c r="D231" s="306" t="s">
        <v>2435</v>
      </c>
      <c r="E231" s="306" t="s">
        <v>1423</v>
      </c>
      <c r="F231" s="306" t="s">
        <v>1007</v>
      </c>
      <c r="G231" s="308">
        <v>46016</v>
      </c>
      <c r="H231" s="308">
        <v>46016</v>
      </c>
      <c r="I231" s="309">
        <v>-2403.3000000000002</v>
      </c>
      <c r="J231" s="306" t="s">
        <v>1008</v>
      </c>
      <c r="K231" s="309">
        <v>-2403.3000000000002</v>
      </c>
      <c r="L231" s="306" t="s">
        <v>1008</v>
      </c>
      <c r="M231" s="306" t="s">
        <v>1410</v>
      </c>
      <c r="N231" s="306" t="s">
        <v>1403</v>
      </c>
      <c r="O231" s="306" t="s">
        <v>1424</v>
      </c>
      <c r="P231" s="306" t="s">
        <v>1405</v>
      </c>
      <c r="Q231" s="306" t="s">
        <v>1013</v>
      </c>
      <c r="R231" s="306" t="s">
        <v>1013</v>
      </c>
      <c r="S231" s="306" t="s">
        <v>1013</v>
      </c>
      <c r="T231" s="306" t="s">
        <v>1013</v>
      </c>
      <c r="U231" s="306" t="s">
        <v>1013</v>
      </c>
      <c r="V231" s="306" t="s">
        <v>1013</v>
      </c>
      <c r="W231" s="306" t="s">
        <v>1013</v>
      </c>
      <c r="X231" s="306" t="s">
        <v>1013</v>
      </c>
      <c r="Y231" s="306" t="s">
        <v>1406</v>
      </c>
      <c r="Z231" s="306" t="s">
        <v>1015</v>
      </c>
      <c r="AA231" s="306" t="s">
        <v>1013</v>
      </c>
    </row>
    <row r="232" spans="1:27">
      <c r="A232" s="306" t="s">
        <v>494</v>
      </c>
      <c r="B232" s="306" t="s">
        <v>1003</v>
      </c>
      <c r="C232" s="306" t="s">
        <v>1004</v>
      </c>
      <c r="D232" s="306" t="s">
        <v>2435</v>
      </c>
      <c r="E232" s="306" t="s">
        <v>1425</v>
      </c>
      <c r="F232" s="306" t="s">
        <v>1007</v>
      </c>
      <c r="G232" s="308">
        <v>46016</v>
      </c>
      <c r="H232" s="308">
        <v>46016</v>
      </c>
      <c r="I232" s="309">
        <v>-10155.379999999999</v>
      </c>
      <c r="J232" s="306" t="s">
        <v>1008</v>
      </c>
      <c r="K232" s="309">
        <v>-10155.379999999999</v>
      </c>
      <c r="L232" s="306" t="s">
        <v>1008</v>
      </c>
      <c r="M232" s="306" t="s">
        <v>1410</v>
      </c>
      <c r="N232" s="306" t="s">
        <v>1403</v>
      </c>
      <c r="O232" s="306" t="s">
        <v>1426</v>
      </c>
      <c r="P232" s="306" t="s">
        <v>1405</v>
      </c>
      <c r="Q232" s="306" t="s">
        <v>1013</v>
      </c>
      <c r="R232" s="306" t="s">
        <v>1013</v>
      </c>
      <c r="S232" s="306" t="s">
        <v>1013</v>
      </c>
      <c r="T232" s="306" t="s">
        <v>1013</v>
      </c>
      <c r="U232" s="306" t="s">
        <v>1013</v>
      </c>
      <c r="V232" s="306" t="s">
        <v>1013</v>
      </c>
      <c r="W232" s="306" t="s">
        <v>1013</v>
      </c>
      <c r="X232" s="306" t="s">
        <v>1013</v>
      </c>
      <c r="Y232" s="306" t="s">
        <v>1406</v>
      </c>
      <c r="Z232" s="306" t="s">
        <v>1015</v>
      </c>
      <c r="AA232" s="306" t="s">
        <v>1013</v>
      </c>
    </row>
    <row r="233" spans="1:27">
      <c r="A233" s="306" t="s">
        <v>494</v>
      </c>
      <c r="B233" s="306" t="s">
        <v>1003</v>
      </c>
      <c r="C233" s="306" t="s">
        <v>1004</v>
      </c>
      <c r="D233" s="306" t="s">
        <v>2435</v>
      </c>
      <c r="E233" s="306" t="s">
        <v>1427</v>
      </c>
      <c r="F233" s="306" t="s">
        <v>1007</v>
      </c>
      <c r="G233" s="308">
        <v>46016</v>
      </c>
      <c r="H233" s="308">
        <v>46016</v>
      </c>
      <c r="I233" s="309">
        <v>-274.68</v>
      </c>
      <c r="J233" s="306" t="s">
        <v>1008</v>
      </c>
      <c r="K233" s="309">
        <v>-274.68</v>
      </c>
      <c r="L233" s="306" t="s">
        <v>1008</v>
      </c>
      <c r="M233" s="306" t="s">
        <v>1421</v>
      </c>
      <c r="N233" s="306" t="s">
        <v>1403</v>
      </c>
      <c r="O233" s="306" t="s">
        <v>1428</v>
      </c>
      <c r="P233" s="306" t="s">
        <v>1405</v>
      </c>
      <c r="Q233" s="306" t="s">
        <v>1013</v>
      </c>
      <c r="R233" s="306" t="s">
        <v>1013</v>
      </c>
      <c r="S233" s="306" t="s">
        <v>1013</v>
      </c>
      <c r="T233" s="306" t="s">
        <v>1013</v>
      </c>
      <c r="U233" s="306" t="s">
        <v>1013</v>
      </c>
      <c r="V233" s="306" t="s">
        <v>1013</v>
      </c>
      <c r="W233" s="306" t="s">
        <v>1013</v>
      </c>
      <c r="X233" s="306" t="s">
        <v>1013</v>
      </c>
      <c r="Y233" s="306" t="s">
        <v>1406</v>
      </c>
      <c r="Z233" s="306" t="s">
        <v>1015</v>
      </c>
      <c r="AA233" s="306" t="s">
        <v>1013</v>
      </c>
    </row>
    <row r="234" spans="1:27">
      <c r="A234" s="306" t="s">
        <v>494</v>
      </c>
      <c r="B234" s="306" t="s">
        <v>1003</v>
      </c>
      <c r="C234" s="306" t="s">
        <v>1004</v>
      </c>
      <c r="D234" s="306" t="s">
        <v>2435</v>
      </c>
      <c r="E234" s="306" t="s">
        <v>1429</v>
      </c>
      <c r="F234" s="306" t="s">
        <v>1007</v>
      </c>
      <c r="G234" s="308">
        <v>46016</v>
      </c>
      <c r="H234" s="308">
        <v>46016</v>
      </c>
      <c r="I234" s="309">
        <v>-1205.6400000000001</v>
      </c>
      <c r="J234" s="306" t="s">
        <v>1008</v>
      </c>
      <c r="K234" s="309">
        <v>-1205.6400000000001</v>
      </c>
      <c r="L234" s="306" t="s">
        <v>1008</v>
      </c>
      <c r="M234" s="306" t="s">
        <v>1421</v>
      </c>
      <c r="N234" s="306" t="s">
        <v>1403</v>
      </c>
      <c r="O234" s="306" t="s">
        <v>1430</v>
      </c>
      <c r="P234" s="306" t="s">
        <v>1405</v>
      </c>
      <c r="Q234" s="306" t="s">
        <v>1013</v>
      </c>
      <c r="R234" s="306" t="s">
        <v>1013</v>
      </c>
      <c r="S234" s="306" t="s">
        <v>1013</v>
      </c>
      <c r="T234" s="306" t="s">
        <v>1013</v>
      </c>
      <c r="U234" s="306" t="s">
        <v>1013</v>
      </c>
      <c r="V234" s="306" t="s">
        <v>1013</v>
      </c>
      <c r="W234" s="306" t="s">
        <v>1013</v>
      </c>
      <c r="X234" s="306" t="s">
        <v>1013</v>
      </c>
      <c r="Y234" s="306" t="s">
        <v>1406</v>
      </c>
      <c r="Z234" s="306" t="s">
        <v>1015</v>
      </c>
      <c r="AA234" s="306" t="s">
        <v>1013</v>
      </c>
    </row>
    <row r="235" spans="1:27">
      <c r="A235" s="306" t="s">
        <v>494</v>
      </c>
      <c r="B235" s="306" t="s">
        <v>1003</v>
      </c>
      <c r="C235" s="306" t="s">
        <v>1004</v>
      </c>
      <c r="D235" s="306" t="s">
        <v>2435</v>
      </c>
      <c r="E235" s="306" t="s">
        <v>1431</v>
      </c>
      <c r="F235" s="306" t="s">
        <v>1007</v>
      </c>
      <c r="G235" s="308">
        <v>46016</v>
      </c>
      <c r="H235" s="308">
        <v>46016</v>
      </c>
      <c r="I235" s="309">
        <v>-1864.73</v>
      </c>
      <c r="J235" s="306" t="s">
        <v>1008</v>
      </c>
      <c r="K235" s="309">
        <v>-1864.73</v>
      </c>
      <c r="L235" s="306" t="s">
        <v>1008</v>
      </c>
      <c r="M235" s="306" t="s">
        <v>1421</v>
      </c>
      <c r="N235" s="306" t="s">
        <v>1403</v>
      </c>
      <c r="O235" s="306" t="s">
        <v>1432</v>
      </c>
      <c r="P235" s="306" t="s">
        <v>1405</v>
      </c>
      <c r="Q235" s="306" t="s">
        <v>1013</v>
      </c>
      <c r="R235" s="306" t="s">
        <v>1013</v>
      </c>
      <c r="S235" s="306" t="s">
        <v>1013</v>
      </c>
      <c r="T235" s="306" t="s">
        <v>1013</v>
      </c>
      <c r="U235" s="306" t="s">
        <v>1013</v>
      </c>
      <c r="V235" s="306" t="s">
        <v>1013</v>
      </c>
      <c r="W235" s="306" t="s">
        <v>1013</v>
      </c>
      <c r="X235" s="306" t="s">
        <v>1013</v>
      </c>
      <c r="Y235" s="306" t="s">
        <v>1406</v>
      </c>
      <c r="Z235" s="306" t="s">
        <v>1015</v>
      </c>
      <c r="AA235" s="306" t="s">
        <v>1013</v>
      </c>
    </row>
    <row r="236" spans="1:27">
      <c r="A236" s="306" t="s">
        <v>494</v>
      </c>
      <c r="B236" s="306" t="s">
        <v>1003</v>
      </c>
      <c r="C236" s="306" t="s">
        <v>1004</v>
      </c>
      <c r="D236" s="306" t="s">
        <v>2435</v>
      </c>
      <c r="E236" s="306" t="s">
        <v>1433</v>
      </c>
      <c r="F236" s="306" t="s">
        <v>1007</v>
      </c>
      <c r="G236" s="308">
        <v>46016</v>
      </c>
      <c r="H236" s="308">
        <v>46016</v>
      </c>
      <c r="I236" s="309">
        <v>-6496.39</v>
      </c>
      <c r="J236" s="306" t="s">
        <v>1008</v>
      </c>
      <c r="K236" s="309">
        <v>-6496.39</v>
      </c>
      <c r="L236" s="306" t="s">
        <v>1008</v>
      </c>
      <c r="M236" s="306" t="s">
        <v>1421</v>
      </c>
      <c r="N236" s="306" t="s">
        <v>1403</v>
      </c>
      <c r="O236" s="306" t="s">
        <v>1434</v>
      </c>
      <c r="P236" s="306" t="s">
        <v>1405</v>
      </c>
      <c r="Q236" s="306" t="s">
        <v>1013</v>
      </c>
      <c r="R236" s="306" t="s">
        <v>1013</v>
      </c>
      <c r="S236" s="306" t="s">
        <v>1013</v>
      </c>
      <c r="T236" s="306" t="s">
        <v>1013</v>
      </c>
      <c r="U236" s="306" t="s">
        <v>1013</v>
      </c>
      <c r="V236" s="306" t="s">
        <v>1013</v>
      </c>
      <c r="W236" s="306" t="s">
        <v>1013</v>
      </c>
      <c r="X236" s="306" t="s">
        <v>1013</v>
      </c>
      <c r="Y236" s="306" t="s">
        <v>1406</v>
      </c>
      <c r="Z236" s="306" t="s">
        <v>1015</v>
      </c>
      <c r="AA236" s="306" t="s">
        <v>1013</v>
      </c>
    </row>
    <row r="237" spans="1:27">
      <c r="A237" s="306" t="s">
        <v>494</v>
      </c>
      <c r="B237" s="306" t="s">
        <v>1003</v>
      </c>
      <c r="C237" s="306" t="s">
        <v>1004</v>
      </c>
      <c r="D237" s="306" t="s">
        <v>2435</v>
      </c>
      <c r="E237" s="306" t="s">
        <v>1435</v>
      </c>
      <c r="F237" s="306" t="s">
        <v>1007</v>
      </c>
      <c r="G237" s="308">
        <v>46016</v>
      </c>
      <c r="H237" s="308">
        <v>46016</v>
      </c>
      <c r="I237" s="309">
        <v>-247.45</v>
      </c>
      <c r="J237" s="306" t="s">
        <v>1008</v>
      </c>
      <c r="K237" s="309">
        <v>-247.45</v>
      </c>
      <c r="L237" s="306" t="s">
        <v>1008</v>
      </c>
      <c r="M237" s="306" t="s">
        <v>1421</v>
      </c>
      <c r="N237" s="306" t="s">
        <v>1403</v>
      </c>
      <c r="O237" s="306" t="s">
        <v>1436</v>
      </c>
      <c r="P237" s="306" t="s">
        <v>1405</v>
      </c>
      <c r="Q237" s="306" t="s">
        <v>1013</v>
      </c>
      <c r="R237" s="306" t="s">
        <v>1013</v>
      </c>
      <c r="S237" s="306" t="s">
        <v>1013</v>
      </c>
      <c r="T237" s="306" t="s">
        <v>1013</v>
      </c>
      <c r="U237" s="306" t="s">
        <v>1013</v>
      </c>
      <c r="V237" s="306" t="s">
        <v>1013</v>
      </c>
      <c r="W237" s="306" t="s">
        <v>1013</v>
      </c>
      <c r="X237" s="306" t="s">
        <v>1013</v>
      </c>
      <c r="Y237" s="306" t="s">
        <v>1406</v>
      </c>
      <c r="Z237" s="306" t="s">
        <v>1015</v>
      </c>
      <c r="AA237" s="306" t="s">
        <v>1013</v>
      </c>
    </row>
    <row r="238" spans="1:27">
      <c r="A238" s="306" t="s">
        <v>494</v>
      </c>
      <c r="B238" s="306" t="s">
        <v>1003</v>
      </c>
      <c r="C238" s="306" t="s">
        <v>1004</v>
      </c>
      <c r="D238" s="306" t="s">
        <v>2435</v>
      </c>
      <c r="E238" s="306" t="s">
        <v>1437</v>
      </c>
      <c r="F238" s="306" t="s">
        <v>1007</v>
      </c>
      <c r="G238" s="308">
        <v>46016</v>
      </c>
      <c r="H238" s="308">
        <v>46016</v>
      </c>
      <c r="I238" s="309">
        <v>-61.5</v>
      </c>
      <c r="J238" s="306" t="s">
        <v>1008</v>
      </c>
      <c r="K238" s="309">
        <v>-61.5</v>
      </c>
      <c r="L238" s="306" t="s">
        <v>1008</v>
      </c>
      <c r="M238" s="306" t="s">
        <v>1421</v>
      </c>
      <c r="N238" s="306" t="s">
        <v>1403</v>
      </c>
      <c r="O238" s="306" t="s">
        <v>1438</v>
      </c>
      <c r="P238" s="306" t="s">
        <v>1405</v>
      </c>
      <c r="Q238" s="306" t="s">
        <v>1013</v>
      </c>
      <c r="R238" s="306" t="s">
        <v>1013</v>
      </c>
      <c r="S238" s="306" t="s">
        <v>1013</v>
      </c>
      <c r="T238" s="306" t="s">
        <v>1013</v>
      </c>
      <c r="U238" s="306" t="s">
        <v>1013</v>
      </c>
      <c r="V238" s="306" t="s">
        <v>1013</v>
      </c>
      <c r="W238" s="306" t="s">
        <v>1013</v>
      </c>
      <c r="X238" s="306" t="s">
        <v>1013</v>
      </c>
      <c r="Y238" s="306" t="s">
        <v>1406</v>
      </c>
      <c r="Z238" s="306" t="s">
        <v>1015</v>
      </c>
      <c r="AA238" s="306" t="s">
        <v>1013</v>
      </c>
    </row>
    <row r="239" spans="1:27">
      <c r="A239" s="306" t="s">
        <v>494</v>
      </c>
      <c r="B239" s="306" t="s">
        <v>1003</v>
      </c>
      <c r="C239" s="306" t="s">
        <v>1004</v>
      </c>
      <c r="D239" s="306" t="s">
        <v>2435</v>
      </c>
      <c r="E239" s="306" t="s">
        <v>1439</v>
      </c>
      <c r="F239" s="306" t="s">
        <v>1007</v>
      </c>
      <c r="G239" s="308">
        <v>46016</v>
      </c>
      <c r="H239" s="308">
        <v>46016</v>
      </c>
      <c r="I239" s="309">
        <v>-337.49</v>
      </c>
      <c r="J239" s="306" t="s">
        <v>1008</v>
      </c>
      <c r="K239" s="309">
        <v>-337.49</v>
      </c>
      <c r="L239" s="306" t="s">
        <v>1008</v>
      </c>
      <c r="M239" s="306" t="s">
        <v>1421</v>
      </c>
      <c r="N239" s="306" t="s">
        <v>1403</v>
      </c>
      <c r="O239" s="306" t="s">
        <v>1440</v>
      </c>
      <c r="P239" s="306" t="s">
        <v>1405</v>
      </c>
      <c r="Q239" s="306" t="s">
        <v>1013</v>
      </c>
      <c r="R239" s="306" t="s">
        <v>1013</v>
      </c>
      <c r="S239" s="306" t="s">
        <v>1013</v>
      </c>
      <c r="T239" s="306" t="s">
        <v>1013</v>
      </c>
      <c r="U239" s="306" t="s">
        <v>1013</v>
      </c>
      <c r="V239" s="306" t="s">
        <v>1013</v>
      </c>
      <c r="W239" s="306" t="s">
        <v>1013</v>
      </c>
      <c r="X239" s="306" t="s">
        <v>1013</v>
      </c>
      <c r="Y239" s="306" t="s">
        <v>1406</v>
      </c>
      <c r="Z239" s="306" t="s">
        <v>1015</v>
      </c>
      <c r="AA239" s="306" t="s">
        <v>1013</v>
      </c>
    </row>
    <row r="240" spans="1:27">
      <c r="A240" s="306" t="s">
        <v>494</v>
      </c>
      <c r="B240" s="306" t="s">
        <v>1003</v>
      </c>
      <c r="C240" s="306" t="s">
        <v>1004</v>
      </c>
      <c r="D240" s="306" t="s">
        <v>2435</v>
      </c>
      <c r="E240" s="306" t="s">
        <v>1441</v>
      </c>
      <c r="F240" s="306" t="s">
        <v>1007</v>
      </c>
      <c r="G240" s="308">
        <v>46016</v>
      </c>
      <c r="H240" s="308">
        <v>46016</v>
      </c>
      <c r="I240" s="309">
        <v>-338.86</v>
      </c>
      <c r="J240" s="306" t="s">
        <v>1008</v>
      </c>
      <c r="K240" s="309">
        <v>-338.86</v>
      </c>
      <c r="L240" s="306" t="s">
        <v>1008</v>
      </c>
      <c r="M240" s="306" t="s">
        <v>1421</v>
      </c>
      <c r="N240" s="306" t="s">
        <v>1403</v>
      </c>
      <c r="O240" s="306" t="s">
        <v>1442</v>
      </c>
      <c r="P240" s="306" t="s">
        <v>1405</v>
      </c>
      <c r="Q240" s="306" t="s">
        <v>1013</v>
      </c>
      <c r="R240" s="306" t="s">
        <v>1013</v>
      </c>
      <c r="S240" s="306" t="s">
        <v>1013</v>
      </c>
      <c r="T240" s="306" t="s">
        <v>1013</v>
      </c>
      <c r="U240" s="306" t="s">
        <v>1013</v>
      </c>
      <c r="V240" s="306" t="s">
        <v>1013</v>
      </c>
      <c r="W240" s="306" t="s">
        <v>1013</v>
      </c>
      <c r="X240" s="306" t="s">
        <v>1013</v>
      </c>
      <c r="Y240" s="306" t="s">
        <v>1406</v>
      </c>
      <c r="Z240" s="306" t="s">
        <v>1015</v>
      </c>
      <c r="AA240" s="306" t="s">
        <v>1013</v>
      </c>
    </row>
    <row r="241" spans="1:27">
      <c r="A241" s="306" t="s">
        <v>494</v>
      </c>
      <c r="B241" s="306" t="s">
        <v>1003</v>
      </c>
      <c r="C241" s="306" t="s">
        <v>1004</v>
      </c>
      <c r="D241" s="306" t="s">
        <v>2435</v>
      </c>
      <c r="E241" s="306" t="s">
        <v>1443</v>
      </c>
      <c r="F241" s="306" t="s">
        <v>1007</v>
      </c>
      <c r="G241" s="308">
        <v>46016</v>
      </c>
      <c r="H241" s="308">
        <v>46016</v>
      </c>
      <c r="I241" s="309">
        <v>-3894.05</v>
      </c>
      <c r="J241" s="306" t="s">
        <v>1008</v>
      </c>
      <c r="K241" s="309">
        <v>-3894.05</v>
      </c>
      <c r="L241" s="306" t="s">
        <v>1008</v>
      </c>
      <c r="M241" s="306" t="s">
        <v>1402</v>
      </c>
      <c r="N241" s="306" t="s">
        <v>1403</v>
      </c>
      <c r="O241" s="306" t="s">
        <v>1444</v>
      </c>
      <c r="P241" s="306" t="s">
        <v>1405</v>
      </c>
      <c r="Q241" s="306" t="s">
        <v>1013</v>
      </c>
      <c r="R241" s="306" t="s">
        <v>1013</v>
      </c>
      <c r="S241" s="306" t="s">
        <v>1013</v>
      </c>
      <c r="T241" s="306" t="s">
        <v>1013</v>
      </c>
      <c r="U241" s="306" t="s">
        <v>1013</v>
      </c>
      <c r="V241" s="306" t="s">
        <v>1013</v>
      </c>
      <c r="W241" s="306" t="s">
        <v>1013</v>
      </c>
      <c r="X241" s="306" t="s">
        <v>1013</v>
      </c>
      <c r="Y241" s="306" t="s">
        <v>1406</v>
      </c>
      <c r="Z241" s="306" t="s">
        <v>1015</v>
      </c>
      <c r="AA241" s="306" t="s">
        <v>1013</v>
      </c>
    </row>
    <row r="242" spans="1:27">
      <c r="A242" s="306" t="s">
        <v>494</v>
      </c>
      <c r="B242" s="306" t="s">
        <v>1003</v>
      </c>
      <c r="C242" s="306" t="s">
        <v>1004</v>
      </c>
      <c r="D242" s="306" t="s">
        <v>2435</v>
      </c>
      <c r="E242" s="306" t="s">
        <v>1445</v>
      </c>
      <c r="F242" s="306" t="s">
        <v>1007</v>
      </c>
      <c r="G242" s="308">
        <v>46016</v>
      </c>
      <c r="H242" s="308">
        <v>46016</v>
      </c>
      <c r="I242" s="309">
        <v>-274.68</v>
      </c>
      <c r="J242" s="306" t="s">
        <v>1008</v>
      </c>
      <c r="K242" s="309">
        <v>-274.68</v>
      </c>
      <c r="L242" s="306" t="s">
        <v>1008</v>
      </c>
      <c r="M242" s="306" t="s">
        <v>1421</v>
      </c>
      <c r="N242" s="306" t="s">
        <v>1403</v>
      </c>
      <c r="O242" s="306" t="s">
        <v>1446</v>
      </c>
      <c r="P242" s="306" t="s">
        <v>1405</v>
      </c>
      <c r="Q242" s="306" t="s">
        <v>1013</v>
      </c>
      <c r="R242" s="306" t="s">
        <v>1013</v>
      </c>
      <c r="S242" s="306" t="s">
        <v>1013</v>
      </c>
      <c r="T242" s="306" t="s">
        <v>1013</v>
      </c>
      <c r="U242" s="306" t="s">
        <v>1013</v>
      </c>
      <c r="V242" s="306" t="s">
        <v>1013</v>
      </c>
      <c r="W242" s="306" t="s">
        <v>1013</v>
      </c>
      <c r="X242" s="306" t="s">
        <v>1013</v>
      </c>
      <c r="Y242" s="306" t="s">
        <v>1406</v>
      </c>
      <c r="Z242" s="306" t="s">
        <v>1015</v>
      </c>
      <c r="AA242" s="306" t="s">
        <v>1013</v>
      </c>
    </row>
    <row r="243" spans="1:27">
      <c r="A243" s="306" t="s">
        <v>494</v>
      </c>
      <c r="B243" s="306" t="s">
        <v>1003</v>
      </c>
      <c r="C243" s="306" t="s">
        <v>1004</v>
      </c>
      <c r="D243" s="306" t="s">
        <v>2435</v>
      </c>
      <c r="E243" s="306" t="s">
        <v>1447</v>
      </c>
      <c r="F243" s="306" t="s">
        <v>1007</v>
      </c>
      <c r="G243" s="308">
        <v>46016</v>
      </c>
      <c r="H243" s="308">
        <v>46016</v>
      </c>
      <c r="I243" s="309">
        <v>-115.49</v>
      </c>
      <c r="J243" s="306" t="s">
        <v>1008</v>
      </c>
      <c r="K243" s="309">
        <v>-115.49</v>
      </c>
      <c r="L243" s="306" t="s">
        <v>1008</v>
      </c>
      <c r="M243" s="306" t="s">
        <v>1421</v>
      </c>
      <c r="N243" s="306" t="s">
        <v>1403</v>
      </c>
      <c r="O243" s="306" t="s">
        <v>1448</v>
      </c>
      <c r="P243" s="306" t="s">
        <v>1405</v>
      </c>
      <c r="Q243" s="306" t="s">
        <v>1013</v>
      </c>
      <c r="R243" s="306" t="s">
        <v>1013</v>
      </c>
      <c r="S243" s="306" t="s">
        <v>1013</v>
      </c>
      <c r="T243" s="306" t="s">
        <v>1013</v>
      </c>
      <c r="U243" s="306" t="s">
        <v>1013</v>
      </c>
      <c r="V243" s="306" t="s">
        <v>1013</v>
      </c>
      <c r="W243" s="306" t="s">
        <v>1013</v>
      </c>
      <c r="X243" s="306" t="s">
        <v>1013</v>
      </c>
      <c r="Y243" s="306" t="s">
        <v>1406</v>
      </c>
      <c r="Z243" s="306" t="s">
        <v>1015</v>
      </c>
      <c r="AA243" s="306" t="s">
        <v>1013</v>
      </c>
    </row>
    <row r="244" spans="1:27">
      <c r="A244" s="306" t="s">
        <v>494</v>
      </c>
      <c r="B244" s="306" t="s">
        <v>1003</v>
      </c>
      <c r="C244" s="306" t="s">
        <v>1004</v>
      </c>
      <c r="D244" s="306" t="s">
        <v>2435</v>
      </c>
      <c r="E244" s="306" t="s">
        <v>1449</v>
      </c>
      <c r="F244" s="306" t="s">
        <v>1007</v>
      </c>
      <c r="G244" s="308">
        <v>46016</v>
      </c>
      <c r="H244" s="308">
        <v>46016</v>
      </c>
      <c r="I244" s="309">
        <v>-53.83</v>
      </c>
      <c r="J244" s="306" t="s">
        <v>1008</v>
      </c>
      <c r="K244" s="309">
        <v>-53.83</v>
      </c>
      <c r="L244" s="306" t="s">
        <v>1008</v>
      </c>
      <c r="M244" s="306" t="s">
        <v>1421</v>
      </c>
      <c r="N244" s="306" t="s">
        <v>1403</v>
      </c>
      <c r="O244" s="306" t="s">
        <v>1450</v>
      </c>
      <c r="P244" s="306" t="s">
        <v>1405</v>
      </c>
      <c r="Q244" s="306" t="s">
        <v>1013</v>
      </c>
      <c r="R244" s="306" t="s">
        <v>1013</v>
      </c>
      <c r="S244" s="306" t="s">
        <v>1013</v>
      </c>
      <c r="T244" s="306" t="s">
        <v>1013</v>
      </c>
      <c r="U244" s="306" t="s">
        <v>1013</v>
      </c>
      <c r="V244" s="306" t="s">
        <v>1013</v>
      </c>
      <c r="W244" s="306" t="s">
        <v>1013</v>
      </c>
      <c r="X244" s="306" t="s">
        <v>1013</v>
      </c>
      <c r="Y244" s="306" t="s">
        <v>1406</v>
      </c>
      <c r="Z244" s="306" t="s">
        <v>1015</v>
      </c>
      <c r="AA244" s="306" t="s">
        <v>1013</v>
      </c>
    </row>
    <row r="245" spans="1:27">
      <c r="A245" s="306" t="s">
        <v>494</v>
      </c>
      <c r="B245" s="306" t="s">
        <v>1003</v>
      </c>
      <c r="C245" s="306" t="s">
        <v>1004</v>
      </c>
      <c r="D245" s="306" t="s">
        <v>2435</v>
      </c>
      <c r="E245" s="306" t="s">
        <v>1451</v>
      </c>
      <c r="F245" s="306" t="s">
        <v>1007</v>
      </c>
      <c r="G245" s="308">
        <v>46016</v>
      </c>
      <c r="H245" s="308">
        <v>46016</v>
      </c>
      <c r="I245" s="309">
        <v>-53.83</v>
      </c>
      <c r="J245" s="306" t="s">
        <v>1008</v>
      </c>
      <c r="K245" s="309">
        <v>-53.83</v>
      </c>
      <c r="L245" s="306" t="s">
        <v>1008</v>
      </c>
      <c r="M245" s="306" t="s">
        <v>1421</v>
      </c>
      <c r="N245" s="306" t="s">
        <v>1403</v>
      </c>
      <c r="O245" s="306" t="s">
        <v>1452</v>
      </c>
      <c r="P245" s="306" t="s">
        <v>1405</v>
      </c>
      <c r="Q245" s="306" t="s">
        <v>1013</v>
      </c>
      <c r="R245" s="306" t="s">
        <v>1013</v>
      </c>
      <c r="S245" s="306" t="s">
        <v>1013</v>
      </c>
      <c r="T245" s="306" t="s">
        <v>1013</v>
      </c>
      <c r="U245" s="306" t="s">
        <v>1013</v>
      </c>
      <c r="V245" s="306" t="s">
        <v>1013</v>
      </c>
      <c r="W245" s="306" t="s">
        <v>1013</v>
      </c>
      <c r="X245" s="306" t="s">
        <v>1013</v>
      </c>
      <c r="Y245" s="306" t="s">
        <v>1406</v>
      </c>
      <c r="Z245" s="306" t="s">
        <v>1015</v>
      </c>
      <c r="AA245" s="306" t="s">
        <v>1013</v>
      </c>
    </row>
    <row r="246" spans="1:27">
      <c r="A246" s="306" t="s">
        <v>494</v>
      </c>
      <c r="B246" s="306" t="s">
        <v>1003</v>
      </c>
      <c r="C246" s="306" t="s">
        <v>1004</v>
      </c>
      <c r="D246" s="306" t="s">
        <v>2435</v>
      </c>
      <c r="E246" s="306" t="s">
        <v>1453</v>
      </c>
      <c r="F246" s="306" t="s">
        <v>1007</v>
      </c>
      <c r="G246" s="308">
        <v>46016</v>
      </c>
      <c r="H246" s="308">
        <v>46016</v>
      </c>
      <c r="I246" s="309">
        <v>-51.76</v>
      </c>
      <c r="J246" s="306" t="s">
        <v>1008</v>
      </c>
      <c r="K246" s="309">
        <v>-51.76</v>
      </c>
      <c r="L246" s="306" t="s">
        <v>1008</v>
      </c>
      <c r="M246" s="306" t="s">
        <v>1421</v>
      </c>
      <c r="N246" s="306" t="s">
        <v>1403</v>
      </c>
      <c r="O246" s="306" t="s">
        <v>1454</v>
      </c>
      <c r="P246" s="306" t="s">
        <v>1405</v>
      </c>
      <c r="Q246" s="306" t="s">
        <v>1013</v>
      </c>
      <c r="R246" s="306" t="s">
        <v>1013</v>
      </c>
      <c r="S246" s="306" t="s">
        <v>1013</v>
      </c>
      <c r="T246" s="306" t="s">
        <v>1013</v>
      </c>
      <c r="U246" s="306" t="s">
        <v>1013</v>
      </c>
      <c r="V246" s="306" t="s">
        <v>1013</v>
      </c>
      <c r="W246" s="306" t="s">
        <v>1013</v>
      </c>
      <c r="X246" s="306" t="s">
        <v>1013</v>
      </c>
      <c r="Y246" s="306" t="s">
        <v>1406</v>
      </c>
      <c r="Z246" s="306" t="s">
        <v>1015</v>
      </c>
      <c r="AA246" s="306" t="s">
        <v>1013</v>
      </c>
    </row>
    <row r="247" spans="1:27">
      <c r="A247" s="306" t="s">
        <v>494</v>
      </c>
      <c r="B247" s="306" t="s">
        <v>1003</v>
      </c>
      <c r="C247" s="306" t="s">
        <v>1004</v>
      </c>
      <c r="D247" s="306" t="s">
        <v>2435</v>
      </c>
      <c r="E247" s="306" t="s">
        <v>1455</v>
      </c>
      <c r="F247" s="306" t="s">
        <v>1007</v>
      </c>
      <c r="G247" s="308">
        <v>46016</v>
      </c>
      <c r="H247" s="308">
        <v>46016</v>
      </c>
      <c r="I247" s="309">
        <v>-27.43</v>
      </c>
      <c r="J247" s="306" t="s">
        <v>1008</v>
      </c>
      <c r="K247" s="309">
        <v>-27.43</v>
      </c>
      <c r="L247" s="306" t="s">
        <v>1008</v>
      </c>
      <c r="M247" s="306" t="s">
        <v>1421</v>
      </c>
      <c r="N247" s="306" t="s">
        <v>1403</v>
      </c>
      <c r="O247" s="306" t="s">
        <v>1456</v>
      </c>
      <c r="P247" s="306" t="s">
        <v>1405</v>
      </c>
      <c r="Q247" s="306" t="s">
        <v>1013</v>
      </c>
      <c r="R247" s="306" t="s">
        <v>1013</v>
      </c>
      <c r="S247" s="306" t="s">
        <v>1013</v>
      </c>
      <c r="T247" s="306" t="s">
        <v>1013</v>
      </c>
      <c r="U247" s="306" t="s">
        <v>1013</v>
      </c>
      <c r="V247" s="306" t="s">
        <v>1013</v>
      </c>
      <c r="W247" s="306" t="s">
        <v>1013</v>
      </c>
      <c r="X247" s="306" t="s">
        <v>1013</v>
      </c>
      <c r="Y247" s="306" t="s">
        <v>1406</v>
      </c>
      <c r="Z247" s="306" t="s">
        <v>1015</v>
      </c>
      <c r="AA247" s="306" t="s">
        <v>1013</v>
      </c>
    </row>
    <row r="248" spans="1:27">
      <c r="A248" s="306" t="s">
        <v>494</v>
      </c>
      <c r="B248" s="306" t="s">
        <v>1003</v>
      </c>
      <c r="C248" s="306" t="s">
        <v>1004</v>
      </c>
      <c r="D248" s="306" t="s">
        <v>2435</v>
      </c>
      <c r="E248" s="306" t="s">
        <v>1457</v>
      </c>
      <c r="F248" s="306" t="s">
        <v>1007</v>
      </c>
      <c r="G248" s="308">
        <v>46016</v>
      </c>
      <c r="H248" s="308">
        <v>46016</v>
      </c>
      <c r="I248" s="309">
        <v>-1025.67</v>
      </c>
      <c r="J248" s="306" t="s">
        <v>1008</v>
      </c>
      <c r="K248" s="309">
        <v>-1025.67</v>
      </c>
      <c r="L248" s="306" t="s">
        <v>1008</v>
      </c>
      <c r="M248" s="306" t="s">
        <v>1421</v>
      </c>
      <c r="N248" s="306" t="s">
        <v>1403</v>
      </c>
      <c r="O248" s="306" t="s">
        <v>1224</v>
      </c>
      <c r="P248" s="306" t="s">
        <v>1405</v>
      </c>
      <c r="Q248" s="306" t="s">
        <v>1013</v>
      </c>
      <c r="R248" s="306" t="s">
        <v>1013</v>
      </c>
      <c r="S248" s="306" t="s">
        <v>1013</v>
      </c>
      <c r="T248" s="306" t="s">
        <v>1013</v>
      </c>
      <c r="U248" s="306" t="s">
        <v>1013</v>
      </c>
      <c r="V248" s="306" t="s">
        <v>1013</v>
      </c>
      <c r="W248" s="306" t="s">
        <v>1013</v>
      </c>
      <c r="X248" s="306" t="s">
        <v>1013</v>
      </c>
      <c r="Y248" s="306" t="s">
        <v>1406</v>
      </c>
      <c r="Z248" s="306" t="s">
        <v>1015</v>
      </c>
      <c r="AA248" s="306" t="s">
        <v>1013</v>
      </c>
    </row>
    <row r="249" spans="1:27">
      <c r="A249" s="306" t="s">
        <v>494</v>
      </c>
      <c r="B249" s="306" t="s">
        <v>1003</v>
      </c>
      <c r="C249" s="306" t="s">
        <v>1004</v>
      </c>
      <c r="D249" s="306" t="s">
        <v>2435</v>
      </c>
      <c r="E249" s="306" t="s">
        <v>1458</v>
      </c>
      <c r="F249" s="306" t="s">
        <v>1007</v>
      </c>
      <c r="G249" s="308">
        <v>46016</v>
      </c>
      <c r="H249" s="308">
        <v>46016</v>
      </c>
      <c r="I249" s="309">
        <v>-101533.02</v>
      </c>
      <c r="J249" s="306" t="s">
        <v>1008</v>
      </c>
      <c r="K249" s="309">
        <v>-101533.02</v>
      </c>
      <c r="L249" s="306" t="s">
        <v>1008</v>
      </c>
      <c r="M249" s="306" t="s">
        <v>1421</v>
      </c>
      <c r="N249" s="306" t="s">
        <v>1403</v>
      </c>
      <c r="O249" s="306" t="s">
        <v>1459</v>
      </c>
      <c r="P249" s="306" t="s">
        <v>1405</v>
      </c>
      <c r="Q249" s="306" t="s">
        <v>1013</v>
      </c>
      <c r="R249" s="306" t="s">
        <v>1013</v>
      </c>
      <c r="S249" s="306" t="s">
        <v>1013</v>
      </c>
      <c r="T249" s="306" t="s">
        <v>1013</v>
      </c>
      <c r="U249" s="306" t="s">
        <v>1013</v>
      </c>
      <c r="V249" s="306" t="s">
        <v>1013</v>
      </c>
      <c r="W249" s="306" t="s">
        <v>1013</v>
      </c>
      <c r="X249" s="306" t="s">
        <v>1013</v>
      </c>
      <c r="Y249" s="306" t="s">
        <v>1406</v>
      </c>
      <c r="Z249" s="306" t="s">
        <v>1015</v>
      </c>
      <c r="AA249" s="306" t="s">
        <v>1013</v>
      </c>
    </row>
    <row r="250" spans="1:27">
      <c r="A250" s="306" t="s">
        <v>494</v>
      </c>
      <c r="B250" s="306" t="s">
        <v>1003</v>
      </c>
      <c r="C250" s="306" t="s">
        <v>1004</v>
      </c>
      <c r="D250" s="306" t="s">
        <v>2435</v>
      </c>
      <c r="E250" s="306" t="s">
        <v>1460</v>
      </c>
      <c r="F250" s="306" t="s">
        <v>1007</v>
      </c>
      <c r="G250" s="308">
        <v>46016</v>
      </c>
      <c r="H250" s="308">
        <v>46016</v>
      </c>
      <c r="I250" s="309">
        <v>-153.44</v>
      </c>
      <c r="J250" s="306" t="s">
        <v>1008</v>
      </c>
      <c r="K250" s="309">
        <v>-153.44</v>
      </c>
      <c r="L250" s="306" t="s">
        <v>1008</v>
      </c>
      <c r="M250" s="306" t="s">
        <v>1421</v>
      </c>
      <c r="N250" s="306" t="s">
        <v>1403</v>
      </c>
      <c r="O250" s="306" t="s">
        <v>1461</v>
      </c>
      <c r="P250" s="306" t="s">
        <v>1405</v>
      </c>
      <c r="Q250" s="306" t="s">
        <v>1013</v>
      </c>
      <c r="R250" s="306" t="s">
        <v>1013</v>
      </c>
      <c r="S250" s="306" t="s">
        <v>1013</v>
      </c>
      <c r="T250" s="306" t="s">
        <v>1013</v>
      </c>
      <c r="U250" s="306" t="s">
        <v>1013</v>
      </c>
      <c r="V250" s="306" t="s">
        <v>1013</v>
      </c>
      <c r="W250" s="306" t="s">
        <v>1013</v>
      </c>
      <c r="X250" s="306" t="s">
        <v>1013</v>
      </c>
      <c r="Y250" s="306" t="s">
        <v>1406</v>
      </c>
      <c r="Z250" s="306" t="s">
        <v>1015</v>
      </c>
      <c r="AA250" s="306" t="s">
        <v>1013</v>
      </c>
    </row>
    <row r="251" spans="1:27">
      <c r="A251" s="306" t="s">
        <v>494</v>
      </c>
      <c r="B251" s="306" t="s">
        <v>1003</v>
      </c>
      <c r="C251" s="306" t="s">
        <v>1004</v>
      </c>
      <c r="D251" s="306" t="s">
        <v>2435</v>
      </c>
      <c r="E251" s="306" t="s">
        <v>1462</v>
      </c>
      <c r="F251" s="306" t="s">
        <v>1007</v>
      </c>
      <c r="G251" s="308">
        <v>46016</v>
      </c>
      <c r="H251" s="308">
        <v>46016</v>
      </c>
      <c r="I251" s="309">
        <v>-1740.57</v>
      </c>
      <c r="J251" s="306" t="s">
        <v>1008</v>
      </c>
      <c r="K251" s="309">
        <v>-1740.57</v>
      </c>
      <c r="L251" s="306" t="s">
        <v>1008</v>
      </c>
      <c r="M251" s="306" t="s">
        <v>1421</v>
      </c>
      <c r="N251" s="306" t="s">
        <v>1403</v>
      </c>
      <c r="O251" s="306" t="s">
        <v>1463</v>
      </c>
      <c r="P251" s="306" t="s">
        <v>1405</v>
      </c>
      <c r="Q251" s="306" t="s">
        <v>1013</v>
      </c>
      <c r="R251" s="306" t="s">
        <v>1013</v>
      </c>
      <c r="S251" s="306" t="s">
        <v>1013</v>
      </c>
      <c r="T251" s="306" t="s">
        <v>1013</v>
      </c>
      <c r="U251" s="306" t="s">
        <v>1013</v>
      </c>
      <c r="V251" s="306" t="s">
        <v>1013</v>
      </c>
      <c r="W251" s="306" t="s">
        <v>1013</v>
      </c>
      <c r="X251" s="306" t="s">
        <v>1013</v>
      </c>
      <c r="Y251" s="306" t="s">
        <v>1406</v>
      </c>
      <c r="Z251" s="306" t="s">
        <v>1015</v>
      </c>
      <c r="AA251" s="306" t="s">
        <v>1013</v>
      </c>
    </row>
    <row r="252" spans="1:27">
      <c r="A252" s="306" t="s">
        <v>494</v>
      </c>
      <c r="B252" s="306" t="s">
        <v>1003</v>
      </c>
      <c r="C252" s="306" t="s">
        <v>1004</v>
      </c>
      <c r="D252" s="306" t="s">
        <v>2435</v>
      </c>
      <c r="E252" s="306" t="s">
        <v>1464</v>
      </c>
      <c r="F252" s="306" t="s">
        <v>1007</v>
      </c>
      <c r="G252" s="308">
        <v>46016</v>
      </c>
      <c r="H252" s="308">
        <v>46016</v>
      </c>
      <c r="I252" s="309">
        <v>-5221.7</v>
      </c>
      <c r="J252" s="306" t="s">
        <v>1008</v>
      </c>
      <c r="K252" s="309">
        <v>-5221.7</v>
      </c>
      <c r="L252" s="306" t="s">
        <v>1008</v>
      </c>
      <c r="M252" s="306" t="s">
        <v>1421</v>
      </c>
      <c r="N252" s="306" t="s">
        <v>1403</v>
      </c>
      <c r="O252" s="306" t="s">
        <v>1465</v>
      </c>
      <c r="P252" s="306" t="s">
        <v>1405</v>
      </c>
      <c r="Q252" s="306" t="s">
        <v>1013</v>
      </c>
      <c r="R252" s="306" t="s">
        <v>1013</v>
      </c>
      <c r="S252" s="306" t="s">
        <v>1013</v>
      </c>
      <c r="T252" s="306" t="s">
        <v>1013</v>
      </c>
      <c r="U252" s="306" t="s">
        <v>1013</v>
      </c>
      <c r="V252" s="306" t="s">
        <v>1013</v>
      </c>
      <c r="W252" s="306" t="s">
        <v>1013</v>
      </c>
      <c r="X252" s="306" t="s">
        <v>1013</v>
      </c>
      <c r="Y252" s="306" t="s">
        <v>1406</v>
      </c>
      <c r="Z252" s="306" t="s">
        <v>1015</v>
      </c>
      <c r="AA252" s="306" t="s">
        <v>1013</v>
      </c>
    </row>
    <row r="253" spans="1:27">
      <c r="A253" s="306" t="s">
        <v>494</v>
      </c>
      <c r="B253" s="306" t="s">
        <v>1003</v>
      </c>
      <c r="C253" s="306" t="s">
        <v>1004</v>
      </c>
      <c r="D253" s="306" t="s">
        <v>2435</v>
      </c>
      <c r="E253" s="306" t="s">
        <v>1466</v>
      </c>
      <c r="F253" s="306" t="s">
        <v>1007</v>
      </c>
      <c r="G253" s="308">
        <v>46016</v>
      </c>
      <c r="H253" s="308">
        <v>46016</v>
      </c>
      <c r="I253" s="309">
        <v>-2503860.4700000002</v>
      </c>
      <c r="J253" s="306" t="s">
        <v>1008</v>
      </c>
      <c r="K253" s="309">
        <v>-2503860.4700000002</v>
      </c>
      <c r="L253" s="306" t="s">
        <v>1008</v>
      </c>
      <c r="M253" s="306" t="s">
        <v>1402</v>
      </c>
      <c r="N253" s="306" t="s">
        <v>1403</v>
      </c>
      <c r="O253" s="306" t="s">
        <v>1413</v>
      </c>
      <c r="P253" s="306" t="s">
        <v>1405</v>
      </c>
      <c r="Q253" s="306" t="s">
        <v>1013</v>
      </c>
      <c r="R253" s="306" t="s">
        <v>1013</v>
      </c>
      <c r="S253" s="306" t="s">
        <v>1013</v>
      </c>
      <c r="T253" s="306" t="s">
        <v>1013</v>
      </c>
      <c r="U253" s="306" t="s">
        <v>1013</v>
      </c>
      <c r="V253" s="306" t="s">
        <v>1013</v>
      </c>
      <c r="W253" s="306" t="s">
        <v>1013</v>
      </c>
      <c r="X253" s="306" t="s">
        <v>1013</v>
      </c>
      <c r="Y253" s="306" t="s">
        <v>1406</v>
      </c>
      <c r="Z253" s="306" t="s">
        <v>1015</v>
      </c>
      <c r="AA253" s="306" t="s">
        <v>1013</v>
      </c>
    </row>
    <row r="254" spans="1:27">
      <c r="A254" s="306" t="s">
        <v>494</v>
      </c>
      <c r="B254" s="306" t="s">
        <v>1003</v>
      </c>
      <c r="C254" s="306" t="s">
        <v>1004</v>
      </c>
      <c r="D254" s="306" t="s">
        <v>2435</v>
      </c>
      <c r="E254" s="306" t="s">
        <v>1467</v>
      </c>
      <c r="F254" s="306" t="s">
        <v>1007</v>
      </c>
      <c r="G254" s="308">
        <v>46016</v>
      </c>
      <c r="H254" s="308">
        <v>46016</v>
      </c>
      <c r="I254" s="309">
        <v>-1546829.97</v>
      </c>
      <c r="J254" s="306" t="s">
        <v>1008</v>
      </c>
      <c r="K254" s="309">
        <v>-1546829.97</v>
      </c>
      <c r="L254" s="306" t="s">
        <v>1008</v>
      </c>
      <c r="M254" s="306" t="s">
        <v>1410</v>
      </c>
      <c r="N254" s="306" t="s">
        <v>1403</v>
      </c>
      <c r="O254" s="306" t="s">
        <v>1415</v>
      </c>
      <c r="P254" s="306" t="s">
        <v>1405</v>
      </c>
      <c r="Q254" s="306" t="s">
        <v>1013</v>
      </c>
      <c r="R254" s="306" t="s">
        <v>1013</v>
      </c>
      <c r="S254" s="306" t="s">
        <v>1013</v>
      </c>
      <c r="T254" s="306" t="s">
        <v>1013</v>
      </c>
      <c r="U254" s="306" t="s">
        <v>1013</v>
      </c>
      <c r="V254" s="306" t="s">
        <v>1013</v>
      </c>
      <c r="W254" s="306" t="s">
        <v>1013</v>
      </c>
      <c r="X254" s="306" t="s">
        <v>1013</v>
      </c>
      <c r="Y254" s="306" t="s">
        <v>1406</v>
      </c>
      <c r="Z254" s="306" t="s">
        <v>1015</v>
      </c>
      <c r="AA254" s="306" t="s">
        <v>1013</v>
      </c>
    </row>
    <row r="255" spans="1:27">
      <c r="A255" s="306" t="s">
        <v>494</v>
      </c>
      <c r="B255" s="306" t="s">
        <v>1003</v>
      </c>
      <c r="C255" s="306" t="s">
        <v>1004</v>
      </c>
      <c r="D255" s="306" t="s">
        <v>2435</v>
      </c>
      <c r="E255" s="306" t="s">
        <v>1468</v>
      </c>
      <c r="F255" s="306" t="s">
        <v>1007</v>
      </c>
      <c r="G255" s="308">
        <v>46016</v>
      </c>
      <c r="H255" s="308">
        <v>46016</v>
      </c>
      <c r="I255" s="309">
        <v>-5614.19</v>
      </c>
      <c r="J255" s="306" t="s">
        <v>1008</v>
      </c>
      <c r="K255" s="309">
        <v>-5614.19</v>
      </c>
      <c r="L255" s="306" t="s">
        <v>1008</v>
      </c>
      <c r="M255" s="306" t="s">
        <v>1410</v>
      </c>
      <c r="N255" s="306" t="s">
        <v>1403</v>
      </c>
      <c r="O255" s="306" t="s">
        <v>1469</v>
      </c>
      <c r="P255" s="306" t="s">
        <v>1405</v>
      </c>
      <c r="Q255" s="306" t="s">
        <v>1013</v>
      </c>
      <c r="R255" s="306" t="s">
        <v>1013</v>
      </c>
      <c r="S255" s="306" t="s">
        <v>1013</v>
      </c>
      <c r="T255" s="306" t="s">
        <v>1013</v>
      </c>
      <c r="U255" s="306" t="s">
        <v>1013</v>
      </c>
      <c r="V255" s="306" t="s">
        <v>1013</v>
      </c>
      <c r="W255" s="306" t="s">
        <v>1013</v>
      </c>
      <c r="X255" s="306" t="s">
        <v>1013</v>
      </c>
      <c r="Y255" s="306" t="s">
        <v>1406</v>
      </c>
      <c r="Z255" s="306" t="s">
        <v>1015</v>
      </c>
      <c r="AA255" s="306" t="s">
        <v>1013</v>
      </c>
    </row>
    <row r="256" spans="1:27">
      <c r="A256" s="306" t="s">
        <v>494</v>
      </c>
      <c r="B256" s="306" t="s">
        <v>1003</v>
      </c>
      <c r="C256" s="306" t="s">
        <v>1004</v>
      </c>
      <c r="D256" s="306" t="s">
        <v>2435</v>
      </c>
      <c r="E256" s="306" t="s">
        <v>1470</v>
      </c>
      <c r="F256" s="306" t="s">
        <v>1007</v>
      </c>
      <c r="G256" s="308">
        <v>46016</v>
      </c>
      <c r="H256" s="308">
        <v>46016</v>
      </c>
      <c r="I256" s="309">
        <v>-505391.7</v>
      </c>
      <c r="J256" s="306" t="s">
        <v>1008</v>
      </c>
      <c r="K256" s="309">
        <v>-505391.7</v>
      </c>
      <c r="L256" s="306" t="s">
        <v>1008</v>
      </c>
      <c r="M256" s="306" t="s">
        <v>1410</v>
      </c>
      <c r="N256" s="306" t="s">
        <v>1403</v>
      </c>
      <c r="O256" s="306" t="s">
        <v>1471</v>
      </c>
      <c r="P256" s="306" t="s">
        <v>1405</v>
      </c>
      <c r="Q256" s="306" t="s">
        <v>1013</v>
      </c>
      <c r="R256" s="306" t="s">
        <v>1013</v>
      </c>
      <c r="S256" s="306" t="s">
        <v>1013</v>
      </c>
      <c r="T256" s="306" t="s">
        <v>1013</v>
      </c>
      <c r="U256" s="306" t="s">
        <v>1013</v>
      </c>
      <c r="V256" s="306" t="s">
        <v>1013</v>
      </c>
      <c r="W256" s="306" t="s">
        <v>1013</v>
      </c>
      <c r="X256" s="306" t="s">
        <v>1013</v>
      </c>
      <c r="Y256" s="306" t="s">
        <v>1406</v>
      </c>
      <c r="Z256" s="306" t="s">
        <v>1015</v>
      </c>
      <c r="AA256" s="306" t="s">
        <v>1013</v>
      </c>
    </row>
    <row r="257" spans="1:27">
      <c r="A257" s="306" t="s">
        <v>494</v>
      </c>
      <c r="B257" s="306" t="s">
        <v>1003</v>
      </c>
      <c r="C257" s="306" t="s">
        <v>1004</v>
      </c>
      <c r="D257" s="306" t="s">
        <v>2435</v>
      </c>
      <c r="E257" s="306" t="s">
        <v>1472</v>
      </c>
      <c r="F257" s="306" t="s">
        <v>1007</v>
      </c>
      <c r="G257" s="308">
        <v>46016</v>
      </c>
      <c r="H257" s="308">
        <v>46016</v>
      </c>
      <c r="I257" s="309">
        <v>-1742600.81</v>
      </c>
      <c r="J257" s="306" t="s">
        <v>1008</v>
      </c>
      <c r="K257" s="309">
        <v>-1742600.81</v>
      </c>
      <c r="L257" s="306" t="s">
        <v>1008</v>
      </c>
      <c r="M257" s="306" t="s">
        <v>1410</v>
      </c>
      <c r="N257" s="306" t="s">
        <v>1403</v>
      </c>
      <c r="O257" s="306" t="s">
        <v>1473</v>
      </c>
      <c r="P257" s="306" t="s">
        <v>1405</v>
      </c>
      <c r="Q257" s="306" t="s">
        <v>1013</v>
      </c>
      <c r="R257" s="306" t="s">
        <v>1013</v>
      </c>
      <c r="S257" s="306" t="s">
        <v>1013</v>
      </c>
      <c r="T257" s="306" t="s">
        <v>1013</v>
      </c>
      <c r="U257" s="306" t="s">
        <v>1013</v>
      </c>
      <c r="V257" s="306" t="s">
        <v>1013</v>
      </c>
      <c r="W257" s="306" t="s">
        <v>1013</v>
      </c>
      <c r="X257" s="306" t="s">
        <v>1013</v>
      </c>
      <c r="Y257" s="306" t="s">
        <v>1406</v>
      </c>
      <c r="Z257" s="306" t="s">
        <v>1015</v>
      </c>
      <c r="AA257" s="306" t="s">
        <v>1013</v>
      </c>
    </row>
    <row r="258" spans="1:27">
      <c r="A258" s="306" t="s">
        <v>494</v>
      </c>
      <c r="B258" s="306" t="s">
        <v>1003</v>
      </c>
      <c r="C258" s="306" t="s">
        <v>1004</v>
      </c>
      <c r="D258" s="306" t="s">
        <v>2435</v>
      </c>
      <c r="E258" s="306" t="s">
        <v>1474</v>
      </c>
      <c r="F258" s="306" t="s">
        <v>1007</v>
      </c>
      <c r="G258" s="308">
        <v>46016</v>
      </c>
      <c r="H258" s="308">
        <v>46016</v>
      </c>
      <c r="I258" s="309">
        <v>-200648.56</v>
      </c>
      <c r="J258" s="306" t="s">
        <v>1008</v>
      </c>
      <c r="K258" s="309">
        <v>-200648.56</v>
      </c>
      <c r="L258" s="306" t="s">
        <v>1008</v>
      </c>
      <c r="M258" s="306" t="s">
        <v>1410</v>
      </c>
      <c r="N258" s="306" t="s">
        <v>1403</v>
      </c>
      <c r="O258" s="306" t="s">
        <v>1475</v>
      </c>
      <c r="P258" s="306" t="s">
        <v>1405</v>
      </c>
      <c r="Q258" s="306" t="s">
        <v>1013</v>
      </c>
      <c r="R258" s="306" t="s">
        <v>1013</v>
      </c>
      <c r="S258" s="306" t="s">
        <v>1013</v>
      </c>
      <c r="T258" s="306" t="s">
        <v>1013</v>
      </c>
      <c r="U258" s="306" t="s">
        <v>1013</v>
      </c>
      <c r="V258" s="306" t="s">
        <v>1013</v>
      </c>
      <c r="W258" s="306" t="s">
        <v>1013</v>
      </c>
      <c r="X258" s="306" t="s">
        <v>1013</v>
      </c>
      <c r="Y258" s="306" t="s">
        <v>1406</v>
      </c>
      <c r="Z258" s="306" t="s">
        <v>1015</v>
      </c>
      <c r="AA258" s="306" t="s">
        <v>1013</v>
      </c>
    </row>
    <row r="259" spans="1:27">
      <c r="A259" s="306" t="s">
        <v>494</v>
      </c>
      <c r="B259" s="306" t="s">
        <v>1003</v>
      </c>
      <c r="C259" s="306" t="s">
        <v>1004</v>
      </c>
      <c r="D259" s="306" t="s">
        <v>2435</v>
      </c>
      <c r="E259" s="306" t="s">
        <v>1476</v>
      </c>
      <c r="F259" s="306" t="s">
        <v>1007</v>
      </c>
      <c r="G259" s="308">
        <v>46016</v>
      </c>
      <c r="H259" s="308">
        <v>46016</v>
      </c>
      <c r="I259" s="309">
        <v>-264178.86</v>
      </c>
      <c r="J259" s="306" t="s">
        <v>1008</v>
      </c>
      <c r="K259" s="309">
        <v>-264178.86</v>
      </c>
      <c r="L259" s="306" t="s">
        <v>1008</v>
      </c>
      <c r="M259" s="306" t="s">
        <v>1410</v>
      </c>
      <c r="N259" s="306" t="s">
        <v>1403</v>
      </c>
      <c r="O259" s="306" t="s">
        <v>1477</v>
      </c>
      <c r="P259" s="306" t="s">
        <v>1405</v>
      </c>
      <c r="Q259" s="306" t="s">
        <v>1013</v>
      </c>
      <c r="R259" s="306" t="s">
        <v>1013</v>
      </c>
      <c r="S259" s="306" t="s">
        <v>1013</v>
      </c>
      <c r="T259" s="306" t="s">
        <v>1013</v>
      </c>
      <c r="U259" s="306" t="s">
        <v>1013</v>
      </c>
      <c r="V259" s="306" t="s">
        <v>1013</v>
      </c>
      <c r="W259" s="306" t="s">
        <v>1013</v>
      </c>
      <c r="X259" s="306" t="s">
        <v>1013</v>
      </c>
      <c r="Y259" s="306" t="s">
        <v>1406</v>
      </c>
      <c r="Z259" s="306" t="s">
        <v>1015</v>
      </c>
      <c r="AA259" s="306" t="s">
        <v>1013</v>
      </c>
    </row>
    <row r="260" spans="1:27">
      <c r="A260" s="306" t="s">
        <v>494</v>
      </c>
      <c r="B260" s="306" t="s">
        <v>1003</v>
      </c>
      <c r="C260" s="306" t="s">
        <v>1004</v>
      </c>
      <c r="D260" s="306" t="s">
        <v>2435</v>
      </c>
      <c r="E260" s="306" t="s">
        <v>1478</v>
      </c>
      <c r="F260" s="306" t="s">
        <v>1007</v>
      </c>
      <c r="G260" s="308">
        <v>46016</v>
      </c>
      <c r="H260" s="308">
        <v>46016</v>
      </c>
      <c r="I260" s="309">
        <v>-395853.56</v>
      </c>
      <c r="J260" s="306" t="s">
        <v>1008</v>
      </c>
      <c r="K260" s="309">
        <v>-395853.56</v>
      </c>
      <c r="L260" s="306" t="s">
        <v>1008</v>
      </c>
      <c r="M260" s="306" t="s">
        <v>1410</v>
      </c>
      <c r="N260" s="306" t="s">
        <v>1403</v>
      </c>
      <c r="O260" s="306" t="s">
        <v>1479</v>
      </c>
      <c r="P260" s="306" t="s">
        <v>1405</v>
      </c>
      <c r="Q260" s="306" t="s">
        <v>1013</v>
      </c>
      <c r="R260" s="306" t="s">
        <v>1013</v>
      </c>
      <c r="S260" s="306" t="s">
        <v>1013</v>
      </c>
      <c r="T260" s="306" t="s">
        <v>1013</v>
      </c>
      <c r="U260" s="306" t="s">
        <v>1013</v>
      </c>
      <c r="V260" s="306" t="s">
        <v>1013</v>
      </c>
      <c r="W260" s="306" t="s">
        <v>1013</v>
      </c>
      <c r="X260" s="306" t="s">
        <v>1013</v>
      </c>
      <c r="Y260" s="306" t="s">
        <v>1406</v>
      </c>
      <c r="Z260" s="306" t="s">
        <v>1015</v>
      </c>
      <c r="AA260" s="306" t="s">
        <v>1013</v>
      </c>
    </row>
    <row r="261" spans="1:27">
      <c r="A261" s="306" t="s">
        <v>494</v>
      </c>
      <c r="B261" s="306" t="s">
        <v>1003</v>
      </c>
      <c r="C261" s="306" t="s">
        <v>1004</v>
      </c>
      <c r="D261" s="306" t="s">
        <v>2435</v>
      </c>
      <c r="E261" s="306" t="s">
        <v>1480</v>
      </c>
      <c r="F261" s="306" t="s">
        <v>1007</v>
      </c>
      <c r="G261" s="308">
        <v>46016</v>
      </c>
      <c r="H261" s="308">
        <v>46016</v>
      </c>
      <c r="I261" s="309">
        <v>-161548.53</v>
      </c>
      <c r="J261" s="306" t="s">
        <v>1008</v>
      </c>
      <c r="K261" s="309">
        <v>-161548.53</v>
      </c>
      <c r="L261" s="306" t="s">
        <v>1008</v>
      </c>
      <c r="M261" s="306" t="s">
        <v>1410</v>
      </c>
      <c r="N261" s="306" t="s">
        <v>1403</v>
      </c>
      <c r="O261" s="306" t="s">
        <v>1481</v>
      </c>
      <c r="P261" s="306" t="s">
        <v>1405</v>
      </c>
      <c r="Q261" s="306" t="s">
        <v>1013</v>
      </c>
      <c r="R261" s="306" t="s">
        <v>1013</v>
      </c>
      <c r="S261" s="306" t="s">
        <v>1013</v>
      </c>
      <c r="T261" s="306" t="s">
        <v>1013</v>
      </c>
      <c r="U261" s="306" t="s">
        <v>1013</v>
      </c>
      <c r="V261" s="306" t="s">
        <v>1013</v>
      </c>
      <c r="W261" s="306" t="s">
        <v>1013</v>
      </c>
      <c r="X261" s="306" t="s">
        <v>1013</v>
      </c>
      <c r="Y261" s="306" t="s">
        <v>1406</v>
      </c>
      <c r="Z261" s="306" t="s">
        <v>1015</v>
      </c>
      <c r="AA261" s="306" t="s">
        <v>1013</v>
      </c>
    </row>
    <row r="262" spans="1:27">
      <c r="A262" s="306" t="s">
        <v>494</v>
      </c>
      <c r="B262" s="306" t="s">
        <v>1003</v>
      </c>
      <c r="C262" s="306" t="s">
        <v>1004</v>
      </c>
      <c r="D262" s="306" t="s">
        <v>2435</v>
      </c>
      <c r="E262" s="306" t="s">
        <v>1482</v>
      </c>
      <c r="F262" s="306" t="s">
        <v>1007</v>
      </c>
      <c r="G262" s="308">
        <v>46016</v>
      </c>
      <c r="H262" s="308">
        <v>46016</v>
      </c>
      <c r="I262" s="309">
        <v>-318384.96000000002</v>
      </c>
      <c r="J262" s="306" t="s">
        <v>1008</v>
      </c>
      <c r="K262" s="309">
        <v>-318384.96000000002</v>
      </c>
      <c r="L262" s="306" t="s">
        <v>1008</v>
      </c>
      <c r="M262" s="306" t="s">
        <v>1410</v>
      </c>
      <c r="N262" s="306" t="s">
        <v>1403</v>
      </c>
      <c r="O262" s="306" t="s">
        <v>1483</v>
      </c>
      <c r="P262" s="306" t="s">
        <v>1405</v>
      </c>
      <c r="Q262" s="306" t="s">
        <v>1013</v>
      </c>
      <c r="R262" s="306" t="s">
        <v>1013</v>
      </c>
      <c r="S262" s="306" t="s">
        <v>1013</v>
      </c>
      <c r="T262" s="306" t="s">
        <v>1013</v>
      </c>
      <c r="U262" s="306" t="s">
        <v>1013</v>
      </c>
      <c r="V262" s="306" t="s">
        <v>1013</v>
      </c>
      <c r="W262" s="306" t="s">
        <v>1013</v>
      </c>
      <c r="X262" s="306" t="s">
        <v>1013</v>
      </c>
      <c r="Y262" s="306" t="s">
        <v>1406</v>
      </c>
      <c r="Z262" s="306" t="s">
        <v>1015</v>
      </c>
      <c r="AA262" s="306" t="s">
        <v>1013</v>
      </c>
    </row>
    <row r="263" spans="1:27">
      <c r="A263" s="306" t="s">
        <v>494</v>
      </c>
      <c r="B263" s="306" t="s">
        <v>1003</v>
      </c>
      <c r="C263" s="306" t="s">
        <v>1004</v>
      </c>
      <c r="D263" s="306" t="s">
        <v>2435</v>
      </c>
      <c r="E263" s="306" t="s">
        <v>1484</v>
      </c>
      <c r="F263" s="306" t="s">
        <v>1007</v>
      </c>
      <c r="G263" s="308">
        <v>46016</v>
      </c>
      <c r="H263" s="308">
        <v>46016</v>
      </c>
      <c r="I263" s="309">
        <v>-815.12</v>
      </c>
      <c r="J263" s="306" t="s">
        <v>1008</v>
      </c>
      <c r="K263" s="309">
        <v>-815.12</v>
      </c>
      <c r="L263" s="306" t="s">
        <v>1008</v>
      </c>
      <c r="M263" s="306" t="s">
        <v>1421</v>
      </c>
      <c r="N263" s="306" t="s">
        <v>1403</v>
      </c>
      <c r="O263" s="306" t="s">
        <v>1422</v>
      </c>
      <c r="P263" s="306" t="s">
        <v>1405</v>
      </c>
      <c r="Q263" s="306" t="s">
        <v>1013</v>
      </c>
      <c r="R263" s="306" t="s">
        <v>1013</v>
      </c>
      <c r="S263" s="306" t="s">
        <v>1013</v>
      </c>
      <c r="T263" s="306" t="s">
        <v>1013</v>
      </c>
      <c r="U263" s="306" t="s">
        <v>1013</v>
      </c>
      <c r="V263" s="306" t="s">
        <v>1013</v>
      </c>
      <c r="W263" s="306" t="s">
        <v>1013</v>
      </c>
      <c r="X263" s="306" t="s">
        <v>1013</v>
      </c>
      <c r="Y263" s="306" t="s">
        <v>1406</v>
      </c>
      <c r="Z263" s="306" t="s">
        <v>1015</v>
      </c>
      <c r="AA263" s="306" t="s">
        <v>1013</v>
      </c>
    </row>
    <row r="264" spans="1:27">
      <c r="A264" s="306" t="s">
        <v>494</v>
      </c>
      <c r="B264" s="306" t="s">
        <v>1003</v>
      </c>
      <c r="C264" s="306" t="s">
        <v>1004</v>
      </c>
      <c r="D264" s="306" t="s">
        <v>2435</v>
      </c>
      <c r="E264" s="306" t="s">
        <v>1485</v>
      </c>
      <c r="F264" s="306" t="s">
        <v>1007</v>
      </c>
      <c r="G264" s="308">
        <v>46016</v>
      </c>
      <c r="H264" s="308">
        <v>46016</v>
      </c>
      <c r="I264" s="309">
        <v>-306592.92</v>
      </c>
      <c r="J264" s="306" t="s">
        <v>1008</v>
      </c>
      <c r="K264" s="309">
        <v>-306592.92</v>
      </c>
      <c r="L264" s="306" t="s">
        <v>1008</v>
      </c>
      <c r="M264" s="306" t="s">
        <v>1410</v>
      </c>
      <c r="N264" s="306" t="s">
        <v>1403</v>
      </c>
      <c r="O264" s="306" t="s">
        <v>1486</v>
      </c>
      <c r="P264" s="306" t="s">
        <v>1405</v>
      </c>
      <c r="Q264" s="306" t="s">
        <v>1013</v>
      </c>
      <c r="R264" s="306" t="s">
        <v>1013</v>
      </c>
      <c r="S264" s="306" t="s">
        <v>1013</v>
      </c>
      <c r="T264" s="306" t="s">
        <v>1013</v>
      </c>
      <c r="U264" s="306" t="s">
        <v>1013</v>
      </c>
      <c r="V264" s="306" t="s">
        <v>1013</v>
      </c>
      <c r="W264" s="306" t="s">
        <v>1013</v>
      </c>
      <c r="X264" s="306" t="s">
        <v>1013</v>
      </c>
      <c r="Y264" s="306" t="s">
        <v>1406</v>
      </c>
      <c r="Z264" s="306" t="s">
        <v>1015</v>
      </c>
      <c r="AA264" s="306" t="s">
        <v>1013</v>
      </c>
    </row>
    <row r="265" spans="1:27">
      <c r="A265" s="306" t="s">
        <v>494</v>
      </c>
      <c r="B265" s="306" t="s">
        <v>1003</v>
      </c>
      <c r="C265" s="306" t="s">
        <v>1004</v>
      </c>
      <c r="D265" s="306" t="s">
        <v>2435</v>
      </c>
      <c r="E265" s="306" t="s">
        <v>1487</v>
      </c>
      <c r="F265" s="306" t="s">
        <v>1007</v>
      </c>
      <c r="G265" s="308">
        <v>46016</v>
      </c>
      <c r="H265" s="308">
        <v>46016</v>
      </c>
      <c r="I265" s="309">
        <v>-56915.199999999997</v>
      </c>
      <c r="J265" s="306" t="s">
        <v>1008</v>
      </c>
      <c r="K265" s="309">
        <v>-56915.199999999997</v>
      </c>
      <c r="L265" s="306" t="s">
        <v>1008</v>
      </c>
      <c r="M265" s="306" t="s">
        <v>1410</v>
      </c>
      <c r="N265" s="306" t="s">
        <v>1403</v>
      </c>
      <c r="O265" s="306" t="s">
        <v>1488</v>
      </c>
      <c r="P265" s="306" t="s">
        <v>1405</v>
      </c>
      <c r="Q265" s="306" t="s">
        <v>1013</v>
      </c>
      <c r="R265" s="306" t="s">
        <v>1013</v>
      </c>
      <c r="S265" s="306" t="s">
        <v>1013</v>
      </c>
      <c r="T265" s="306" t="s">
        <v>1013</v>
      </c>
      <c r="U265" s="306" t="s">
        <v>1013</v>
      </c>
      <c r="V265" s="306" t="s">
        <v>1013</v>
      </c>
      <c r="W265" s="306" t="s">
        <v>1013</v>
      </c>
      <c r="X265" s="306" t="s">
        <v>1013</v>
      </c>
      <c r="Y265" s="306" t="s">
        <v>1406</v>
      </c>
      <c r="Z265" s="306" t="s">
        <v>1015</v>
      </c>
      <c r="AA265" s="306" t="s">
        <v>1013</v>
      </c>
    </row>
    <row r="266" spans="1:27">
      <c r="A266" s="306" t="s">
        <v>494</v>
      </c>
      <c r="B266" s="306" t="s">
        <v>1003</v>
      </c>
      <c r="C266" s="306" t="s">
        <v>1004</v>
      </c>
      <c r="D266" s="306" t="s">
        <v>2435</v>
      </c>
      <c r="E266" s="306" t="s">
        <v>1489</v>
      </c>
      <c r="F266" s="306" t="s">
        <v>1007</v>
      </c>
      <c r="G266" s="308">
        <v>46016</v>
      </c>
      <c r="H266" s="308">
        <v>46016</v>
      </c>
      <c r="I266" s="309">
        <v>-6512.18</v>
      </c>
      <c r="J266" s="306" t="s">
        <v>1008</v>
      </c>
      <c r="K266" s="309">
        <v>-6512.18</v>
      </c>
      <c r="L266" s="306" t="s">
        <v>1008</v>
      </c>
      <c r="M266" s="306" t="s">
        <v>1410</v>
      </c>
      <c r="N266" s="306" t="s">
        <v>1403</v>
      </c>
      <c r="O266" s="306" t="s">
        <v>1490</v>
      </c>
      <c r="P266" s="306" t="s">
        <v>1405</v>
      </c>
      <c r="Q266" s="306" t="s">
        <v>1013</v>
      </c>
      <c r="R266" s="306" t="s">
        <v>1013</v>
      </c>
      <c r="S266" s="306" t="s">
        <v>1013</v>
      </c>
      <c r="T266" s="306" t="s">
        <v>1013</v>
      </c>
      <c r="U266" s="306" t="s">
        <v>1013</v>
      </c>
      <c r="V266" s="306" t="s">
        <v>1013</v>
      </c>
      <c r="W266" s="306" t="s">
        <v>1013</v>
      </c>
      <c r="X266" s="306" t="s">
        <v>1013</v>
      </c>
      <c r="Y266" s="306" t="s">
        <v>1406</v>
      </c>
      <c r="Z266" s="306" t="s">
        <v>1015</v>
      </c>
      <c r="AA266" s="306" t="s">
        <v>1013</v>
      </c>
    </row>
    <row r="267" spans="1:27">
      <c r="A267" s="306" t="s">
        <v>494</v>
      </c>
      <c r="B267" s="306" t="s">
        <v>1003</v>
      </c>
      <c r="C267" s="306" t="s">
        <v>1004</v>
      </c>
      <c r="D267" s="306" t="s">
        <v>2435</v>
      </c>
      <c r="E267" s="306" t="s">
        <v>1491</v>
      </c>
      <c r="F267" s="306" t="s">
        <v>1007</v>
      </c>
      <c r="G267" s="308">
        <v>46016</v>
      </c>
      <c r="H267" s="308">
        <v>46016</v>
      </c>
      <c r="I267" s="309">
        <v>-645.23</v>
      </c>
      <c r="J267" s="306" t="s">
        <v>1008</v>
      </c>
      <c r="K267" s="309">
        <v>-645.23</v>
      </c>
      <c r="L267" s="306" t="s">
        <v>1008</v>
      </c>
      <c r="M267" s="306" t="s">
        <v>1410</v>
      </c>
      <c r="N267" s="306" t="s">
        <v>1403</v>
      </c>
      <c r="O267" s="306" t="s">
        <v>1492</v>
      </c>
      <c r="P267" s="306" t="s">
        <v>1405</v>
      </c>
      <c r="Q267" s="306" t="s">
        <v>1013</v>
      </c>
      <c r="R267" s="306" t="s">
        <v>1013</v>
      </c>
      <c r="S267" s="306" t="s">
        <v>1013</v>
      </c>
      <c r="T267" s="306" t="s">
        <v>1013</v>
      </c>
      <c r="U267" s="306" t="s">
        <v>1013</v>
      </c>
      <c r="V267" s="306" t="s">
        <v>1013</v>
      </c>
      <c r="W267" s="306" t="s">
        <v>1013</v>
      </c>
      <c r="X267" s="306" t="s">
        <v>1013</v>
      </c>
      <c r="Y267" s="306" t="s">
        <v>1406</v>
      </c>
      <c r="Z267" s="306" t="s">
        <v>1015</v>
      </c>
      <c r="AA267" s="306" t="s">
        <v>1013</v>
      </c>
    </row>
    <row r="268" spans="1:27">
      <c r="A268" s="306" t="s">
        <v>494</v>
      </c>
      <c r="B268" s="306" t="s">
        <v>1003</v>
      </c>
      <c r="C268" s="306" t="s">
        <v>1004</v>
      </c>
      <c r="D268" s="306" t="s">
        <v>2435</v>
      </c>
      <c r="E268" s="306" t="s">
        <v>1493</v>
      </c>
      <c r="F268" s="306" t="s">
        <v>1007</v>
      </c>
      <c r="G268" s="308">
        <v>46016</v>
      </c>
      <c r="H268" s="308">
        <v>46016</v>
      </c>
      <c r="I268" s="309">
        <v>-33524.29</v>
      </c>
      <c r="J268" s="306" t="s">
        <v>1008</v>
      </c>
      <c r="K268" s="309">
        <v>-33524.29</v>
      </c>
      <c r="L268" s="306" t="s">
        <v>1008</v>
      </c>
      <c r="M268" s="306" t="s">
        <v>1410</v>
      </c>
      <c r="N268" s="306" t="s">
        <v>1403</v>
      </c>
      <c r="O268" s="306" t="s">
        <v>1494</v>
      </c>
      <c r="P268" s="306" t="s">
        <v>1405</v>
      </c>
      <c r="Q268" s="306" t="s">
        <v>1013</v>
      </c>
      <c r="R268" s="306" t="s">
        <v>1013</v>
      </c>
      <c r="S268" s="306" t="s">
        <v>1013</v>
      </c>
      <c r="T268" s="306" t="s">
        <v>1013</v>
      </c>
      <c r="U268" s="306" t="s">
        <v>1013</v>
      </c>
      <c r="V268" s="306" t="s">
        <v>1013</v>
      </c>
      <c r="W268" s="306" t="s">
        <v>1013</v>
      </c>
      <c r="X268" s="306" t="s">
        <v>1013</v>
      </c>
      <c r="Y268" s="306" t="s">
        <v>1406</v>
      </c>
      <c r="Z268" s="306" t="s">
        <v>1015</v>
      </c>
      <c r="AA268" s="306" t="s">
        <v>1013</v>
      </c>
    </row>
    <row r="269" spans="1:27">
      <c r="A269" s="306" t="s">
        <v>494</v>
      </c>
      <c r="B269" s="306" t="s">
        <v>1003</v>
      </c>
      <c r="C269" s="306" t="s">
        <v>1004</v>
      </c>
      <c r="D269" s="306" t="s">
        <v>2435</v>
      </c>
      <c r="E269" s="306" t="s">
        <v>1495</v>
      </c>
      <c r="F269" s="306" t="s">
        <v>1007</v>
      </c>
      <c r="G269" s="308">
        <v>46016</v>
      </c>
      <c r="H269" s="308">
        <v>46016</v>
      </c>
      <c r="I269" s="309">
        <v>-59585.15</v>
      </c>
      <c r="J269" s="306" t="s">
        <v>1008</v>
      </c>
      <c r="K269" s="309">
        <v>-59585.15</v>
      </c>
      <c r="L269" s="306" t="s">
        <v>1008</v>
      </c>
      <c r="M269" s="306" t="s">
        <v>1410</v>
      </c>
      <c r="N269" s="306" t="s">
        <v>1403</v>
      </c>
      <c r="O269" s="306" t="s">
        <v>1496</v>
      </c>
      <c r="P269" s="306" t="s">
        <v>1405</v>
      </c>
      <c r="Q269" s="306" t="s">
        <v>1013</v>
      </c>
      <c r="R269" s="306" t="s">
        <v>1013</v>
      </c>
      <c r="S269" s="306" t="s">
        <v>1013</v>
      </c>
      <c r="T269" s="306" t="s">
        <v>1013</v>
      </c>
      <c r="U269" s="306" t="s">
        <v>1013</v>
      </c>
      <c r="V269" s="306" t="s">
        <v>1013</v>
      </c>
      <c r="W269" s="306" t="s">
        <v>1013</v>
      </c>
      <c r="X269" s="306" t="s">
        <v>1013</v>
      </c>
      <c r="Y269" s="306" t="s">
        <v>1406</v>
      </c>
      <c r="Z269" s="306" t="s">
        <v>1015</v>
      </c>
      <c r="AA269" s="306" t="s">
        <v>1013</v>
      </c>
    </row>
    <row r="270" spans="1:27">
      <c r="A270" s="306" t="s">
        <v>494</v>
      </c>
      <c r="B270" s="306" t="s">
        <v>1003</v>
      </c>
      <c r="C270" s="306" t="s">
        <v>1004</v>
      </c>
      <c r="D270" s="306" t="s">
        <v>2435</v>
      </c>
      <c r="E270" s="306" t="s">
        <v>1497</v>
      </c>
      <c r="F270" s="306" t="s">
        <v>1007</v>
      </c>
      <c r="G270" s="308">
        <v>46016</v>
      </c>
      <c r="H270" s="308">
        <v>46016</v>
      </c>
      <c r="I270" s="309">
        <v>-274.68</v>
      </c>
      <c r="J270" s="306" t="s">
        <v>1008</v>
      </c>
      <c r="K270" s="309">
        <v>-274.68</v>
      </c>
      <c r="L270" s="306" t="s">
        <v>1008</v>
      </c>
      <c r="M270" s="306" t="s">
        <v>1421</v>
      </c>
      <c r="N270" s="306" t="s">
        <v>1403</v>
      </c>
      <c r="O270" s="306" t="s">
        <v>1428</v>
      </c>
      <c r="P270" s="306" t="s">
        <v>1405</v>
      </c>
      <c r="Q270" s="306" t="s">
        <v>1013</v>
      </c>
      <c r="R270" s="306" t="s">
        <v>1013</v>
      </c>
      <c r="S270" s="306" t="s">
        <v>1013</v>
      </c>
      <c r="T270" s="306" t="s">
        <v>1013</v>
      </c>
      <c r="U270" s="306" t="s">
        <v>1013</v>
      </c>
      <c r="V270" s="306" t="s">
        <v>1013</v>
      </c>
      <c r="W270" s="306" t="s">
        <v>1013</v>
      </c>
      <c r="X270" s="306" t="s">
        <v>1013</v>
      </c>
      <c r="Y270" s="306" t="s">
        <v>1406</v>
      </c>
      <c r="Z270" s="306" t="s">
        <v>1015</v>
      </c>
      <c r="AA270" s="306" t="s">
        <v>1013</v>
      </c>
    </row>
    <row r="271" spans="1:27">
      <c r="A271" s="306" t="s">
        <v>494</v>
      </c>
      <c r="B271" s="306" t="s">
        <v>1003</v>
      </c>
      <c r="C271" s="306" t="s">
        <v>1004</v>
      </c>
      <c r="D271" s="306" t="s">
        <v>2435</v>
      </c>
      <c r="E271" s="306" t="s">
        <v>1498</v>
      </c>
      <c r="F271" s="306" t="s">
        <v>1007</v>
      </c>
      <c r="G271" s="308">
        <v>46016</v>
      </c>
      <c r="H271" s="308">
        <v>46016</v>
      </c>
      <c r="I271" s="309">
        <v>-35445.82</v>
      </c>
      <c r="J271" s="306" t="s">
        <v>1008</v>
      </c>
      <c r="K271" s="309">
        <v>-35445.82</v>
      </c>
      <c r="L271" s="306" t="s">
        <v>1008</v>
      </c>
      <c r="M271" s="306" t="s">
        <v>1410</v>
      </c>
      <c r="N271" s="306" t="s">
        <v>1403</v>
      </c>
      <c r="O271" s="306" t="s">
        <v>1499</v>
      </c>
      <c r="P271" s="306" t="s">
        <v>1405</v>
      </c>
      <c r="Q271" s="306" t="s">
        <v>1013</v>
      </c>
      <c r="R271" s="306" t="s">
        <v>1013</v>
      </c>
      <c r="S271" s="306" t="s">
        <v>1013</v>
      </c>
      <c r="T271" s="306" t="s">
        <v>1013</v>
      </c>
      <c r="U271" s="306" t="s">
        <v>1013</v>
      </c>
      <c r="V271" s="306" t="s">
        <v>1013</v>
      </c>
      <c r="W271" s="306" t="s">
        <v>1013</v>
      </c>
      <c r="X271" s="306" t="s">
        <v>1013</v>
      </c>
      <c r="Y271" s="306" t="s">
        <v>1406</v>
      </c>
      <c r="Z271" s="306" t="s">
        <v>1015</v>
      </c>
      <c r="AA271" s="306" t="s">
        <v>1013</v>
      </c>
    </row>
    <row r="272" spans="1:27">
      <c r="A272" s="306" t="s">
        <v>494</v>
      </c>
      <c r="B272" s="306" t="s">
        <v>1003</v>
      </c>
      <c r="C272" s="306" t="s">
        <v>1004</v>
      </c>
      <c r="D272" s="306" t="s">
        <v>2435</v>
      </c>
      <c r="E272" s="306" t="s">
        <v>1500</v>
      </c>
      <c r="F272" s="306" t="s">
        <v>1007</v>
      </c>
      <c r="G272" s="308">
        <v>46016</v>
      </c>
      <c r="H272" s="308">
        <v>46016</v>
      </c>
      <c r="I272" s="309">
        <v>-40288.67</v>
      </c>
      <c r="J272" s="306" t="s">
        <v>1008</v>
      </c>
      <c r="K272" s="309">
        <v>-40288.67</v>
      </c>
      <c r="L272" s="306" t="s">
        <v>1008</v>
      </c>
      <c r="M272" s="306" t="s">
        <v>1410</v>
      </c>
      <c r="N272" s="306" t="s">
        <v>1403</v>
      </c>
      <c r="O272" s="306" t="s">
        <v>1501</v>
      </c>
      <c r="P272" s="306" t="s">
        <v>1405</v>
      </c>
      <c r="Q272" s="306" t="s">
        <v>1013</v>
      </c>
      <c r="R272" s="306" t="s">
        <v>1013</v>
      </c>
      <c r="S272" s="306" t="s">
        <v>1013</v>
      </c>
      <c r="T272" s="306" t="s">
        <v>1013</v>
      </c>
      <c r="U272" s="306" t="s">
        <v>1013</v>
      </c>
      <c r="V272" s="306" t="s">
        <v>1013</v>
      </c>
      <c r="W272" s="306" t="s">
        <v>1013</v>
      </c>
      <c r="X272" s="306" t="s">
        <v>1013</v>
      </c>
      <c r="Y272" s="306" t="s">
        <v>1406</v>
      </c>
      <c r="Z272" s="306" t="s">
        <v>1015</v>
      </c>
      <c r="AA272" s="306" t="s">
        <v>1013</v>
      </c>
    </row>
    <row r="273" spans="1:27">
      <c r="A273" s="306" t="s">
        <v>494</v>
      </c>
      <c r="B273" s="306" t="s">
        <v>1003</v>
      </c>
      <c r="C273" s="306" t="s">
        <v>1004</v>
      </c>
      <c r="D273" s="306" t="s">
        <v>2435</v>
      </c>
      <c r="E273" s="306" t="s">
        <v>1502</v>
      </c>
      <c r="F273" s="306" t="s">
        <v>1007</v>
      </c>
      <c r="G273" s="308">
        <v>46016</v>
      </c>
      <c r="H273" s="308">
        <v>46016</v>
      </c>
      <c r="I273" s="309">
        <v>-58400.06</v>
      </c>
      <c r="J273" s="306" t="s">
        <v>1008</v>
      </c>
      <c r="K273" s="309">
        <v>-58400.06</v>
      </c>
      <c r="L273" s="306" t="s">
        <v>1008</v>
      </c>
      <c r="M273" s="306" t="s">
        <v>1410</v>
      </c>
      <c r="N273" s="306" t="s">
        <v>1403</v>
      </c>
      <c r="O273" s="306" t="s">
        <v>1503</v>
      </c>
      <c r="P273" s="306" t="s">
        <v>1405</v>
      </c>
      <c r="Q273" s="306" t="s">
        <v>1013</v>
      </c>
      <c r="R273" s="306" t="s">
        <v>1013</v>
      </c>
      <c r="S273" s="306" t="s">
        <v>1013</v>
      </c>
      <c r="T273" s="306" t="s">
        <v>1013</v>
      </c>
      <c r="U273" s="306" t="s">
        <v>1013</v>
      </c>
      <c r="V273" s="306" t="s">
        <v>1013</v>
      </c>
      <c r="W273" s="306" t="s">
        <v>1013</v>
      </c>
      <c r="X273" s="306" t="s">
        <v>1013</v>
      </c>
      <c r="Y273" s="306" t="s">
        <v>1406</v>
      </c>
      <c r="Z273" s="306" t="s">
        <v>1015</v>
      </c>
      <c r="AA273" s="306" t="s">
        <v>1013</v>
      </c>
    </row>
    <row r="274" spans="1:27">
      <c r="A274" s="306" t="s">
        <v>494</v>
      </c>
      <c r="B274" s="306" t="s">
        <v>1003</v>
      </c>
      <c r="C274" s="306" t="s">
        <v>1004</v>
      </c>
      <c r="D274" s="306" t="s">
        <v>2435</v>
      </c>
      <c r="E274" s="306" t="s">
        <v>1504</v>
      </c>
      <c r="F274" s="306" t="s">
        <v>1007</v>
      </c>
      <c r="G274" s="308">
        <v>46016</v>
      </c>
      <c r="H274" s="308">
        <v>46016</v>
      </c>
      <c r="I274" s="309">
        <v>-46473.42</v>
      </c>
      <c r="J274" s="306" t="s">
        <v>1008</v>
      </c>
      <c r="K274" s="309">
        <v>-46473.42</v>
      </c>
      <c r="L274" s="306" t="s">
        <v>1008</v>
      </c>
      <c r="M274" s="306" t="s">
        <v>1410</v>
      </c>
      <c r="N274" s="306" t="s">
        <v>1403</v>
      </c>
      <c r="O274" s="306" t="s">
        <v>1505</v>
      </c>
      <c r="P274" s="306" t="s">
        <v>1405</v>
      </c>
      <c r="Q274" s="306" t="s">
        <v>1013</v>
      </c>
      <c r="R274" s="306" t="s">
        <v>1013</v>
      </c>
      <c r="S274" s="306" t="s">
        <v>1013</v>
      </c>
      <c r="T274" s="306" t="s">
        <v>1013</v>
      </c>
      <c r="U274" s="306" t="s">
        <v>1013</v>
      </c>
      <c r="V274" s="306" t="s">
        <v>1013</v>
      </c>
      <c r="W274" s="306" t="s">
        <v>1013</v>
      </c>
      <c r="X274" s="306" t="s">
        <v>1013</v>
      </c>
      <c r="Y274" s="306" t="s">
        <v>1406</v>
      </c>
      <c r="Z274" s="306" t="s">
        <v>1015</v>
      </c>
      <c r="AA274" s="306" t="s">
        <v>1013</v>
      </c>
    </row>
    <row r="275" spans="1:27">
      <c r="A275" s="306" t="s">
        <v>494</v>
      </c>
      <c r="B275" s="306" t="s">
        <v>1003</v>
      </c>
      <c r="C275" s="306" t="s">
        <v>1004</v>
      </c>
      <c r="D275" s="306" t="s">
        <v>2435</v>
      </c>
      <c r="E275" s="306" t="s">
        <v>1506</v>
      </c>
      <c r="F275" s="306" t="s">
        <v>1007</v>
      </c>
      <c r="G275" s="308">
        <v>46016</v>
      </c>
      <c r="H275" s="308">
        <v>46016</v>
      </c>
      <c r="I275" s="309">
        <v>-266314.33</v>
      </c>
      <c r="J275" s="306" t="s">
        <v>1008</v>
      </c>
      <c r="K275" s="309">
        <v>-266314.33</v>
      </c>
      <c r="L275" s="306" t="s">
        <v>1008</v>
      </c>
      <c r="M275" s="306" t="s">
        <v>1410</v>
      </c>
      <c r="N275" s="306" t="s">
        <v>1403</v>
      </c>
      <c r="O275" s="306" t="s">
        <v>1507</v>
      </c>
      <c r="P275" s="306" t="s">
        <v>1405</v>
      </c>
      <c r="Q275" s="306" t="s">
        <v>1013</v>
      </c>
      <c r="R275" s="306" t="s">
        <v>1013</v>
      </c>
      <c r="S275" s="306" t="s">
        <v>1013</v>
      </c>
      <c r="T275" s="306" t="s">
        <v>1013</v>
      </c>
      <c r="U275" s="306" t="s">
        <v>1013</v>
      </c>
      <c r="V275" s="306" t="s">
        <v>1013</v>
      </c>
      <c r="W275" s="306" t="s">
        <v>1013</v>
      </c>
      <c r="X275" s="306" t="s">
        <v>1013</v>
      </c>
      <c r="Y275" s="306" t="s">
        <v>1406</v>
      </c>
      <c r="Z275" s="306" t="s">
        <v>1015</v>
      </c>
      <c r="AA275" s="306" t="s">
        <v>1013</v>
      </c>
    </row>
    <row r="276" spans="1:27">
      <c r="A276" s="306" t="s">
        <v>494</v>
      </c>
      <c r="B276" s="306" t="s">
        <v>1003</v>
      </c>
      <c r="C276" s="306" t="s">
        <v>1004</v>
      </c>
      <c r="D276" s="306" t="s">
        <v>2435</v>
      </c>
      <c r="E276" s="306" t="s">
        <v>1508</v>
      </c>
      <c r="F276" s="306" t="s">
        <v>1007</v>
      </c>
      <c r="G276" s="308">
        <v>46016</v>
      </c>
      <c r="H276" s="308">
        <v>46016</v>
      </c>
      <c r="I276" s="309">
        <v>-3336.08</v>
      </c>
      <c r="J276" s="306" t="s">
        <v>1008</v>
      </c>
      <c r="K276" s="309">
        <v>-3336.08</v>
      </c>
      <c r="L276" s="306" t="s">
        <v>1008</v>
      </c>
      <c r="M276" s="306" t="s">
        <v>1421</v>
      </c>
      <c r="N276" s="306" t="s">
        <v>1403</v>
      </c>
      <c r="O276" s="306" t="s">
        <v>1509</v>
      </c>
      <c r="P276" s="306" t="s">
        <v>1405</v>
      </c>
      <c r="Q276" s="306" t="s">
        <v>1013</v>
      </c>
      <c r="R276" s="306" t="s">
        <v>1013</v>
      </c>
      <c r="S276" s="306" t="s">
        <v>1013</v>
      </c>
      <c r="T276" s="306" t="s">
        <v>1013</v>
      </c>
      <c r="U276" s="306" t="s">
        <v>1013</v>
      </c>
      <c r="V276" s="306" t="s">
        <v>1013</v>
      </c>
      <c r="W276" s="306" t="s">
        <v>1013</v>
      </c>
      <c r="X276" s="306" t="s">
        <v>1013</v>
      </c>
      <c r="Y276" s="306" t="s">
        <v>1406</v>
      </c>
      <c r="Z276" s="306" t="s">
        <v>1015</v>
      </c>
      <c r="AA276" s="306" t="s">
        <v>1013</v>
      </c>
    </row>
    <row r="277" spans="1:27">
      <c r="A277" s="306" t="s">
        <v>494</v>
      </c>
      <c r="B277" s="306" t="s">
        <v>1003</v>
      </c>
      <c r="C277" s="306" t="s">
        <v>1004</v>
      </c>
      <c r="D277" s="306" t="s">
        <v>2435</v>
      </c>
      <c r="E277" s="306" t="s">
        <v>1510</v>
      </c>
      <c r="F277" s="306" t="s">
        <v>1007</v>
      </c>
      <c r="G277" s="308">
        <v>46016</v>
      </c>
      <c r="H277" s="308">
        <v>46016</v>
      </c>
      <c r="I277" s="309">
        <v>-3481.13</v>
      </c>
      <c r="J277" s="306" t="s">
        <v>1008</v>
      </c>
      <c r="K277" s="309">
        <v>-3481.13</v>
      </c>
      <c r="L277" s="306" t="s">
        <v>1008</v>
      </c>
      <c r="M277" s="306" t="s">
        <v>1421</v>
      </c>
      <c r="N277" s="306" t="s">
        <v>1403</v>
      </c>
      <c r="O277" s="306" t="s">
        <v>1511</v>
      </c>
      <c r="P277" s="306" t="s">
        <v>1405</v>
      </c>
      <c r="Q277" s="306" t="s">
        <v>1013</v>
      </c>
      <c r="R277" s="306" t="s">
        <v>1013</v>
      </c>
      <c r="S277" s="306" t="s">
        <v>1013</v>
      </c>
      <c r="T277" s="306" t="s">
        <v>1013</v>
      </c>
      <c r="U277" s="306" t="s">
        <v>1013</v>
      </c>
      <c r="V277" s="306" t="s">
        <v>1013</v>
      </c>
      <c r="W277" s="306" t="s">
        <v>1013</v>
      </c>
      <c r="X277" s="306" t="s">
        <v>1013</v>
      </c>
      <c r="Y277" s="306" t="s">
        <v>1406</v>
      </c>
      <c r="Z277" s="306" t="s">
        <v>1015</v>
      </c>
      <c r="AA277" s="306" t="s">
        <v>1013</v>
      </c>
    </row>
    <row r="278" spans="1:27">
      <c r="A278" s="306" t="s">
        <v>494</v>
      </c>
      <c r="B278" s="306" t="s">
        <v>1003</v>
      </c>
      <c r="C278" s="306" t="s">
        <v>1004</v>
      </c>
      <c r="D278" s="306" t="s">
        <v>2435</v>
      </c>
      <c r="E278" s="306" t="s">
        <v>1512</v>
      </c>
      <c r="F278" s="306" t="s">
        <v>1007</v>
      </c>
      <c r="G278" s="308">
        <v>46016</v>
      </c>
      <c r="H278" s="308">
        <v>46016</v>
      </c>
      <c r="I278" s="309">
        <v>-107253.68</v>
      </c>
      <c r="J278" s="306" t="s">
        <v>1008</v>
      </c>
      <c r="K278" s="309">
        <v>-107253.68</v>
      </c>
      <c r="L278" s="306" t="s">
        <v>1008</v>
      </c>
      <c r="M278" s="306" t="s">
        <v>1421</v>
      </c>
      <c r="N278" s="306" t="s">
        <v>1403</v>
      </c>
      <c r="O278" s="306" t="s">
        <v>1513</v>
      </c>
      <c r="P278" s="306" t="s">
        <v>1405</v>
      </c>
      <c r="Q278" s="306" t="s">
        <v>1013</v>
      </c>
      <c r="R278" s="306" t="s">
        <v>1013</v>
      </c>
      <c r="S278" s="306" t="s">
        <v>1013</v>
      </c>
      <c r="T278" s="306" t="s">
        <v>1013</v>
      </c>
      <c r="U278" s="306" t="s">
        <v>1013</v>
      </c>
      <c r="V278" s="306" t="s">
        <v>1013</v>
      </c>
      <c r="W278" s="306" t="s">
        <v>1013</v>
      </c>
      <c r="X278" s="306" t="s">
        <v>1013</v>
      </c>
      <c r="Y278" s="306" t="s">
        <v>1406</v>
      </c>
      <c r="Z278" s="306" t="s">
        <v>1015</v>
      </c>
      <c r="AA278" s="306" t="s">
        <v>1013</v>
      </c>
    </row>
    <row r="279" spans="1:27">
      <c r="A279" s="306" t="s">
        <v>494</v>
      </c>
      <c r="B279" s="306" t="s">
        <v>1003</v>
      </c>
      <c r="C279" s="306" t="s">
        <v>1004</v>
      </c>
      <c r="D279" s="306" t="s">
        <v>2435</v>
      </c>
      <c r="E279" s="306" t="s">
        <v>1514</v>
      </c>
      <c r="F279" s="306" t="s">
        <v>1007</v>
      </c>
      <c r="G279" s="308">
        <v>46016</v>
      </c>
      <c r="H279" s="308">
        <v>46016</v>
      </c>
      <c r="I279" s="309">
        <v>-5784.65</v>
      </c>
      <c r="J279" s="306" t="s">
        <v>1008</v>
      </c>
      <c r="K279" s="309">
        <v>-5784.65</v>
      </c>
      <c r="L279" s="306" t="s">
        <v>1008</v>
      </c>
      <c r="M279" s="306" t="s">
        <v>1421</v>
      </c>
      <c r="N279" s="306" t="s">
        <v>1403</v>
      </c>
      <c r="O279" s="306" t="s">
        <v>1515</v>
      </c>
      <c r="P279" s="306" t="s">
        <v>1405</v>
      </c>
      <c r="Q279" s="306" t="s">
        <v>1013</v>
      </c>
      <c r="R279" s="306" t="s">
        <v>1013</v>
      </c>
      <c r="S279" s="306" t="s">
        <v>1013</v>
      </c>
      <c r="T279" s="306" t="s">
        <v>1013</v>
      </c>
      <c r="U279" s="306" t="s">
        <v>1013</v>
      </c>
      <c r="V279" s="306" t="s">
        <v>1013</v>
      </c>
      <c r="W279" s="306" t="s">
        <v>1013</v>
      </c>
      <c r="X279" s="306" t="s">
        <v>1013</v>
      </c>
      <c r="Y279" s="306" t="s">
        <v>1406</v>
      </c>
      <c r="Z279" s="306" t="s">
        <v>1015</v>
      </c>
      <c r="AA279" s="306" t="s">
        <v>1013</v>
      </c>
    </row>
    <row r="280" spans="1:27">
      <c r="A280" s="306" t="s">
        <v>494</v>
      </c>
      <c r="B280" s="306" t="s">
        <v>1003</v>
      </c>
      <c r="C280" s="306" t="s">
        <v>1004</v>
      </c>
      <c r="D280" s="306" t="s">
        <v>2435</v>
      </c>
      <c r="E280" s="306" t="s">
        <v>1516</v>
      </c>
      <c r="F280" s="306" t="s">
        <v>1007</v>
      </c>
      <c r="G280" s="308">
        <v>46016</v>
      </c>
      <c r="H280" s="308">
        <v>46016</v>
      </c>
      <c r="I280" s="309">
        <v>-1217.82</v>
      </c>
      <c r="J280" s="306" t="s">
        <v>1008</v>
      </c>
      <c r="K280" s="309">
        <v>-1217.82</v>
      </c>
      <c r="L280" s="306" t="s">
        <v>1008</v>
      </c>
      <c r="M280" s="306" t="s">
        <v>1421</v>
      </c>
      <c r="N280" s="306" t="s">
        <v>1403</v>
      </c>
      <c r="O280" s="306" t="s">
        <v>1517</v>
      </c>
      <c r="P280" s="306" t="s">
        <v>1405</v>
      </c>
      <c r="Q280" s="306" t="s">
        <v>1013</v>
      </c>
      <c r="R280" s="306" t="s">
        <v>1013</v>
      </c>
      <c r="S280" s="306" t="s">
        <v>1013</v>
      </c>
      <c r="T280" s="306" t="s">
        <v>1013</v>
      </c>
      <c r="U280" s="306" t="s">
        <v>1013</v>
      </c>
      <c r="V280" s="306" t="s">
        <v>1013</v>
      </c>
      <c r="W280" s="306" t="s">
        <v>1013</v>
      </c>
      <c r="X280" s="306" t="s">
        <v>1013</v>
      </c>
      <c r="Y280" s="306" t="s">
        <v>1406</v>
      </c>
      <c r="Z280" s="306" t="s">
        <v>1015</v>
      </c>
      <c r="AA280" s="306" t="s">
        <v>1013</v>
      </c>
    </row>
    <row r="281" spans="1:27">
      <c r="A281" s="306" t="s">
        <v>494</v>
      </c>
      <c r="B281" s="306" t="s">
        <v>1003</v>
      </c>
      <c r="C281" s="306" t="s">
        <v>1004</v>
      </c>
      <c r="D281" s="306" t="s">
        <v>2435</v>
      </c>
      <c r="E281" s="306" t="s">
        <v>1518</v>
      </c>
      <c r="F281" s="306" t="s">
        <v>1007</v>
      </c>
      <c r="G281" s="308">
        <v>46016</v>
      </c>
      <c r="H281" s="308">
        <v>46016</v>
      </c>
      <c r="I281" s="309">
        <v>-1827.59</v>
      </c>
      <c r="J281" s="306" t="s">
        <v>1008</v>
      </c>
      <c r="K281" s="309">
        <v>-1827.59</v>
      </c>
      <c r="L281" s="306" t="s">
        <v>1008</v>
      </c>
      <c r="M281" s="306" t="s">
        <v>1421</v>
      </c>
      <c r="N281" s="306" t="s">
        <v>1403</v>
      </c>
      <c r="O281" s="306" t="s">
        <v>1519</v>
      </c>
      <c r="P281" s="306" t="s">
        <v>1405</v>
      </c>
      <c r="Q281" s="306" t="s">
        <v>1013</v>
      </c>
      <c r="R281" s="306" t="s">
        <v>1013</v>
      </c>
      <c r="S281" s="306" t="s">
        <v>1013</v>
      </c>
      <c r="T281" s="306" t="s">
        <v>1013</v>
      </c>
      <c r="U281" s="306" t="s">
        <v>1013</v>
      </c>
      <c r="V281" s="306" t="s">
        <v>1013</v>
      </c>
      <c r="W281" s="306" t="s">
        <v>1013</v>
      </c>
      <c r="X281" s="306" t="s">
        <v>1013</v>
      </c>
      <c r="Y281" s="306" t="s">
        <v>1406</v>
      </c>
      <c r="Z281" s="306" t="s">
        <v>1015</v>
      </c>
      <c r="AA281" s="306" t="s">
        <v>1013</v>
      </c>
    </row>
    <row r="282" spans="1:27">
      <c r="A282" s="306" t="s">
        <v>494</v>
      </c>
      <c r="B282" s="306" t="s">
        <v>1003</v>
      </c>
      <c r="C282" s="306" t="s">
        <v>1004</v>
      </c>
      <c r="D282" s="306" t="s">
        <v>2435</v>
      </c>
      <c r="E282" s="306" t="s">
        <v>1520</v>
      </c>
      <c r="F282" s="306" t="s">
        <v>1007</v>
      </c>
      <c r="G282" s="308">
        <v>46016</v>
      </c>
      <c r="H282" s="308">
        <v>46016</v>
      </c>
      <c r="I282" s="309">
        <v>-1758.9</v>
      </c>
      <c r="J282" s="306" t="s">
        <v>1008</v>
      </c>
      <c r="K282" s="309">
        <v>-1758.9</v>
      </c>
      <c r="L282" s="306" t="s">
        <v>1008</v>
      </c>
      <c r="M282" s="306" t="s">
        <v>1421</v>
      </c>
      <c r="N282" s="306" t="s">
        <v>1403</v>
      </c>
      <c r="O282" s="306" t="s">
        <v>1521</v>
      </c>
      <c r="P282" s="306" t="s">
        <v>1405</v>
      </c>
      <c r="Q282" s="306" t="s">
        <v>1013</v>
      </c>
      <c r="R282" s="306" t="s">
        <v>1013</v>
      </c>
      <c r="S282" s="306" t="s">
        <v>1013</v>
      </c>
      <c r="T282" s="306" t="s">
        <v>1013</v>
      </c>
      <c r="U282" s="306" t="s">
        <v>1013</v>
      </c>
      <c r="V282" s="306" t="s">
        <v>1013</v>
      </c>
      <c r="W282" s="306" t="s">
        <v>1013</v>
      </c>
      <c r="X282" s="306" t="s">
        <v>1013</v>
      </c>
      <c r="Y282" s="306" t="s">
        <v>1406</v>
      </c>
      <c r="Z282" s="306" t="s">
        <v>1015</v>
      </c>
      <c r="AA282" s="306" t="s">
        <v>1013</v>
      </c>
    </row>
    <row r="283" spans="1:27">
      <c r="A283" s="306" t="s">
        <v>494</v>
      </c>
      <c r="B283" s="306" t="s">
        <v>1003</v>
      </c>
      <c r="C283" s="306" t="s">
        <v>1004</v>
      </c>
      <c r="D283" s="306" t="s">
        <v>2435</v>
      </c>
      <c r="E283" s="306" t="s">
        <v>1522</v>
      </c>
      <c r="F283" s="306" t="s">
        <v>1007</v>
      </c>
      <c r="G283" s="308">
        <v>46016</v>
      </c>
      <c r="H283" s="308">
        <v>46016</v>
      </c>
      <c r="I283" s="309">
        <v>-1035.1500000000001</v>
      </c>
      <c r="J283" s="306" t="s">
        <v>1008</v>
      </c>
      <c r="K283" s="309">
        <v>-1035.1500000000001</v>
      </c>
      <c r="L283" s="306" t="s">
        <v>1008</v>
      </c>
      <c r="M283" s="306" t="s">
        <v>1421</v>
      </c>
      <c r="N283" s="306" t="s">
        <v>1403</v>
      </c>
      <c r="O283" s="306" t="s">
        <v>1523</v>
      </c>
      <c r="P283" s="306" t="s">
        <v>1405</v>
      </c>
      <c r="Q283" s="306" t="s">
        <v>1013</v>
      </c>
      <c r="R283" s="306" t="s">
        <v>1013</v>
      </c>
      <c r="S283" s="306" t="s">
        <v>1013</v>
      </c>
      <c r="T283" s="306" t="s">
        <v>1013</v>
      </c>
      <c r="U283" s="306" t="s">
        <v>1013</v>
      </c>
      <c r="V283" s="306" t="s">
        <v>1013</v>
      </c>
      <c r="W283" s="306" t="s">
        <v>1013</v>
      </c>
      <c r="X283" s="306" t="s">
        <v>1013</v>
      </c>
      <c r="Y283" s="306" t="s">
        <v>1406</v>
      </c>
      <c r="Z283" s="306" t="s">
        <v>1015</v>
      </c>
      <c r="AA283" s="306" t="s">
        <v>1013</v>
      </c>
    </row>
    <row r="284" spans="1:27">
      <c r="A284" s="306" t="s">
        <v>494</v>
      </c>
      <c r="B284" s="306" t="s">
        <v>1003</v>
      </c>
      <c r="C284" s="306" t="s">
        <v>1004</v>
      </c>
      <c r="D284" s="306" t="s">
        <v>2435</v>
      </c>
      <c r="E284" s="306" t="s">
        <v>1524</v>
      </c>
      <c r="F284" s="306" t="s">
        <v>1007</v>
      </c>
      <c r="G284" s="308">
        <v>46016</v>
      </c>
      <c r="H284" s="308">
        <v>46016</v>
      </c>
      <c r="I284" s="309">
        <v>-61728.36</v>
      </c>
      <c r="J284" s="306" t="s">
        <v>1008</v>
      </c>
      <c r="K284" s="309">
        <v>-61728.36</v>
      </c>
      <c r="L284" s="306" t="s">
        <v>1008</v>
      </c>
      <c r="M284" s="306" t="s">
        <v>1410</v>
      </c>
      <c r="N284" s="306" t="s">
        <v>1403</v>
      </c>
      <c r="O284" s="306" t="s">
        <v>1525</v>
      </c>
      <c r="P284" s="306" t="s">
        <v>1405</v>
      </c>
      <c r="Q284" s="306" t="s">
        <v>1013</v>
      </c>
      <c r="R284" s="306" t="s">
        <v>1013</v>
      </c>
      <c r="S284" s="306" t="s">
        <v>1013</v>
      </c>
      <c r="T284" s="306" t="s">
        <v>1013</v>
      </c>
      <c r="U284" s="306" t="s">
        <v>1013</v>
      </c>
      <c r="V284" s="306" t="s">
        <v>1013</v>
      </c>
      <c r="W284" s="306" t="s">
        <v>1013</v>
      </c>
      <c r="X284" s="306" t="s">
        <v>1013</v>
      </c>
      <c r="Y284" s="306" t="s">
        <v>1406</v>
      </c>
      <c r="Z284" s="306" t="s">
        <v>1015</v>
      </c>
      <c r="AA284" s="306" t="s">
        <v>1013</v>
      </c>
    </row>
    <row r="285" spans="1:27">
      <c r="A285" s="306" t="s">
        <v>494</v>
      </c>
      <c r="B285" s="306" t="s">
        <v>1003</v>
      </c>
      <c r="C285" s="306" t="s">
        <v>1004</v>
      </c>
      <c r="D285" s="306" t="s">
        <v>2435</v>
      </c>
      <c r="E285" s="306" t="s">
        <v>1526</v>
      </c>
      <c r="F285" s="306" t="s">
        <v>1007</v>
      </c>
      <c r="G285" s="308">
        <v>46016</v>
      </c>
      <c r="H285" s="308">
        <v>46016</v>
      </c>
      <c r="I285" s="309">
        <v>-43957.64</v>
      </c>
      <c r="J285" s="306" t="s">
        <v>1008</v>
      </c>
      <c r="K285" s="309">
        <v>-43957.64</v>
      </c>
      <c r="L285" s="306" t="s">
        <v>1008</v>
      </c>
      <c r="M285" s="306" t="s">
        <v>1410</v>
      </c>
      <c r="N285" s="306" t="s">
        <v>1403</v>
      </c>
      <c r="O285" s="306" t="s">
        <v>1527</v>
      </c>
      <c r="P285" s="306" t="s">
        <v>1405</v>
      </c>
      <c r="Q285" s="306" t="s">
        <v>1013</v>
      </c>
      <c r="R285" s="306" t="s">
        <v>1013</v>
      </c>
      <c r="S285" s="306" t="s">
        <v>1013</v>
      </c>
      <c r="T285" s="306" t="s">
        <v>1013</v>
      </c>
      <c r="U285" s="306" t="s">
        <v>1013</v>
      </c>
      <c r="V285" s="306" t="s">
        <v>1013</v>
      </c>
      <c r="W285" s="306" t="s">
        <v>1013</v>
      </c>
      <c r="X285" s="306" t="s">
        <v>1013</v>
      </c>
      <c r="Y285" s="306" t="s">
        <v>1406</v>
      </c>
      <c r="Z285" s="306" t="s">
        <v>1015</v>
      </c>
      <c r="AA285" s="306" t="s">
        <v>1013</v>
      </c>
    </row>
    <row r="286" spans="1:27">
      <c r="A286" s="306" t="s">
        <v>494</v>
      </c>
      <c r="B286" s="306" t="s">
        <v>1003</v>
      </c>
      <c r="C286" s="306" t="s">
        <v>1004</v>
      </c>
      <c r="D286" s="306" t="s">
        <v>2435</v>
      </c>
      <c r="E286" s="306" t="s">
        <v>1528</v>
      </c>
      <c r="F286" s="306" t="s">
        <v>1007</v>
      </c>
      <c r="G286" s="308">
        <v>46016</v>
      </c>
      <c r="H286" s="308">
        <v>46016</v>
      </c>
      <c r="I286" s="309">
        <v>-957.5</v>
      </c>
      <c r="J286" s="306" t="s">
        <v>1008</v>
      </c>
      <c r="K286" s="309">
        <v>-957.5</v>
      </c>
      <c r="L286" s="306" t="s">
        <v>1008</v>
      </c>
      <c r="M286" s="306" t="s">
        <v>1421</v>
      </c>
      <c r="N286" s="306" t="s">
        <v>1403</v>
      </c>
      <c r="O286" s="306" t="s">
        <v>1529</v>
      </c>
      <c r="P286" s="306" t="s">
        <v>1405</v>
      </c>
      <c r="Q286" s="306" t="s">
        <v>1013</v>
      </c>
      <c r="R286" s="306" t="s">
        <v>1013</v>
      </c>
      <c r="S286" s="306" t="s">
        <v>1013</v>
      </c>
      <c r="T286" s="306" t="s">
        <v>1013</v>
      </c>
      <c r="U286" s="306" t="s">
        <v>1013</v>
      </c>
      <c r="V286" s="306" t="s">
        <v>1013</v>
      </c>
      <c r="W286" s="306" t="s">
        <v>1013</v>
      </c>
      <c r="X286" s="306" t="s">
        <v>1013</v>
      </c>
      <c r="Y286" s="306" t="s">
        <v>1406</v>
      </c>
      <c r="Z286" s="306" t="s">
        <v>1015</v>
      </c>
      <c r="AA286" s="306" t="s">
        <v>1013</v>
      </c>
    </row>
    <row r="287" spans="1:27">
      <c r="A287" s="306" t="s">
        <v>494</v>
      </c>
      <c r="B287" s="306" t="s">
        <v>1003</v>
      </c>
      <c r="C287" s="306" t="s">
        <v>1004</v>
      </c>
      <c r="D287" s="306" t="s">
        <v>2435</v>
      </c>
      <c r="E287" s="306" t="s">
        <v>1530</v>
      </c>
      <c r="F287" s="306" t="s">
        <v>1007</v>
      </c>
      <c r="G287" s="308">
        <v>46016</v>
      </c>
      <c r="H287" s="308">
        <v>46016</v>
      </c>
      <c r="I287" s="309">
        <v>-549.36</v>
      </c>
      <c r="J287" s="306" t="s">
        <v>1008</v>
      </c>
      <c r="K287" s="309">
        <v>-549.36</v>
      </c>
      <c r="L287" s="306" t="s">
        <v>1008</v>
      </c>
      <c r="M287" s="306" t="s">
        <v>1421</v>
      </c>
      <c r="N287" s="306" t="s">
        <v>1403</v>
      </c>
      <c r="O287" s="306" t="s">
        <v>1446</v>
      </c>
      <c r="P287" s="306" t="s">
        <v>1405</v>
      </c>
      <c r="Q287" s="306" t="s">
        <v>1013</v>
      </c>
      <c r="R287" s="306" t="s">
        <v>1013</v>
      </c>
      <c r="S287" s="306" t="s">
        <v>1013</v>
      </c>
      <c r="T287" s="306" t="s">
        <v>1013</v>
      </c>
      <c r="U287" s="306" t="s">
        <v>1013</v>
      </c>
      <c r="V287" s="306" t="s">
        <v>1013</v>
      </c>
      <c r="W287" s="306" t="s">
        <v>1013</v>
      </c>
      <c r="X287" s="306" t="s">
        <v>1013</v>
      </c>
      <c r="Y287" s="306" t="s">
        <v>1406</v>
      </c>
      <c r="Z287" s="306" t="s">
        <v>1015</v>
      </c>
      <c r="AA287" s="306" t="s">
        <v>1013</v>
      </c>
    </row>
    <row r="288" spans="1:27">
      <c r="A288" s="306" t="s">
        <v>494</v>
      </c>
      <c r="B288" s="306" t="s">
        <v>1003</v>
      </c>
      <c r="C288" s="306" t="s">
        <v>1004</v>
      </c>
      <c r="D288" s="306" t="s">
        <v>2435</v>
      </c>
      <c r="E288" s="306" t="s">
        <v>1531</v>
      </c>
      <c r="F288" s="306" t="s">
        <v>1007</v>
      </c>
      <c r="G288" s="308">
        <v>46016</v>
      </c>
      <c r="H288" s="308">
        <v>46016</v>
      </c>
      <c r="I288" s="309">
        <v>-532.66</v>
      </c>
      <c r="J288" s="306" t="s">
        <v>1008</v>
      </c>
      <c r="K288" s="309">
        <v>-532.66</v>
      </c>
      <c r="L288" s="306" t="s">
        <v>1008</v>
      </c>
      <c r="M288" s="306" t="s">
        <v>1421</v>
      </c>
      <c r="N288" s="306" t="s">
        <v>1403</v>
      </c>
      <c r="O288" s="306" t="s">
        <v>1532</v>
      </c>
      <c r="P288" s="306" t="s">
        <v>1405</v>
      </c>
      <c r="Q288" s="306" t="s">
        <v>1013</v>
      </c>
      <c r="R288" s="306" t="s">
        <v>1013</v>
      </c>
      <c r="S288" s="306" t="s">
        <v>1013</v>
      </c>
      <c r="T288" s="306" t="s">
        <v>1013</v>
      </c>
      <c r="U288" s="306" t="s">
        <v>1013</v>
      </c>
      <c r="V288" s="306" t="s">
        <v>1013</v>
      </c>
      <c r="W288" s="306" t="s">
        <v>1013</v>
      </c>
      <c r="X288" s="306" t="s">
        <v>1013</v>
      </c>
      <c r="Y288" s="306" t="s">
        <v>1406</v>
      </c>
      <c r="Z288" s="306" t="s">
        <v>1015</v>
      </c>
      <c r="AA288" s="306" t="s">
        <v>1013</v>
      </c>
    </row>
    <row r="289" spans="1:27">
      <c r="A289" s="306" t="s">
        <v>494</v>
      </c>
      <c r="B289" s="306" t="s">
        <v>1003</v>
      </c>
      <c r="C289" s="306" t="s">
        <v>1004</v>
      </c>
      <c r="D289" s="306" t="s">
        <v>2435</v>
      </c>
      <c r="E289" s="306" t="s">
        <v>1533</v>
      </c>
      <c r="F289" s="306" t="s">
        <v>1007</v>
      </c>
      <c r="G289" s="308">
        <v>46017</v>
      </c>
      <c r="H289" s="308">
        <v>46017</v>
      </c>
      <c r="I289" s="309">
        <v>-398681.88</v>
      </c>
      <c r="J289" s="306" t="s">
        <v>1008</v>
      </c>
      <c r="K289" s="309">
        <v>-398681.88</v>
      </c>
      <c r="L289" s="306" t="s">
        <v>1008</v>
      </c>
      <c r="M289" s="306" t="s">
        <v>1534</v>
      </c>
      <c r="N289" s="306" t="s">
        <v>1535</v>
      </c>
      <c r="O289" s="306" t="s">
        <v>1536</v>
      </c>
      <c r="P289" s="306" t="s">
        <v>263</v>
      </c>
      <c r="Q289" s="306" t="s">
        <v>1013</v>
      </c>
      <c r="R289" s="306" t="s">
        <v>1013</v>
      </c>
      <c r="S289" s="306" t="s">
        <v>1013</v>
      </c>
      <c r="T289" s="306" t="s">
        <v>1013</v>
      </c>
      <c r="U289" s="306" t="s">
        <v>1013</v>
      </c>
      <c r="V289" s="306" t="s">
        <v>1013</v>
      </c>
      <c r="W289" s="306" t="s">
        <v>1013</v>
      </c>
      <c r="X289" s="306" t="s">
        <v>1013</v>
      </c>
      <c r="Y289" s="306" t="s">
        <v>1537</v>
      </c>
      <c r="Z289" s="306" t="s">
        <v>1015</v>
      </c>
      <c r="AA289" s="306" t="s">
        <v>1013</v>
      </c>
    </row>
    <row r="290" spans="1:27">
      <c r="A290" s="306" t="s">
        <v>494</v>
      </c>
      <c r="B290" s="306" t="s">
        <v>1003</v>
      </c>
      <c r="C290" s="306" t="s">
        <v>1004</v>
      </c>
      <c r="D290" s="306" t="s">
        <v>2435</v>
      </c>
      <c r="E290" s="306" t="s">
        <v>1538</v>
      </c>
      <c r="F290" s="306" t="s">
        <v>1007</v>
      </c>
      <c r="G290" s="308">
        <v>46017</v>
      </c>
      <c r="H290" s="308">
        <v>46017</v>
      </c>
      <c r="I290" s="309">
        <v>-174793.34</v>
      </c>
      <c r="J290" s="306" t="s">
        <v>1008</v>
      </c>
      <c r="K290" s="309">
        <v>-174793.34</v>
      </c>
      <c r="L290" s="306" t="s">
        <v>1008</v>
      </c>
      <c r="M290" s="306" t="s">
        <v>1534</v>
      </c>
      <c r="N290" s="306" t="s">
        <v>1535</v>
      </c>
      <c r="O290" s="306" t="s">
        <v>1539</v>
      </c>
      <c r="P290" s="306" t="s">
        <v>263</v>
      </c>
      <c r="Q290" s="306" t="s">
        <v>1013</v>
      </c>
      <c r="R290" s="306" t="s">
        <v>1013</v>
      </c>
      <c r="S290" s="306" t="s">
        <v>1013</v>
      </c>
      <c r="T290" s="306" t="s">
        <v>1013</v>
      </c>
      <c r="U290" s="306" t="s">
        <v>1013</v>
      </c>
      <c r="V290" s="306" t="s">
        <v>1013</v>
      </c>
      <c r="W290" s="306" t="s">
        <v>1013</v>
      </c>
      <c r="X290" s="306" t="s">
        <v>1013</v>
      </c>
      <c r="Y290" s="306" t="s">
        <v>1537</v>
      </c>
      <c r="Z290" s="306" t="s">
        <v>1015</v>
      </c>
      <c r="AA290" s="306" t="s">
        <v>1013</v>
      </c>
    </row>
    <row r="291" spans="1:27">
      <c r="A291" s="306" t="s">
        <v>494</v>
      </c>
      <c r="B291" s="306" t="s">
        <v>1003</v>
      </c>
      <c r="C291" s="306" t="s">
        <v>1004</v>
      </c>
      <c r="D291" s="306" t="s">
        <v>2435</v>
      </c>
      <c r="E291" s="306" t="s">
        <v>1540</v>
      </c>
      <c r="F291" s="306" t="s">
        <v>1007</v>
      </c>
      <c r="G291" s="308">
        <v>46017</v>
      </c>
      <c r="H291" s="308">
        <v>46017</v>
      </c>
      <c r="I291" s="309">
        <v>-1384384.96</v>
      </c>
      <c r="J291" s="306" t="s">
        <v>1008</v>
      </c>
      <c r="K291" s="309">
        <v>-1384384.96</v>
      </c>
      <c r="L291" s="306" t="s">
        <v>1008</v>
      </c>
      <c r="M291" s="306" t="s">
        <v>1534</v>
      </c>
      <c r="N291" s="306" t="s">
        <v>1535</v>
      </c>
      <c r="O291" s="306" t="s">
        <v>1541</v>
      </c>
      <c r="P291" s="306" t="s">
        <v>263</v>
      </c>
      <c r="Q291" s="306" t="s">
        <v>1013</v>
      </c>
      <c r="R291" s="306" t="s">
        <v>1013</v>
      </c>
      <c r="S291" s="306" t="s">
        <v>1013</v>
      </c>
      <c r="T291" s="306" t="s">
        <v>1013</v>
      </c>
      <c r="U291" s="306" t="s">
        <v>1013</v>
      </c>
      <c r="V291" s="306" t="s">
        <v>1013</v>
      </c>
      <c r="W291" s="306" t="s">
        <v>1013</v>
      </c>
      <c r="X291" s="306" t="s">
        <v>1013</v>
      </c>
      <c r="Y291" s="306" t="s">
        <v>1537</v>
      </c>
      <c r="Z291" s="306" t="s">
        <v>1015</v>
      </c>
      <c r="AA291" s="306" t="s">
        <v>1013</v>
      </c>
    </row>
    <row r="292" spans="1:27">
      <c r="A292" s="306" t="s">
        <v>494</v>
      </c>
      <c r="B292" s="306" t="s">
        <v>1003</v>
      </c>
      <c r="C292" s="306" t="s">
        <v>1004</v>
      </c>
      <c r="D292" s="306" t="s">
        <v>2435</v>
      </c>
      <c r="E292" s="306" t="s">
        <v>1542</v>
      </c>
      <c r="F292" s="306" t="s">
        <v>1007</v>
      </c>
      <c r="G292" s="308">
        <v>46017</v>
      </c>
      <c r="H292" s="308">
        <v>46017</v>
      </c>
      <c r="I292" s="309">
        <v>-48447.41</v>
      </c>
      <c r="J292" s="306" t="s">
        <v>1008</v>
      </c>
      <c r="K292" s="309">
        <v>-48447.41</v>
      </c>
      <c r="L292" s="306" t="s">
        <v>1008</v>
      </c>
      <c r="M292" s="306" t="s">
        <v>1534</v>
      </c>
      <c r="N292" s="306" t="s">
        <v>1535</v>
      </c>
      <c r="O292" s="306" t="s">
        <v>1543</v>
      </c>
      <c r="P292" s="306" t="s">
        <v>263</v>
      </c>
      <c r="Q292" s="306" t="s">
        <v>1013</v>
      </c>
      <c r="R292" s="306" t="s">
        <v>1013</v>
      </c>
      <c r="S292" s="306" t="s">
        <v>1013</v>
      </c>
      <c r="T292" s="306" t="s">
        <v>1013</v>
      </c>
      <c r="U292" s="306" t="s">
        <v>1013</v>
      </c>
      <c r="V292" s="306" t="s">
        <v>1013</v>
      </c>
      <c r="W292" s="306" t="s">
        <v>1013</v>
      </c>
      <c r="X292" s="306" t="s">
        <v>1013</v>
      </c>
      <c r="Y292" s="306" t="s">
        <v>1537</v>
      </c>
      <c r="Z292" s="306" t="s">
        <v>1015</v>
      </c>
      <c r="AA292" s="306" t="s">
        <v>1013</v>
      </c>
    </row>
    <row r="293" spans="1:27">
      <c r="A293" s="306" t="s">
        <v>494</v>
      </c>
      <c r="B293" s="306" t="s">
        <v>1003</v>
      </c>
      <c r="C293" s="306" t="s">
        <v>1004</v>
      </c>
      <c r="D293" s="306" t="s">
        <v>2435</v>
      </c>
      <c r="E293" s="306" t="s">
        <v>1544</v>
      </c>
      <c r="F293" s="306" t="s">
        <v>1007</v>
      </c>
      <c r="G293" s="308">
        <v>46017</v>
      </c>
      <c r="H293" s="308">
        <v>46017</v>
      </c>
      <c r="I293" s="309">
        <v>-426305.57</v>
      </c>
      <c r="J293" s="306" t="s">
        <v>1008</v>
      </c>
      <c r="K293" s="309">
        <v>-426305.57</v>
      </c>
      <c r="L293" s="306" t="s">
        <v>1008</v>
      </c>
      <c r="M293" s="306" t="s">
        <v>1534</v>
      </c>
      <c r="N293" s="306" t="s">
        <v>1535</v>
      </c>
      <c r="O293" s="306" t="s">
        <v>1545</v>
      </c>
      <c r="P293" s="306" t="s">
        <v>263</v>
      </c>
      <c r="Q293" s="306" t="s">
        <v>1013</v>
      </c>
      <c r="R293" s="306" t="s">
        <v>1013</v>
      </c>
      <c r="S293" s="306" t="s">
        <v>1013</v>
      </c>
      <c r="T293" s="306" t="s">
        <v>1013</v>
      </c>
      <c r="U293" s="306" t="s">
        <v>1013</v>
      </c>
      <c r="V293" s="306" t="s">
        <v>1013</v>
      </c>
      <c r="W293" s="306" t="s">
        <v>1013</v>
      </c>
      <c r="X293" s="306" t="s">
        <v>1013</v>
      </c>
      <c r="Y293" s="306" t="s">
        <v>1537</v>
      </c>
      <c r="Z293" s="306" t="s">
        <v>1015</v>
      </c>
      <c r="AA293" s="306" t="s">
        <v>1013</v>
      </c>
    </row>
    <row r="294" spans="1:27">
      <c r="A294" s="306" t="s">
        <v>494</v>
      </c>
      <c r="B294" s="306" t="s">
        <v>1003</v>
      </c>
      <c r="C294" s="306" t="s">
        <v>1004</v>
      </c>
      <c r="D294" s="306" t="s">
        <v>2435</v>
      </c>
      <c r="E294" s="306" t="s">
        <v>1546</v>
      </c>
      <c r="F294" s="306" t="s">
        <v>1007</v>
      </c>
      <c r="G294" s="308">
        <v>46017</v>
      </c>
      <c r="H294" s="308">
        <v>46017</v>
      </c>
      <c r="I294" s="309">
        <v>-949701.05</v>
      </c>
      <c r="J294" s="306" t="s">
        <v>1008</v>
      </c>
      <c r="K294" s="309">
        <v>-949701.05</v>
      </c>
      <c r="L294" s="306" t="s">
        <v>1008</v>
      </c>
      <c r="M294" s="306" t="s">
        <v>1534</v>
      </c>
      <c r="N294" s="306" t="s">
        <v>1535</v>
      </c>
      <c r="O294" s="306" t="s">
        <v>1547</v>
      </c>
      <c r="P294" s="306" t="s">
        <v>263</v>
      </c>
      <c r="Q294" s="306" t="s">
        <v>1013</v>
      </c>
      <c r="R294" s="306" t="s">
        <v>1013</v>
      </c>
      <c r="S294" s="306" t="s">
        <v>1013</v>
      </c>
      <c r="T294" s="306" t="s">
        <v>1013</v>
      </c>
      <c r="U294" s="306" t="s">
        <v>1013</v>
      </c>
      <c r="V294" s="306" t="s">
        <v>1013</v>
      </c>
      <c r="W294" s="306" t="s">
        <v>1013</v>
      </c>
      <c r="X294" s="306" t="s">
        <v>1013</v>
      </c>
      <c r="Y294" s="306" t="s">
        <v>1537</v>
      </c>
      <c r="Z294" s="306" t="s">
        <v>1015</v>
      </c>
      <c r="AA294" s="306" t="s">
        <v>1013</v>
      </c>
    </row>
    <row r="295" spans="1:27">
      <c r="A295" s="306" t="s">
        <v>494</v>
      </c>
      <c r="B295" s="306" t="s">
        <v>1003</v>
      </c>
      <c r="C295" s="306" t="s">
        <v>1004</v>
      </c>
      <c r="D295" s="306" t="s">
        <v>2435</v>
      </c>
      <c r="E295" s="306" t="s">
        <v>1548</v>
      </c>
      <c r="F295" s="306" t="s">
        <v>1007</v>
      </c>
      <c r="G295" s="308">
        <v>46017</v>
      </c>
      <c r="H295" s="308">
        <v>46017</v>
      </c>
      <c r="I295" s="309">
        <v>-201882.52</v>
      </c>
      <c r="J295" s="306" t="s">
        <v>1008</v>
      </c>
      <c r="K295" s="309">
        <v>-201882.52</v>
      </c>
      <c r="L295" s="306" t="s">
        <v>1008</v>
      </c>
      <c r="M295" s="306" t="s">
        <v>1534</v>
      </c>
      <c r="N295" s="306" t="s">
        <v>1535</v>
      </c>
      <c r="O295" s="306" t="s">
        <v>1549</v>
      </c>
      <c r="P295" s="306" t="s">
        <v>263</v>
      </c>
      <c r="Q295" s="306" t="s">
        <v>1013</v>
      </c>
      <c r="R295" s="306" t="s">
        <v>1013</v>
      </c>
      <c r="S295" s="306" t="s">
        <v>1013</v>
      </c>
      <c r="T295" s="306" t="s">
        <v>1013</v>
      </c>
      <c r="U295" s="306" t="s">
        <v>1013</v>
      </c>
      <c r="V295" s="306" t="s">
        <v>1013</v>
      </c>
      <c r="W295" s="306" t="s">
        <v>1013</v>
      </c>
      <c r="X295" s="306" t="s">
        <v>1013</v>
      </c>
      <c r="Y295" s="306" t="s">
        <v>1537</v>
      </c>
      <c r="Z295" s="306" t="s">
        <v>1015</v>
      </c>
      <c r="AA295" s="306" t="s">
        <v>1013</v>
      </c>
    </row>
    <row r="296" spans="1:27">
      <c r="A296" s="306" t="s">
        <v>494</v>
      </c>
      <c r="B296" s="306" t="s">
        <v>1003</v>
      </c>
      <c r="C296" s="306" t="s">
        <v>1004</v>
      </c>
      <c r="D296" s="306" t="s">
        <v>2435</v>
      </c>
      <c r="E296" s="306" t="s">
        <v>1550</v>
      </c>
      <c r="F296" s="306" t="s">
        <v>1007</v>
      </c>
      <c r="G296" s="308">
        <v>46017</v>
      </c>
      <c r="H296" s="308">
        <v>46017</v>
      </c>
      <c r="I296" s="309">
        <v>-295560.11</v>
      </c>
      <c r="J296" s="306" t="s">
        <v>1008</v>
      </c>
      <c r="K296" s="309">
        <v>-295560.11</v>
      </c>
      <c r="L296" s="306" t="s">
        <v>1008</v>
      </c>
      <c r="M296" s="306" t="s">
        <v>1534</v>
      </c>
      <c r="N296" s="306" t="s">
        <v>1535</v>
      </c>
      <c r="O296" s="306" t="s">
        <v>1551</v>
      </c>
      <c r="P296" s="306" t="s">
        <v>263</v>
      </c>
      <c r="Q296" s="306" t="s">
        <v>1013</v>
      </c>
      <c r="R296" s="306" t="s">
        <v>1013</v>
      </c>
      <c r="S296" s="306" t="s">
        <v>1013</v>
      </c>
      <c r="T296" s="306" t="s">
        <v>1013</v>
      </c>
      <c r="U296" s="306" t="s">
        <v>1013</v>
      </c>
      <c r="V296" s="306" t="s">
        <v>1013</v>
      </c>
      <c r="W296" s="306" t="s">
        <v>1013</v>
      </c>
      <c r="X296" s="306" t="s">
        <v>1013</v>
      </c>
      <c r="Y296" s="306" t="s">
        <v>1537</v>
      </c>
      <c r="Z296" s="306" t="s">
        <v>1015</v>
      </c>
      <c r="AA296" s="306" t="s">
        <v>1013</v>
      </c>
    </row>
    <row r="297" spans="1:27">
      <c r="A297" s="306" t="s">
        <v>494</v>
      </c>
      <c r="B297" s="306" t="s">
        <v>1003</v>
      </c>
      <c r="C297" s="306" t="s">
        <v>1004</v>
      </c>
      <c r="D297" s="306" t="s">
        <v>2435</v>
      </c>
      <c r="E297" s="306" t="s">
        <v>1552</v>
      </c>
      <c r="F297" s="306" t="s">
        <v>1007</v>
      </c>
      <c r="G297" s="308">
        <v>46017</v>
      </c>
      <c r="H297" s="308">
        <v>46017</v>
      </c>
      <c r="I297" s="309">
        <v>-581173.57999999996</v>
      </c>
      <c r="J297" s="306" t="s">
        <v>1008</v>
      </c>
      <c r="K297" s="309">
        <v>-581173.57999999996</v>
      </c>
      <c r="L297" s="306" t="s">
        <v>1008</v>
      </c>
      <c r="M297" s="306" t="s">
        <v>1553</v>
      </c>
      <c r="N297" s="306" t="s">
        <v>1535</v>
      </c>
      <c r="O297" s="306" t="s">
        <v>1554</v>
      </c>
      <c r="P297" s="306" t="s">
        <v>263</v>
      </c>
      <c r="Q297" s="306" t="s">
        <v>1013</v>
      </c>
      <c r="R297" s="306" t="s">
        <v>1013</v>
      </c>
      <c r="S297" s="306" t="s">
        <v>1013</v>
      </c>
      <c r="T297" s="306" t="s">
        <v>1013</v>
      </c>
      <c r="U297" s="306" t="s">
        <v>1013</v>
      </c>
      <c r="V297" s="306" t="s">
        <v>1013</v>
      </c>
      <c r="W297" s="306" t="s">
        <v>1013</v>
      </c>
      <c r="X297" s="306" t="s">
        <v>1013</v>
      </c>
      <c r="Y297" s="306" t="s">
        <v>1537</v>
      </c>
      <c r="Z297" s="306" t="s">
        <v>1015</v>
      </c>
      <c r="AA297" s="306" t="s">
        <v>1013</v>
      </c>
    </row>
    <row r="298" spans="1:27">
      <c r="A298" s="306" t="s">
        <v>494</v>
      </c>
      <c r="B298" s="306" t="s">
        <v>1003</v>
      </c>
      <c r="C298" s="306" t="s">
        <v>1004</v>
      </c>
      <c r="D298" s="306" t="s">
        <v>2435</v>
      </c>
      <c r="E298" s="306" t="s">
        <v>1555</v>
      </c>
      <c r="F298" s="306" t="s">
        <v>1007</v>
      </c>
      <c r="G298" s="308">
        <v>46017</v>
      </c>
      <c r="H298" s="308">
        <v>46017</v>
      </c>
      <c r="I298" s="309">
        <v>-688507.38</v>
      </c>
      <c r="J298" s="306" t="s">
        <v>1008</v>
      </c>
      <c r="K298" s="309">
        <v>-688507.38</v>
      </c>
      <c r="L298" s="306" t="s">
        <v>1008</v>
      </c>
      <c r="M298" s="306" t="s">
        <v>1553</v>
      </c>
      <c r="N298" s="306" t="s">
        <v>1535</v>
      </c>
      <c r="O298" s="306" t="s">
        <v>1556</v>
      </c>
      <c r="P298" s="306" t="s">
        <v>263</v>
      </c>
      <c r="Q298" s="306" t="s">
        <v>1013</v>
      </c>
      <c r="R298" s="306" t="s">
        <v>1013</v>
      </c>
      <c r="S298" s="306" t="s">
        <v>1013</v>
      </c>
      <c r="T298" s="306" t="s">
        <v>1013</v>
      </c>
      <c r="U298" s="306" t="s">
        <v>1013</v>
      </c>
      <c r="V298" s="306" t="s">
        <v>1013</v>
      </c>
      <c r="W298" s="306" t="s">
        <v>1013</v>
      </c>
      <c r="X298" s="306" t="s">
        <v>1013</v>
      </c>
      <c r="Y298" s="306" t="s">
        <v>1537</v>
      </c>
      <c r="Z298" s="306" t="s">
        <v>1015</v>
      </c>
      <c r="AA298" s="306" t="s">
        <v>1013</v>
      </c>
    </row>
    <row r="299" spans="1:27">
      <c r="A299" s="306" t="s">
        <v>494</v>
      </c>
      <c r="B299" s="306" t="s">
        <v>1003</v>
      </c>
      <c r="C299" s="306" t="s">
        <v>1004</v>
      </c>
      <c r="D299" s="306" t="s">
        <v>2435</v>
      </c>
      <c r="E299" s="306" t="s">
        <v>1557</v>
      </c>
      <c r="F299" s="306" t="s">
        <v>1007</v>
      </c>
      <c r="G299" s="308">
        <v>46017</v>
      </c>
      <c r="H299" s="308">
        <v>46017</v>
      </c>
      <c r="I299" s="309">
        <v>-2403.3000000000002</v>
      </c>
      <c r="J299" s="306" t="s">
        <v>1008</v>
      </c>
      <c r="K299" s="309">
        <v>-2403.3000000000002</v>
      </c>
      <c r="L299" s="306" t="s">
        <v>1008</v>
      </c>
      <c r="M299" s="306" t="s">
        <v>1534</v>
      </c>
      <c r="N299" s="306" t="s">
        <v>1535</v>
      </c>
      <c r="O299" s="306" t="s">
        <v>1558</v>
      </c>
      <c r="P299" s="306" t="s">
        <v>263</v>
      </c>
      <c r="Q299" s="306" t="s">
        <v>1013</v>
      </c>
      <c r="R299" s="306" t="s">
        <v>1013</v>
      </c>
      <c r="S299" s="306" t="s">
        <v>1013</v>
      </c>
      <c r="T299" s="306" t="s">
        <v>1013</v>
      </c>
      <c r="U299" s="306" t="s">
        <v>1013</v>
      </c>
      <c r="V299" s="306" t="s">
        <v>1013</v>
      </c>
      <c r="W299" s="306" t="s">
        <v>1013</v>
      </c>
      <c r="X299" s="306" t="s">
        <v>1013</v>
      </c>
      <c r="Y299" s="306" t="s">
        <v>1537</v>
      </c>
      <c r="Z299" s="306" t="s">
        <v>1015</v>
      </c>
      <c r="AA299" s="306" t="s">
        <v>1013</v>
      </c>
    </row>
    <row r="300" spans="1:27">
      <c r="A300" s="306" t="s">
        <v>494</v>
      </c>
      <c r="B300" s="306" t="s">
        <v>1003</v>
      </c>
      <c r="C300" s="306" t="s">
        <v>1004</v>
      </c>
      <c r="D300" s="306" t="s">
        <v>2435</v>
      </c>
      <c r="E300" s="306" t="s">
        <v>1559</v>
      </c>
      <c r="F300" s="306" t="s">
        <v>1007</v>
      </c>
      <c r="G300" s="308">
        <v>46017</v>
      </c>
      <c r="H300" s="308">
        <v>46017</v>
      </c>
      <c r="I300" s="309">
        <v>-10155.379999999999</v>
      </c>
      <c r="J300" s="306" t="s">
        <v>1008</v>
      </c>
      <c r="K300" s="309">
        <v>-10155.379999999999</v>
      </c>
      <c r="L300" s="306" t="s">
        <v>1008</v>
      </c>
      <c r="M300" s="306" t="s">
        <v>1534</v>
      </c>
      <c r="N300" s="306" t="s">
        <v>1535</v>
      </c>
      <c r="O300" s="306" t="s">
        <v>1560</v>
      </c>
      <c r="P300" s="306" t="s">
        <v>263</v>
      </c>
      <c r="Q300" s="306" t="s">
        <v>1013</v>
      </c>
      <c r="R300" s="306" t="s">
        <v>1013</v>
      </c>
      <c r="S300" s="306" t="s">
        <v>1013</v>
      </c>
      <c r="T300" s="306" t="s">
        <v>1013</v>
      </c>
      <c r="U300" s="306" t="s">
        <v>1013</v>
      </c>
      <c r="V300" s="306" t="s">
        <v>1013</v>
      </c>
      <c r="W300" s="306" t="s">
        <v>1013</v>
      </c>
      <c r="X300" s="306" t="s">
        <v>1013</v>
      </c>
      <c r="Y300" s="306" t="s">
        <v>1537</v>
      </c>
      <c r="Z300" s="306" t="s">
        <v>1015</v>
      </c>
      <c r="AA300" s="306" t="s">
        <v>1013</v>
      </c>
    </row>
    <row r="301" spans="1:27">
      <c r="A301" s="306" t="s">
        <v>494</v>
      </c>
      <c r="B301" s="306" t="s">
        <v>1003</v>
      </c>
      <c r="C301" s="306" t="s">
        <v>1004</v>
      </c>
      <c r="D301" s="306" t="s">
        <v>2435</v>
      </c>
      <c r="E301" s="306" t="s">
        <v>1561</v>
      </c>
      <c r="F301" s="306" t="s">
        <v>1007</v>
      </c>
      <c r="G301" s="308">
        <v>46017</v>
      </c>
      <c r="H301" s="308">
        <v>46017</v>
      </c>
      <c r="I301" s="309">
        <v>-292.43</v>
      </c>
      <c r="J301" s="306" t="s">
        <v>1008</v>
      </c>
      <c r="K301" s="309">
        <v>-292.43</v>
      </c>
      <c r="L301" s="306" t="s">
        <v>1008</v>
      </c>
      <c r="M301" s="306" t="s">
        <v>1562</v>
      </c>
      <c r="N301" s="306" t="s">
        <v>1535</v>
      </c>
      <c r="O301" s="306" t="s">
        <v>1563</v>
      </c>
      <c r="P301" s="306" t="s">
        <v>263</v>
      </c>
      <c r="Q301" s="306" t="s">
        <v>1013</v>
      </c>
      <c r="R301" s="306" t="s">
        <v>1013</v>
      </c>
      <c r="S301" s="306" t="s">
        <v>1013</v>
      </c>
      <c r="T301" s="306" t="s">
        <v>1013</v>
      </c>
      <c r="U301" s="306" t="s">
        <v>1013</v>
      </c>
      <c r="V301" s="306" t="s">
        <v>1013</v>
      </c>
      <c r="W301" s="306" t="s">
        <v>1013</v>
      </c>
      <c r="X301" s="306" t="s">
        <v>1013</v>
      </c>
      <c r="Y301" s="306" t="s">
        <v>1537</v>
      </c>
      <c r="Z301" s="306" t="s">
        <v>1015</v>
      </c>
      <c r="AA301" s="306" t="s">
        <v>1013</v>
      </c>
    </row>
    <row r="302" spans="1:27">
      <c r="A302" s="306" t="s">
        <v>494</v>
      </c>
      <c r="B302" s="306" t="s">
        <v>1003</v>
      </c>
      <c r="C302" s="306" t="s">
        <v>1004</v>
      </c>
      <c r="D302" s="306" t="s">
        <v>2435</v>
      </c>
      <c r="E302" s="306" t="s">
        <v>1564</v>
      </c>
      <c r="F302" s="306" t="s">
        <v>1007</v>
      </c>
      <c r="G302" s="308">
        <v>46017</v>
      </c>
      <c r="H302" s="308">
        <v>46017</v>
      </c>
      <c r="I302" s="309">
        <v>-20935.82</v>
      </c>
      <c r="J302" s="306" t="s">
        <v>1008</v>
      </c>
      <c r="K302" s="309">
        <v>-20935.82</v>
      </c>
      <c r="L302" s="306" t="s">
        <v>1008</v>
      </c>
      <c r="M302" s="306" t="s">
        <v>1534</v>
      </c>
      <c r="N302" s="306" t="s">
        <v>1535</v>
      </c>
      <c r="O302" s="306" t="s">
        <v>1565</v>
      </c>
      <c r="P302" s="306" t="s">
        <v>263</v>
      </c>
      <c r="Q302" s="306" t="s">
        <v>1013</v>
      </c>
      <c r="R302" s="306" t="s">
        <v>1013</v>
      </c>
      <c r="S302" s="306" t="s">
        <v>1013</v>
      </c>
      <c r="T302" s="306" t="s">
        <v>1013</v>
      </c>
      <c r="U302" s="306" t="s">
        <v>1013</v>
      </c>
      <c r="V302" s="306" t="s">
        <v>1013</v>
      </c>
      <c r="W302" s="306" t="s">
        <v>1013</v>
      </c>
      <c r="X302" s="306" t="s">
        <v>1013</v>
      </c>
      <c r="Y302" s="306" t="s">
        <v>1537</v>
      </c>
      <c r="Z302" s="306" t="s">
        <v>1015</v>
      </c>
      <c r="AA302" s="306" t="s">
        <v>1013</v>
      </c>
    </row>
    <row r="303" spans="1:27">
      <c r="A303" s="306" t="s">
        <v>494</v>
      </c>
      <c r="B303" s="306" t="s">
        <v>1003</v>
      </c>
      <c r="C303" s="306" t="s">
        <v>1004</v>
      </c>
      <c r="D303" s="306" t="s">
        <v>2435</v>
      </c>
      <c r="E303" s="306" t="s">
        <v>1566</v>
      </c>
      <c r="F303" s="306" t="s">
        <v>1007</v>
      </c>
      <c r="G303" s="308">
        <v>46017</v>
      </c>
      <c r="H303" s="308">
        <v>46017</v>
      </c>
      <c r="I303" s="309">
        <v>-65799.820000000007</v>
      </c>
      <c r="J303" s="306" t="s">
        <v>1008</v>
      </c>
      <c r="K303" s="309">
        <v>-65799.820000000007</v>
      </c>
      <c r="L303" s="306" t="s">
        <v>1008</v>
      </c>
      <c r="M303" s="306" t="s">
        <v>1534</v>
      </c>
      <c r="N303" s="306" t="s">
        <v>1535</v>
      </c>
      <c r="O303" s="306" t="s">
        <v>1567</v>
      </c>
      <c r="P303" s="306" t="s">
        <v>263</v>
      </c>
      <c r="Q303" s="306" t="s">
        <v>1013</v>
      </c>
      <c r="R303" s="306" t="s">
        <v>1013</v>
      </c>
      <c r="S303" s="306" t="s">
        <v>1013</v>
      </c>
      <c r="T303" s="306" t="s">
        <v>1013</v>
      </c>
      <c r="U303" s="306" t="s">
        <v>1013</v>
      </c>
      <c r="V303" s="306" t="s">
        <v>1013</v>
      </c>
      <c r="W303" s="306" t="s">
        <v>1013</v>
      </c>
      <c r="X303" s="306" t="s">
        <v>1013</v>
      </c>
      <c r="Y303" s="306" t="s">
        <v>1537</v>
      </c>
      <c r="Z303" s="306" t="s">
        <v>1015</v>
      </c>
      <c r="AA303" s="306" t="s">
        <v>1013</v>
      </c>
    </row>
    <row r="304" spans="1:27">
      <c r="A304" s="306" t="s">
        <v>494</v>
      </c>
      <c r="B304" s="306" t="s">
        <v>1003</v>
      </c>
      <c r="C304" s="306" t="s">
        <v>1004</v>
      </c>
      <c r="D304" s="306" t="s">
        <v>2435</v>
      </c>
      <c r="E304" s="306" t="s">
        <v>1568</v>
      </c>
      <c r="F304" s="306" t="s">
        <v>1007</v>
      </c>
      <c r="G304" s="308">
        <v>46017</v>
      </c>
      <c r="H304" s="308">
        <v>46017</v>
      </c>
      <c r="I304" s="309">
        <v>-85996.98</v>
      </c>
      <c r="J304" s="306" t="s">
        <v>1008</v>
      </c>
      <c r="K304" s="309">
        <v>-85996.98</v>
      </c>
      <c r="L304" s="306" t="s">
        <v>1008</v>
      </c>
      <c r="M304" s="306" t="s">
        <v>1534</v>
      </c>
      <c r="N304" s="306" t="s">
        <v>1535</v>
      </c>
      <c r="O304" s="306" t="s">
        <v>1569</v>
      </c>
      <c r="P304" s="306" t="s">
        <v>263</v>
      </c>
      <c r="Q304" s="306" t="s">
        <v>1013</v>
      </c>
      <c r="R304" s="306" t="s">
        <v>1013</v>
      </c>
      <c r="S304" s="306" t="s">
        <v>1013</v>
      </c>
      <c r="T304" s="306" t="s">
        <v>1013</v>
      </c>
      <c r="U304" s="306" t="s">
        <v>1013</v>
      </c>
      <c r="V304" s="306" t="s">
        <v>1013</v>
      </c>
      <c r="W304" s="306" t="s">
        <v>1013</v>
      </c>
      <c r="X304" s="306" t="s">
        <v>1013</v>
      </c>
      <c r="Y304" s="306" t="s">
        <v>1537</v>
      </c>
      <c r="Z304" s="306" t="s">
        <v>1015</v>
      </c>
      <c r="AA304" s="306" t="s">
        <v>1013</v>
      </c>
    </row>
    <row r="305" spans="1:27">
      <c r="A305" s="306" t="s">
        <v>494</v>
      </c>
      <c r="B305" s="306" t="s">
        <v>1003</v>
      </c>
      <c r="C305" s="306" t="s">
        <v>1004</v>
      </c>
      <c r="D305" s="306" t="s">
        <v>2435</v>
      </c>
      <c r="E305" s="306" t="s">
        <v>1570</v>
      </c>
      <c r="F305" s="306" t="s">
        <v>1007</v>
      </c>
      <c r="G305" s="308">
        <v>46017</v>
      </c>
      <c r="H305" s="308">
        <v>46017</v>
      </c>
      <c r="I305" s="309">
        <v>-109954.1</v>
      </c>
      <c r="J305" s="306" t="s">
        <v>1008</v>
      </c>
      <c r="K305" s="309">
        <v>-109954.1</v>
      </c>
      <c r="L305" s="306" t="s">
        <v>1008</v>
      </c>
      <c r="M305" s="306" t="s">
        <v>1534</v>
      </c>
      <c r="N305" s="306" t="s">
        <v>1535</v>
      </c>
      <c r="O305" s="306" t="s">
        <v>1571</v>
      </c>
      <c r="P305" s="306" t="s">
        <v>263</v>
      </c>
      <c r="Q305" s="306" t="s">
        <v>1013</v>
      </c>
      <c r="R305" s="306" t="s">
        <v>1013</v>
      </c>
      <c r="S305" s="306" t="s">
        <v>1013</v>
      </c>
      <c r="T305" s="306" t="s">
        <v>1013</v>
      </c>
      <c r="U305" s="306" t="s">
        <v>1013</v>
      </c>
      <c r="V305" s="306" t="s">
        <v>1013</v>
      </c>
      <c r="W305" s="306" t="s">
        <v>1013</v>
      </c>
      <c r="X305" s="306" t="s">
        <v>1013</v>
      </c>
      <c r="Y305" s="306" t="s">
        <v>1537</v>
      </c>
      <c r="Z305" s="306" t="s">
        <v>1015</v>
      </c>
      <c r="AA305" s="306" t="s">
        <v>1013</v>
      </c>
    </row>
    <row r="306" spans="1:27">
      <c r="A306" s="306" t="s">
        <v>494</v>
      </c>
      <c r="B306" s="306" t="s">
        <v>1003</v>
      </c>
      <c r="C306" s="306" t="s">
        <v>1004</v>
      </c>
      <c r="D306" s="306" t="s">
        <v>2435</v>
      </c>
      <c r="E306" s="306" t="s">
        <v>1572</v>
      </c>
      <c r="F306" s="306" t="s">
        <v>1007</v>
      </c>
      <c r="G306" s="308">
        <v>46017</v>
      </c>
      <c r="H306" s="308">
        <v>46017</v>
      </c>
      <c r="I306" s="309">
        <v>-117.89</v>
      </c>
      <c r="J306" s="306" t="s">
        <v>1008</v>
      </c>
      <c r="K306" s="309">
        <v>-117.89</v>
      </c>
      <c r="L306" s="306" t="s">
        <v>1008</v>
      </c>
      <c r="M306" s="306" t="s">
        <v>1562</v>
      </c>
      <c r="N306" s="306" t="s">
        <v>1535</v>
      </c>
      <c r="O306" s="306" t="s">
        <v>1573</v>
      </c>
      <c r="P306" s="306" t="s">
        <v>263</v>
      </c>
      <c r="Q306" s="306" t="s">
        <v>1013</v>
      </c>
      <c r="R306" s="306" t="s">
        <v>1013</v>
      </c>
      <c r="S306" s="306" t="s">
        <v>1013</v>
      </c>
      <c r="T306" s="306" t="s">
        <v>1013</v>
      </c>
      <c r="U306" s="306" t="s">
        <v>1013</v>
      </c>
      <c r="V306" s="306" t="s">
        <v>1013</v>
      </c>
      <c r="W306" s="306" t="s">
        <v>1013</v>
      </c>
      <c r="X306" s="306" t="s">
        <v>1013</v>
      </c>
      <c r="Y306" s="306" t="s">
        <v>1537</v>
      </c>
      <c r="Z306" s="306" t="s">
        <v>1015</v>
      </c>
      <c r="AA306" s="306" t="s">
        <v>1013</v>
      </c>
    </row>
    <row r="307" spans="1:27">
      <c r="A307" s="306" t="s">
        <v>494</v>
      </c>
      <c r="B307" s="306" t="s">
        <v>1003</v>
      </c>
      <c r="C307" s="306" t="s">
        <v>1004</v>
      </c>
      <c r="D307" s="306" t="s">
        <v>2435</v>
      </c>
      <c r="E307" s="306" t="s">
        <v>1574</v>
      </c>
      <c r="F307" s="306" t="s">
        <v>1007</v>
      </c>
      <c r="G307" s="308">
        <v>46017</v>
      </c>
      <c r="H307" s="308">
        <v>46017</v>
      </c>
      <c r="I307" s="309">
        <v>-1572.54</v>
      </c>
      <c r="J307" s="306" t="s">
        <v>1008</v>
      </c>
      <c r="K307" s="309">
        <v>-1572.54</v>
      </c>
      <c r="L307" s="306" t="s">
        <v>1008</v>
      </c>
      <c r="M307" s="306" t="s">
        <v>1575</v>
      </c>
      <c r="N307" s="306" t="s">
        <v>1535</v>
      </c>
      <c r="O307" s="306" t="s">
        <v>1576</v>
      </c>
      <c r="P307" s="306" t="s">
        <v>263</v>
      </c>
      <c r="Q307" s="306" t="s">
        <v>1013</v>
      </c>
      <c r="R307" s="306" t="s">
        <v>1013</v>
      </c>
      <c r="S307" s="306" t="s">
        <v>1013</v>
      </c>
      <c r="T307" s="306" t="s">
        <v>1013</v>
      </c>
      <c r="U307" s="306" t="s">
        <v>1013</v>
      </c>
      <c r="V307" s="306" t="s">
        <v>1013</v>
      </c>
      <c r="W307" s="306" t="s">
        <v>1013</v>
      </c>
      <c r="X307" s="306" t="s">
        <v>1013</v>
      </c>
      <c r="Y307" s="306" t="s">
        <v>1537</v>
      </c>
      <c r="Z307" s="306" t="s">
        <v>1015</v>
      </c>
      <c r="AA307" s="306" t="s">
        <v>1013</v>
      </c>
    </row>
    <row r="308" spans="1:27">
      <c r="A308" s="306" t="s">
        <v>494</v>
      </c>
      <c r="B308" s="306" t="s">
        <v>1003</v>
      </c>
      <c r="C308" s="306" t="s">
        <v>1004</v>
      </c>
      <c r="D308" s="306" t="s">
        <v>2435</v>
      </c>
      <c r="E308" s="306" t="s">
        <v>1577</v>
      </c>
      <c r="F308" s="306" t="s">
        <v>1007</v>
      </c>
      <c r="G308" s="308">
        <v>46017</v>
      </c>
      <c r="H308" s="308">
        <v>46017</v>
      </c>
      <c r="I308" s="309">
        <v>-8956.31</v>
      </c>
      <c r="J308" s="306" t="s">
        <v>1008</v>
      </c>
      <c r="K308" s="309">
        <v>-8956.31</v>
      </c>
      <c r="L308" s="306" t="s">
        <v>1008</v>
      </c>
      <c r="M308" s="306" t="s">
        <v>1553</v>
      </c>
      <c r="N308" s="306" t="s">
        <v>1535</v>
      </c>
      <c r="O308" s="306" t="s">
        <v>1578</v>
      </c>
      <c r="P308" s="306" t="s">
        <v>263</v>
      </c>
      <c r="Q308" s="306" t="s">
        <v>1013</v>
      </c>
      <c r="R308" s="306" t="s">
        <v>1013</v>
      </c>
      <c r="S308" s="306" t="s">
        <v>1013</v>
      </c>
      <c r="T308" s="306" t="s">
        <v>1013</v>
      </c>
      <c r="U308" s="306" t="s">
        <v>1013</v>
      </c>
      <c r="V308" s="306" t="s">
        <v>1013</v>
      </c>
      <c r="W308" s="306" t="s">
        <v>1013</v>
      </c>
      <c r="X308" s="306" t="s">
        <v>1013</v>
      </c>
      <c r="Y308" s="306" t="s">
        <v>1537</v>
      </c>
      <c r="Z308" s="306" t="s">
        <v>1015</v>
      </c>
      <c r="AA308" s="306" t="s">
        <v>1013</v>
      </c>
    </row>
    <row r="309" spans="1:27">
      <c r="A309" s="306" t="s">
        <v>494</v>
      </c>
      <c r="B309" s="306" t="s">
        <v>1003</v>
      </c>
      <c r="C309" s="306" t="s">
        <v>1004</v>
      </c>
      <c r="D309" s="306" t="s">
        <v>2435</v>
      </c>
      <c r="E309" s="306" t="s">
        <v>1579</v>
      </c>
      <c r="F309" s="306" t="s">
        <v>1007</v>
      </c>
      <c r="G309" s="308">
        <v>46017</v>
      </c>
      <c r="H309" s="308">
        <v>46017</v>
      </c>
      <c r="I309" s="309">
        <v>-1864.73</v>
      </c>
      <c r="J309" s="306" t="s">
        <v>1008</v>
      </c>
      <c r="K309" s="309">
        <v>-1864.73</v>
      </c>
      <c r="L309" s="306" t="s">
        <v>1008</v>
      </c>
      <c r="M309" s="306" t="s">
        <v>1562</v>
      </c>
      <c r="N309" s="306" t="s">
        <v>1535</v>
      </c>
      <c r="O309" s="306" t="s">
        <v>1580</v>
      </c>
      <c r="P309" s="306" t="s">
        <v>263</v>
      </c>
      <c r="Q309" s="306" t="s">
        <v>1013</v>
      </c>
      <c r="R309" s="306" t="s">
        <v>1013</v>
      </c>
      <c r="S309" s="306" t="s">
        <v>1013</v>
      </c>
      <c r="T309" s="306" t="s">
        <v>1013</v>
      </c>
      <c r="U309" s="306" t="s">
        <v>1013</v>
      </c>
      <c r="V309" s="306" t="s">
        <v>1013</v>
      </c>
      <c r="W309" s="306" t="s">
        <v>1013</v>
      </c>
      <c r="X309" s="306" t="s">
        <v>1013</v>
      </c>
      <c r="Y309" s="306" t="s">
        <v>1537</v>
      </c>
      <c r="Z309" s="306" t="s">
        <v>1015</v>
      </c>
      <c r="AA309" s="306" t="s">
        <v>1013</v>
      </c>
    </row>
    <row r="310" spans="1:27">
      <c r="A310" s="306" t="s">
        <v>494</v>
      </c>
      <c r="B310" s="306" t="s">
        <v>1003</v>
      </c>
      <c r="C310" s="306" t="s">
        <v>1004</v>
      </c>
      <c r="D310" s="306" t="s">
        <v>2435</v>
      </c>
      <c r="E310" s="306" t="s">
        <v>1581</v>
      </c>
      <c r="F310" s="306" t="s">
        <v>1007</v>
      </c>
      <c r="G310" s="308">
        <v>46017</v>
      </c>
      <c r="H310" s="308">
        <v>46017</v>
      </c>
      <c r="I310" s="309">
        <v>-3844.05</v>
      </c>
      <c r="J310" s="306" t="s">
        <v>1008</v>
      </c>
      <c r="K310" s="309">
        <v>-3844.05</v>
      </c>
      <c r="L310" s="306" t="s">
        <v>1008</v>
      </c>
      <c r="M310" s="306" t="s">
        <v>1553</v>
      </c>
      <c r="N310" s="306" t="s">
        <v>1535</v>
      </c>
      <c r="O310" s="306" t="s">
        <v>1582</v>
      </c>
      <c r="P310" s="306" t="s">
        <v>263</v>
      </c>
      <c r="Q310" s="306" t="s">
        <v>1013</v>
      </c>
      <c r="R310" s="306" t="s">
        <v>1013</v>
      </c>
      <c r="S310" s="306" t="s">
        <v>1013</v>
      </c>
      <c r="T310" s="306" t="s">
        <v>1013</v>
      </c>
      <c r="U310" s="306" t="s">
        <v>1013</v>
      </c>
      <c r="V310" s="306" t="s">
        <v>1013</v>
      </c>
      <c r="W310" s="306" t="s">
        <v>1013</v>
      </c>
      <c r="X310" s="306" t="s">
        <v>1013</v>
      </c>
      <c r="Y310" s="306" t="s">
        <v>1537</v>
      </c>
      <c r="Z310" s="306" t="s">
        <v>1015</v>
      </c>
      <c r="AA310" s="306" t="s">
        <v>1013</v>
      </c>
    </row>
    <row r="311" spans="1:27">
      <c r="A311" s="306" t="s">
        <v>494</v>
      </c>
      <c r="B311" s="306" t="s">
        <v>1003</v>
      </c>
      <c r="C311" s="306" t="s">
        <v>1004</v>
      </c>
      <c r="D311" s="306" t="s">
        <v>2435</v>
      </c>
      <c r="E311" s="306" t="s">
        <v>1583</v>
      </c>
      <c r="F311" s="306" t="s">
        <v>1007</v>
      </c>
      <c r="G311" s="308">
        <v>46017</v>
      </c>
      <c r="H311" s="308">
        <v>46017</v>
      </c>
      <c r="I311" s="309">
        <v>-14774.72</v>
      </c>
      <c r="J311" s="306" t="s">
        <v>1008</v>
      </c>
      <c r="K311" s="309">
        <v>-14774.72</v>
      </c>
      <c r="L311" s="306" t="s">
        <v>1008</v>
      </c>
      <c r="M311" s="306" t="s">
        <v>1562</v>
      </c>
      <c r="N311" s="306" t="s">
        <v>1535</v>
      </c>
      <c r="O311" s="306" t="s">
        <v>1584</v>
      </c>
      <c r="P311" s="306" t="s">
        <v>263</v>
      </c>
      <c r="Q311" s="306" t="s">
        <v>1013</v>
      </c>
      <c r="R311" s="306" t="s">
        <v>1013</v>
      </c>
      <c r="S311" s="306" t="s">
        <v>1013</v>
      </c>
      <c r="T311" s="306" t="s">
        <v>1013</v>
      </c>
      <c r="U311" s="306" t="s">
        <v>1013</v>
      </c>
      <c r="V311" s="306" t="s">
        <v>1013</v>
      </c>
      <c r="W311" s="306" t="s">
        <v>1013</v>
      </c>
      <c r="X311" s="306" t="s">
        <v>1013</v>
      </c>
      <c r="Y311" s="306" t="s">
        <v>1537</v>
      </c>
      <c r="Z311" s="306" t="s">
        <v>1015</v>
      </c>
      <c r="AA311" s="306" t="s">
        <v>1013</v>
      </c>
    </row>
    <row r="312" spans="1:27">
      <c r="A312" s="306" t="s">
        <v>494</v>
      </c>
      <c r="B312" s="306" t="s">
        <v>1003</v>
      </c>
      <c r="C312" s="306" t="s">
        <v>1004</v>
      </c>
      <c r="D312" s="306" t="s">
        <v>2435</v>
      </c>
      <c r="E312" s="306" t="s">
        <v>1585</v>
      </c>
      <c r="F312" s="306" t="s">
        <v>1007</v>
      </c>
      <c r="G312" s="308">
        <v>46017</v>
      </c>
      <c r="H312" s="308">
        <v>46017</v>
      </c>
      <c r="I312" s="309">
        <v>-833.53</v>
      </c>
      <c r="J312" s="306" t="s">
        <v>1008</v>
      </c>
      <c r="K312" s="309">
        <v>-833.53</v>
      </c>
      <c r="L312" s="306" t="s">
        <v>1008</v>
      </c>
      <c r="M312" s="306" t="s">
        <v>1562</v>
      </c>
      <c r="N312" s="306" t="s">
        <v>1535</v>
      </c>
      <c r="O312" s="306" t="s">
        <v>1586</v>
      </c>
      <c r="P312" s="306" t="s">
        <v>263</v>
      </c>
      <c r="Q312" s="306" t="s">
        <v>1013</v>
      </c>
      <c r="R312" s="306" t="s">
        <v>1013</v>
      </c>
      <c r="S312" s="306" t="s">
        <v>1013</v>
      </c>
      <c r="T312" s="306" t="s">
        <v>1013</v>
      </c>
      <c r="U312" s="306" t="s">
        <v>1013</v>
      </c>
      <c r="V312" s="306" t="s">
        <v>1013</v>
      </c>
      <c r="W312" s="306" t="s">
        <v>1013</v>
      </c>
      <c r="X312" s="306" t="s">
        <v>1013</v>
      </c>
      <c r="Y312" s="306" t="s">
        <v>1537</v>
      </c>
      <c r="Z312" s="306" t="s">
        <v>1015</v>
      </c>
      <c r="AA312" s="306" t="s">
        <v>1013</v>
      </c>
    </row>
    <row r="313" spans="1:27">
      <c r="A313" s="306" t="s">
        <v>494</v>
      </c>
      <c r="B313" s="306" t="s">
        <v>1003</v>
      </c>
      <c r="C313" s="306" t="s">
        <v>1004</v>
      </c>
      <c r="D313" s="306" t="s">
        <v>2435</v>
      </c>
      <c r="E313" s="306" t="s">
        <v>1587</v>
      </c>
      <c r="F313" s="306" t="s">
        <v>1007</v>
      </c>
      <c r="G313" s="308">
        <v>46017</v>
      </c>
      <c r="H313" s="308">
        <v>46017</v>
      </c>
      <c r="I313" s="309">
        <v>-1190.56</v>
      </c>
      <c r="J313" s="306" t="s">
        <v>1008</v>
      </c>
      <c r="K313" s="309">
        <v>-1190.56</v>
      </c>
      <c r="L313" s="306" t="s">
        <v>1008</v>
      </c>
      <c r="M313" s="306" t="s">
        <v>1562</v>
      </c>
      <c r="N313" s="306" t="s">
        <v>1535</v>
      </c>
      <c r="O313" s="306" t="s">
        <v>1588</v>
      </c>
      <c r="P313" s="306" t="s">
        <v>263</v>
      </c>
      <c r="Q313" s="306" t="s">
        <v>1013</v>
      </c>
      <c r="R313" s="306" t="s">
        <v>1013</v>
      </c>
      <c r="S313" s="306" t="s">
        <v>1013</v>
      </c>
      <c r="T313" s="306" t="s">
        <v>1013</v>
      </c>
      <c r="U313" s="306" t="s">
        <v>1013</v>
      </c>
      <c r="V313" s="306" t="s">
        <v>1013</v>
      </c>
      <c r="W313" s="306" t="s">
        <v>1013</v>
      </c>
      <c r="X313" s="306" t="s">
        <v>1013</v>
      </c>
      <c r="Y313" s="306" t="s">
        <v>1537</v>
      </c>
      <c r="Z313" s="306" t="s">
        <v>1015</v>
      </c>
      <c r="AA313" s="306" t="s">
        <v>1013</v>
      </c>
    </row>
    <row r="314" spans="1:27">
      <c r="A314" s="306" t="s">
        <v>494</v>
      </c>
      <c r="B314" s="306" t="s">
        <v>1003</v>
      </c>
      <c r="C314" s="306" t="s">
        <v>1004</v>
      </c>
      <c r="D314" s="306" t="s">
        <v>2435</v>
      </c>
      <c r="E314" s="306" t="s">
        <v>1589</v>
      </c>
      <c r="F314" s="306" t="s">
        <v>1007</v>
      </c>
      <c r="G314" s="308">
        <v>46017</v>
      </c>
      <c r="H314" s="308">
        <v>46017</v>
      </c>
      <c r="I314" s="309">
        <v>-122.1</v>
      </c>
      <c r="J314" s="306" t="s">
        <v>1008</v>
      </c>
      <c r="K314" s="309">
        <v>-122.1</v>
      </c>
      <c r="L314" s="306" t="s">
        <v>1008</v>
      </c>
      <c r="M314" s="306" t="s">
        <v>1562</v>
      </c>
      <c r="N314" s="306" t="s">
        <v>1535</v>
      </c>
      <c r="O314" s="306" t="s">
        <v>1590</v>
      </c>
      <c r="P314" s="306" t="s">
        <v>263</v>
      </c>
      <c r="Q314" s="306" t="s">
        <v>1013</v>
      </c>
      <c r="R314" s="306" t="s">
        <v>1013</v>
      </c>
      <c r="S314" s="306" t="s">
        <v>1013</v>
      </c>
      <c r="T314" s="306" t="s">
        <v>1013</v>
      </c>
      <c r="U314" s="306" t="s">
        <v>1013</v>
      </c>
      <c r="V314" s="306" t="s">
        <v>1013</v>
      </c>
      <c r="W314" s="306" t="s">
        <v>1013</v>
      </c>
      <c r="X314" s="306" t="s">
        <v>1013</v>
      </c>
      <c r="Y314" s="306" t="s">
        <v>1537</v>
      </c>
      <c r="Z314" s="306" t="s">
        <v>1015</v>
      </c>
      <c r="AA314" s="306" t="s">
        <v>1013</v>
      </c>
    </row>
    <row r="315" spans="1:27">
      <c r="A315" s="306" t="s">
        <v>494</v>
      </c>
      <c r="B315" s="306" t="s">
        <v>1003</v>
      </c>
      <c r="C315" s="306" t="s">
        <v>1004</v>
      </c>
      <c r="D315" s="306" t="s">
        <v>2435</v>
      </c>
      <c r="E315" s="306" t="s">
        <v>1591</v>
      </c>
      <c r="F315" s="306" t="s">
        <v>1007</v>
      </c>
      <c r="G315" s="308">
        <v>46017</v>
      </c>
      <c r="H315" s="308">
        <v>46017</v>
      </c>
      <c r="I315" s="309">
        <v>-77.34</v>
      </c>
      <c r="J315" s="306" t="s">
        <v>1008</v>
      </c>
      <c r="K315" s="309">
        <v>-77.34</v>
      </c>
      <c r="L315" s="306" t="s">
        <v>1008</v>
      </c>
      <c r="M315" s="306" t="s">
        <v>1562</v>
      </c>
      <c r="N315" s="306" t="s">
        <v>1535</v>
      </c>
      <c r="O315" s="306" t="s">
        <v>1592</v>
      </c>
      <c r="P315" s="306" t="s">
        <v>263</v>
      </c>
      <c r="Q315" s="306" t="s">
        <v>1013</v>
      </c>
      <c r="R315" s="306" t="s">
        <v>1013</v>
      </c>
      <c r="S315" s="306" t="s">
        <v>1013</v>
      </c>
      <c r="T315" s="306" t="s">
        <v>1013</v>
      </c>
      <c r="U315" s="306" t="s">
        <v>1013</v>
      </c>
      <c r="V315" s="306" t="s">
        <v>1013</v>
      </c>
      <c r="W315" s="306" t="s">
        <v>1013</v>
      </c>
      <c r="X315" s="306" t="s">
        <v>1013</v>
      </c>
      <c r="Y315" s="306" t="s">
        <v>1537</v>
      </c>
      <c r="Z315" s="306" t="s">
        <v>1015</v>
      </c>
      <c r="AA315" s="306" t="s">
        <v>1013</v>
      </c>
    </row>
    <row r="316" spans="1:27">
      <c r="A316" s="306" t="s">
        <v>494</v>
      </c>
      <c r="B316" s="306" t="s">
        <v>1003</v>
      </c>
      <c r="C316" s="306" t="s">
        <v>1004</v>
      </c>
      <c r="D316" s="306" t="s">
        <v>2435</v>
      </c>
      <c r="E316" s="306" t="s">
        <v>1593</v>
      </c>
      <c r="F316" s="306" t="s">
        <v>1007</v>
      </c>
      <c r="G316" s="308">
        <v>46017</v>
      </c>
      <c r="H316" s="308">
        <v>46017</v>
      </c>
      <c r="I316" s="309">
        <v>-1915.26</v>
      </c>
      <c r="J316" s="306" t="s">
        <v>1008</v>
      </c>
      <c r="K316" s="309">
        <v>-1915.26</v>
      </c>
      <c r="L316" s="306" t="s">
        <v>1008</v>
      </c>
      <c r="M316" s="306" t="s">
        <v>1562</v>
      </c>
      <c r="N316" s="306" t="s">
        <v>1535</v>
      </c>
      <c r="O316" s="306" t="s">
        <v>1224</v>
      </c>
      <c r="P316" s="306" t="s">
        <v>263</v>
      </c>
      <c r="Q316" s="306" t="s">
        <v>1013</v>
      </c>
      <c r="R316" s="306" t="s">
        <v>1013</v>
      </c>
      <c r="S316" s="306" t="s">
        <v>1013</v>
      </c>
      <c r="T316" s="306" t="s">
        <v>1013</v>
      </c>
      <c r="U316" s="306" t="s">
        <v>1013</v>
      </c>
      <c r="V316" s="306" t="s">
        <v>1013</v>
      </c>
      <c r="W316" s="306" t="s">
        <v>1013</v>
      </c>
      <c r="X316" s="306" t="s">
        <v>1013</v>
      </c>
      <c r="Y316" s="306" t="s">
        <v>1537</v>
      </c>
      <c r="Z316" s="306" t="s">
        <v>1015</v>
      </c>
      <c r="AA316" s="306" t="s">
        <v>1013</v>
      </c>
    </row>
    <row r="317" spans="1:27">
      <c r="A317" s="306" t="s">
        <v>494</v>
      </c>
      <c r="B317" s="306" t="s">
        <v>1003</v>
      </c>
      <c r="C317" s="306" t="s">
        <v>1004</v>
      </c>
      <c r="D317" s="306" t="s">
        <v>2435</v>
      </c>
      <c r="E317" s="306" t="s">
        <v>1594</v>
      </c>
      <c r="F317" s="306" t="s">
        <v>1007</v>
      </c>
      <c r="G317" s="308">
        <v>46017</v>
      </c>
      <c r="H317" s="308">
        <v>46017</v>
      </c>
      <c r="I317" s="309">
        <v>-3331.75</v>
      </c>
      <c r="J317" s="306" t="s">
        <v>1008</v>
      </c>
      <c r="K317" s="309">
        <v>-3331.75</v>
      </c>
      <c r="L317" s="306" t="s">
        <v>1008</v>
      </c>
      <c r="M317" s="306" t="s">
        <v>1595</v>
      </c>
      <c r="N317" s="306" t="s">
        <v>1535</v>
      </c>
      <c r="O317" s="306" t="s">
        <v>1596</v>
      </c>
      <c r="P317" s="306" t="s">
        <v>263</v>
      </c>
      <c r="Q317" s="306" t="s">
        <v>1013</v>
      </c>
      <c r="R317" s="306" t="s">
        <v>1013</v>
      </c>
      <c r="S317" s="306" t="s">
        <v>1013</v>
      </c>
      <c r="T317" s="306" t="s">
        <v>1013</v>
      </c>
      <c r="U317" s="306" t="s">
        <v>1013</v>
      </c>
      <c r="V317" s="306" t="s">
        <v>1013</v>
      </c>
      <c r="W317" s="306" t="s">
        <v>1013</v>
      </c>
      <c r="X317" s="306" t="s">
        <v>1013</v>
      </c>
      <c r="Y317" s="306" t="s">
        <v>1537</v>
      </c>
      <c r="Z317" s="306" t="s">
        <v>1015</v>
      </c>
      <c r="AA317" s="306" t="s">
        <v>1013</v>
      </c>
    </row>
    <row r="318" spans="1:27">
      <c r="A318" s="306" t="s">
        <v>494</v>
      </c>
      <c r="B318" s="306" t="s">
        <v>1003</v>
      </c>
      <c r="C318" s="306" t="s">
        <v>1004</v>
      </c>
      <c r="D318" s="306" t="s">
        <v>2435</v>
      </c>
      <c r="E318" s="306" t="s">
        <v>1597</v>
      </c>
      <c r="F318" s="306" t="s">
        <v>1007</v>
      </c>
      <c r="G318" s="308">
        <v>46017</v>
      </c>
      <c r="H318" s="308">
        <v>46017</v>
      </c>
      <c r="I318" s="309">
        <v>-4164.68</v>
      </c>
      <c r="J318" s="306" t="s">
        <v>1008</v>
      </c>
      <c r="K318" s="309">
        <v>-4164.68</v>
      </c>
      <c r="L318" s="306" t="s">
        <v>1008</v>
      </c>
      <c r="M318" s="306" t="s">
        <v>1595</v>
      </c>
      <c r="N318" s="306" t="s">
        <v>1535</v>
      </c>
      <c r="O318" s="306" t="s">
        <v>1598</v>
      </c>
      <c r="P318" s="306" t="s">
        <v>263</v>
      </c>
      <c r="Q318" s="306" t="s">
        <v>1013</v>
      </c>
      <c r="R318" s="306" t="s">
        <v>1013</v>
      </c>
      <c r="S318" s="306" t="s">
        <v>1013</v>
      </c>
      <c r="T318" s="306" t="s">
        <v>1013</v>
      </c>
      <c r="U318" s="306" t="s">
        <v>1013</v>
      </c>
      <c r="V318" s="306" t="s">
        <v>1013</v>
      </c>
      <c r="W318" s="306" t="s">
        <v>1013</v>
      </c>
      <c r="X318" s="306" t="s">
        <v>1013</v>
      </c>
      <c r="Y318" s="306" t="s">
        <v>1537</v>
      </c>
      <c r="Z318" s="306" t="s">
        <v>1015</v>
      </c>
      <c r="AA318" s="306" t="s">
        <v>1013</v>
      </c>
    </row>
    <row r="319" spans="1:27">
      <c r="A319" s="306" t="s">
        <v>494</v>
      </c>
      <c r="B319" s="306" t="s">
        <v>1003</v>
      </c>
      <c r="C319" s="306" t="s">
        <v>1004</v>
      </c>
      <c r="D319" s="306" t="s">
        <v>2435</v>
      </c>
      <c r="E319" s="306" t="s">
        <v>1599</v>
      </c>
      <c r="F319" s="306" t="s">
        <v>1007</v>
      </c>
      <c r="G319" s="308">
        <v>46017</v>
      </c>
      <c r="H319" s="308">
        <v>46017</v>
      </c>
      <c r="I319" s="309">
        <v>-96891.51</v>
      </c>
      <c r="J319" s="306" t="s">
        <v>1008</v>
      </c>
      <c r="K319" s="309">
        <v>-96891.51</v>
      </c>
      <c r="L319" s="306" t="s">
        <v>1008</v>
      </c>
      <c r="M319" s="306" t="s">
        <v>1562</v>
      </c>
      <c r="N319" s="306" t="s">
        <v>1535</v>
      </c>
      <c r="O319" s="306" t="s">
        <v>1600</v>
      </c>
      <c r="P319" s="306" t="s">
        <v>263</v>
      </c>
      <c r="Q319" s="306" t="s">
        <v>1013</v>
      </c>
      <c r="R319" s="306" t="s">
        <v>1013</v>
      </c>
      <c r="S319" s="306" t="s">
        <v>1013</v>
      </c>
      <c r="T319" s="306" t="s">
        <v>1013</v>
      </c>
      <c r="U319" s="306" t="s">
        <v>1013</v>
      </c>
      <c r="V319" s="306" t="s">
        <v>1013</v>
      </c>
      <c r="W319" s="306" t="s">
        <v>1013</v>
      </c>
      <c r="X319" s="306" t="s">
        <v>1013</v>
      </c>
      <c r="Y319" s="306" t="s">
        <v>1537</v>
      </c>
      <c r="Z319" s="306" t="s">
        <v>1015</v>
      </c>
      <c r="AA319" s="306" t="s">
        <v>1013</v>
      </c>
    </row>
    <row r="320" spans="1:27">
      <c r="A320" s="306" t="s">
        <v>494</v>
      </c>
      <c r="B320" s="306" t="s">
        <v>1003</v>
      </c>
      <c r="C320" s="306" t="s">
        <v>1004</v>
      </c>
      <c r="D320" s="306" t="s">
        <v>2435</v>
      </c>
      <c r="E320" s="306" t="s">
        <v>1601</v>
      </c>
      <c r="F320" s="306" t="s">
        <v>1007</v>
      </c>
      <c r="G320" s="308">
        <v>46017</v>
      </c>
      <c r="H320" s="308">
        <v>46017</v>
      </c>
      <c r="I320" s="309">
        <v>-3481.13</v>
      </c>
      <c r="J320" s="306" t="s">
        <v>1008</v>
      </c>
      <c r="K320" s="309">
        <v>-3481.13</v>
      </c>
      <c r="L320" s="306" t="s">
        <v>1008</v>
      </c>
      <c r="M320" s="306" t="s">
        <v>1562</v>
      </c>
      <c r="N320" s="306" t="s">
        <v>1535</v>
      </c>
      <c r="O320" s="306" t="s">
        <v>1602</v>
      </c>
      <c r="P320" s="306" t="s">
        <v>263</v>
      </c>
      <c r="Q320" s="306" t="s">
        <v>1013</v>
      </c>
      <c r="R320" s="306" t="s">
        <v>1013</v>
      </c>
      <c r="S320" s="306" t="s">
        <v>1013</v>
      </c>
      <c r="T320" s="306" t="s">
        <v>1013</v>
      </c>
      <c r="U320" s="306" t="s">
        <v>1013</v>
      </c>
      <c r="V320" s="306" t="s">
        <v>1013</v>
      </c>
      <c r="W320" s="306" t="s">
        <v>1013</v>
      </c>
      <c r="X320" s="306" t="s">
        <v>1013</v>
      </c>
      <c r="Y320" s="306" t="s">
        <v>1537</v>
      </c>
      <c r="Z320" s="306" t="s">
        <v>1015</v>
      </c>
      <c r="AA320" s="306" t="s">
        <v>1013</v>
      </c>
    </row>
    <row r="321" spans="1:27">
      <c r="A321" s="306" t="s">
        <v>494</v>
      </c>
      <c r="B321" s="306" t="s">
        <v>1003</v>
      </c>
      <c r="C321" s="306" t="s">
        <v>1004</v>
      </c>
      <c r="D321" s="306" t="s">
        <v>2435</v>
      </c>
      <c r="E321" s="306" t="s">
        <v>1603</v>
      </c>
      <c r="F321" s="306" t="s">
        <v>1007</v>
      </c>
      <c r="G321" s="308">
        <v>46017</v>
      </c>
      <c r="H321" s="308">
        <v>46017</v>
      </c>
      <c r="I321" s="309">
        <v>-5221.7</v>
      </c>
      <c r="J321" s="306" t="s">
        <v>1008</v>
      </c>
      <c r="K321" s="309">
        <v>-5221.7</v>
      </c>
      <c r="L321" s="306" t="s">
        <v>1008</v>
      </c>
      <c r="M321" s="306" t="s">
        <v>1562</v>
      </c>
      <c r="N321" s="306" t="s">
        <v>1535</v>
      </c>
      <c r="O321" s="306" t="s">
        <v>1604</v>
      </c>
      <c r="P321" s="306" t="s">
        <v>263</v>
      </c>
      <c r="Q321" s="306" t="s">
        <v>1013</v>
      </c>
      <c r="R321" s="306" t="s">
        <v>1013</v>
      </c>
      <c r="S321" s="306" t="s">
        <v>1013</v>
      </c>
      <c r="T321" s="306" t="s">
        <v>1013</v>
      </c>
      <c r="U321" s="306" t="s">
        <v>1013</v>
      </c>
      <c r="V321" s="306" t="s">
        <v>1013</v>
      </c>
      <c r="W321" s="306" t="s">
        <v>1013</v>
      </c>
      <c r="X321" s="306" t="s">
        <v>1013</v>
      </c>
      <c r="Y321" s="306" t="s">
        <v>1537</v>
      </c>
      <c r="Z321" s="306" t="s">
        <v>1015</v>
      </c>
      <c r="AA321" s="306" t="s">
        <v>1013</v>
      </c>
    </row>
    <row r="322" spans="1:27">
      <c r="A322" s="306" t="s">
        <v>494</v>
      </c>
      <c r="B322" s="306" t="s">
        <v>1003</v>
      </c>
      <c r="C322" s="306" t="s">
        <v>1004</v>
      </c>
      <c r="D322" s="306" t="s">
        <v>2435</v>
      </c>
      <c r="E322" s="306" t="s">
        <v>1605</v>
      </c>
      <c r="F322" s="306" t="s">
        <v>1007</v>
      </c>
      <c r="G322" s="308">
        <v>46017</v>
      </c>
      <c r="H322" s="308">
        <v>46017</v>
      </c>
      <c r="I322" s="309">
        <v>-1845</v>
      </c>
      <c r="J322" s="306" t="s">
        <v>1008</v>
      </c>
      <c r="K322" s="309">
        <v>-1845</v>
      </c>
      <c r="L322" s="306" t="s">
        <v>1008</v>
      </c>
      <c r="M322" s="306" t="s">
        <v>1562</v>
      </c>
      <c r="N322" s="306" t="s">
        <v>1535</v>
      </c>
      <c r="O322" s="306" t="s">
        <v>1606</v>
      </c>
      <c r="P322" s="306" t="s">
        <v>263</v>
      </c>
      <c r="Q322" s="306" t="s">
        <v>1013</v>
      </c>
      <c r="R322" s="306" t="s">
        <v>1013</v>
      </c>
      <c r="S322" s="306" t="s">
        <v>1013</v>
      </c>
      <c r="T322" s="306" t="s">
        <v>1013</v>
      </c>
      <c r="U322" s="306" t="s">
        <v>1013</v>
      </c>
      <c r="V322" s="306" t="s">
        <v>1013</v>
      </c>
      <c r="W322" s="306" t="s">
        <v>1013</v>
      </c>
      <c r="X322" s="306" t="s">
        <v>1013</v>
      </c>
      <c r="Y322" s="306" t="s">
        <v>1537</v>
      </c>
      <c r="Z322" s="306" t="s">
        <v>1015</v>
      </c>
      <c r="AA322" s="306" t="s">
        <v>1013</v>
      </c>
    </row>
    <row r="323" spans="1:27">
      <c r="A323" s="306" t="s">
        <v>494</v>
      </c>
      <c r="B323" s="306" t="s">
        <v>1003</v>
      </c>
      <c r="C323" s="306" t="s">
        <v>1004</v>
      </c>
      <c r="D323" s="306" t="s">
        <v>2435</v>
      </c>
      <c r="E323" s="306" t="s">
        <v>1607</v>
      </c>
      <c r="F323" s="306" t="s">
        <v>1007</v>
      </c>
      <c r="G323" s="308">
        <v>46017</v>
      </c>
      <c r="H323" s="308">
        <v>46017</v>
      </c>
      <c r="I323" s="309">
        <v>-3336.08</v>
      </c>
      <c r="J323" s="306" t="s">
        <v>1008</v>
      </c>
      <c r="K323" s="309">
        <v>-3336.08</v>
      </c>
      <c r="L323" s="306" t="s">
        <v>1008</v>
      </c>
      <c r="M323" s="306" t="s">
        <v>1562</v>
      </c>
      <c r="N323" s="306" t="s">
        <v>1535</v>
      </c>
      <c r="O323" s="306" t="s">
        <v>1608</v>
      </c>
      <c r="P323" s="306" t="s">
        <v>263</v>
      </c>
      <c r="Q323" s="306" t="s">
        <v>1013</v>
      </c>
      <c r="R323" s="306" t="s">
        <v>1013</v>
      </c>
      <c r="S323" s="306" t="s">
        <v>1013</v>
      </c>
      <c r="T323" s="306" t="s">
        <v>1013</v>
      </c>
      <c r="U323" s="306" t="s">
        <v>1013</v>
      </c>
      <c r="V323" s="306" t="s">
        <v>1013</v>
      </c>
      <c r="W323" s="306" t="s">
        <v>1013</v>
      </c>
      <c r="X323" s="306" t="s">
        <v>1013</v>
      </c>
      <c r="Y323" s="306" t="s">
        <v>1537</v>
      </c>
      <c r="Z323" s="306" t="s">
        <v>1015</v>
      </c>
      <c r="AA323" s="306" t="s">
        <v>1013</v>
      </c>
    </row>
    <row r="324" spans="1:27">
      <c r="A324" s="306" t="s">
        <v>494</v>
      </c>
      <c r="B324" s="306" t="s">
        <v>1003</v>
      </c>
      <c r="C324" s="306" t="s">
        <v>1004</v>
      </c>
      <c r="D324" s="306" t="s">
        <v>2435</v>
      </c>
      <c r="E324" s="306" t="s">
        <v>1609</v>
      </c>
      <c r="F324" s="306" t="s">
        <v>1007</v>
      </c>
      <c r="G324" s="308">
        <v>46017</v>
      </c>
      <c r="H324" s="308">
        <v>46017</v>
      </c>
      <c r="I324" s="309">
        <v>-77421.08</v>
      </c>
      <c r="J324" s="306" t="s">
        <v>1008</v>
      </c>
      <c r="K324" s="309">
        <v>-77421.08</v>
      </c>
      <c r="L324" s="306" t="s">
        <v>1008</v>
      </c>
      <c r="M324" s="306" t="s">
        <v>1534</v>
      </c>
      <c r="N324" s="306" t="s">
        <v>1535</v>
      </c>
      <c r="O324" s="306" t="s">
        <v>1610</v>
      </c>
      <c r="P324" s="306" t="s">
        <v>263</v>
      </c>
      <c r="Q324" s="306" t="s">
        <v>1013</v>
      </c>
      <c r="R324" s="306" t="s">
        <v>1013</v>
      </c>
      <c r="S324" s="306" t="s">
        <v>1013</v>
      </c>
      <c r="T324" s="306" t="s">
        <v>1013</v>
      </c>
      <c r="U324" s="306" t="s">
        <v>1013</v>
      </c>
      <c r="V324" s="306" t="s">
        <v>1013</v>
      </c>
      <c r="W324" s="306" t="s">
        <v>1013</v>
      </c>
      <c r="X324" s="306" t="s">
        <v>1013</v>
      </c>
      <c r="Y324" s="306" t="s">
        <v>1537</v>
      </c>
      <c r="Z324" s="306" t="s">
        <v>1015</v>
      </c>
      <c r="AA324" s="306" t="s">
        <v>1013</v>
      </c>
    </row>
    <row r="325" spans="1:27">
      <c r="A325" s="306" t="s">
        <v>494</v>
      </c>
      <c r="B325" s="306" t="s">
        <v>1003</v>
      </c>
      <c r="C325" s="306" t="s">
        <v>1004</v>
      </c>
      <c r="D325" s="306" t="s">
        <v>2435</v>
      </c>
      <c r="E325" s="306" t="s">
        <v>1611</v>
      </c>
      <c r="F325" s="306" t="s">
        <v>1007</v>
      </c>
      <c r="G325" s="308">
        <v>46017</v>
      </c>
      <c r="H325" s="308">
        <v>46017</v>
      </c>
      <c r="I325" s="309">
        <v>-355782.55</v>
      </c>
      <c r="J325" s="306" t="s">
        <v>1008</v>
      </c>
      <c r="K325" s="309">
        <v>-355782.55</v>
      </c>
      <c r="L325" s="306" t="s">
        <v>1008</v>
      </c>
      <c r="M325" s="306" t="s">
        <v>1534</v>
      </c>
      <c r="N325" s="306" t="s">
        <v>1535</v>
      </c>
      <c r="O325" s="306" t="s">
        <v>1612</v>
      </c>
      <c r="P325" s="306" t="s">
        <v>263</v>
      </c>
      <c r="Q325" s="306" t="s">
        <v>1013</v>
      </c>
      <c r="R325" s="306" t="s">
        <v>1013</v>
      </c>
      <c r="S325" s="306" t="s">
        <v>1013</v>
      </c>
      <c r="T325" s="306" t="s">
        <v>1013</v>
      </c>
      <c r="U325" s="306" t="s">
        <v>1013</v>
      </c>
      <c r="V325" s="306" t="s">
        <v>1013</v>
      </c>
      <c r="W325" s="306" t="s">
        <v>1013</v>
      </c>
      <c r="X325" s="306" t="s">
        <v>1013</v>
      </c>
      <c r="Y325" s="306" t="s">
        <v>1537</v>
      </c>
      <c r="Z325" s="306" t="s">
        <v>1015</v>
      </c>
      <c r="AA325" s="306" t="s">
        <v>1013</v>
      </c>
    </row>
    <row r="326" spans="1:27">
      <c r="A326" s="306" t="s">
        <v>494</v>
      </c>
      <c r="B326" s="306" t="s">
        <v>1003</v>
      </c>
      <c r="C326" s="306" t="s">
        <v>1004</v>
      </c>
      <c r="D326" s="306" t="s">
        <v>2435</v>
      </c>
      <c r="E326" s="306" t="s">
        <v>1613</v>
      </c>
      <c r="F326" s="306" t="s">
        <v>1007</v>
      </c>
      <c r="G326" s="308">
        <v>46017</v>
      </c>
      <c r="H326" s="308">
        <v>46017</v>
      </c>
      <c r="I326" s="309">
        <v>-260033.96</v>
      </c>
      <c r="J326" s="306" t="s">
        <v>1008</v>
      </c>
      <c r="K326" s="309">
        <v>-260033.96</v>
      </c>
      <c r="L326" s="306" t="s">
        <v>1008</v>
      </c>
      <c r="M326" s="306" t="s">
        <v>1534</v>
      </c>
      <c r="N326" s="306" t="s">
        <v>1535</v>
      </c>
      <c r="O326" s="306" t="s">
        <v>1614</v>
      </c>
      <c r="P326" s="306" t="s">
        <v>263</v>
      </c>
      <c r="Q326" s="306" t="s">
        <v>1013</v>
      </c>
      <c r="R326" s="306" t="s">
        <v>1013</v>
      </c>
      <c r="S326" s="306" t="s">
        <v>1013</v>
      </c>
      <c r="T326" s="306" t="s">
        <v>1013</v>
      </c>
      <c r="U326" s="306" t="s">
        <v>1013</v>
      </c>
      <c r="V326" s="306" t="s">
        <v>1013</v>
      </c>
      <c r="W326" s="306" t="s">
        <v>1013</v>
      </c>
      <c r="X326" s="306" t="s">
        <v>1013</v>
      </c>
      <c r="Y326" s="306" t="s">
        <v>1537</v>
      </c>
      <c r="Z326" s="306" t="s">
        <v>1015</v>
      </c>
      <c r="AA326" s="306" t="s">
        <v>1013</v>
      </c>
    </row>
    <row r="327" spans="1:27">
      <c r="A327" s="306" t="s">
        <v>494</v>
      </c>
      <c r="B327" s="306" t="s">
        <v>1003</v>
      </c>
      <c r="C327" s="306" t="s">
        <v>1004</v>
      </c>
      <c r="D327" s="306" t="s">
        <v>2435</v>
      </c>
      <c r="E327" s="306" t="s">
        <v>1615</v>
      </c>
      <c r="F327" s="306" t="s">
        <v>1007</v>
      </c>
      <c r="G327" s="308">
        <v>46017</v>
      </c>
      <c r="H327" s="308">
        <v>46017</v>
      </c>
      <c r="I327" s="309">
        <v>-92714.880000000005</v>
      </c>
      <c r="J327" s="306" t="s">
        <v>1008</v>
      </c>
      <c r="K327" s="309">
        <v>-92714.880000000005</v>
      </c>
      <c r="L327" s="306" t="s">
        <v>1008</v>
      </c>
      <c r="M327" s="306" t="s">
        <v>1534</v>
      </c>
      <c r="N327" s="306" t="s">
        <v>1535</v>
      </c>
      <c r="O327" s="306" t="s">
        <v>1547</v>
      </c>
      <c r="P327" s="306" t="s">
        <v>263</v>
      </c>
      <c r="Q327" s="306" t="s">
        <v>1013</v>
      </c>
      <c r="R327" s="306" t="s">
        <v>1013</v>
      </c>
      <c r="S327" s="306" t="s">
        <v>1013</v>
      </c>
      <c r="T327" s="306" t="s">
        <v>1013</v>
      </c>
      <c r="U327" s="306" t="s">
        <v>1013</v>
      </c>
      <c r="V327" s="306" t="s">
        <v>1013</v>
      </c>
      <c r="W327" s="306" t="s">
        <v>1013</v>
      </c>
      <c r="X327" s="306" t="s">
        <v>1013</v>
      </c>
      <c r="Y327" s="306" t="s">
        <v>1537</v>
      </c>
      <c r="Z327" s="306" t="s">
        <v>1015</v>
      </c>
      <c r="AA327" s="306" t="s">
        <v>1013</v>
      </c>
    </row>
    <row r="328" spans="1:27">
      <c r="A328" s="306" t="s">
        <v>494</v>
      </c>
      <c r="B328" s="306" t="s">
        <v>1003</v>
      </c>
      <c r="C328" s="306" t="s">
        <v>1004</v>
      </c>
      <c r="D328" s="306" t="s">
        <v>2435</v>
      </c>
      <c r="E328" s="306" t="s">
        <v>1616</v>
      </c>
      <c r="F328" s="306" t="s">
        <v>1007</v>
      </c>
      <c r="G328" s="308">
        <v>46017</v>
      </c>
      <c r="H328" s="308">
        <v>46017</v>
      </c>
      <c r="I328" s="309">
        <v>-766460.98</v>
      </c>
      <c r="J328" s="306" t="s">
        <v>1008</v>
      </c>
      <c r="K328" s="309">
        <v>-766460.98</v>
      </c>
      <c r="L328" s="306" t="s">
        <v>1008</v>
      </c>
      <c r="M328" s="306" t="s">
        <v>1617</v>
      </c>
      <c r="N328" s="306" t="s">
        <v>1535</v>
      </c>
      <c r="O328" s="306" t="s">
        <v>1618</v>
      </c>
      <c r="P328" s="306" t="s">
        <v>263</v>
      </c>
      <c r="Q328" s="306" t="s">
        <v>1013</v>
      </c>
      <c r="R328" s="306" t="s">
        <v>1013</v>
      </c>
      <c r="S328" s="306" t="s">
        <v>1013</v>
      </c>
      <c r="T328" s="306" t="s">
        <v>1013</v>
      </c>
      <c r="U328" s="306" t="s">
        <v>1013</v>
      </c>
      <c r="V328" s="306" t="s">
        <v>1013</v>
      </c>
      <c r="W328" s="306" t="s">
        <v>1013</v>
      </c>
      <c r="X328" s="306" t="s">
        <v>1013</v>
      </c>
      <c r="Y328" s="306" t="s">
        <v>1537</v>
      </c>
      <c r="Z328" s="306" t="s">
        <v>1015</v>
      </c>
      <c r="AA328" s="306" t="s">
        <v>1013</v>
      </c>
    </row>
    <row r="329" spans="1:27">
      <c r="A329" s="306" t="s">
        <v>494</v>
      </c>
      <c r="B329" s="306" t="s">
        <v>1003</v>
      </c>
      <c r="C329" s="306" t="s">
        <v>1004</v>
      </c>
      <c r="D329" s="306" t="s">
        <v>2435</v>
      </c>
      <c r="E329" s="306" t="s">
        <v>1619</v>
      </c>
      <c r="F329" s="306" t="s">
        <v>1007</v>
      </c>
      <c r="G329" s="308">
        <v>46017</v>
      </c>
      <c r="H329" s="308">
        <v>46017</v>
      </c>
      <c r="I329" s="309">
        <v>-966771.24</v>
      </c>
      <c r="J329" s="306" t="s">
        <v>1008</v>
      </c>
      <c r="K329" s="309">
        <v>-966771.24</v>
      </c>
      <c r="L329" s="306" t="s">
        <v>1008</v>
      </c>
      <c r="M329" s="306" t="s">
        <v>1617</v>
      </c>
      <c r="N329" s="306" t="s">
        <v>1535</v>
      </c>
      <c r="O329" s="306" t="s">
        <v>1554</v>
      </c>
      <c r="P329" s="306" t="s">
        <v>263</v>
      </c>
      <c r="Q329" s="306" t="s">
        <v>1013</v>
      </c>
      <c r="R329" s="306" t="s">
        <v>1013</v>
      </c>
      <c r="S329" s="306" t="s">
        <v>1013</v>
      </c>
      <c r="T329" s="306" t="s">
        <v>1013</v>
      </c>
      <c r="U329" s="306" t="s">
        <v>1013</v>
      </c>
      <c r="V329" s="306" t="s">
        <v>1013</v>
      </c>
      <c r="W329" s="306" t="s">
        <v>1013</v>
      </c>
      <c r="X329" s="306" t="s">
        <v>1013</v>
      </c>
      <c r="Y329" s="306" t="s">
        <v>1537</v>
      </c>
      <c r="Z329" s="306" t="s">
        <v>1015</v>
      </c>
      <c r="AA329" s="306" t="s">
        <v>1013</v>
      </c>
    </row>
    <row r="330" spans="1:27">
      <c r="A330" s="306" t="s">
        <v>494</v>
      </c>
      <c r="B330" s="306" t="s">
        <v>1003</v>
      </c>
      <c r="C330" s="306" t="s">
        <v>1004</v>
      </c>
      <c r="D330" s="306" t="s">
        <v>2435</v>
      </c>
      <c r="E330" s="306" t="s">
        <v>1620</v>
      </c>
      <c r="F330" s="306" t="s">
        <v>1007</v>
      </c>
      <c r="G330" s="308">
        <v>46017</v>
      </c>
      <c r="H330" s="308">
        <v>46017</v>
      </c>
      <c r="I330" s="309">
        <v>-821484.1</v>
      </c>
      <c r="J330" s="306" t="s">
        <v>1008</v>
      </c>
      <c r="K330" s="309">
        <v>-821484.1</v>
      </c>
      <c r="L330" s="306" t="s">
        <v>1008</v>
      </c>
      <c r="M330" s="306" t="s">
        <v>1553</v>
      </c>
      <c r="N330" s="306" t="s">
        <v>1535</v>
      </c>
      <c r="O330" s="306" t="s">
        <v>1556</v>
      </c>
      <c r="P330" s="306" t="s">
        <v>263</v>
      </c>
      <c r="Q330" s="306" t="s">
        <v>1013</v>
      </c>
      <c r="R330" s="306" t="s">
        <v>1013</v>
      </c>
      <c r="S330" s="306" t="s">
        <v>1013</v>
      </c>
      <c r="T330" s="306" t="s">
        <v>1013</v>
      </c>
      <c r="U330" s="306" t="s">
        <v>1013</v>
      </c>
      <c r="V330" s="306" t="s">
        <v>1013</v>
      </c>
      <c r="W330" s="306" t="s">
        <v>1013</v>
      </c>
      <c r="X330" s="306" t="s">
        <v>1013</v>
      </c>
      <c r="Y330" s="306" t="s">
        <v>1537</v>
      </c>
      <c r="Z330" s="306" t="s">
        <v>1015</v>
      </c>
      <c r="AA330" s="306" t="s">
        <v>1013</v>
      </c>
    </row>
    <row r="331" spans="1:27">
      <c r="A331" s="306" t="s">
        <v>494</v>
      </c>
      <c r="B331" s="306" t="s">
        <v>1003</v>
      </c>
      <c r="C331" s="306" t="s">
        <v>1004</v>
      </c>
      <c r="D331" s="306" t="s">
        <v>2435</v>
      </c>
      <c r="E331" s="306" t="s">
        <v>1621</v>
      </c>
      <c r="F331" s="306" t="s">
        <v>1007</v>
      </c>
      <c r="G331" s="308">
        <v>46017</v>
      </c>
      <c r="H331" s="308">
        <v>46017</v>
      </c>
      <c r="I331" s="309">
        <v>-3608.34</v>
      </c>
      <c r="J331" s="306" t="s">
        <v>1008</v>
      </c>
      <c r="K331" s="309">
        <v>-3608.34</v>
      </c>
      <c r="L331" s="306" t="s">
        <v>1008</v>
      </c>
      <c r="M331" s="306" t="s">
        <v>1534</v>
      </c>
      <c r="N331" s="306" t="s">
        <v>1535</v>
      </c>
      <c r="O331" s="306" t="s">
        <v>1622</v>
      </c>
      <c r="P331" s="306" t="s">
        <v>263</v>
      </c>
      <c r="Q331" s="306" t="s">
        <v>1013</v>
      </c>
      <c r="R331" s="306" t="s">
        <v>1013</v>
      </c>
      <c r="S331" s="306" t="s">
        <v>1013</v>
      </c>
      <c r="T331" s="306" t="s">
        <v>1013</v>
      </c>
      <c r="U331" s="306" t="s">
        <v>1013</v>
      </c>
      <c r="V331" s="306" t="s">
        <v>1013</v>
      </c>
      <c r="W331" s="306" t="s">
        <v>1013</v>
      </c>
      <c r="X331" s="306" t="s">
        <v>1013</v>
      </c>
      <c r="Y331" s="306" t="s">
        <v>1537</v>
      </c>
      <c r="Z331" s="306" t="s">
        <v>1015</v>
      </c>
      <c r="AA331" s="306" t="s">
        <v>1013</v>
      </c>
    </row>
    <row r="332" spans="1:27">
      <c r="A332" s="306" t="s">
        <v>494</v>
      </c>
      <c r="B332" s="306" t="s">
        <v>1003</v>
      </c>
      <c r="C332" s="306" t="s">
        <v>1004</v>
      </c>
      <c r="D332" s="306" t="s">
        <v>2435</v>
      </c>
      <c r="E332" s="306" t="s">
        <v>1623</v>
      </c>
      <c r="F332" s="306" t="s">
        <v>1007</v>
      </c>
      <c r="G332" s="308">
        <v>46017</v>
      </c>
      <c r="H332" s="308">
        <v>46017</v>
      </c>
      <c r="I332" s="309">
        <v>-4834.74</v>
      </c>
      <c r="J332" s="306" t="s">
        <v>1008</v>
      </c>
      <c r="K332" s="309">
        <v>-4834.74</v>
      </c>
      <c r="L332" s="306" t="s">
        <v>1008</v>
      </c>
      <c r="M332" s="306" t="s">
        <v>1534</v>
      </c>
      <c r="N332" s="306" t="s">
        <v>1535</v>
      </c>
      <c r="O332" s="306" t="s">
        <v>1624</v>
      </c>
      <c r="P332" s="306" t="s">
        <v>263</v>
      </c>
      <c r="Q332" s="306" t="s">
        <v>1013</v>
      </c>
      <c r="R332" s="306" t="s">
        <v>1013</v>
      </c>
      <c r="S332" s="306" t="s">
        <v>1013</v>
      </c>
      <c r="T332" s="306" t="s">
        <v>1013</v>
      </c>
      <c r="U332" s="306" t="s">
        <v>1013</v>
      </c>
      <c r="V332" s="306" t="s">
        <v>1013</v>
      </c>
      <c r="W332" s="306" t="s">
        <v>1013</v>
      </c>
      <c r="X332" s="306" t="s">
        <v>1013</v>
      </c>
      <c r="Y332" s="306" t="s">
        <v>1537</v>
      </c>
      <c r="Z332" s="306" t="s">
        <v>1015</v>
      </c>
      <c r="AA332" s="306" t="s">
        <v>1013</v>
      </c>
    </row>
    <row r="333" spans="1:27">
      <c r="A333" s="306" t="s">
        <v>494</v>
      </c>
      <c r="B333" s="306" t="s">
        <v>1003</v>
      </c>
      <c r="C333" s="306" t="s">
        <v>1004</v>
      </c>
      <c r="D333" s="306" t="s">
        <v>2435</v>
      </c>
      <c r="E333" s="306" t="s">
        <v>1625</v>
      </c>
      <c r="F333" s="306" t="s">
        <v>1007</v>
      </c>
      <c r="G333" s="308">
        <v>46017</v>
      </c>
      <c r="H333" s="308">
        <v>46017</v>
      </c>
      <c r="I333" s="309">
        <v>-15148.99</v>
      </c>
      <c r="J333" s="306" t="s">
        <v>1008</v>
      </c>
      <c r="K333" s="309">
        <v>-15148.99</v>
      </c>
      <c r="L333" s="306" t="s">
        <v>1008</v>
      </c>
      <c r="M333" s="306" t="s">
        <v>1562</v>
      </c>
      <c r="N333" s="306" t="s">
        <v>1535</v>
      </c>
      <c r="O333" s="306" t="s">
        <v>1626</v>
      </c>
      <c r="P333" s="306" t="s">
        <v>263</v>
      </c>
      <c r="Q333" s="306" t="s">
        <v>1013</v>
      </c>
      <c r="R333" s="306" t="s">
        <v>1013</v>
      </c>
      <c r="S333" s="306" t="s">
        <v>1013</v>
      </c>
      <c r="T333" s="306" t="s">
        <v>1013</v>
      </c>
      <c r="U333" s="306" t="s">
        <v>1013</v>
      </c>
      <c r="V333" s="306" t="s">
        <v>1013</v>
      </c>
      <c r="W333" s="306" t="s">
        <v>1013</v>
      </c>
      <c r="X333" s="306" t="s">
        <v>1013</v>
      </c>
      <c r="Y333" s="306" t="s">
        <v>1537</v>
      </c>
      <c r="Z333" s="306" t="s">
        <v>1015</v>
      </c>
      <c r="AA333" s="306" t="s">
        <v>1013</v>
      </c>
    </row>
    <row r="334" spans="1:27">
      <c r="A334" s="306" t="s">
        <v>494</v>
      </c>
      <c r="B334" s="306" t="s">
        <v>1003</v>
      </c>
      <c r="C334" s="306" t="s">
        <v>1004</v>
      </c>
      <c r="D334" s="306" t="s">
        <v>2435</v>
      </c>
      <c r="E334" s="306" t="s">
        <v>1627</v>
      </c>
      <c r="F334" s="306" t="s">
        <v>1007</v>
      </c>
      <c r="G334" s="308">
        <v>46017</v>
      </c>
      <c r="H334" s="308">
        <v>46017</v>
      </c>
      <c r="I334" s="309">
        <v>-240.23</v>
      </c>
      <c r="J334" s="306" t="s">
        <v>1008</v>
      </c>
      <c r="K334" s="309">
        <v>-240.23</v>
      </c>
      <c r="L334" s="306" t="s">
        <v>1008</v>
      </c>
      <c r="M334" s="306" t="s">
        <v>1562</v>
      </c>
      <c r="N334" s="306" t="s">
        <v>1535</v>
      </c>
      <c r="O334" s="306" t="s">
        <v>1563</v>
      </c>
      <c r="P334" s="306" t="s">
        <v>263</v>
      </c>
      <c r="Q334" s="306" t="s">
        <v>1013</v>
      </c>
      <c r="R334" s="306" t="s">
        <v>1013</v>
      </c>
      <c r="S334" s="306" t="s">
        <v>1013</v>
      </c>
      <c r="T334" s="306" t="s">
        <v>1013</v>
      </c>
      <c r="U334" s="306" t="s">
        <v>1013</v>
      </c>
      <c r="V334" s="306" t="s">
        <v>1013</v>
      </c>
      <c r="W334" s="306" t="s">
        <v>1013</v>
      </c>
      <c r="X334" s="306" t="s">
        <v>1013</v>
      </c>
      <c r="Y334" s="306" t="s">
        <v>1537</v>
      </c>
      <c r="Z334" s="306" t="s">
        <v>1015</v>
      </c>
      <c r="AA334" s="306" t="s">
        <v>1013</v>
      </c>
    </row>
    <row r="335" spans="1:27">
      <c r="A335" s="306" t="s">
        <v>494</v>
      </c>
      <c r="B335" s="306" t="s">
        <v>1003</v>
      </c>
      <c r="C335" s="306" t="s">
        <v>1004</v>
      </c>
      <c r="D335" s="306" t="s">
        <v>2435</v>
      </c>
      <c r="E335" s="306" t="s">
        <v>1628</v>
      </c>
      <c r="F335" s="306" t="s">
        <v>1007</v>
      </c>
      <c r="G335" s="308">
        <v>46017</v>
      </c>
      <c r="H335" s="308">
        <v>46017</v>
      </c>
      <c r="I335" s="309">
        <v>-7609.69</v>
      </c>
      <c r="J335" s="306" t="s">
        <v>1008</v>
      </c>
      <c r="K335" s="309">
        <v>-7609.69</v>
      </c>
      <c r="L335" s="306" t="s">
        <v>1008</v>
      </c>
      <c r="M335" s="306" t="s">
        <v>1534</v>
      </c>
      <c r="N335" s="306" t="s">
        <v>1535</v>
      </c>
      <c r="O335" s="306" t="s">
        <v>1629</v>
      </c>
      <c r="P335" s="306" t="s">
        <v>263</v>
      </c>
      <c r="Q335" s="306" t="s">
        <v>1013</v>
      </c>
      <c r="R335" s="306" t="s">
        <v>1013</v>
      </c>
      <c r="S335" s="306" t="s">
        <v>1013</v>
      </c>
      <c r="T335" s="306" t="s">
        <v>1013</v>
      </c>
      <c r="U335" s="306" t="s">
        <v>1013</v>
      </c>
      <c r="V335" s="306" t="s">
        <v>1013</v>
      </c>
      <c r="W335" s="306" t="s">
        <v>1013</v>
      </c>
      <c r="X335" s="306" t="s">
        <v>1013</v>
      </c>
      <c r="Y335" s="306" t="s">
        <v>1537</v>
      </c>
      <c r="Z335" s="306" t="s">
        <v>1015</v>
      </c>
      <c r="AA335" s="306" t="s">
        <v>1013</v>
      </c>
    </row>
    <row r="336" spans="1:27">
      <c r="A336" s="306" t="s">
        <v>494</v>
      </c>
      <c r="B336" s="306" t="s">
        <v>1003</v>
      </c>
      <c r="C336" s="306" t="s">
        <v>1004</v>
      </c>
      <c r="D336" s="306" t="s">
        <v>2435</v>
      </c>
      <c r="E336" s="306" t="s">
        <v>1630</v>
      </c>
      <c r="F336" s="306" t="s">
        <v>1007</v>
      </c>
      <c r="G336" s="308">
        <v>46017</v>
      </c>
      <c r="H336" s="308">
        <v>46017</v>
      </c>
      <c r="I336" s="309">
        <v>-731.82</v>
      </c>
      <c r="J336" s="306" t="s">
        <v>1008</v>
      </c>
      <c r="K336" s="309">
        <v>-731.82</v>
      </c>
      <c r="L336" s="306" t="s">
        <v>1008</v>
      </c>
      <c r="M336" s="306" t="s">
        <v>1534</v>
      </c>
      <c r="N336" s="306" t="s">
        <v>1535</v>
      </c>
      <c r="O336" s="306" t="s">
        <v>1631</v>
      </c>
      <c r="P336" s="306" t="s">
        <v>263</v>
      </c>
      <c r="Q336" s="306" t="s">
        <v>1013</v>
      </c>
      <c r="R336" s="306" t="s">
        <v>1013</v>
      </c>
      <c r="S336" s="306" t="s">
        <v>1013</v>
      </c>
      <c r="T336" s="306" t="s">
        <v>1013</v>
      </c>
      <c r="U336" s="306" t="s">
        <v>1013</v>
      </c>
      <c r="V336" s="306" t="s">
        <v>1013</v>
      </c>
      <c r="W336" s="306" t="s">
        <v>1013</v>
      </c>
      <c r="X336" s="306" t="s">
        <v>1013</v>
      </c>
      <c r="Y336" s="306" t="s">
        <v>1537</v>
      </c>
      <c r="Z336" s="306" t="s">
        <v>1015</v>
      </c>
      <c r="AA336" s="306" t="s">
        <v>1013</v>
      </c>
    </row>
    <row r="337" spans="1:27">
      <c r="A337" s="306" t="s">
        <v>494</v>
      </c>
      <c r="B337" s="306" t="s">
        <v>1003</v>
      </c>
      <c r="C337" s="306" t="s">
        <v>1004</v>
      </c>
      <c r="D337" s="306" t="s">
        <v>2435</v>
      </c>
      <c r="E337" s="306" t="s">
        <v>1632</v>
      </c>
      <c r="F337" s="306" t="s">
        <v>1007</v>
      </c>
      <c r="G337" s="308">
        <v>46017</v>
      </c>
      <c r="H337" s="308">
        <v>46017</v>
      </c>
      <c r="I337" s="309">
        <v>-64608.56</v>
      </c>
      <c r="J337" s="306" t="s">
        <v>1008</v>
      </c>
      <c r="K337" s="309">
        <v>-64608.56</v>
      </c>
      <c r="L337" s="306" t="s">
        <v>1008</v>
      </c>
      <c r="M337" s="306" t="s">
        <v>1534</v>
      </c>
      <c r="N337" s="306" t="s">
        <v>1535</v>
      </c>
      <c r="O337" s="306" t="s">
        <v>1633</v>
      </c>
      <c r="P337" s="306" t="s">
        <v>263</v>
      </c>
      <c r="Q337" s="306" t="s">
        <v>1013</v>
      </c>
      <c r="R337" s="306" t="s">
        <v>1013</v>
      </c>
      <c r="S337" s="306" t="s">
        <v>1013</v>
      </c>
      <c r="T337" s="306" t="s">
        <v>1013</v>
      </c>
      <c r="U337" s="306" t="s">
        <v>1013</v>
      </c>
      <c r="V337" s="306" t="s">
        <v>1013</v>
      </c>
      <c r="W337" s="306" t="s">
        <v>1013</v>
      </c>
      <c r="X337" s="306" t="s">
        <v>1013</v>
      </c>
      <c r="Y337" s="306" t="s">
        <v>1537</v>
      </c>
      <c r="Z337" s="306" t="s">
        <v>1015</v>
      </c>
      <c r="AA337" s="306" t="s">
        <v>1013</v>
      </c>
    </row>
    <row r="338" spans="1:27">
      <c r="A338" s="306" t="s">
        <v>494</v>
      </c>
      <c r="B338" s="306" t="s">
        <v>1003</v>
      </c>
      <c r="C338" s="306" t="s">
        <v>1004</v>
      </c>
      <c r="D338" s="306" t="s">
        <v>2435</v>
      </c>
      <c r="E338" s="306" t="s">
        <v>1634</v>
      </c>
      <c r="F338" s="306" t="s">
        <v>1007</v>
      </c>
      <c r="G338" s="308">
        <v>46017</v>
      </c>
      <c r="H338" s="308">
        <v>46017</v>
      </c>
      <c r="I338" s="309">
        <v>-47917.52</v>
      </c>
      <c r="J338" s="306" t="s">
        <v>1008</v>
      </c>
      <c r="K338" s="309">
        <v>-47917.52</v>
      </c>
      <c r="L338" s="306" t="s">
        <v>1008</v>
      </c>
      <c r="M338" s="306" t="s">
        <v>1534</v>
      </c>
      <c r="N338" s="306" t="s">
        <v>1535</v>
      </c>
      <c r="O338" s="306" t="s">
        <v>1635</v>
      </c>
      <c r="P338" s="306" t="s">
        <v>263</v>
      </c>
      <c r="Q338" s="306" t="s">
        <v>1013</v>
      </c>
      <c r="R338" s="306" t="s">
        <v>1013</v>
      </c>
      <c r="S338" s="306" t="s">
        <v>1013</v>
      </c>
      <c r="T338" s="306" t="s">
        <v>1013</v>
      </c>
      <c r="U338" s="306" t="s">
        <v>1013</v>
      </c>
      <c r="V338" s="306" t="s">
        <v>1013</v>
      </c>
      <c r="W338" s="306" t="s">
        <v>1013</v>
      </c>
      <c r="X338" s="306" t="s">
        <v>1013</v>
      </c>
      <c r="Y338" s="306" t="s">
        <v>1537</v>
      </c>
      <c r="Z338" s="306" t="s">
        <v>1015</v>
      </c>
      <c r="AA338" s="306" t="s">
        <v>1013</v>
      </c>
    </row>
    <row r="339" spans="1:27">
      <c r="A339" s="306" t="s">
        <v>494</v>
      </c>
      <c r="B339" s="306" t="s">
        <v>1003</v>
      </c>
      <c r="C339" s="306" t="s">
        <v>1004</v>
      </c>
      <c r="D339" s="306" t="s">
        <v>2435</v>
      </c>
      <c r="E339" s="306" t="s">
        <v>1636</v>
      </c>
      <c r="F339" s="306" t="s">
        <v>1007</v>
      </c>
      <c r="G339" s="308">
        <v>46017</v>
      </c>
      <c r="H339" s="308">
        <v>46017</v>
      </c>
      <c r="I339" s="309">
        <v>-48446.879999999997</v>
      </c>
      <c r="J339" s="306" t="s">
        <v>1008</v>
      </c>
      <c r="K339" s="309">
        <v>-48446.879999999997</v>
      </c>
      <c r="L339" s="306" t="s">
        <v>1008</v>
      </c>
      <c r="M339" s="306" t="s">
        <v>1534</v>
      </c>
      <c r="N339" s="306" t="s">
        <v>1535</v>
      </c>
      <c r="O339" s="306" t="s">
        <v>1637</v>
      </c>
      <c r="P339" s="306" t="s">
        <v>263</v>
      </c>
      <c r="Q339" s="306" t="s">
        <v>1013</v>
      </c>
      <c r="R339" s="306" t="s">
        <v>1013</v>
      </c>
      <c r="S339" s="306" t="s">
        <v>1013</v>
      </c>
      <c r="T339" s="306" t="s">
        <v>1013</v>
      </c>
      <c r="U339" s="306" t="s">
        <v>1013</v>
      </c>
      <c r="V339" s="306" t="s">
        <v>1013</v>
      </c>
      <c r="W339" s="306" t="s">
        <v>1013</v>
      </c>
      <c r="X339" s="306" t="s">
        <v>1013</v>
      </c>
      <c r="Y339" s="306" t="s">
        <v>1537</v>
      </c>
      <c r="Z339" s="306" t="s">
        <v>1015</v>
      </c>
      <c r="AA339" s="306" t="s">
        <v>1013</v>
      </c>
    </row>
    <row r="340" spans="1:27">
      <c r="A340" s="306" t="s">
        <v>494</v>
      </c>
      <c r="B340" s="306" t="s">
        <v>1003</v>
      </c>
      <c r="C340" s="306" t="s">
        <v>1004</v>
      </c>
      <c r="D340" s="306" t="s">
        <v>2435</v>
      </c>
      <c r="E340" s="306" t="s">
        <v>1638</v>
      </c>
      <c r="F340" s="306" t="s">
        <v>1007</v>
      </c>
      <c r="G340" s="308">
        <v>46017</v>
      </c>
      <c r="H340" s="308">
        <v>46017</v>
      </c>
      <c r="I340" s="309">
        <v>-824.05</v>
      </c>
      <c r="J340" s="306" t="s">
        <v>1008</v>
      </c>
      <c r="K340" s="309">
        <v>-824.05</v>
      </c>
      <c r="L340" s="306" t="s">
        <v>1008</v>
      </c>
      <c r="M340" s="306" t="s">
        <v>1562</v>
      </c>
      <c r="N340" s="306" t="s">
        <v>1535</v>
      </c>
      <c r="O340" s="306" t="s">
        <v>1639</v>
      </c>
      <c r="P340" s="306" t="s">
        <v>263</v>
      </c>
      <c r="Q340" s="306" t="s">
        <v>1013</v>
      </c>
      <c r="R340" s="306" t="s">
        <v>1013</v>
      </c>
      <c r="S340" s="306" t="s">
        <v>1013</v>
      </c>
      <c r="T340" s="306" t="s">
        <v>1013</v>
      </c>
      <c r="U340" s="306" t="s">
        <v>1013</v>
      </c>
      <c r="V340" s="306" t="s">
        <v>1013</v>
      </c>
      <c r="W340" s="306" t="s">
        <v>1013</v>
      </c>
      <c r="X340" s="306" t="s">
        <v>1013</v>
      </c>
      <c r="Y340" s="306" t="s">
        <v>1537</v>
      </c>
      <c r="Z340" s="306" t="s">
        <v>1015</v>
      </c>
      <c r="AA340" s="306" t="s">
        <v>1013</v>
      </c>
    </row>
    <row r="341" spans="1:27">
      <c r="A341" s="306" t="s">
        <v>494</v>
      </c>
      <c r="B341" s="306" t="s">
        <v>1003</v>
      </c>
      <c r="C341" s="306" t="s">
        <v>1004</v>
      </c>
      <c r="D341" s="306" t="s">
        <v>2435</v>
      </c>
      <c r="E341" s="306" t="s">
        <v>1640</v>
      </c>
      <c r="F341" s="306" t="s">
        <v>1007</v>
      </c>
      <c r="G341" s="308">
        <v>46017</v>
      </c>
      <c r="H341" s="308">
        <v>46017</v>
      </c>
      <c r="I341" s="309">
        <v>-472.77</v>
      </c>
      <c r="J341" s="306" t="s">
        <v>1008</v>
      </c>
      <c r="K341" s="309">
        <v>-472.77</v>
      </c>
      <c r="L341" s="306" t="s">
        <v>1008</v>
      </c>
      <c r="M341" s="306" t="s">
        <v>1562</v>
      </c>
      <c r="N341" s="306" t="s">
        <v>1535</v>
      </c>
      <c r="O341" s="306" t="s">
        <v>1573</v>
      </c>
      <c r="P341" s="306" t="s">
        <v>263</v>
      </c>
      <c r="Q341" s="306" t="s">
        <v>1013</v>
      </c>
      <c r="R341" s="306" t="s">
        <v>1013</v>
      </c>
      <c r="S341" s="306" t="s">
        <v>1013</v>
      </c>
      <c r="T341" s="306" t="s">
        <v>1013</v>
      </c>
      <c r="U341" s="306" t="s">
        <v>1013</v>
      </c>
      <c r="V341" s="306" t="s">
        <v>1013</v>
      </c>
      <c r="W341" s="306" t="s">
        <v>1013</v>
      </c>
      <c r="X341" s="306" t="s">
        <v>1013</v>
      </c>
      <c r="Y341" s="306" t="s">
        <v>1537</v>
      </c>
      <c r="Z341" s="306" t="s">
        <v>1015</v>
      </c>
      <c r="AA341" s="306" t="s">
        <v>1013</v>
      </c>
    </row>
    <row r="342" spans="1:27">
      <c r="A342" s="306" t="s">
        <v>494</v>
      </c>
      <c r="B342" s="306" t="s">
        <v>1003</v>
      </c>
      <c r="C342" s="306" t="s">
        <v>1004</v>
      </c>
      <c r="D342" s="306" t="s">
        <v>2435</v>
      </c>
      <c r="E342" s="306" t="s">
        <v>1641</v>
      </c>
      <c r="F342" s="306" t="s">
        <v>1007</v>
      </c>
      <c r="G342" s="308">
        <v>46017</v>
      </c>
      <c r="H342" s="308">
        <v>46017</v>
      </c>
      <c r="I342" s="309">
        <v>-1190.29</v>
      </c>
      <c r="J342" s="306" t="s">
        <v>1008</v>
      </c>
      <c r="K342" s="309">
        <v>-1190.29</v>
      </c>
      <c r="L342" s="306" t="s">
        <v>1008</v>
      </c>
      <c r="M342" s="306" t="s">
        <v>1642</v>
      </c>
      <c r="N342" s="306" t="s">
        <v>1535</v>
      </c>
      <c r="O342" s="306" t="s">
        <v>1643</v>
      </c>
      <c r="P342" s="306" t="s">
        <v>263</v>
      </c>
      <c r="Q342" s="306" t="s">
        <v>1013</v>
      </c>
      <c r="R342" s="306" t="s">
        <v>1013</v>
      </c>
      <c r="S342" s="306" t="s">
        <v>1013</v>
      </c>
      <c r="T342" s="306" t="s">
        <v>1013</v>
      </c>
      <c r="U342" s="306" t="s">
        <v>1013</v>
      </c>
      <c r="V342" s="306" t="s">
        <v>1013</v>
      </c>
      <c r="W342" s="306" t="s">
        <v>1013</v>
      </c>
      <c r="X342" s="306" t="s">
        <v>1013</v>
      </c>
      <c r="Y342" s="306" t="s">
        <v>1537</v>
      </c>
      <c r="Z342" s="306" t="s">
        <v>1015</v>
      </c>
      <c r="AA342" s="306" t="s">
        <v>1013</v>
      </c>
    </row>
    <row r="343" spans="1:27">
      <c r="A343" s="306" t="s">
        <v>494</v>
      </c>
      <c r="B343" s="306" t="s">
        <v>1003</v>
      </c>
      <c r="C343" s="306" t="s">
        <v>1004</v>
      </c>
      <c r="D343" s="306" t="s">
        <v>2435</v>
      </c>
      <c r="E343" s="306" t="s">
        <v>1644</v>
      </c>
      <c r="F343" s="306" t="s">
        <v>1007</v>
      </c>
      <c r="G343" s="308">
        <v>46017</v>
      </c>
      <c r="H343" s="308">
        <v>46017</v>
      </c>
      <c r="I343" s="309">
        <v>-38791.94</v>
      </c>
      <c r="J343" s="306" t="s">
        <v>1008</v>
      </c>
      <c r="K343" s="309">
        <v>-38791.94</v>
      </c>
      <c r="L343" s="306" t="s">
        <v>1008</v>
      </c>
      <c r="M343" s="306" t="s">
        <v>1534</v>
      </c>
      <c r="N343" s="306" t="s">
        <v>1535</v>
      </c>
      <c r="O343" s="306" t="s">
        <v>1645</v>
      </c>
      <c r="P343" s="306" t="s">
        <v>263</v>
      </c>
      <c r="Q343" s="306" t="s">
        <v>1013</v>
      </c>
      <c r="R343" s="306" t="s">
        <v>1013</v>
      </c>
      <c r="S343" s="306" t="s">
        <v>1013</v>
      </c>
      <c r="T343" s="306" t="s">
        <v>1013</v>
      </c>
      <c r="U343" s="306" t="s">
        <v>1013</v>
      </c>
      <c r="V343" s="306" t="s">
        <v>1013</v>
      </c>
      <c r="W343" s="306" t="s">
        <v>1013</v>
      </c>
      <c r="X343" s="306" t="s">
        <v>1013</v>
      </c>
      <c r="Y343" s="306" t="s">
        <v>1537</v>
      </c>
      <c r="Z343" s="306" t="s">
        <v>1015</v>
      </c>
      <c r="AA343" s="306" t="s">
        <v>1013</v>
      </c>
    </row>
    <row r="344" spans="1:27">
      <c r="A344" s="306" t="s">
        <v>494</v>
      </c>
      <c r="B344" s="306" t="s">
        <v>1003</v>
      </c>
      <c r="C344" s="306" t="s">
        <v>1004</v>
      </c>
      <c r="D344" s="306" t="s">
        <v>2435</v>
      </c>
      <c r="E344" s="306" t="s">
        <v>1646</v>
      </c>
      <c r="F344" s="306" t="s">
        <v>1007</v>
      </c>
      <c r="G344" s="308">
        <v>46017</v>
      </c>
      <c r="H344" s="308">
        <v>46017</v>
      </c>
      <c r="I344" s="309">
        <v>-492.58</v>
      </c>
      <c r="J344" s="306" t="s">
        <v>1008</v>
      </c>
      <c r="K344" s="309">
        <v>-492.58</v>
      </c>
      <c r="L344" s="306" t="s">
        <v>1008</v>
      </c>
      <c r="M344" s="306" t="s">
        <v>1534</v>
      </c>
      <c r="N344" s="306" t="s">
        <v>1535</v>
      </c>
      <c r="O344" s="306" t="s">
        <v>1647</v>
      </c>
      <c r="P344" s="306" t="s">
        <v>263</v>
      </c>
      <c r="Q344" s="306" t="s">
        <v>1013</v>
      </c>
      <c r="R344" s="306" t="s">
        <v>1013</v>
      </c>
      <c r="S344" s="306" t="s">
        <v>1013</v>
      </c>
      <c r="T344" s="306" t="s">
        <v>1013</v>
      </c>
      <c r="U344" s="306" t="s">
        <v>1013</v>
      </c>
      <c r="V344" s="306" t="s">
        <v>1013</v>
      </c>
      <c r="W344" s="306" t="s">
        <v>1013</v>
      </c>
      <c r="X344" s="306" t="s">
        <v>1013</v>
      </c>
      <c r="Y344" s="306" t="s">
        <v>1537</v>
      </c>
      <c r="Z344" s="306" t="s">
        <v>1015</v>
      </c>
      <c r="AA344" s="306" t="s">
        <v>1013</v>
      </c>
    </row>
    <row r="345" spans="1:27">
      <c r="A345" s="306" t="s">
        <v>494</v>
      </c>
      <c r="B345" s="306" t="s">
        <v>1003</v>
      </c>
      <c r="C345" s="306" t="s">
        <v>1004</v>
      </c>
      <c r="D345" s="306" t="s">
        <v>2435</v>
      </c>
      <c r="E345" s="306" t="s">
        <v>1648</v>
      </c>
      <c r="F345" s="306" t="s">
        <v>1007</v>
      </c>
      <c r="G345" s="308">
        <v>46017</v>
      </c>
      <c r="H345" s="308">
        <v>46017</v>
      </c>
      <c r="I345" s="309">
        <v>-5751.69</v>
      </c>
      <c r="J345" s="306" t="s">
        <v>1008</v>
      </c>
      <c r="K345" s="309">
        <v>-5751.69</v>
      </c>
      <c r="L345" s="306" t="s">
        <v>1008</v>
      </c>
      <c r="M345" s="306" t="s">
        <v>1534</v>
      </c>
      <c r="N345" s="306" t="s">
        <v>1535</v>
      </c>
      <c r="O345" s="306" t="s">
        <v>1649</v>
      </c>
      <c r="P345" s="306" t="s">
        <v>263</v>
      </c>
      <c r="Q345" s="306" t="s">
        <v>1013</v>
      </c>
      <c r="R345" s="306" t="s">
        <v>1013</v>
      </c>
      <c r="S345" s="306" t="s">
        <v>1013</v>
      </c>
      <c r="T345" s="306" t="s">
        <v>1013</v>
      </c>
      <c r="U345" s="306" t="s">
        <v>1013</v>
      </c>
      <c r="V345" s="306" t="s">
        <v>1013</v>
      </c>
      <c r="W345" s="306" t="s">
        <v>1013</v>
      </c>
      <c r="X345" s="306" t="s">
        <v>1013</v>
      </c>
      <c r="Y345" s="306" t="s">
        <v>1537</v>
      </c>
      <c r="Z345" s="306" t="s">
        <v>1015</v>
      </c>
      <c r="AA345" s="306" t="s">
        <v>1013</v>
      </c>
    </row>
    <row r="346" spans="1:27">
      <c r="A346" s="306" t="s">
        <v>494</v>
      </c>
      <c r="B346" s="306" t="s">
        <v>1003</v>
      </c>
      <c r="C346" s="306" t="s">
        <v>1004</v>
      </c>
      <c r="D346" s="306" t="s">
        <v>2435</v>
      </c>
      <c r="E346" s="306" t="s">
        <v>1650</v>
      </c>
      <c r="F346" s="306" t="s">
        <v>1007</v>
      </c>
      <c r="G346" s="308">
        <v>46017</v>
      </c>
      <c r="H346" s="308">
        <v>46017</v>
      </c>
      <c r="I346" s="309">
        <v>-619.79</v>
      </c>
      <c r="J346" s="306" t="s">
        <v>1008</v>
      </c>
      <c r="K346" s="309">
        <v>-619.79</v>
      </c>
      <c r="L346" s="306" t="s">
        <v>1008</v>
      </c>
      <c r="M346" s="306" t="s">
        <v>1562</v>
      </c>
      <c r="N346" s="306" t="s">
        <v>1535</v>
      </c>
      <c r="O346" s="306" t="s">
        <v>1651</v>
      </c>
      <c r="P346" s="306" t="s">
        <v>263</v>
      </c>
      <c r="Q346" s="306" t="s">
        <v>1013</v>
      </c>
      <c r="R346" s="306" t="s">
        <v>1013</v>
      </c>
      <c r="S346" s="306" t="s">
        <v>1013</v>
      </c>
      <c r="T346" s="306" t="s">
        <v>1013</v>
      </c>
      <c r="U346" s="306" t="s">
        <v>1013</v>
      </c>
      <c r="V346" s="306" t="s">
        <v>1013</v>
      </c>
      <c r="W346" s="306" t="s">
        <v>1013</v>
      </c>
      <c r="X346" s="306" t="s">
        <v>1013</v>
      </c>
      <c r="Y346" s="306" t="s">
        <v>1537</v>
      </c>
      <c r="Z346" s="306" t="s">
        <v>1015</v>
      </c>
      <c r="AA346" s="306" t="s">
        <v>1013</v>
      </c>
    </row>
    <row r="347" spans="1:27">
      <c r="A347" s="306" t="s">
        <v>494</v>
      </c>
      <c r="B347" s="306" t="s">
        <v>1003</v>
      </c>
      <c r="C347" s="306" t="s">
        <v>1004</v>
      </c>
      <c r="D347" s="306" t="s">
        <v>2435</v>
      </c>
      <c r="E347" s="306" t="s">
        <v>1652</v>
      </c>
      <c r="F347" s="306" t="s">
        <v>1007</v>
      </c>
      <c r="G347" s="308">
        <v>46017</v>
      </c>
      <c r="H347" s="308">
        <v>46017</v>
      </c>
      <c r="I347" s="309">
        <v>-5784.65</v>
      </c>
      <c r="J347" s="306" t="s">
        <v>1008</v>
      </c>
      <c r="K347" s="309">
        <v>-5784.65</v>
      </c>
      <c r="L347" s="306" t="s">
        <v>1008</v>
      </c>
      <c r="M347" s="306" t="s">
        <v>1562</v>
      </c>
      <c r="N347" s="306" t="s">
        <v>1535</v>
      </c>
      <c r="O347" s="306" t="s">
        <v>1653</v>
      </c>
      <c r="P347" s="306" t="s">
        <v>263</v>
      </c>
      <c r="Q347" s="306" t="s">
        <v>1013</v>
      </c>
      <c r="R347" s="306" t="s">
        <v>1013</v>
      </c>
      <c r="S347" s="306" t="s">
        <v>1013</v>
      </c>
      <c r="T347" s="306" t="s">
        <v>1013</v>
      </c>
      <c r="U347" s="306" t="s">
        <v>1013</v>
      </c>
      <c r="V347" s="306" t="s">
        <v>1013</v>
      </c>
      <c r="W347" s="306" t="s">
        <v>1013</v>
      </c>
      <c r="X347" s="306" t="s">
        <v>1013</v>
      </c>
      <c r="Y347" s="306" t="s">
        <v>1537</v>
      </c>
      <c r="Z347" s="306" t="s">
        <v>1015</v>
      </c>
      <c r="AA347" s="306" t="s">
        <v>1013</v>
      </c>
    </row>
    <row r="348" spans="1:27">
      <c r="A348" s="306" t="s">
        <v>494</v>
      </c>
      <c r="B348" s="306" t="s">
        <v>1003</v>
      </c>
      <c r="C348" s="306" t="s">
        <v>1004</v>
      </c>
      <c r="D348" s="306" t="s">
        <v>2435</v>
      </c>
      <c r="E348" s="306" t="s">
        <v>1654</v>
      </c>
      <c r="F348" s="306" t="s">
        <v>1007</v>
      </c>
      <c r="G348" s="308">
        <v>46017</v>
      </c>
      <c r="H348" s="308">
        <v>46017</v>
      </c>
      <c r="I348" s="309">
        <v>-1217.82</v>
      </c>
      <c r="J348" s="306" t="s">
        <v>1008</v>
      </c>
      <c r="K348" s="309">
        <v>-1217.82</v>
      </c>
      <c r="L348" s="306" t="s">
        <v>1008</v>
      </c>
      <c r="M348" s="306" t="s">
        <v>1562</v>
      </c>
      <c r="N348" s="306" t="s">
        <v>1535</v>
      </c>
      <c r="O348" s="306" t="s">
        <v>1655</v>
      </c>
      <c r="P348" s="306" t="s">
        <v>263</v>
      </c>
      <c r="Q348" s="306" t="s">
        <v>1013</v>
      </c>
      <c r="R348" s="306" t="s">
        <v>1013</v>
      </c>
      <c r="S348" s="306" t="s">
        <v>1013</v>
      </c>
      <c r="T348" s="306" t="s">
        <v>1013</v>
      </c>
      <c r="U348" s="306" t="s">
        <v>1013</v>
      </c>
      <c r="V348" s="306" t="s">
        <v>1013</v>
      </c>
      <c r="W348" s="306" t="s">
        <v>1013</v>
      </c>
      <c r="X348" s="306" t="s">
        <v>1013</v>
      </c>
      <c r="Y348" s="306" t="s">
        <v>1537</v>
      </c>
      <c r="Z348" s="306" t="s">
        <v>1015</v>
      </c>
      <c r="AA348" s="306" t="s">
        <v>1013</v>
      </c>
    </row>
    <row r="349" spans="1:27">
      <c r="A349" s="306" t="s">
        <v>494</v>
      </c>
      <c r="B349" s="306" t="s">
        <v>1003</v>
      </c>
      <c r="C349" s="306" t="s">
        <v>1004</v>
      </c>
      <c r="D349" s="306" t="s">
        <v>2435</v>
      </c>
      <c r="E349" s="306" t="s">
        <v>1656</v>
      </c>
      <c r="F349" s="306" t="s">
        <v>1007</v>
      </c>
      <c r="G349" s="308">
        <v>46017</v>
      </c>
      <c r="H349" s="308">
        <v>46017</v>
      </c>
      <c r="I349" s="309">
        <v>-1827.59</v>
      </c>
      <c r="J349" s="306" t="s">
        <v>1008</v>
      </c>
      <c r="K349" s="309">
        <v>-1827.59</v>
      </c>
      <c r="L349" s="306" t="s">
        <v>1008</v>
      </c>
      <c r="M349" s="306" t="s">
        <v>1562</v>
      </c>
      <c r="N349" s="306" t="s">
        <v>1535</v>
      </c>
      <c r="O349" s="306" t="s">
        <v>1657</v>
      </c>
      <c r="P349" s="306" t="s">
        <v>263</v>
      </c>
      <c r="Q349" s="306" t="s">
        <v>1013</v>
      </c>
      <c r="R349" s="306" t="s">
        <v>1013</v>
      </c>
      <c r="S349" s="306" t="s">
        <v>1013</v>
      </c>
      <c r="T349" s="306" t="s">
        <v>1013</v>
      </c>
      <c r="U349" s="306" t="s">
        <v>1013</v>
      </c>
      <c r="V349" s="306" t="s">
        <v>1013</v>
      </c>
      <c r="W349" s="306" t="s">
        <v>1013</v>
      </c>
      <c r="X349" s="306" t="s">
        <v>1013</v>
      </c>
      <c r="Y349" s="306" t="s">
        <v>1537</v>
      </c>
      <c r="Z349" s="306" t="s">
        <v>1015</v>
      </c>
      <c r="AA349" s="306" t="s">
        <v>1013</v>
      </c>
    </row>
    <row r="350" spans="1:27">
      <c r="A350" s="306" t="s">
        <v>494</v>
      </c>
      <c r="B350" s="306" t="s">
        <v>1003</v>
      </c>
      <c r="C350" s="306" t="s">
        <v>1004</v>
      </c>
      <c r="D350" s="306" t="s">
        <v>2435</v>
      </c>
      <c r="E350" s="306" t="s">
        <v>1658</v>
      </c>
      <c r="F350" s="306" t="s">
        <v>1007</v>
      </c>
      <c r="G350" s="308">
        <v>46017</v>
      </c>
      <c r="H350" s="308">
        <v>46017</v>
      </c>
      <c r="I350" s="309">
        <v>-70334.759999999995</v>
      </c>
      <c r="J350" s="306" t="s">
        <v>1008</v>
      </c>
      <c r="K350" s="309">
        <v>-70334.759999999995</v>
      </c>
      <c r="L350" s="306" t="s">
        <v>1008</v>
      </c>
      <c r="M350" s="306" t="s">
        <v>1534</v>
      </c>
      <c r="N350" s="306" t="s">
        <v>1535</v>
      </c>
      <c r="O350" s="306" t="s">
        <v>1659</v>
      </c>
      <c r="P350" s="306" t="s">
        <v>263</v>
      </c>
      <c r="Q350" s="306" t="s">
        <v>1013</v>
      </c>
      <c r="R350" s="306" t="s">
        <v>1013</v>
      </c>
      <c r="S350" s="306" t="s">
        <v>1013</v>
      </c>
      <c r="T350" s="306" t="s">
        <v>1013</v>
      </c>
      <c r="U350" s="306" t="s">
        <v>1013</v>
      </c>
      <c r="V350" s="306" t="s">
        <v>1013</v>
      </c>
      <c r="W350" s="306" t="s">
        <v>1013</v>
      </c>
      <c r="X350" s="306" t="s">
        <v>1013</v>
      </c>
      <c r="Y350" s="306" t="s">
        <v>1537</v>
      </c>
      <c r="Z350" s="306" t="s">
        <v>1015</v>
      </c>
      <c r="AA350" s="306" t="s">
        <v>1013</v>
      </c>
    </row>
    <row r="351" spans="1:27">
      <c r="A351" s="306" t="s">
        <v>494</v>
      </c>
      <c r="B351" s="306" t="s">
        <v>1003</v>
      </c>
      <c r="C351" s="306" t="s">
        <v>1004</v>
      </c>
      <c r="D351" s="306" t="s">
        <v>2435</v>
      </c>
      <c r="E351" s="306" t="s">
        <v>1660</v>
      </c>
      <c r="F351" s="306" t="s">
        <v>1007</v>
      </c>
      <c r="G351" s="308">
        <v>46017</v>
      </c>
      <c r="H351" s="308">
        <v>46017</v>
      </c>
      <c r="I351" s="309">
        <v>-7165.05</v>
      </c>
      <c r="J351" s="306" t="s">
        <v>1008</v>
      </c>
      <c r="K351" s="309">
        <v>-7165.05</v>
      </c>
      <c r="L351" s="306" t="s">
        <v>1008</v>
      </c>
      <c r="M351" s="306" t="s">
        <v>1553</v>
      </c>
      <c r="N351" s="306" t="s">
        <v>1535</v>
      </c>
      <c r="O351" s="306" t="s">
        <v>1661</v>
      </c>
      <c r="P351" s="306" t="s">
        <v>263</v>
      </c>
      <c r="Q351" s="306" t="s">
        <v>1013</v>
      </c>
      <c r="R351" s="306" t="s">
        <v>1013</v>
      </c>
      <c r="S351" s="306" t="s">
        <v>1013</v>
      </c>
      <c r="T351" s="306" t="s">
        <v>1013</v>
      </c>
      <c r="U351" s="306" t="s">
        <v>1013</v>
      </c>
      <c r="V351" s="306" t="s">
        <v>1013</v>
      </c>
      <c r="W351" s="306" t="s">
        <v>1013</v>
      </c>
      <c r="X351" s="306" t="s">
        <v>1013</v>
      </c>
      <c r="Y351" s="306" t="s">
        <v>1537</v>
      </c>
      <c r="Z351" s="306" t="s">
        <v>1015</v>
      </c>
      <c r="AA351" s="306" t="s">
        <v>1013</v>
      </c>
    </row>
    <row r="352" spans="1:27">
      <c r="A352" s="306" t="s">
        <v>494</v>
      </c>
      <c r="B352" s="306" t="s">
        <v>1003</v>
      </c>
      <c r="C352" s="306" t="s">
        <v>1004</v>
      </c>
      <c r="D352" s="306" t="s">
        <v>2435</v>
      </c>
      <c r="E352" s="306" t="s">
        <v>1662</v>
      </c>
      <c r="F352" s="306" t="s">
        <v>1007</v>
      </c>
      <c r="G352" s="308">
        <v>46017</v>
      </c>
      <c r="H352" s="308">
        <v>46017</v>
      </c>
      <c r="I352" s="309">
        <v>-1148.77</v>
      </c>
      <c r="J352" s="306" t="s">
        <v>1008</v>
      </c>
      <c r="K352" s="309">
        <v>-1148.77</v>
      </c>
      <c r="L352" s="306" t="s">
        <v>1008</v>
      </c>
      <c r="M352" s="306" t="s">
        <v>1562</v>
      </c>
      <c r="N352" s="306" t="s">
        <v>1535</v>
      </c>
      <c r="O352" s="306" t="s">
        <v>1663</v>
      </c>
      <c r="P352" s="306" t="s">
        <v>263</v>
      </c>
      <c r="Q352" s="306" t="s">
        <v>1013</v>
      </c>
      <c r="R352" s="306" t="s">
        <v>1013</v>
      </c>
      <c r="S352" s="306" t="s">
        <v>1013</v>
      </c>
      <c r="T352" s="306" t="s">
        <v>1013</v>
      </c>
      <c r="U352" s="306" t="s">
        <v>1013</v>
      </c>
      <c r="V352" s="306" t="s">
        <v>1013</v>
      </c>
      <c r="W352" s="306" t="s">
        <v>1013</v>
      </c>
      <c r="X352" s="306" t="s">
        <v>1013</v>
      </c>
      <c r="Y352" s="306" t="s">
        <v>1537</v>
      </c>
      <c r="Z352" s="306" t="s">
        <v>1015</v>
      </c>
      <c r="AA352" s="306" t="s">
        <v>1013</v>
      </c>
    </row>
    <row r="353" spans="1:27">
      <c r="A353" s="306" t="s">
        <v>494</v>
      </c>
      <c r="B353" s="306" t="s">
        <v>1003</v>
      </c>
      <c r="C353" s="306" t="s">
        <v>1004</v>
      </c>
      <c r="D353" s="306" t="s">
        <v>2435</v>
      </c>
      <c r="E353" s="306" t="s">
        <v>1664</v>
      </c>
      <c r="F353" s="306" t="s">
        <v>1007</v>
      </c>
      <c r="G353" s="308">
        <v>46017</v>
      </c>
      <c r="H353" s="308">
        <v>46017</v>
      </c>
      <c r="I353" s="309">
        <v>-40381.129999999997</v>
      </c>
      <c r="J353" s="306" t="s">
        <v>1008</v>
      </c>
      <c r="K353" s="309">
        <v>-40381.129999999997</v>
      </c>
      <c r="L353" s="306" t="s">
        <v>1008</v>
      </c>
      <c r="M353" s="306" t="s">
        <v>1562</v>
      </c>
      <c r="N353" s="306" t="s">
        <v>1535</v>
      </c>
      <c r="O353" s="306" t="s">
        <v>1665</v>
      </c>
      <c r="P353" s="306" t="s">
        <v>263</v>
      </c>
      <c r="Q353" s="306" t="s">
        <v>1013</v>
      </c>
      <c r="R353" s="306" t="s">
        <v>1013</v>
      </c>
      <c r="S353" s="306" t="s">
        <v>1013</v>
      </c>
      <c r="T353" s="306" t="s">
        <v>1013</v>
      </c>
      <c r="U353" s="306" t="s">
        <v>1013</v>
      </c>
      <c r="V353" s="306" t="s">
        <v>1013</v>
      </c>
      <c r="W353" s="306" t="s">
        <v>1013</v>
      </c>
      <c r="X353" s="306" t="s">
        <v>1013</v>
      </c>
      <c r="Y353" s="306" t="s">
        <v>1537</v>
      </c>
      <c r="Z353" s="306" t="s">
        <v>1015</v>
      </c>
      <c r="AA353" s="306" t="s">
        <v>1013</v>
      </c>
    </row>
    <row r="354" spans="1:27">
      <c r="A354" s="306" t="s">
        <v>494</v>
      </c>
      <c r="B354" s="306" t="s">
        <v>1003</v>
      </c>
      <c r="C354" s="306" t="s">
        <v>1004</v>
      </c>
      <c r="D354" s="306" t="s">
        <v>2435</v>
      </c>
      <c r="E354" s="306" t="s">
        <v>1666</v>
      </c>
      <c r="F354" s="306" t="s">
        <v>1007</v>
      </c>
      <c r="G354" s="308">
        <v>46017</v>
      </c>
      <c r="H354" s="308">
        <v>46017</v>
      </c>
      <c r="I354" s="309">
        <v>-47522.83</v>
      </c>
      <c r="J354" s="306" t="s">
        <v>1008</v>
      </c>
      <c r="K354" s="309">
        <v>-47522.83</v>
      </c>
      <c r="L354" s="306" t="s">
        <v>1008</v>
      </c>
      <c r="M354" s="306" t="s">
        <v>1534</v>
      </c>
      <c r="N354" s="306" t="s">
        <v>1535</v>
      </c>
      <c r="O354" s="306" t="s">
        <v>1667</v>
      </c>
      <c r="P354" s="306" t="s">
        <v>263</v>
      </c>
      <c r="Q354" s="306" t="s">
        <v>1013</v>
      </c>
      <c r="R354" s="306" t="s">
        <v>1013</v>
      </c>
      <c r="S354" s="306" t="s">
        <v>1013</v>
      </c>
      <c r="T354" s="306" t="s">
        <v>1013</v>
      </c>
      <c r="U354" s="306" t="s">
        <v>1013</v>
      </c>
      <c r="V354" s="306" t="s">
        <v>1013</v>
      </c>
      <c r="W354" s="306" t="s">
        <v>1013</v>
      </c>
      <c r="X354" s="306" t="s">
        <v>1013</v>
      </c>
      <c r="Y354" s="306" t="s">
        <v>1537</v>
      </c>
      <c r="Z354" s="306" t="s">
        <v>1015</v>
      </c>
      <c r="AA354" s="306" t="s">
        <v>1013</v>
      </c>
    </row>
    <row r="355" spans="1:27">
      <c r="A355" s="306" t="s">
        <v>494</v>
      </c>
      <c r="B355" s="306" t="s">
        <v>1003</v>
      </c>
      <c r="C355" s="306" t="s">
        <v>1004</v>
      </c>
      <c r="D355" s="306" t="s">
        <v>2435</v>
      </c>
      <c r="E355" s="306" t="s">
        <v>1668</v>
      </c>
      <c r="F355" s="306" t="s">
        <v>1007</v>
      </c>
      <c r="G355" s="308">
        <v>46017</v>
      </c>
      <c r="H355" s="308">
        <v>46017</v>
      </c>
      <c r="I355" s="309">
        <v>-46583.79</v>
      </c>
      <c r="J355" s="306" t="s">
        <v>1008</v>
      </c>
      <c r="K355" s="309">
        <v>-46583.79</v>
      </c>
      <c r="L355" s="306" t="s">
        <v>1008</v>
      </c>
      <c r="M355" s="306" t="s">
        <v>1534</v>
      </c>
      <c r="N355" s="306" t="s">
        <v>1535</v>
      </c>
      <c r="O355" s="306" t="s">
        <v>1669</v>
      </c>
      <c r="P355" s="306" t="s">
        <v>263</v>
      </c>
      <c r="Q355" s="306" t="s">
        <v>1013</v>
      </c>
      <c r="R355" s="306" t="s">
        <v>1013</v>
      </c>
      <c r="S355" s="306" t="s">
        <v>1013</v>
      </c>
      <c r="T355" s="306" t="s">
        <v>1013</v>
      </c>
      <c r="U355" s="306" t="s">
        <v>1013</v>
      </c>
      <c r="V355" s="306" t="s">
        <v>1013</v>
      </c>
      <c r="W355" s="306" t="s">
        <v>1013</v>
      </c>
      <c r="X355" s="306" t="s">
        <v>1013</v>
      </c>
      <c r="Y355" s="306" t="s">
        <v>1537</v>
      </c>
      <c r="Z355" s="306" t="s">
        <v>1015</v>
      </c>
      <c r="AA355" s="306" t="s">
        <v>1013</v>
      </c>
    </row>
    <row r="356" spans="1:27">
      <c r="A356" s="306" t="s">
        <v>494</v>
      </c>
      <c r="B356" s="306" t="s">
        <v>1003</v>
      </c>
      <c r="C356" s="306" t="s">
        <v>1004</v>
      </c>
      <c r="D356" s="306" t="s">
        <v>2435</v>
      </c>
      <c r="E356" s="306" t="s">
        <v>1670</v>
      </c>
      <c r="F356" s="306" t="s">
        <v>1007</v>
      </c>
      <c r="G356" s="308">
        <v>46017</v>
      </c>
      <c r="H356" s="308">
        <v>46017</v>
      </c>
      <c r="I356" s="309">
        <v>-31853.439999999999</v>
      </c>
      <c r="J356" s="306" t="s">
        <v>1008</v>
      </c>
      <c r="K356" s="309">
        <v>-31853.439999999999</v>
      </c>
      <c r="L356" s="306" t="s">
        <v>1008</v>
      </c>
      <c r="M356" s="306" t="s">
        <v>1534</v>
      </c>
      <c r="N356" s="306" t="s">
        <v>1535</v>
      </c>
      <c r="O356" s="306" t="s">
        <v>1671</v>
      </c>
      <c r="P356" s="306" t="s">
        <v>263</v>
      </c>
      <c r="Q356" s="306" t="s">
        <v>1013</v>
      </c>
      <c r="R356" s="306" t="s">
        <v>1013</v>
      </c>
      <c r="S356" s="306" t="s">
        <v>1013</v>
      </c>
      <c r="T356" s="306" t="s">
        <v>1013</v>
      </c>
      <c r="U356" s="306" t="s">
        <v>1013</v>
      </c>
      <c r="V356" s="306" t="s">
        <v>1013</v>
      </c>
      <c r="W356" s="306" t="s">
        <v>1013</v>
      </c>
      <c r="X356" s="306" t="s">
        <v>1013</v>
      </c>
      <c r="Y356" s="306" t="s">
        <v>1537</v>
      </c>
      <c r="Z356" s="306" t="s">
        <v>1015</v>
      </c>
      <c r="AA356" s="306" t="s">
        <v>1013</v>
      </c>
    </row>
    <row r="357" spans="1:27">
      <c r="A357" s="306" t="s">
        <v>494</v>
      </c>
      <c r="B357" s="306" t="s">
        <v>1003</v>
      </c>
      <c r="C357" s="306" t="s">
        <v>1004</v>
      </c>
      <c r="D357" s="306" t="s">
        <v>2435</v>
      </c>
      <c r="E357" s="306" t="s">
        <v>1672</v>
      </c>
      <c r="F357" s="306" t="s">
        <v>1007</v>
      </c>
      <c r="G357" s="308">
        <v>46017</v>
      </c>
      <c r="H357" s="308">
        <v>46017</v>
      </c>
      <c r="I357" s="309">
        <v>-28146.41</v>
      </c>
      <c r="J357" s="306" t="s">
        <v>1008</v>
      </c>
      <c r="K357" s="309">
        <v>-28146.41</v>
      </c>
      <c r="L357" s="306" t="s">
        <v>1008</v>
      </c>
      <c r="M357" s="306" t="s">
        <v>1534</v>
      </c>
      <c r="N357" s="306" t="s">
        <v>1535</v>
      </c>
      <c r="O357" s="306" t="s">
        <v>1673</v>
      </c>
      <c r="P357" s="306" t="s">
        <v>263</v>
      </c>
      <c r="Q357" s="306" t="s">
        <v>1013</v>
      </c>
      <c r="R357" s="306" t="s">
        <v>1013</v>
      </c>
      <c r="S357" s="306" t="s">
        <v>1013</v>
      </c>
      <c r="T357" s="306" t="s">
        <v>1013</v>
      </c>
      <c r="U357" s="306" t="s">
        <v>1013</v>
      </c>
      <c r="V357" s="306" t="s">
        <v>1013</v>
      </c>
      <c r="W357" s="306" t="s">
        <v>1013</v>
      </c>
      <c r="X357" s="306" t="s">
        <v>1013</v>
      </c>
      <c r="Y357" s="306" t="s">
        <v>1537</v>
      </c>
      <c r="Z357" s="306" t="s">
        <v>1015</v>
      </c>
      <c r="AA357" s="306" t="s">
        <v>1013</v>
      </c>
    </row>
    <row r="358" spans="1:27">
      <c r="A358" s="306" t="s">
        <v>494</v>
      </c>
      <c r="B358" s="306" t="s">
        <v>1003</v>
      </c>
      <c r="C358" s="306" t="s">
        <v>1004</v>
      </c>
      <c r="D358" s="306" t="s">
        <v>2435</v>
      </c>
      <c r="E358" s="306" t="s">
        <v>1674</v>
      </c>
      <c r="F358" s="306" t="s">
        <v>1007</v>
      </c>
      <c r="G358" s="308">
        <v>46017</v>
      </c>
      <c r="H358" s="308">
        <v>46017</v>
      </c>
      <c r="I358" s="309">
        <v>-7832.55</v>
      </c>
      <c r="J358" s="306" t="s">
        <v>1008</v>
      </c>
      <c r="K358" s="309">
        <v>-7832.55</v>
      </c>
      <c r="L358" s="306" t="s">
        <v>1008</v>
      </c>
      <c r="M358" s="306" t="s">
        <v>1562</v>
      </c>
      <c r="N358" s="306" t="s">
        <v>1535</v>
      </c>
      <c r="O358" s="306" t="s">
        <v>1675</v>
      </c>
      <c r="P358" s="306" t="s">
        <v>263</v>
      </c>
      <c r="Q358" s="306" t="s">
        <v>1013</v>
      </c>
      <c r="R358" s="306" t="s">
        <v>1013</v>
      </c>
      <c r="S358" s="306" t="s">
        <v>1013</v>
      </c>
      <c r="T358" s="306" t="s">
        <v>1013</v>
      </c>
      <c r="U358" s="306" t="s">
        <v>1013</v>
      </c>
      <c r="V358" s="306" t="s">
        <v>1013</v>
      </c>
      <c r="W358" s="306" t="s">
        <v>1013</v>
      </c>
      <c r="X358" s="306" t="s">
        <v>1013</v>
      </c>
      <c r="Y358" s="306" t="s">
        <v>1537</v>
      </c>
      <c r="Z358" s="306" t="s">
        <v>1015</v>
      </c>
      <c r="AA358" s="306" t="s">
        <v>1013</v>
      </c>
    </row>
    <row r="359" spans="1:27">
      <c r="A359" s="306" t="s">
        <v>494</v>
      </c>
      <c r="B359" s="306" t="s">
        <v>1003</v>
      </c>
      <c r="C359" s="306" t="s">
        <v>1004</v>
      </c>
      <c r="D359" s="306" t="s">
        <v>2435</v>
      </c>
      <c r="E359" s="306" t="s">
        <v>1676</v>
      </c>
      <c r="F359" s="306" t="s">
        <v>1007</v>
      </c>
      <c r="G359" s="308">
        <v>46017</v>
      </c>
      <c r="H359" s="308">
        <v>46017</v>
      </c>
      <c r="I359" s="309">
        <v>-4141.47</v>
      </c>
      <c r="J359" s="306" t="s">
        <v>1008</v>
      </c>
      <c r="K359" s="309">
        <v>-4141.47</v>
      </c>
      <c r="L359" s="306" t="s">
        <v>1008</v>
      </c>
      <c r="M359" s="306" t="s">
        <v>1534</v>
      </c>
      <c r="N359" s="306" t="s">
        <v>1535</v>
      </c>
      <c r="O359" s="306" t="s">
        <v>1677</v>
      </c>
      <c r="P359" s="306" t="s">
        <v>263</v>
      </c>
      <c r="Q359" s="306" t="s">
        <v>1013</v>
      </c>
      <c r="R359" s="306" t="s">
        <v>1013</v>
      </c>
      <c r="S359" s="306" t="s">
        <v>1013</v>
      </c>
      <c r="T359" s="306" t="s">
        <v>1013</v>
      </c>
      <c r="U359" s="306" t="s">
        <v>1013</v>
      </c>
      <c r="V359" s="306" t="s">
        <v>1013</v>
      </c>
      <c r="W359" s="306" t="s">
        <v>1013</v>
      </c>
      <c r="X359" s="306" t="s">
        <v>1013</v>
      </c>
      <c r="Y359" s="306" t="s">
        <v>1537</v>
      </c>
      <c r="Z359" s="306" t="s">
        <v>1015</v>
      </c>
      <c r="AA359" s="306" t="s">
        <v>1013</v>
      </c>
    </row>
    <row r="360" spans="1:27">
      <c r="A360" s="306" t="s">
        <v>494</v>
      </c>
      <c r="B360" s="306" t="s">
        <v>1003</v>
      </c>
      <c r="C360" s="306" t="s">
        <v>1004</v>
      </c>
      <c r="D360" s="306" t="s">
        <v>2435</v>
      </c>
      <c r="E360" s="306" t="s">
        <v>1678</v>
      </c>
      <c r="F360" s="306" t="s">
        <v>1007</v>
      </c>
      <c r="G360" s="308">
        <v>46017</v>
      </c>
      <c r="H360" s="308">
        <v>46017</v>
      </c>
      <c r="I360" s="309">
        <v>-565.25</v>
      </c>
      <c r="J360" s="306" t="s">
        <v>1008</v>
      </c>
      <c r="K360" s="309">
        <v>-565.25</v>
      </c>
      <c r="L360" s="306" t="s">
        <v>1008</v>
      </c>
      <c r="M360" s="306" t="s">
        <v>1562</v>
      </c>
      <c r="N360" s="306" t="s">
        <v>1535</v>
      </c>
      <c r="O360" s="306" t="s">
        <v>1590</v>
      </c>
      <c r="P360" s="306" t="s">
        <v>263</v>
      </c>
      <c r="Q360" s="306" t="s">
        <v>1013</v>
      </c>
      <c r="R360" s="306" t="s">
        <v>1013</v>
      </c>
      <c r="S360" s="306" t="s">
        <v>1013</v>
      </c>
      <c r="T360" s="306" t="s">
        <v>1013</v>
      </c>
      <c r="U360" s="306" t="s">
        <v>1013</v>
      </c>
      <c r="V360" s="306" t="s">
        <v>1013</v>
      </c>
      <c r="W360" s="306" t="s">
        <v>1013</v>
      </c>
      <c r="X360" s="306" t="s">
        <v>1013</v>
      </c>
      <c r="Y360" s="306" t="s">
        <v>1537</v>
      </c>
      <c r="Z360" s="306" t="s">
        <v>1015</v>
      </c>
      <c r="AA360" s="306" t="s">
        <v>1013</v>
      </c>
    </row>
    <row r="361" spans="1:27">
      <c r="A361" s="306" t="s">
        <v>494</v>
      </c>
      <c r="B361" s="306" t="s">
        <v>1003</v>
      </c>
      <c r="C361" s="306" t="s">
        <v>1004</v>
      </c>
      <c r="D361" s="306" t="s">
        <v>2435</v>
      </c>
      <c r="E361" s="306" t="s">
        <v>1679</v>
      </c>
      <c r="F361" s="306" t="s">
        <v>1007</v>
      </c>
      <c r="G361" s="308">
        <v>46017</v>
      </c>
      <c r="H361" s="308">
        <v>46017</v>
      </c>
      <c r="I361" s="309">
        <v>3331.75</v>
      </c>
      <c r="J361" s="306" t="s">
        <v>1008</v>
      </c>
      <c r="K361" s="309">
        <v>3331.75</v>
      </c>
      <c r="L361" s="306" t="s">
        <v>1008</v>
      </c>
      <c r="M361" s="306" t="s">
        <v>1595</v>
      </c>
      <c r="N361" s="306" t="s">
        <v>1535</v>
      </c>
      <c r="O361" s="306" t="s">
        <v>1596</v>
      </c>
      <c r="P361" s="306" t="s">
        <v>263</v>
      </c>
      <c r="Q361" s="306" t="s">
        <v>1013</v>
      </c>
      <c r="R361" s="306" t="s">
        <v>1013</v>
      </c>
      <c r="S361" s="306" t="s">
        <v>1013</v>
      </c>
      <c r="T361" s="306" t="s">
        <v>1013</v>
      </c>
      <c r="U361" s="306" t="s">
        <v>1013</v>
      </c>
      <c r="V361" s="306" t="s">
        <v>1013</v>
      </c>
      <c r="W361" s="306" t="s">
        <v>1013</v>
      </c>
      <c r="X361" s="306" t="s">
        <v>1013</v>
      </c>
      <c r="Y361" s="306" t="s">
        <v>1537</v>
      </c>
      <c r="Z361" s="306" t="s">
        <v>1015</v>
      </c>
      <c r="AA361" s="306" t="s">
        <v>1013</v>
      </c>
    </row>
    <row r="362" spans="1:27">
      <c r="A362" s="306" t="s">
        <v>494</v>
      </c>
      <c r="B362" s="306" t="s">
        <v>1003</v>
      </c>
      <c r="C362" s="306" t="s">
        <v>1004</v>
      </c>
      <c r="D362" s="306" t="s">
        <v>2435</v>
      </c>
      <c r="E362" s="306" t="s">
        <v>1680</v>
      </c>
      <c r="F362" s="306" t="s">
        <v>1007</v>
      </c>
      <c r="G362" s="308">
        <v>46017</v>
      </c>
      <c r="H362" s="308">
        <v>46017</v>
      </c>
      <c r="I362" s="309">
        <v>4164.68</v>
      </c>
      <c r="J362" s="306" t="s">
        <v>1008</v>
      </c>
      <c r="K362" s="309">
        <v>4164.68</v>
      </c>
      <c r="L362" s="306" t="s">
        <v>1008</v>
      </c>
      <c r="M362" s="306" t="s">
        <v>1595</v>
      </c>
      <c r="N362" s="306" t="s">
        <v>1535</v>
      </c>
      <c r="O362" s="306" t="s">
        <v>1598</v>
      </c>
      <c r="P362" s="306" t="s">
        <v>263</v>
      </c>
      <c r="Q362" s="306" t="s">
        <v>1013</v>
      </c>
      <c r="R362" s="306" t="s">
        <v>1013</v>
      </c>
      <c r="S362" s="306" t="s">
        <v>1013</v>
      </c>
      <c r="T362" s="306" t="s">
        <v>1013</v>
      </c>
      <c r="U362" s="306" t="s">
        <v>1013</v>
      </c>
      <c r="V362" s="306" t="s">
        <v>1013</v>
      </c>
      <c r="W362" s="306" t="s">
        <v>1013</v>
      </c>
      <c r="X362" s="306" t="s">
        <v>1013</v>
      </c>
      <c r="Y362" s="306" t="s">
        <v>1537</v>
      </c>
      <c r="Z362" s="306" t="s">
        <v>1015</v>
      </c>
      <c r="AA362" s="306" t="s">
        <v>1013</v>
      </c>
    </row>
    <row r="363" spans="1:27">
      <c r="A363" s="306" t="s">
        <v>494</v>
      </c>
      <c r="B363" s="306" t="s">
        <v>1003</v>
      </c>
      <c r="C363" s="306" t="s">
        <v>1004</v>
      </c>
      <c r="D363" s="306" t="s">
        <v>2435</v>
      </c>
      <c r="E363" s="306" t="s">
        <v>1681</v>
      </c>
      <c r="F363" s="306" t="s">
        <v>1007</v>
      </c>
      <c r="G363" s="308">
        <v>46017</v>
      </c>
      <c r="H363" s="308">
        <v>46017</v>
      </c>
      <c r="I363" s="309">
        <v>-3331.75</v>
      </c>
      <c r="J363" s="306" t="s">
        <v>1008</v>
      </c>
      <c r="K363" s="309">
        <v>-3331.75</v>
      </c>
      <c r="L363" s="306" t="s">
        <v>1008</v>
      </c>
      <c r="M363" s="306" t="s">
        <v>1682</v>
      </c>
      <c r="N363" s="306" t="s">
        <v>1535</v>
      </c>
      <c r="O363" s="306" t="s">
        <v>1596</v>
      </c>
      <c r="P363" s="306" t="s">
        <v>263</v>
      </c>
      <c r="Q363" s="306" t="s">
        <v>1013</v>
      </c>
      <c r="R363" s="306" t="s">
        <v>1013</v>
      </c>
      <c r="S363" s="306" t="s">
        <v>1013</v>
      </c>
      <c r="T363" s="306" t="s">
        <v>1013</v>
      </c>
      <c r="U363" s="306" t="s">
        <v>1013</v>
      </c>
      <c r="V363" s="306" t="s">
        <v>1013</v>
      </c>
      <c r="W363" s="306" t="s">
        <v>1013</v>
      </c>
      <c r="X363" s="306" t="s">
        <v>1013</v>
      </c>
      <c r="Y363" s="306" t="s">
        <v>1537</v>
      </c>
      <c r="Z363" s="306" t="s">
        <v>1015</v>
      </c>
      <c r="AA363" s="306" t="s">
        <v>1013</v>
      </c>
    </row>
    <row r="364" spans="1:27">
      <c r="A364" s="306" t="s">
        <v>494</v>
      </c>
      <c r="B364" s="306" t="s">
        <v>1003</v>
      </c>
      <c r="C364" s="306" t="s">
        <v>1004</v>
      </c>
      <c r="D364" s="306" t="s">
        <v>2435</v>
      </c>
      <c r="E364" s="306" t="s">
        <v>1683</v>
      </c>
      <c r="F364" s="306" t="s">
        <v>1007</v>
      </c>
      <c r="G364" s="308">
        <v>46017</v>
      </c>
      <c r="H364" s="308">
        <v>46017</v>
      </c>
      <c r="I364" s="309">
        <v>-4164.68</v>
      </c>
      <c r="J364" s="306" t="s">
        <v>1008</v>
      </c>
      <c r="K364" s="309">
        <v>-4164.68</v>
      </c>
      <c r="L364" s="306" t="s">
        <v>1008</v>
      </c>
      <c r="M364" s="306" t="s">
        <v>1682</v>
      </c>
      <c r="N364" s="306" t="s">
        <v>1535</v>
      </c>
      <c r="O364" s="306" t="s">
        <v>1598</v>
      </c>
      <c r="P364" s="306" t="s">
        <v>263</v>
      </c>
      <c r="Q364" s="306" t="s">
        <v>1013</v>
      </c>
      <c r="R364" s="306" t="s">
        <v>1013</v>
      </c>
      <c r="S364" s="306" t="s">
        <v>1013</v>
      </c>
      <c r="T364" s="306" t="s">
        <v>1013</v>
      </c>
      <c r="U364" s="306" t="s">
        <v>1013</v>
      </c>
      <c r="V364" s="306" t="s">
        <v>1013</v>
      </c>
      <c r="W364" s="306" t="s">
        <v>1013</v>
      </c>
      <c r="X364" s="306" t="s">
        <v>1013</v>
      </c>
      <c r="Y364" s="306" t="s">
        <v>1537</v>
      </c>
      <c r="Z364" s="306" t="s">
        <v>1015</v>
      </c>
      <c r="AA364" s="306" t="s">
        <v>1013</v>
      </c>
    </row>
    <row r="365" spans="1:27">
      <c r="A365" s="306" t="s">
        <v>494</v>
      </c>
      <c r="B365" s="306" t="s">
        <v>1003</v>
      </c>
      <c r="C365" s="306" t="s">
        <v>1004</v>
      </c>
      <c r="D365" s="306" t="s">
        <v>2435</v>
      </c>
      <c r="E365" s="306" t="s">
        <v>1684</v>
      </c>
      <c r="F365" s="306" t="s">
        <v>1007</v>
      </c>
      <c r="G365" s="308">
        <v>46017</v>
      </c>
      <c r="H365" s="308">
        <v>46017</v>
      </c>
      <c r="I365" s="309">
        <v>-797831.86</v>
      </c>
      <c r="J365" s="306" t="s">
        <v>1008</v>
      </c>
      <c r="K365" s="309">
        <v>-797831.86</v>
      </c>
      <c r="L365" s="306" t="s">
        <v>1008</v>
      </c>
      <c r="M365" s="306" t="s">
        <v>2469</v>
      </c>
      <c r="N365" s="306" t="s">
        <v>1686</v>
      </c>
      <c r="O365" s="306" t="s">
        <v>1687</v>
      </c>
      <c r="P365" s="306" t="s">
        <v>1069</v>
      </c>
      <c r="Q365" s="306" t="s">
        <v>1013</v>
      </c>
      <c r="R365" s="306" t="s">
        <v>1013</v>
      </c>
      <c r="S365" s="306" t="s">
        <v>1013</v>
      </c>
      <c r="T365" s="306" t="s">
        <v>1013</v>
      </c>
      <c r="U365" s="306" t="s">
        <v>1013</v>
      </c>
      <c r="V365" s="306" t="s">
        <v>1013</v>
      </c>
      <c r="W365" s="306" t="s">
        <v>1013</v>
      </c>
      <c r="X365" s="306" t="s">
        <v>1013</v>
      </c>
      <c r="Y365" s="306" t="s">
        <v>1688</v>
      </c>
      <c r="Z365" s="306" t="s">
        <v>1071</v>
      </c>
      <c r="AA365" s="306" t="s">
        <v>1013</v>
      </c>
    </row>
    <row r="366" spans="1:27">
      <c r="A366" s="306" t="s">
        <v>494</v>
      </c>
      <c r="B366" s="306" t="s">
        <v>1003</v>
      </c>
      <c r="C366" s="306" t="s">
        <v>1004</v>
      </c>
      <c r="D366" s="306" t="s">
        <v>2435</v>
      </c>
      <c r="E366" s="306" t="s">
        <v>1689</v>
      </c>
      <c r="F366" s="306" t="s">
        <v>1007</v>
      </c>
      <c r="G366" s="308">
        <v>46017</v>
      </c>
      <c r="H366" s="308">
        <v>46017</v>
      </c>
      <c r="I366" s="309">
        <v>766460.98</v>
      </c>
      <c r="J366" s="306" t="s">
        <v>1008</v>
      </c>
      <c r="K366" s="309">
        <v>766460.98</v>
      </c>
      <c r="L366" s="306" t="s">
        <v>1008</v>
      </c>
      <c r="M366" s="306" t="s">
        <v>1617</v>
      </c>
      <c r="N366" s="306" t="s">
        <v>1535</v>
      </c>
      <c r="O366" s="306" t="s">
        <v>1618</v>
      </c>
      <c r="P366" s="306" t="s">
        <v>263</v>
      </c>
      <c r="Q366" s="306" t="s">
        <v>1013</v>
      </c>
      <c r="R366" s="306" t="s">
        <v>1013</v>
      </c>
      <c r="S366" s="306" t="s">
        <v>1013</v>
      </c>
      <c r="T366" s="306" t="s">
        <v>1013</v>
      </c>
      <c r="U366" s="306" t="s">
        <v>1013</v>
      </c>
      <c r="V366" s="306" t="s">
        <v>1013</v>
      </c>
      <c r="W366" s="306" t="s">
        <v>1013</v>
      </c>
      <c r="X366" s="306" t="s">
        <v>1013</v>
      </c>
      <c r="Y366" s="306" t="s">
        <v>1537</v>
      </c>
      <c r="Z366" s="306" t="s">
        <v>1015</v>
      </c>
      <c r="AA366" s="306" t="s">
        <v>1013</v>
      </c>
    </row>
    <row r="367" spans="1:27">
      <c r="A367" s="306" t="s">
        <v>494</v>
      </c>
      <c r="B367" s="306" t="s">
        <v>1003</v>
      </c>
      <c r="C367" s="306" t="s">
        <v>1004</v>
      </c>
      <c r="D367" s="306" t="s">
        <v>2435</v>
      </c>
      <c r="E367" s="306" t="s">
        <v>1690</v>
      </c>
      <c r="F367" s="306" t="s">
        <v>1007</v>
      </c>
      <c r="G367" s="308">
        <v>46017</v>
      </c>
      <c r="H367" s="308">
        <v>46017</v>
      </c>
      <c r="I367" s="309">
        <v>966771.24</v>
      </c>
      <c r="J367" s="306" t="s">
        <v>1008</v>
      </c>
      <c r="K367" s="309">
        <v>966771.24</v>
      </c>
      <c r="L367" s="306" t="s">
        <v>1008</v>
      </c>
      <c r="M367" s="306" t="s">
        <v>1617</v>
      </c>
      <c r="N367" s="306" t="s">
        <v>1535</v>
      </c>
      <c r="O367" s="306" t="s">
        <v>1554</v>
      </c>
      <c r="P367" s="306" t="s">
        <v>263</v>
      </c>
      <c r="Q367" s="306" t="s">
        <v>1013</v>
      </c>
      <c r="R367" s="306" t="s">
        <v>1013</v>
      </c>
      <c r="S367" s="306" t="s">
        <v>1013</v>
      </c>
      <c r="T367" s="306" t="s">
        <v>1013</v>
      </c>
      <c r="U367" s="306" t="s">
        <v>1013</v>
      </c>
      <c r="V367" s="306" t="s">
        <v>1013</v>
      </c>
      <c r="W367" s="306" t="s">
        <v>1013</v>
      </c>
      <c r="X367" s="306" t="s">
        <v>1013</v>
      </c>
      <c r="Y367" s="306" t="s">
        <v>1537</v>
      </c>
      <c r="Z367" s="306" t="s">
        <v>1015</v>
      </c>
      <c r="AA367" s="306" t="s">
        <v>1013</v>
      </c>
    </row>
    <row r="368" spans="1:27">
      <c r="A368" s="306" t="s">
        <v>494</v>
      </c>
      <c r="B368" s="306" t="s">
        <v>1003</v>
      </c>
      <c r="C368" s="306" t="s">
        <v>1004</v>
      </c>
      <c r="D368" s="306" t="s">
        <v>2435</v>
      </c>
      <c r="E368" s="306" t="s">
        <v>1691</v>
      </c>
      <c r="F368" s="306" t="s">
        <v>1007</v>
      </c>
      <c r="G368" s="308">
        <v>46017</v>
      </c>
      <c r="H368" s="308">
        <v>46017</v>
      </c>
      <c r="I368" s="309">
        <v>797831.86</v>
      </c>
      <c r="J368" s="306" t="s">
        <v>1008</v>
      </c>
      <c r="K368" s="309">
        <v>797831.86</v>
      </c>
      <c r="L368" s="306" t="s">
        <v>1008</v>
      </c>
      <c r="M368" s="306" t="s">
        <v>2469</v>
      </c>
      <c r="N368" s="306" t="s">
        <v>1686</v>
      </c>
      <c r="O368" s="306" t="s">
        <v>1687</v>
      </c>
      <c r="P368" s="306" t="s">
        <v>1069</v>
      </c>
      <c r="Q368" s="306" t="s">
        <v>1013</v>
      </c>
      <c r="R368" s="306" t="s">
        <v>1013</v>
      </c>
      <c r="S368" s="306" t="s">
        <v>1013</v>
      </c>
      <c r="T368" s="306" t="s">
        <v>1013</v>
      </c>
      <c r="U368" s="306" t="s">
        <v>1013</v>
      </c>
      <c r="V368" s="306" t="s">
        <v>1013</v>
      </c>
      <c r="W368" s="306" t="s">
        <v>1013</v>
      </c>
      <c r="X368" s="306" t="s">
        <v>1013</v>
      </c>
      <c r="Y368" s="306" t="s">
        <v>1688</v>
      </c>
      <c r="Z368" s="306" t="s">
        <v>1071</v>
      </c>
      <c r="AA368" s="306" t="s">
        <v>1013</v>
      </c>
    </row>
    <row r="369" spans="1:27">
      <c r="A369" s="306" t="s">
        <v>494</v>
      </c>
      <c r="B369" s="306" t="s">
        <v>1003</v>
      </c>
      <c r="C369" s="306" t="s">
        <v>1004</v>
      </c>
      <c r="D369" s="306" t="s">
        <v>2435</v>
      </c>
      <c r="E369" s="306" t="s">
        <v>1692</v>
      </c>
      <c r="F369" s="306" t="s">
        <v>1007</v>
      </c>
      <c r="G369" s="308">
        <v>46019</v>
      </c>
      <c r="H369" s="308">
        <v>46019</v>
      </c>
      <c r="I369" s="309">
        <v>-12494.05</v>
      </c>
      <c r="J369" s="306" t="s">
        <v>1008</v>
      </c>
      <c r="K369" s="309">
        <v>-12494.05</v>
      </c>
      <c r="L369" s="306" t="s">
        <v>1008</v>
      </c>
      <c r="M369" s="306" t="s">
        <v>1693</v>
      </c>
      <c r="N369" s="306" t="s">
        <v>1694</v>
      </c>
      <c r="O369" s="306" t="s">
        <v>1695</v>
      </c>
      <c r="P369" s="306" t="s">
        <v>1696</v>
      </c>
      <c r="Q369" s="306" t="s">
        <v>1013</v>
      </c>
      <c r="R369" s="306" t="s">
        <v>1013</v>
      </c>
      <c r="S369" s="306" t="s">
        <v>1013</v>
      </c>
      <c r="T369" s="306" t="s">
        <v>1013</v>
      </c>
      <c r="U369" s="306" t="s">
        <v>1013</v>
      </c>
      <c r="V369" s="306" t="s">
        <v>1013</v>
      </c>
      <c r="W369" s="306" t="s">
        <v>1013</v>
      </c>
      <c r="X369" s="306" t="s">
        <v>1013</v>
      </c>
      <c r="Y369" s="306" t="s">
        <v>1697</v>
      </c>
      <c r="Z369" s="306" t="s">
        <v>1015</v>
      </c>
      <c r="AA369" s="306" t="s">
        <v>1013</v>
      </c>
    </row>
    <row r="370" spans="1:27">
      <c r="A370" s="306" t="s">
        <v>494</v>
      </c>
      <c r="B370" s="306" t="s">
        <v>1003</v>
      </c>
      <c r="C370" s="306" t="s">
        <v>1004</v>
      </c>
      <c r="D370" s="306" t="s">
        <v>2435</v>
      </c>
      <c r="E370" s="306" t="s">
        <v>1698</v>
      </c>
      <c r="F370" s="306" t="s">
        <v>1007</v>
      </c>
      <c r="G370" s="308">
        <v>46019</v>
      </c>
      <c r="H370" s="308">
        <v>46019</v>
      </c>
      <c r="I370" s="309">
        <v>-3241.45</v>
      </c>
      <c r="J370" s="306" t="s">
        <v>1008</v>
      </c>
      <c r="K370" s="309">
        <v>-3241.45</v>
      </c>
      <c r="L370" s="306" t="s">
        <v>1008</v>
      </c>
      <c r="M370" s="306" t="s">
        <v>1699</v>
      </c>
      <c r="N370" s="306" t="s">
        <v>1694</v>
      </c>
      <c r="O370" s="306" t="s">
        <v>1700</v>
      </c>
      <c r="P370" s="306" t="s">
        <v>1696</v>
      </c>
      <c r="Q370" s="306" t="s">
        <v>1013</v>
      </c>
      <c r="R370" s="306" t="s">
        <v>1013</v>
      </c>
      <c r="S370" s="306" t="s">
        <v>1013</v>
      </c>
      <c r="T370" s="306" t="s">
        <v>1013</v>
      </c>
      <c r="U370" s="306" t="s">
        <v>1013</v>
      </c>
      <c r="V370" s="306" t="s">
        <v>1013</v>
      </c>
      <c r="W370" s="306" t="s">
        <v>1013</v>
      </c>
      <c r="X370" s="306" t="s">
        <v>1013</v>
      </c>
      <c r="Y370" s="306" t="s">
        <v>1697</v>
      </c>
      <c r="Z370" s="306" t="s">
        <v>1015</v>
      </c>
      <c r="AA370" s="306" t="s">
        <v>1013</v>
      </c>
    </row>
    <row r="371" spans="1:27">
      <c r="A371" s="306" t="s">
        <v>494</v>
      </c>
      <c r="B371" s="306" t="s">
        <v>1003</v>
      </c>
      <c r="C371" s="306" t="s">
        <v>1004</v>
      </c>
      <c r="D371" s="306" t="s">
        <v>2435</v>
      </c>
      <c r="E371" s="306" t="s">
        <v>1701</v>
      </c>
      <c r="F371" s="306" t="s">
        <v>1007</v>
      </c>
      <c r="G371" s="308">
        <v>46019</v>
      </c>
      <c r="H371" s="308">
        <v>46019</v>
      </c>
      <c r="I371" s="309">
        <v>-5841.56</v>
      </c>
      <c r="J371" s="306" t="s">
        <v>1008</v>
      </c>
      <c r="K371" s="309">
        <v>-5841.56</v>
      </c>
      <c r="L371" s="306" t="s">
        <v>1008</v>
      </c>
      <c r="M371" s="306" t="s">
        <v>1699</v>
      </c>
      <c r="N371" s="306" t="s">
        <v>1694</v>
      </c>
      <c r="O371" s="306" t="s">
        <v>1702</v>
      </c>
      <c r="P371" s="306" t="s">
        <v>1696</v>
      </c>
      <c r="Q371" s="306" t="s">
        <v>1013</v>
      </c>
      <c r="R371" s="306" t="s">
        <v>1013</v>
      </c>
      <c r="S371" s="306" t="s">
        <v>1013</v>
      </c>
      <c r="T371" s="306" t="s">
        <v>1013</v>
      </c>
      <c r="U371" s="306" t="s">
        <v>1013</v>
      </c>
      <c r="V371" s="306" t="s">
        <v>1013</v>
      </c>
      <c r="W371" s="306" t="s">
        <v>1013</v>
      </c>
      <c r="X371" s="306" t="s">
        <v>1013</v>
      </c>
      <c r="Y371" s="306" t="s">
        <v>1697</v>
      </c>
      <c r="Z371" s="306" t="s">
        <v>1015</v>
      </c>
      <c r="AA371" s="306" t="s">
        <v>1013</v>
      </c>
    </row>
    <row r="372" spans="1:27">
      <c r="A372" s="306" t="s">
        <v>494</v>
      </c>
      <c r="B372" s="306" t="s">
        <v>1003</v>
      </c>
      <c r="C372" s="306" t="s">
        <v>1004</v>
      </c>
      <c r="D372" s="306" t="s">
        <v>2435</v>
      </c>
      <c r="E372" s="306" t="s">
        <v>1703</v>
      </c>
      <c r="F372" s="306" t="s">
        <v>1007</v>
      </c>
      <c r="G372" s="308">
        <v>46019</v>
      </c>
      <c r="H372" s="308">
        <v>46019</v>
      </c>
      <c r="I372" s="309">
        <v>-1742600.81</v>
      </c>
      <c r="J372" s="306" t="s">
        <v>1008</v>
      </c>
      <c r="K372" s="309">
        <v>-1742600.81</v>
      </c>
      <c r="L372" s="306" t="s">
        <v>1008</v>
      </c>
      <c r="M372" s="306" t="s">
        <v>1699</v>
      </c>
      <c r="N372" s="306" t="s">
        <v>1694</v>
      </c>
      <c r="O372" s="306" t="s">
        <v>1704</v>
      </c>
      <c r="P372" s="306" t="s">
        <v>1696</v>
      </c>
      <c r="Q372" s="306" t="s">
        <v>1013</v>
      </c>
      <c r="R372" s="306" t="s">
        <v>1013</v>
      </c>
      <c r="S372" s="306" t="s">
        <v>1013</v>
      </c>
      <c r="T372" s="306" t="s">
        <v>1013</v>
      </c>
      <c r="U372" s="306" t="s">
        <v>1013</v>
      </c>
      <c r="V372" s="306" t="s">
        <v>1013</v>
      </c>
      <c r="W372" s="306" t="s">
        <v>1013</v>
      </c>
      <c r="X372" s="306" t="s">
        <v>1013</v>
      </c>
      <c r="Y372" s="306" t="s">
        <v>1697</v>
      </c>
      <c r="Z372" s="306" t="s">
        <v>1015</v>
      </c>
      <c r="AA372" s="306" t="s">
        <v>1013</v>
      </c>
    </row>
    <row r="373" spans="1:27">
      <c r="A373" s="306" t="s">
        <v>494</v>
      </c>
      <c r="B373" s="306" t="s">
        <v>1003</v>
      </c>
      <c r="C373" s="306" t="s">
        <v>1004</v>
      </c>
      <c r="D373" s="306" t="s">
        <v>2435</v>
      </c>
      <c r="E373" s="306" t="s">
        <v>1705</v>
      </c>
      <c r="F373" s="306" t="s">
        <v>1007</v>
      </c>
      <c r="G373" s="308">
        <v>46019</v>
      </c>
      <c r="H373" s="308">
        <v>46019</v>
      </c>
      <c r="I373" s="309">
        <v>-170076.53</v>
      </c>
      <c r="J373" s="306" t="s">
        <v>1008</v>
      </c>
      <c r="K373" s="309">
        <v>-170076.53</v>
      </c>
      <c r="L373" s="306" t="s">
        <v>1008</v>
      </c>
      <c r="M373" s="306" t="s">
        <v>1699</v>
      </c>
      <c r="N373" s="306" t="s">
        <v>1694</v>
      </c>
      <c r="O373" s="306" t="s">
        <v>1706</v>
      </c>
      <c r="P373" s="306" t="s">
        <v>1696</v>
      </c>
      <c r="Q373" s="306" t="s">
        <v>1013</v>
      </c>
      <c r="R373" s="306" t="s">
        <v>1013</v>
      </c>
      <c r="S373" s="306" t="s">
        <v>1013</v>
      </c>
      <c r="T373" s="306" t="s">
        <v>1013</v>
      </c>
      <c r="U373" s="306" t="s">
        <v>1013</v>
      </c>
      <c r="V373" s="306" t="s">
        <v>1013</v>
      </c>
      <c r="W373" s="306" t="s">
        <v>1013</v>
      </c>
      <c r="X373" s="306" t="s">
        <v>1013</v>
      </c>
      <c r="Y373" s="306" t="s">
        <v>1697</v>
      </c>
      <c r="Z373" s="306" t="s">
        <v>1015</v>
      </c>
      <c r="AA373" s="306" t="s">
        <v>1013</v>
      </c>
    </row>
    <row r="374" spans="1:27">
      <c r="A374" s="306" t="s">
        <v>494</v>
      </c>
      <c r="B374" s="306" t="s">
        <v>1003</v>
      </c>
      <c r="C374" s="306" t="s">
        <v>1004</v>
      </c>
      <c r="D374" s="306" t="s">
        <v>2435</v>
      </c>
      <c r="E374" s="306" t="s">
        <v>1707</v>
      </c>
      <c r="F374" s="306" t="s">
        <v>1007</v>
      </c>
      <c r="G374" s="308">
        <v>46019</v>
      </c>
      <c r="H374" s="308">
        <v>46019</v>
      </c>
      <c r="I374" s="309">
        <v>-202660.84</v>
      </c>
      <c r="J374" s="306" t="s">
        <v>1008</v>
      </c>
      <c r="K374" s="309">
        <v>-202660.84</v>
      </c>
      <c r="L374" s="306" t="s">
        <v>1008</v>
      </c>
      <c r="M374" s="306" t="s">
        <v>1699</v>
      </c>
      <c r="N374" s="306" t="s">
        <v>1694</v>
      </c>
      <c r="O374" s="306" t="s">
        <v>1708</v>
      </c>
      <c r="P374" s="306" t="s">
        <v>1696</v>
      </c>
      <c r="Q374" s="306" t="s">
        <v>1013</v>
      </c>
      <c r="R374" s="306" t="s">
        <v>1013</v>
      </c>
      <c r="S374" s="306" t="s">
        <v>1013</v>
      </c>
      <c r="T374" s="306" t="s">
        <v>1013</v>
      </c>
      <c r="U374" s="306" t="s">
        <v>1013</v>
      </c>
      <c r="V374" s="306" t="s">
        <v>1013</v>
      </c>
      <c r="W374" s="306" t="s">
        <v>1013</v>
      </c>
      <c r="X374" s="306" t="s">
        <v>1013</v>
      </c>
      <c r="Y374" s="306" t="s">
        <v>1697</v>
      </c>
      <c r="Z374" s="306" t="s">
        <v>1015</v>
      </c>
      <c r="AA374" s="306" t="s">
        <v>1013</v>
      </c>
    </row>
    <row r="375" spans="1:27">
      <c r="A375" s="306" t="s">
        <v>494</v>
      </c>
      <c r="B375" s="306" t="s">
        <v>1003</v>
      </c>
      <c r="C375" s="306" t="s">
        <v>1004</v>
      </c>
      <c r="D375" s="306" t="s">
        <v>2435</v>
      </c>
      <c r="E375" s="306" t="s">
        <v>1709</v>
      </c>
      <c r="F375" s="306" t="s">
        <v>1007</v>
      </c>
      <c r="G375" s="308">
        <v>46019</v>
      </c>
      <c r="H375" s="308">
        <v>46019</v>
      </c>
      <c r="I375" s="309">
        <v>-465748.13</v>
      </c>
      <c r="J375" s="306" t="s">
        <v>1008</v>
      </c>
      <c r="K375" s="309">
        <v>-465748.13</v>
      </c>
      <c r="L375" s="306" t="s">
        <v>1008</v>
      </c>
      <c r="M375" s="306" t="s">
        <v>1699</v>
      </c>
      <c r="N375" s="306" t="s">
        <v>1694</v>
      </c>
      <c r="O375" s="306" t="s">
        <v>1710</v>
      </c>
      <c r="P375" s="306" t="s">
        <v>1696</v>
      </c>
      <c r="Q375" s="306" t="s">
        <v>1013</v>
      </c>
      <c r="R375" s="306" t="s">
        <v>1013</v>
      </c>
      <c r="S375" s="306" t="s">
        <v>1013</v>
      </c>
      <c r="T375" s="306" t="s">
        <v>1013</v>
      </c>
      <c r="U375" s="306" t="s">
        <v>1013</v>
      </c>
      <c r="V375" s="306" t="s">
        <v>1013</v>
      </c>
      <c r="W375" s="306" t="s">
        <v>1013</v>
      </c>
      <c r="X375" s="306" t="s">
        <v>1013</v>
      </c>
      <c r="Y375" s="306" t="s">
        <v>1697</v>
      </c>
      <c r="Z375" s="306" t="s">
        <v>1015</v>
      </c>
      <c r="AA375" s="306" t="s">
        <v>1013</v>
      </c>
    </row>
    <row r="376" spans="1:27">
      <c r="A376" s="306" t="s">
        <v>494</v>
      </c>
      <c r="B376" s="306" t="s">
        <v>1003</v>
      </c>
      <c r="C376" s="306" t="s">
        <v>1004</v>
      </c>
      <c r="D376" s="306" t="s">
        <v>2435</v>
      </c>
      <c r="E376" s="306" t="s">
        <v>1711</v>
      </c>
      <c r="F376" s="306" t="s">
        <v>1007</v>
      </c>
      <c r="G376" s="308">
        <v>46019</v>
      </c>
      <c r="H376" s="308">
        <v>46019</v>
      </c>
      <c r="I376" s="309">
        <v>-71117.759999999995</v>
      </c>
      <c r="J376" s="306" t="s">
        <v>1008</v>
      </c>
      <c r="K376" s="309">
        <v>-71117.759999999995</v>
      </c>
      <c r="L376" s="306" t="s">
        <v>1008</v>
      </c>
      <c r="M376" s="306" t="s">
        <v>1699</v>
      </c>
      <c r="N376" s="306" t="s">
        <v>1694</v>
      </c>
      <c r="O376" s="306" t="s">
        <v>1712</v>
      </c>
      <c r="P376" s="306" t="s">
        <v>1696</v>
      </c>
      <c r="Q376" s="306" t="s">
        <v>1013</v>
      </c>
      <c r="R376" s="306" t="s">
        <v>1013</v>
      </c>
      <c r="S376" s="306" t="s">
        <v>1013</v>
      </c>
      <c r="T376" s="306" t="s">
        <v>1013</v>
      </c>
      <c r="U376" s="306" t="s">
        <v>1013</v>
      </c>
      <c r="V376" s="306" t="s">
        <v>1013</v>
      </c>
      <c r="W376" s="306" t="s">
        <v>1013</v>
      </c>
      <c r="X376" s="306" t="s">
        <v>1013</v>
      </c>
      <c r="Y376" s="306" t="s">
        <v>1697</v>
      </c>
      <c r="Z376" s="306" t="s">
        <v>1015</v>
      </c>
      <c r="AA376" s="306" t="s">
        <v>1013</v>
      </c>
    </row>
    <row r="377" spans="1:27">
      <c r="A377" s="306" t="s">
        <v>494</v>
      </c>
      <c r="B377" s="306" t="s">
        <v>1003</v>
      </c>
      <c r="C377" s="306" t="s">
        <v>1004</v>
      </c>
      <c r="D377" s="306" t="s">
        <v>2435</v>
      </c>
      <c r="E377" s="306" t="s">
        <v>1713</v>
      </c>
      <c r="F377" s="306" t="s">
        <v>1007</v>
      </c>
      <c r="G377" s="308">
        <v>46019</v>
      </c>
      <c r="H377" s="308">
        <v>46019</v>
      </c>
      <c r="I377" s="309">
        <v>-590837.84</v>
      </c>
      <c r="J377" s="306" t="s">
        <v>1008</v>
      </c>
      <c r="K377" s="309">
        <v>-590837.84</v>
      </c>
      <c r="L377" s="306" t="s">
        <v>1008</v>
      </c>
      <c r="M377" s="306" t="s">
        <v>1693</v>
      </c>
      <c r="N377" s="306" t="s">
        <v>1694</v>
      </c>
      <c r="O377" s="306" t="s">
        <v>1714</v>
      </c>
      <c r="P377" s="306" t="s">
        <v>1696</v>
      </c>
      <c r="Q377" s="306" t="s">
        <v>1013</v>
      </c>
      <c r="R377" s="306" t="s">
        <v>1013</v>
      </c>
      <c r="S377" s="306" t="s">
        <v>1013</v>
      </c>
      <c r="T377" s="306" t="s">
        <v>1013</v>
      </c>
      <c r="U377" s="306" t="s">
        <v>1013</v>
      </c>
      <c r="V377" s="306" t="s">
        <v>1013</v>
      </c>
      <c r="W377" s="306" t="s">
        <v>1013</v>
      </c>
      <c r="X377" s="306" t="s">
        <v>1013</v>
      </c>
      <c r="Y377" s="306" t="s">
        <v>1697</v>
      </c>
      <c r="Z377" s="306" t="s">
        <v>1015</v>
      </c>
      <c r="AA377" s="306" t="s">
        <v>1013</v>
      </c>
    </row>
    <row r="378" spans="1:27">
      <c r="A378" s="306" t="s">
        <v>494</v>
      </c>
      <c r="B378" s="306" t="s">
        <v>1003</v>
      </c>
      <c r="C378" s="306" t="s">
        <v>1004</v>
      </c>
      <c r="D378" s="306" t="s">
        <v>2435</v>
      </c>
      <c r="E378" s="306" t="s">
        <v>1715</v>
      </c>
      <c r="F378" s="306" t="s">
        <v>1007</v>
      </c>
      <c r="G378" s="308">
        <v>46019</v>
      </c>
      <c r="H378" s="308">
        <v>46019</v>
      </c>
      <c r="I378" s="309">
        <v>-318384.96000000002</v>
      </c>
      <c r="J378" s="306" t="s">
        <v>1008</v>
      </c>
      <c r="K378" s="309">
        <v>-318384.96000000002</v>
      </c>
      <c r="L378" s="306" t="s">
        <v>1008</v>
      </c>
      <c r="M378" s="306" t="s">
        <v>1699</v>
      </c>
      <c r="N378" s="306" t="s">
        <v>1694</v>
      </c>
      <c r="O378" s="306" t="s">
        <v>1716</v>
      </c>
      <c r="P378" s="306" t="s">
        <v>1696</v>
      </c>
      <c r="Q378" s="306" t="s">
        <v>1013</v>
      </c>
      <c r="R378" s="306" t="s">
        <v>1013</v>
      </c>
      <c r="S378" s="306" t="s">
        <v>1013</v>
      </c>
      <c r="T378" s="306" t="s">
        <v>1013</v>
      </c>
      <c r="U378" s="306" t="s">
        <v>1013</v>
      </c>
      <c r="V378" s="306" t="s">
        <v>1013</v>
      </c>
      <c r="W378" s="306" t="s">
        <v>1013</v>
      </c>
      <c r="X378" s="306" t="s">
        <v>1013</v>
      </c>
      <c r="Y378" s="306" t="s">
        <v>1697</v>
      </c>
      <c r="Z378" s="306" t="s">
        <v>1015</v>
      </c>
      <c r="AA378" s="306" t="s">
        <v>1013</v>
      </c>
    </row>
    <row r="379" spans="1:27">
      <c r="A379" s="306" t="s">
        <v>494</v>
      </c>
      <c r="B379" s="306" t="s">
        <v>1003</v>
      </c>
      <c r="C379" s="306" t="s">
        <v>1004</v>
      </c>
      <c r="D379" s="306" t="s">
        <v>2435</v>
      </c>
      <c r="E379" s="306" t="s">
        <v>1717</v>
      </c>
      <c r="F379" s="306" t="s">
        <v>1007</v>
      </c>
      <c r="G379" s="308">
        <v>46019</v>
      </c>
      <c r="H379" s="308">
        <v>46019</v>
      </c>
      <c r="I379" s="309">
        <v>-63655.81</v>
      </c>
      <c r="J379" s="306" t="s">
        <v>1008</v>
      </c>
      <c r="K379" s="309">
        <v>-63655.81</v>
      </c>
      <c r="L379" s="306" t="s">
        <v>1008</v>
      </c>
      <c r="M379" s="306" t="s">
        <v>1699</v>
      </c>
      <c r="N379" s="306" t="s">
        <v>1694</v>
      </c>
      <c r="O379" s="306" t="s">
        <v>1718</v>
      </c>
      <c r="P379" s="306" t="s">
        <v>1696</v>
      </c>
      <c r="Q379" s="306" t="s">
        <v>1013</v>
      </c>
      <c r="R379" s="306" t="s">
        <v>1013</v>
      </c>
      <c r="S379" s="306" t="s">
        <v>1013</v>
      </c>
      <c r="T379" s="306" t="s">
        <v>1013</v>
      </c>
      <c r="U379" s="306" t="s">
        <v>1013</v>
      </c>
      <c r="V379" s="306" t="s">
        <v>1013</v>
      </c>
      <c r="W379" s="306" t="s">
        <v>1013</v>
      </c>
      <c r="X379" s="306" t="s">
        <v>1013</v>
      </c>
      <c r="Y379" s="306" t="s">
        <v>1697</v>
      </c>
      <c r="Z379" s="306" t="s">
        <v>1015</v>
      </c>
      <c r="AA379" s="306" t="s">
        <v>1013</v>
      </c>
    </row>
    <row r="380" spans="1:27">
      <c r="A380" s="306" t="s">
        <v>494</v>
      </c>
      <c r="B380" s="306" t="s">
        <v>1003</v>
      </c>
      <c r="C380" s="306" t="s">
        <v>1004</v>
      </c>
      <c r="D380" s="306" t="s">
        <v>2435</v>
      </c>
      <c r="E380" s="306" t="s">
        <v>1719</v>
      </c>
      <c r="F380" s="306" t="s">
        <v>1007</v>
      </c>
      <c r="G380" s="308">
        <v>46019</v>
      </c>
      <c r="H380" s="308">
        <v>46019</v>
      </c>
      <c r="I380" s="309">
        <v>-316517.21000000002</v>
      </c>
      <c r="J380" s="306" t="s">
        <v>1008</v>
      </c>
      <c r="K380" s="309">
        <v>-316517.21000000002</v>
      </c>
      <c r="L380" s="306" t="s">
        <v>1008</v>
      </c>
      <c r="M380" s="306" t="s">
        <v>1699</v>
      </c>
      <c r="N380" s="306" t="s">
        <v>1694</v>
      </c>
      <c r="O380" s="306" t="s">
        <v>1720</v>
      </c>
      <c r="P380" s="306" t="s">
        <v>1696</v>
      </c>
      <c r="Q380" s="306" t="s">
        <v>1013</v>
      </c>
      <c r="R380" s="306" t="s">
        <v>1013</v>
      </c>
      <c r="S380" s="306" t="s">
        <v>1013</v>
      </c>
      <c r="T380" s="306" t="s">
        <v>1013</v>
      </c>
      <c r="U380" s="306" t="s">
        <v>1013</v>
      </c>
      <c r="V380" s="306" t="s">
        <v>1013</v>
      </c>
      <c r="W380" s="306" t="s">
        <v>1013</v>
      </c>
      <c r="X380" s="306" t="s">
        <v>1013</v>
      </c>
      <c r="Y380" s="306" t="s">
        <v>1697</v>
      </c>
      <c r="Z380" s="306" t="s">
        <v>1015</v>
      </c>
      <c r="AA380" s="306" t="s">
        <v>1013</v>
      </c>
    </row>
    <row r="381" spans="1:27">
      <c r="A381" s="306" t="s">
        <v>494</v>
      </c>
      <c r="B381" s="306" t="s">
        <v>1003</v>
      </c>
      <c r="C381" s="306" t="s">
        <v>1004</v>
      </c>
      <c r="D381" s="306" t="s">
        <v>2435</v>
      </c>
      <c r="E381" s="306" t="s">
        <v>1721</v>
      </c>
      <c r="F381" s="306" t="s">
        <v>1007</v>
      </c>
      <c r="G381" s="308">
        <v>46019</v>
      </c>
      <c r="H381" s="308">
        <v>46019</v>
      </c>
      <c r="I381" s="309">
        <v>-58656.18</v>
      </c>
      <c r="J381" s="306" t="s">
        <v>1008</v>
      </c>
      <c r="K381" s="309">
        <v>-58656.18</v>
      </c>
      <c r="L381" s="306" t="s">
        <v>1008</v>
      </c>
      <c r="M381" s="306" t="s">
        <v>1699</v>
      </c>
      <c r="N381" s="306" t="s">
        <v>1694</v>
      </c>
      <c r="O381" s="306" t="s">
        <v>1722</v>
      </c>
      <c r="P381" s="306" t="s">
        <v>1696</v>
      </c>
      <c r="Q381" s="306" t="s">
        <v>1013</v>
      </c>
      <c r="R381" s="306" t="s">
        <v>1013</v>
      </c>
      <c r="S381" s="306" t="s">
        <v>1013</v>
      </c>
      <c r="T381" s="306" t="s">
        <v>1013</v>
      </c>
      <c r="U381" s="306" t="s">
        <v>1013</v>
      </c>
      <c r="V381" s="306" t="s">
        <v>1013</v>
      </c>
      <c r="W381" s="306" t="s">
        <v>1013</v>
      </c>
      <c r="X381" s="306" t="s">
        <v>1013</v>
      </c>
      <c r="Y381" s="306" t="s">
        <v>1697</v>
      </c>
      <c r="Z381" s="306" t="s">
        <v>1015</v>
      </c>
      <c r="AA381" s="306" t="s">
        <v>1013</v>
      </c>
    </row>
    <row r="382" spans="1:27">
      <c r="A382" s="306" t="s">
        <v>494</v>
      </c>
      <c r="B382" s="306" t="s">
        <v>1003</v>
      </c>
      <c r="C382" s="306" t="s">
        <v>1004</v>
      </c>
      <c r="D382" s="306" t="s">
        <v>2435</v>
      </c>
      <c r="E382" s="306" t="s">
        <v>1723</v>
      </c>
      <c r="F382" s="306" t="s">
        <v>1007</v>
      </c>
      <c r="G382" s="308">
        <v>46019</v>
      </c>
      <c r="H382" s="308">
        <v>46019</v>
      </c>
      <c r="I382" s="309">
        <v>-520490.39</v>
      </c>
      <c r="J382" s="306" t="s">
        <v>1008</v>
      </c>
      <c r="K382" s="309">
        <v>-520490.39</v>
      </c>
      <c r="L382" s="306" t="s">
        <v>1008</v>
      </c>
      <c r="M382" s="306" t="s">
        <v>1699</v>
      </c>
      <c r="N382" s="306" t="s">
        <v>1694</v>
      </c>
      <c r="O382" s="306" t="s">
        <v>1724</v>
      </c>
      <c r="P382" s="306" t="s">
        <v>1696</v>
      </c>
      <c r="Q382" s="306" t="s">
        <v>1013</v>
      </c>
      <c r="R382" s="306" t="s">
        <v>1013</v>
      </c>
      <c r="S382" s="306" t="s">
        <v>1013</v>
      </c>
      <c r="T382" s="306" t="s">
        <v>1013</v>
      </c>
      <c r="U382" s="306" t="s">
        <v>1013</v>
      </c>
      <c r="V382" s="306" t="s">
        <v>1013</v>
      </c>
      <c r="W382" s="306" t="s">
        <v>1013</v>
      </c>
      <c r="X382" s="306" t="s">
        <v>1013</v>
      </c>
      <c r="Y382" s="306" t="s">
        <v>1697</v>
      </c>
      <c r="Z382" s="306" t="s">
        <v>1015</v>
      </c>
      <c r="AA382" s="306" t="s">
        <v>1013</v>
      </c>
    </row>
    <row r="383" spans="1:27">
      <c r="A383" s="306" t="s">
        <v>494</v>
      </c>
      <c r="B383" s="306" t="s">
        <v>1003</v>
      </c>
      <c r="C383" s="306" t="s">
        <v>1004</v>
      </c>
      <c r="D383" s="306" t="s">
        <v>2435</v>
      </c>
      <c r="E383" s="306" t="s">
        <v>1725</v>
      </c>
      <c r="F383" s="306" t="s">
        <v>1007</v>
      </c>
      <c r="G383" s="308">
        <v>46019</v>
      </c>
      <c r="H383" s="308">
        <v>46019</v>
      </c>
      <c r="I383" s="309">
        <v>-595.14</v>
      </c>
      <c r="J383" s="306" t="s">
        <v>1008</v>
      </c>
      <c r="K383" s="309">
        <v>-595.14</v>
      </c>
      <c r="L383" s="306" t="s">
        <v>1008</v>
      </c>
      <c r="M383" s="306" t="s">
        <v>1699</v>
      </c>
      <c r="N383" s="306" t="s">
        <v>1694</v>
      </c>
      <c r="O383" s="306" t="s">
        <v>1726</v>
      </c>
      <c r="P383" s="306" t="s">
        <v>1696</v>
      </c>
      <c r="Q383" s="306" t="s">
        <v>1013</v>
      </c>
      <c r="R383" s="306" t="s">
        <v>1013</v>
      </c>
      <c r="S383" s="306" t="s">
        <v>1013</v>
      </c>
      <c r="T383" s="306" t="s">
        <v>1013</v>
      </c>
      <c r="U383" s="306" t="s">
        <v>1013</v>
      </c>
      <c r="V383" s="306" t="s">
        <v>1013</v>
      </c>
      <c r="W383" s="306" t="s">
        <v>1013</v>
      </c>
      <c r="X383" s="306" t="s">
        <v>1013</v>
      </c>
      <c r="Y383" s="306" t="s">
        <v>1697</v>
      </c>
      <c r="Z383" s="306" t="s">
        <v>1015</v>
      </c>
      <c r="AA383" s="306" t="s">
        <v>1013</v>
      </c>
    </row>
    <row r="384" spans="1:27">
      <c r="A384" s="306" t="s">
        <v>494</v>
      </c>
      <c r="B384" s="306" t="s">
        <v>1003</v>
      </c>
      <c r="C384" s="306" t="s">
        <v>1004</v>
      </c>
      <c r="D384" s="306" t="s">
        <v>2435</v>
      </c>
      <c r="E384" s="306" t="s">
        <v>1727</v>
      </c>
      <c r="F384" s="306" t="s">
        <v>1007</v>
      </c>
      <c r="G384" s="308">
        <v>46019</v>
      </c>
      <c r="H384" s="308">
        <v>46019</v>
      </c>
      <c r="I384" s="309">
        <v>-37835.18</v>
      </c>
      <c r="J384" s="306" t="s">
        <v>1008</v>
      </c>
      <c r="K384" s="309">
        <v>-37835.18</v>
      </c>
      <c r="L384" s="306" t="s">
        <v>1008</v>
      </c>
      <c r="M384" s="306" t="s">
        <v>1699</v>
      </c>
      <c r="N384" s="306" t="s">
        <v>1694</v>
      </c>
      <c r="O384" s="306" t="s">
        <v>1728</v>
      </c>
      <c r="P384" s="306" t="s">
        <v>1696</v>
      </c>
      <c r="Q384" s="306" t="s">
        <v>1013</v>
      </c>
      <c r="R384" s="306" t="s">
        <v>1013</v>
      </c>
      <c r="S384" s="306" t="s">
        <v>1013</v>
      </c>
      <c r="T384" s="306" t="s">
        <v>1013</v>
      </c>
      <c r="U384" s="306" t="s">
        <v>1013</v>
      </c>
      <c r="V384" s="306" t="s">
        <v>1013</v>
      </c>
      <c r="W384" s="306" t="s">
        <v>1013</v>
      </c>
      <c r="X384" s="306" t="s">
        <v>1013</v>
      </c>
      <c r="Y384" s="306" t="s">
        <v>1697</v>
      </c>
      <c r="Z384" s="306" t="s">
        <v>1015</v>
      </c>
      <c r="AA384" s="306" t="s">
        <v>1013</v>
      </c>
    </row>
    <row r="385" spans="1:27">
      <c r="A385" s="306" t="s">
        <v>494</v>
      </c>
      <c r="B385" s="306" t="s">
        <v>1003</v>
      </c>
      <c r="C385" s="306" t="s">
        <v>1004</v>
      </c>
      <c r="D385" s="306" t="s">
        <v>2435</v>
      </c>
      <c r="E385" s="306" t="s">
        <v>1729</v>
      </c>
      <c r="F385" s="306" t="s">
        <v>1007</v>
      </c>
      <c r="G385" s="308">
        <v>46019</v>
      </c>
      <c r="H385" s="308">
        <v>46019</v>
      </c>
      <c r="I385" s="309">
        <v>-208538.88</v>
      </c>
      <c r="J385" s="306" t="s">
        <v>1008</v>
      </c>
      <c r="K385" s="309">
        <v>-208538.88</v>
      </c>
      <c r="L385" s="306" t="s">
        <v>1008</v>
      </c>
      <c r="M385" s="306" t="s">
        <v>1699</v>
      </c>
      <c r="N385" s="306" t="s">
        <v>1694</v>
      </c>
      <c r="O385" s="306" t="s">
        <v>1730</v>
      </c>
      <c r="P385" s="306" t="s">
        <v>1696</v>
      </c>
      <c r="Q385" s="306" t="s">
        <v>1013</v>
      </c>
      <c r="R385" s="306" t="s">
        <v>1013</v>
      </c>
      <c r="S385" s="306" t="s">
        <v>1013</v>
      </c>
      <c r="T385" s="306" t="s">
        <v>1013</v>
      </c>
      <c r="U385" s="306" t="s">
        <v>1013</v>
      </c>
      <c r="V385" s="306" t="s">
        <v>1013</v>
      </c>
      <c r="W385" s="306" t="s">
        <v>1013</v>
      </c>
      <c r="X385" s="306" t="s">
        <v>1013</v>
      </c>
      <c r="Y385" s="306" t="s">
        <v>1697</v>
      </c>
      <c r="Z385" s="306" t="s">
        <v>1015</v>
      </c>
      <c r="AA385" s="306" t="s">
        <v>1013</v>
      </c>
    </row>
    <row r="386" spans="1:27">
      <c r="A386" s="306" t="s">
        <v>494</v>
      </c>
      <c r="B386" s="306" t="s">
        <v>1003</v>
      </c>
      <c r="C386" s="306" t="s">
        <v>1004</v>
      </c>
      <c r="D386" s="306" t="s">
        <v>2435</v>
      </c>
      <c r="E386" s="306" t="s">
        <v>1731</v>
      </c>
      <c r="F386" s="306" t="s">
        <v>1007</v>
      </c>
      <c r="G386" s="308">
        <v>46019</v>
      </c>
      <c r="H386" s="308">
        <v>46019</v>
      </c>
      <c r="I386" s="309">
        <v>-57509.4</v>
      </c>
      <c r="J386" s="306" t="s">
        <v>1008</v>
      </c>
      <c r="K386" s="309">
        <v>-57509.4</v>
      </c>
      <c r="L386" s="306" t="s">
        <v>1008</v>
      </c>
      <c r="M386" s="306" t="s">
        <v>1699</v>
      </c>
      <c r="N386" s="306" t="s">
        <v>1694</v>
      </c>
      <c r="O386" s="306" t="s">
        <v>1732</v>
      </c>
      <c r="P386" s="306" t="s">
        <v>1696</v>
      </c>
      <c r="Q386" s="306" t="s">
        <v>1013</v>
      </c>
      <c r="R386" s="306" t="s">
        <v>1013</v>
      </c>
      <c r="S386" s="306" t="s">
        <v>1013</v>
      </c>
      <c r="T386" s="306" t="s">
        <v>1013</v>
      </c>
      <c r="U386" s="306" t="s">
        <v>1013</v>
      </c>
      <c r="V386" s="306" t="s">
        <v>1013</v>
      </c>
      <c r="W386" s="306" t="s">
        <v>1013</v>
      </c>
      <c r="X386" s="306" t="s">
        <v>1013</v>
      </c>
      <c r="Y386" s="306" t="s">
        <v>1697</v>
      </c>
      <c r="Z386" s="306" t="s">
        <v>1015</v>
      </c>
      <c r="AA386" s="306" t="s">
        <v>1013</v>
      </c>
    </row>
    <row r="387" spans="1:27">
      <c r="A387" s="306" t="s">
        <v>494</v>
      </c>
      <c r="B387" s="306" t="s">
        <v>1003</v>
      </c>
      <c r="C387" s="306" t="s">
        <v>1004</v>
      </c>
      <c r="D387" s="306" t="s">
        <v>2435</v>
      </c>
      <c r="E387" s="306" t="s">
        <v>1733</v>
      </c>
      <c r="F387" s="306" t="s">
        <v>1007</v>
      </c>
      <c r="G387" s="308">
        <v>46019</v>
      </c>
      <c r="H387" s="308">
        <v>46019</v>
      </c>
      <c r="I387" s="309">
        <v>-1045.01</v>
      </c>
      <c r="J387" s="306" t="s">
        <v>1008</v>
      </c>
      <c r="K387" s="309">
        <v>-1045.01</v>
      </c>
      <c r="L387" s="306" t="s">
        <v>1008</v>
      </c>
      <c r="M387" s="306" t="s">
        <v>1699</v>
      </c>
      <c r="N387" s="306" t="s">
        <v>1694</v>
      </c>
      <c r="O387" s="306" t="s">
        <v>1734</v>
      </c>
      <c r="P387" s="306" t="s">
        <v>1696</v>
      </c>
      <c r="Q387" s="306" t="s">
        <v>1013</v>
      </c>
      <c r="R387" s="306" t="s">
        <v>1013</v>
      </c>
      <c r="S387" s="306" t="s">
        <v>1013</v>
      </c>
      <c r="T387" s="306" t="s">
        <v>1013</v>
      </c>
      <c r="U387" s="306" t="s">
        <v>1013</v>
      </c>
      <c r="V387" s="306" t="s">
        <v>1013</v>
      </c>
      <c r="W387" s="306" t="s">
        <v>1013</v>
      </c>
      <c r="X387" s="306" t="s">
        <v>1013</v>
      </c>
      <c r="Y387" s="306" t="s">
        <v>1697</v>
      </c>
      <c r="Z387" s="306" t="s">
        <v>1015</v>
      </c>
      <c r="AA387" s="306" t="s">
        <v>1013</v>
      </c>
    </row>
    <row r="388" spans="1:27">
      <c r="A388" s="306" t="s">
        <v>494</v>
      </c>
      <c r="B388" s="306" t="s">
        <v>1003</v>
      </c>
      <c r="C388" s="306" t="s">
        <v>1004</v>
      </c>
      <c r="D388" s="306" t="s">
        <v>2435</v>
      </c>
      <c r="E388" s="306" t="s">
        <v>1735</v>
      </c>
      <c r="F388" s="306" t="s">
        <v>1007</v>
      </c>
      <c r="G388" s="308">
        <v>46019</v>
      </c>
      <c r="H388" s="308">
        <v>46019</v>
      </c>
      <c r="I388" s="309">
        <v>-4449.76</v>
      </c>
      <c r="J388" s="306" t="s">
        <v>1008</v>
      </c>
      <c r="K388" s="309">
        <v>-4449.76</v>
      </c>
      <c r="L388" s="306" t="s">
        <v>1008</v>
      </c>
      <c r="M388" s="306" t="s">
        <v>1699</v>
      </c>
      <c r="N388" s="306" t="s">
        <v>1694</v>
      </c>
      <c r="O388" s="306" t="s">
        <v>1736</v>
      </c>
      <c r="P388" s="306" t="s">
        <v>1696</v>
      </c>
      <c r="Q388" s="306" t="s">
        <v>1013</v>
      </c>
      <c r="R388" s="306" t="s">
        <v>1013</v>
      </c>
      <c r="S388" s="306" t="s">
        <v>1013</v>
      </c>
      <c r="T388" s="306" t="s">
        <v>1013</v>
      </c>
      <c r="U388" s="306" t="s">
        <v>1013</v>
      </c>
      <c r="V388" s="306" t="s">
        <v>1013</v>
      </c>
      <c r="W388" s="306" t="s">
        <v>1013</v>
      </c>
      <c r="X388" s="306" t="s">
        <v>1013</v>
      </c>
      <c r="Y388" s="306" t="s">
        <v>1697</v>
      </c>
      <c r="Z388" s="306" t="s">
        <v>1015</v>
      </c>
      <c r="AA388" s="306" t="s">
        <v>1013</v>
      </c>
    </row>
    <row r="389" spans="1:27">
      <c r="A389" s="306" t="s">
        <v>494</v>
      </c>
      <c r="B389" s="306" t="s">
        <v>1003</v>
      </c>
      <c r="C389" s="306" t="s">
        <v>1004</v>
      </c>
      <c r="D389" s="306" t="s">
        <v>2435</v>
      </c>
      <c r="E389" s="306" t="s">
        <v>1737</v>
      </c>
      <c r="F389" s="306" t="s">
        <v>1007</v>
      </c>
      <c r="G389" s="308">
        <v>46019</v>
      </c>
      <c r="H389" s="308">
        <v>46019</v>
      </c>
      <c r="I389" s="309">
        <v>-4792.82</v>
      </c>
      <c r="J389" s="306" t="s">
        <v>1008</v>
      </c>
      <c r="K389" s="309">
        <v>-4792.82</v>
      </c>
      <c r="L389" s="306" t="s">
        <v>1008</v>
      </c>
      <c r="M389" s="306" t="s">
        <v>1738</v>
      </c>
      <c r="N389" s="306" t="s">
        <v>1694</v>
      </c>
      <c r="O389" s="306" t="s">
        <v>1739</v>
      </c>
      <c r="P389" s="306" t="s">
        <v>1696</v>
      </c>
      <c r="Q389" s="306" t="s">
        <v>1013</v>
      </c>
      <c r="R389" s="306" t="s">
        <v>1013</v>
      </c>
      <c r="S389" s="306" t="s">
        <v>1013</v>
      </c>
      <c r="T389" s="306" t="s">
        <v>1013</v>
      </c>
      <c r="U389" s="306" t="s">
        <v>1013</v>
      </c>
      <c r="V389" s="306" t="s">
        <v>1013</v>
      </c>
      <c r="W389" s="306" t="s">
        <v>1013</v>
      </c>
      <c r="X389" s="306" t="s">
        <v>1013</v>
      </c>
      <c r="Y389" s="306" t="s">
        <v>1697</v>
      </c>
      <c r="Z389" s="306" t="s">
        <v>1015</v>
      </c>
      <c r="AA389" s="306" t="s">
        <v>1013</v>
      </c>
    </row>
    <row r="390" spans="1:27">
      <c r="A390" s="306" t="s">
        <v>494</v>
      </c>
      <c r="B390" s="306" t="s">
        <v>1003</v>
      </c>
      <c r="C390" s="306" t="s">
        <v>1004</v>
      </c>
      <c r="D390" s="306" t="s">
        <v>2435</v>
      </c>
      <c r="E390" s="306" t="s">
        <v>1740</v>
      </c>
      <c r="F390" s="306" t="s">
        <v>1007</v>
      </c>
      <c r="G390" s="308">
        <v>46019</v>
      </c>
      <c r="H390" s="308">
        <v>46019</v>
      </c>
      <c r="I390" s="309">
        <v>-7473.41</v>
      </c>
      <c r="J390" s="306" t="s">
        <v>1008</v>
      </c>
      <c r="K390" s="309">
        <v>-7473.41</v>
      </c>
      <c r="L390" s="306" t="s">
        <v>1008</v>
      </c>
      <c r="M390" s="306" t="s">
        <v>1738</v>
      </c>
      <c r="N390" s="306" t="s">
        <v>1694</v>
      </c>
      <c r="O390" s="306" t="s">
        <v>1741</v>
      </c>
      <c r="P390" s="306" t="s">
        <v>1696</v>
      </c>
      <c r="Q390" s="306" t="s">
        <v>1013</v>
      </c>
      <c r="R390" s="306" t="s">
        <v>1013</v>
      </c>
      <c r="S390" s="306" t="s">
        <v>1013</v>
      </c>
      <c r="T390" s="306" t="s">
        <v>1013</v>
      </c>
      <c r="U390" s="306" t="s">
        <v>1013</v>
      </c>
      <c r="V390" s="306" t="s">
        <v>1013</v>
      </c>
      <c r="W390" s="306" t="s">
        <v>1013</v>
      </c>
      <c r="X390" s="306" t="s">
        <v>1013</v>
      </c>
      <c r="Y390" s="306" t="s">
        <v>1697</v>
      </c>
      <c r="Z390" s="306" t="s">
        <v>1015</v>
      </c>
      <c r="AA390" s="306" t="s">
        <v>1013</v>
      </c>
    </row>
    <row r="391" spans="1:27">
      <c r="A391" s="306" t="s">
        <v>494</v>
      </c>
      <c r="B391" s="306" t="s">
        <v>1003</v>
      </c>
      <c r="C391" s="306" t="s">
        <v>1004</v>
      </c>
      <c r="D391" s="306" t="s">
        <v>2435</v>
      </c>
      <c r="E391" s="306" t="s">
        <v>1742</v>
      </c>
      <c r="F391" s="306" t="s">
        <v>1007</v>
      </c>
      <c r="G391" s="308">
        <v>46019</v>
      </c>
      <c r="H391" s="308">
        <v>46019</v>
      </c>
      <c r="I391" s="309">
        <v>-999.52</v>
      </c>
      <c r="J391" s="306" t="s">
        <v>1008</v>
      </c>
      <c r="K391" s="309">
        <v>-999.52</v>
      </c>
      <c r="L391" s="306" t="s">
        <v>1008</v>
      </c>
      <c r="M391" s="306" t="s">
        <v>1743</v>
      </c>
      <c r="N391" s="306" t="s">
        <v>1694</v>
      </c>
      <c r="O391" s="306" t="s">
        <v>1744</v>
      </c>
      <c r="P391" s="306" t="s">
        <v>1696</v>
      </c>
      <c r="Q391" s="306" t="s">
        <v>1013</v>
      </c>
      <c r="R391" s="306" t="s">
        <v>1013</v>
      </c>
      <c r="S391" s="306" t="s">
        <v>1013</v>
      </c>
      <c r="T391" s="306" t="s">
        <v>1013</v>
      </c>
      <c r="U391" s="306" t="s">
        <v>1013</v>
      </c>
      <c r="V391" s="306" t="s">
        <v>1013</v>
      </c>
      <c r="W391" s="306" t="s">
        <v>1013</v>
      </c>
      <c r="X391" s="306" t="s">
        <v>1013</v>
      </c>
      <c r="Y391" s="306" t="s">
        <v>1697</v>
      </c>
      <c r="Z391" s="306" t="s">
        <v>1015</v>
      </c>
      <c r="AA391" s="306" t="s">
        <v>1013</v>
      </c>
    </row>
    <row r="392" spans="1:27">
      <c r="A392" s="306" t="s">
        <v>494</v>
      </c>
      <c r="B392" s="306" t="s">
        <v>1003</v>
      </c>
      <c r="C392" s="306" t="s">
        <v>1004</v>
      </c>
      <c r="D392" s="306" t="s">
        <v>2435</v>
      </c>
      <c r="E392" s="306" t="s">
        <v>1745</v>
      </c>
      <c r="F392" s="306" t="s">
        <v>1007</v>
      </c>
      <c r="G392" s="308">
        <v>46019</v>
      </c>
      <c r="H392" s="308">
        <v>46019</v>
      </c>
      <c r="I392" s="309">
        <v>-2900.94</v>
      </c>
      <c r="J392" s="306" t="s">
        <v>1008</v>
      </c>
      <c r="K392" s="309">
        <v>-2900.94</v>
      </c>
      <c r="L392" s="306" t="s">
        <v>1008</v>
      </c>
      <c r="M392" s="306" t="s">
        <v>1738</v>
      </c>
      <c r="N392" s="306" t="s">
        <v>1694</v>
      </c>
      <c r="O392" s="306" t="s">
        <v>1746</v>
      </c>
      <c r="P392" s="306" t="s">
        <v>1696</v>
      </c>
      <c r="Q392" s="306" t="s">
        <v>1013</v>
      </c>
      <c r="R392" s="306" t="s">
        <v>1013</v>
      </c>
      <c r="S392" s="306" t="s">
        <v>1013</v>
      </c>
      <c r="T392" s="306" t="s">
        <v>1013</v>
      </c>
      <c r="U392" s="306" t="s">
        <v>1013</v>
      </c>
      <c r="V392" s="306" t="s">
        <v>1013</v>
      </c>
      <c r="W392" s="306" t="s">
        <v>1013</v>
      </c>
      <c r="X392" s="306" t="s">
        <v>1013</v>
      </c>
      <c r="Y392" s="306" t="s">
        <v>1697</v>
      </c>
      <c r="Z392" s="306" t="s">
        <v>1015</v>
      </c>
      <c r="AA392" s="306" t="s">
        <v>1013</v>
      </c>
    </row>
    <row r="393" spans="1:27">
      <c r="A393" s="306" t="s">
        <v>494</v>
      </c>
      <c r="B393" s="306" t="s">
        <v>1003</v>
      </c>
      <c r="C393" s="306" t="s">
        <v>1004</v>
      </c>
      <c r="D393" s="306" t="s">
        <v>2435</v>
      </c>
      <c r="E393" s="306" t="s">
        <v>1747</v>
      </c>
      <c r="F393" s="306" t="s">
        <v>1007</v>
      </c>
      <c r="G393" s="308">
        <v>46019</v>
      </c>
      <c r="H393" s="308">
        <v>46019</v>
      </c>
      <c r="I393" s="309">
        <v>-101533.02</v>
      </c>
      <c r="J393" s="306" t="s">
        <v>1008</v>
      </c>
      <c r="K393" s="309">
        <v>-101533.02</v>
      </c>
      <c r="L393" s="306" t="s">
        <v>1008</v>
      </c>
      <c r="M393" s="306" t="s">
        <v>1738</v>
      </c>
      <c r="N393" s="306" t="s">
        <v>1694</v>
      </c>
      <c r="O393" s="306" t="s">
        <v>1748</v>
      </c>
      <c r="P393" s="306" t="s">
        <v>1696</v>
      </c>
      <c r="Q393" s="306" t="s">
        <v>1013</v>
      </c>
      <c r="R393" s="306" t="s">
        <v>1013</v>
      </c>
      <c r="S393" s="306" t="s">
        <v>1013</v>
      </c>
      <c r="T393" s="306" t="s">
        <v>1013</v>
      </c>
      <c r="U393" s="306" t="s">
        <v>1013</v>
      </c>
      <c r="V393" s="306" t="s">
        <v>1013</v>
      </c>
      <c r="W393" s="306" t="s">
        <v>1013</v>
      </c>
      <c r="X393" s="306" t="s">
        <v>1013</v>
      </c>
      <c r="Y393" s="306" t="s">
        <v>1697</v>
      </c>
      <c r="Z393" s="306" t="s">
        <v>1015</v>
      </c>
      <c r="AA393" s="306" t="s">
        <v>1013</v>
      </c>
    </row>
    <row r="394" spans="1:27">
      <c r="A394" s="306" t="s">
        <v>494</v>
      </c>
      <c r="B394" s="306" t="s">
        <v>1003</v>
      </c>
      <c r="C394" s="306" t="s">
        <v>1004</v>
      </c>
      <c r="D394" s="306" t="s">
        <v>2435</v>
      </c>
      <c r="E394" s="306" t="s">
        <v>1749</v>
      </c>
      <c r="F394" s="306" t="s">
        <v>1007</v>
      </c>
      <c r="G394" s="308">
        <v>46019</v>
      </c>
      <c r="H394" s="308">
        <v>46019</v>
      </c>
      <c r="I394" s="309">
        <v>-3336.08</v>
      </c>
      <c r="J394" s="306" t="s">
        <v>1008</v>
      </c>
      <c r="K394" s="309">
        <v>-3336.08</v>
      </c>
      <c r="L394" s="306" t="s">
        <v>1008</v>
      </c>
      <c r="M394" s="306" t="s">
        <v>1738</v>
      </c>
      <c r="N394" s="306" t="s">
        <v>1694</v>
      </c>
      <c r="O394" s="306" t="s">
        <v>1750</v>
      </c>
      <c r="P394" s="306" t="s">
        <v>1696</v>
      </c>
      <c r="Q394" s="306" t="s">
        <v>1013</v>
      </c>
      <c r="R394" s="306" t="s">
        <v>1013</v>
      </c>
      <c r="S394" s="306" t="s">
        <v>1013</v>
      </c>
      <c r="T394" s="306" t="s">
        <v>1013</v>
      </c>
      <c r="U394" s="306" t="s">
        <v>1013</v>
      </c>
      <c r="V394" s="306" t="s">
        <v>1013</v>
      </c>
      <c r="W394" s="306" t="s">
        <v>1013</v>
      </c>
      <c r="X394" s="306" t="s">
        <v>1013</v>
      </c>
      <c r="Y394" s="306" t="s">
        <v>1697</v>
      </c>
      <c r="Z394" s="306" t="s">
        <v>1015</v>
      </c>
      <c r="AA394" s="306" t="s">
        <v>1013</v>
      </c>
    </row>
    <row r="395" spans="1:27">
      <c r="A395" s="306" t="s">
        <v>494</v>
      </c>
      <c r="B395" s="306" t="s">
        <v>1003</v>
      </c>
      <c r="C395" s="306" t="s">
        <v>1004</v>
      </c>
      <c r="D395" s="306" t="s">
        <v>2435</v>
      </c>
      <c r="E395" s="306" t="s">
        <v>1751</v>
      </c>
      <c r="F395" s="306" t="s">
        <v>1007</v>
      </c>
      <c r="G395" s="308">
        <v>46019</v>
      </c>
      <c r="H395" s="308">
        <v>46019</v>
      </c>
      <c r="I395" s="309">
        <v>-1792.78</v>
      </c>
      <c r="J395" s="306" t="s">
        <v>1008</v>
      </c>
      <c r="K395" s="309">
        <v>-1792.78</v>
      </c>
      <c r="L395" s="306" t="s">
        <v>1008</v>
      </c>
      <c r="M395" s="306" t="s">
        <v>1738</v>
      </c>
      <c r="N395" s="306" t="s">
        <v>1694</v>
      </c>
      <c r="O395" s="306" t="s">
        <v>1752</v>
      </c>
      <c r="P395" s="306" t="s">
        <v>1696</v>
      </c>
      <c r="Q395" s="306" t="s">
        <v>1013</v>
      </c>
      <c r="R395" s="306" t="s">
        <v>1013</v>
      </c>
      <c r="S395" s="306" t="s">
        <v>1013</v>
      </c>
      <c r="T395" s="306" t="s">
        <v>1013</v>
      </c>
      <c r="U395" s="306" t="s">
        <v>1013</v>
      </c>
      <c r="V395" s="306" t="s">
        <v>1013</v>
      </c>
      <c r="W395" s="306" t="s">
        <v>1013</v>
      </c>
      <c r="X395" s="306" t="s">
        <v>1013</v>
      </c>
      <c r="Y395" s="306" t="s">
        <v>1697</v>
      </c>
      <c r="Z395" s="306" t="s">
        <v>1015</v>
      </c>
      <c r="AA395" s="306" t="s">
        <v>1013</v>
      </c>
    </row>
    <row r="396" spans="1:27">
      <c r="A396" s="306" t="s">
        <v>494</v>
      </c>
      <c r="B396" s="306" t="s">
        <v>1003</v>
      </c>
      <c r="C396" s="306" t="s">
        <v>1004</v>
      </c>
      <c r="D396" s="306" t="s">
        <v>2435</v>
      </c>
      <c r="E396" s="306" t="s">
        <v>1753</v>
      </c>
      <c r="F396" s="306" t="s">
        <v>1007</v>
      </c>
      <c r="G396" s="308">
        <v>46019</v>
      </c>
      <c r="H396" s="308">
        <v>46019</v>
      </c>
      <c r="I396" s="309">
        <v>-1987.15</v>
      </c>
      <c r="J396" s="306" t="s">
        <v>1008</v>
      </c>
      <c r="K396" s="309">
        <v>-1987.15</v>
      </c>
      <c r="L396" s="306" t="s">
        <v>1008</v>
      </c>
      <c r="M396" s="306" t="s">
        <v>1738</v>
      </c>
      <c r="N396" s="306" t="s">
        <v>1694</v>
      </c>
      <c r="O396" s="306" t="s">
        <v>1754</v>
      </c>
      <c r="P396" s="306" t="s">
        <v>1696</v>
      </c>
      <c r="Q396" s="306" t="s">
        <v>1013</v>
      </c>
      <c r="R396" s="306" t="s">
        <v>1013</v>
      </c>
      <c r="S396" s="306" t="s">
        <v>1013</v>
      </c>
      <c r="T396" s="306" t="s">
        <v>1013</v>
      </c>
      <c r="U396" s="306" t="s">
        <v>1013</v>
      </c>
      <c r="V396" s="306" t="s">
        <v>1013</v>
      </c>
      <c r="W396" s="306" t="s">
        <v>1013</v>
      </c>
      <c r="X396" s="306" t="s">
        <v>1013</v>
      </c>
      <c r="Y396" s="306" t="s">
        <v>1697</v>
      </c>
      <c r="Z396" s="306" t="s">
        <v>1015</v>
      </c>
      <c r="AA396" s="306" t="s">
        <v>1013</v>
      </c>
    </row>
    <row r="397" spans="1:27">
      <c r="A397" s="306" t="s">
        <v>494</v>
      </c>
      <c r="B397" s="306" t="s">
        <v>1003</v>
      </c>
      <c r="C397" s="306" t="s">
        <v>1004</v>
      </c>
      <c r="D397" s="306" t="s">
        <v>2435</v>
      </c>
      <c r="E397" s="306" t="s">
        <v>1755</v>
      </c>
      <c r="F397" s="306" t="s">
        <v>1007</v>
      </c>
      <c r="G397" s="308">
        <v>46019</v>
      </c>
      <c r="H397" s="308">
        <v>46019</v>
      </c>
      <c r="I397" s="309">
        <v>-5221.7</v>
      </c>
      <c r="J397" s="306" t="s">
        <v>1008</v>
      </c>
      <c r="K397" s="309">
        <v>-5221.7</v>
      </c>
      <c r="L397" s="306" t="s">
        <v>1008</v>
      </c>
      <c r="M397" s="306" t="s">
        <v>1738</v>
      </c>
      <c r="N397" s="306" t="s">
        <v>1694</v>
      </c>
      <c r="O397" s="306" t="s">
        <v>1756</v>
      </c>
      <c r="P397" s="306" t="s">
        <v>1696</v>
      </c>
      <c r="Q397" s="306" t="s">
        <v>1013</v>
      </c>
      <c r="R397" s="306" t="s">
        <v>1013</v>
      </c>
      <c r="S397" s="306" t="s">
        <v>1013</v>
      </c>
      <c r="T397" s="306" t="s">
        <v>1013</v>
      </c>
      <c r="U397" s="306" t="s">
        <v>1013</v>
      </c>
      <c r="V397" s="306" t="s">
        <v>1013</v>
      </c>
      <c r="W397" s="306" t="s">
        <v>1013</v>
      </c>
      <c r="X397" s="306" t="s">
        <v>1013</v>
      </c>
      <c r="Y397" s="306" t="s">
        <v>1697</v>
      </c>
      <c r="Z397" s="306" t="s">
        <v>1015</v>
      </c>
      <c r="AA397" s="306" t="s">
        <v>1013</v>
      </c>
    </row>
    <row r="398" spans="1:27">
      <c r="A398" s="306" t="s">
        <v>494</v>
      </c>
      <c r="B398" s="306" t="s">
        <v>1003</v>
      </c>
      <c r="C398" s="306" t="s">
        <v>1004</v>
      </c>
      <c r="D398" s="306" t="s">
        <v>2435</v>
      </c>
      <c r="E398" s="306" t="s">
        <v>1757</v>
      </c>
      <c r="F398" s="306" t="s">
        <v>1007</v>
      </c>
      <c r="G398" s="308">
        <v>46019</v>
      </c>
      <c r="H398" s="308">
        <v>46019</v>
      </c>
      <c r="I398" s="309">
        <v>-29376.080000000002</v>
      </c>
      <c r="J398" s="306" t="s">
        <v>1008</v>
      </c>
      <c r="K398" s="309">
        <v>-29376.080000000002</v>
      </c>
      <c r="L398" s="306" t="s">
        <v>1008</v>
      </c>
      <c r="M398" s="306" t="s">
        <v>1699</v>
      </c>
      <c r="N398" s="306" t="s">
        <v>1694</v>
      </c>
      <c r="O398" s="306" t="s">
        <v>1758</v>
      </c>
      <c r="P398" s="306" t="s">
        <v>1696</v>
      </c>
      <c r="Q398" s="306" t="s">
        <v>1013</v>
      </c>
      <c r="R398" s="306" t="s">
        <v>1013</v>
      </c>
      <c r="S398" s="306" t="s">
        <v>1013</v>
      </c>
      <c r="T398" s="306" t="s">
        <v>1013</v>
      </c>
      <c r="U398" s="306" t="s">
        <v>1013</v>
      </c>
      <c r="V398" s="306" t="s">
        <v>1013</v>
      </c>
      <c r="W398" s="306" t="s">
        <v>1013</v>
      </c>
      <c r="X398" s="306" t="s">
        <v>1013</v>
      </c>
      <c r="Y398" s="306" t="s">
        <v>1697</v>
      </c>
      <c r="Z398" s="306" t="s">
        <v>1015</v>
      </c>
      <c r="AA398" s="306" t="s">
        <v>1013</v>
      </c>
    </row>
    <row r="399" spans="1:27">
      <c r="A399" s="306" t="s">
        <v>494</v>
      </c>
      <c r="B399" s="306" t="s">
        <v>1003</v>
      </c>
      <c r="C399" s="306" t="s">
        <v>1004</v>
      </c>
      <c r="D399" s="306" t="s">
        <v>2435</v>
      </c>
      <c r="E399" s="306" t="s">
        <v>1759</v>
      </c>
      <c r="F399" s="306" t="s">
        <v>1007</v>
      </c>
      <c r="G399" s="308">
        <v>46019</v>
      </c>
      <c r="H399" s="308">
        <v>46019</v>
      </c>
      <c r="I399" s="309">
        <v>-435740.71</v>
      </c>
      <c r="J399" s="306" t="s">
        <v>1008</v>
      </c>
      <c r="K399" s="309">
        <v>-435740.71</v>
      </c>
      <c r="L399" s="306" t="s">
        <v>1008</v>
      </c>
      <c r="M399" s="306" t="s">
        <v>1699</v>
      </c>
      <c r="N399" s="306" t="s">
        <v>1694</v>
      </c>
      <c r="O399" s="306" t="s">
        <v>1760</v>
      </c>
      <c r="P399" s="306" t="s">
        <v>1696</v>
      </c>
      <c r="Q399" s="306" t="s">
        <v>1013</v>
      </c>
      <c r="R399" s="306" t="s">
        <v>1013</v>
      </c>
      <c r="S399" s="306" t="s">
        <v>1013</v>
      </c>
      <c r="T399" s="306" t="s">
        <v>1013</v>
      </c>
      <c r="U399" s="306" t="s">
        <v>1013</v>
      </c>
      <c r="V399" s="306" t="s">
        <v>1013</v>
      </c>
      <c r="W399" s="306" t="s">
        <v>1013</v>
      </c>
      <c r="X399" s="306" t="s">
        <v>1013</v>
      </c>
      <c r="Y399" s="306" t="s">
        <v>1697</v>
      </c>
      <c r="Z399" s="306" t="s">
        <v>1015</v>
      </c>
      <c r="AA399" s="306" t="s">
        <v>1013</v>
      </c>
    </row>
    <row r="400" spans="1:27">
      <c r="A400" s="306" t="s">
        <v>494</v>
      </c>
      <c r="B400" s="306" t="s">
        <v>1003</v>
      </c>
      <c r="C400" s="306" t="s">
        <v>1004</v>
      </c>
      <c r="D400" s="306" t="s">
        <v>2435</v>
      </c>
      <c r="E400" s="306" t="s">
        <v>1761</v>
      </c>
      <c r="F400" s="306" t="s">
        <v>1007</v>
      </c>
      <c r="G400" s="308">
        <v>46019</v>
      </c>
      <c r="H400" s="308">
        <v>46019</v>
      </c>
      <c r="I400" s="309">
        <v>-315047.81</v>
      </c>
      <c r="J400" s="306" t="s">
        <v>1008</v>
      </c>
      <c r="K400" s="309">
        <v>-315047.81</v>
      </c>
      <c r="L400" s="306" t="s">
        <v>1008</v>
      </c>
      <c r="M400" s="306" t="s">
        <v>1699</v>
      </c>
      <c r="N400" s="306" t="s">
        <v>1694</v>
      </c>
      <c r="O400" s="306" t="s">
        <v>1762</v>
      </c>
      <c r="P400" s="306" t="s">
        <v>1696</v>
      </c>
      <c r="Q400" s="306" t="s">
        <v>1013</v>
      </c>
      <c r="R400" s="306" t="s">
        <v>1013</v>
      </c>
      <c r="S400" s="306" t="s">
        <v>1013</v>
      </c>
      <c r="T400" s="306" t="s">
        <v>1013</v>
      </c>
      <c r="U400" s="306" t="s">
        <v>1013</v>
      </c>
      <c r="V400" s="306" t="s">
        <v>1013</v>
      </c>
      <c r="W400" s="306" t="s">
        <v>1013</v>
      </c>
      <c r="X400" s="306" t="s">
        <v>1013</v>
      </c>
      <c r="Y400" s="306" t="s">
        <v>1697</v>
      </c>
      <c r="Z400" s="306" t="s">
        <v>1015</v>
      </c>
      <c r="AA400" s="306" t="s">
        <v>1013</v>
      </c>
    </row>
    <row r="401" spans="1:27">
      <c r="A401" s="306" t="s">
        <v>494</v>
      </c>
      <c r="B401" s="306" t="s">
        <v>1003</v>
      </c>
      <c r="C401" s="306" t="s">
        <v>1004</v>
      </c>
      <c r="D401" s="306" t="s">
        <v>2435</v>
      </c>
      <c r="E401" s="306" t="s">
        <v>1763</v>
      </c>
      <c r="F401" s="306" t="s">
        <v>1007</v>
      </c>
      <c r="G401" s="308">
        <v>46019</v>
      </c>
      <c r="H401" s="308">
        <v>46019</v>
      </c>
      <c r="I401" s="309">
        <v>-567541.29</v>
      </c>
      <c r="J401" s="306" t="s">
        <v>1008</v>
      </c>
      <c r="K401" s="309">
        <v>-567541.29</v>
      </c>
      <c r="L401" s="306" t="s">
        <v>1008</v>
      </c>
      <c r="M401" s="306" t="s">
        <v>1699</v>
      </c>
      <c r="N401" s="306" t="s">
        <v>1694</v>
      </c>
      <c r="O401" s="306" t="s">
        <v>1710</v>
      </c>
      <c r="P401" s="306" t="s">
        <v>1696</v>
      </c>
      <c r="Q401" s="306" t="s">
        <v>1013</v>
      </c>
      <c r="R401" s="306" t="s">
        <v>1013</v>
      </c>
      <c r="S401" s="306" t="s">
        <v>1013</v>
      </c>
      <c r="T401" s="306" t="s">
        <v>1013</v>
      </c>
      <c r="U401" s="306" t="s">
        <v>1013</v>
      </c>
      <c r="V401" s="306" t="s">
        <v>1013</v>
      </c>
      <c r="W401" s="306" t="s">
        <v>1013</v>
      </c>
      <c r="X401" s="306" t="s">
        <v>1013</v>
      </c>
      <c r="Y401" s="306" t="s">
        <v>1697</v>
      </c>
      <c r="Z401" s="306" t="s">
        <v>1015</v>
      </c>
      <c r="AA401" s="306" t="s">
        <v>1013</v>
      </c>
    </row>
    <row r="402" spans="1:27">
      <c r="A402" s="306" t="s">
        <v>494</v>
      </c>
      <c r="B402" s="306" t="s">
        <v>1003</v>
      </c>
      <c r="C402" s="306" t="s">
        <v>1004</v>
      </c>
      <c r="D402" s="306" t="s">
        <v>2435</v>
      </c>
      <c r="E402" s="306" t="s">
        <v>1764</v>
      </c>
      <c r="F402" s="306" t="s">
        <v>1007</v>
      </c>
      <c r="G402" s="308">
        <v>46019</v>
      </c>
      <c r="H402" s="308">
        <v>46019</v>
      </c>
      <c r="I402" s="309">
        <v>-2758.61</v>
      </c>
      <c r="J402" s="306" t="s">
        <v>1008</v>
      </c>
      <c r="K402" s="309">
        <v>-2758.61</v>
      </c>
      <c r="L402" s="306" t="s">
        <v>1008</v>
      </c>
      <c r="M402" s="306" t="s">
        <v>1693</v>
      </c>
      <c r="N402" s="306" t="s">
        <v>1694</v>
      </c>
      <c r="O402" s="306" t="s">
        <v>1765</v>
      </c>
      <c r="P402" s="306" t="s">
        <v>1696</v>
      </c>
      <c r="Q402" s="306" t="s">
        <v>1013</v>
      </c>
      <c r="R402" s="306" t="s">
        <v>1013</v>
      </c>
      <c r="S402" s="306" t="s">
        <v>1013</v>
      </c>
      <c r="T402" s="306" t="s">
        <v>1013</v>
      </c>
      <c r="U402" s="306" t="s">
        <v>1013</v>
      </c>
      <c r="V402" s="306" t="s">
        <v>1013</v>
      </c>
      <c r="W402" s="306" t="s">
        <v>1013</v>
      </c>
      <c r="X402" s="306" t="s">
        <v>1013</v>
      </c>
      <c r="Y402" s="306" t="s">
        <v>1697</v>
      </c>
      <c r="Z402" s="306" t="s">
        <v>1015</v>
      </c>
      <c r="AA402" s="306" t="s">
        <v>1013</v>
      </c>
    </row>
    <row r="403" spans="1:27">
      <c r="A403" s="306" t="s">
        <v>494</v>
      </c>
      <c r="B403" s="306" t="s">
        <v>1003</v>
      </c>
      <c r="C403" s="306" t="s">
        <v>1004</v>
      </c>
      <c r="D403" s="306" t="s">
        <v>2435</v>
      </c>
      <c r="E403" s="306" t="s">
        <v>1766</v>
      </c>
      <c r="F403" s="306" t="s">
        <v>1007</v>
      </c>
      <c r="G403" s="308">
        <v>46019</v>
      </c>
      <c r="H403" s="308">
        <v>46019</v>
      </c>
      <c r="I403" s="309">
        <v>-641829.53</v>
      </c>
      <c r="J403" s="306" t="s">
        <v>1008</v>
      </c>
      <c r="K403" s="309">
        <v>-641829.53</v>
      </c>
      <c r="L403" s="306" t="s">
        <v>1008</v>
      </c>
      <c r="M403" s="306" t="s">
        <v>1693</v>
      </c>
      <c r="N403" s="306" t="s">
        <v>1694</v>
      </c>
      <c r="O403" s="306" t="s">
        <v>1767</v>
      </c>
      <c r="P403" s="306" t="s">
        <v>1696</v>
      </c>
      <c r="Q403" s="306" t="s">
        <v>1013</v>
      </c>
      <c r="R403" s="306" t="s">
        <v>1013</v>
      </c>
      <c r="S403" s="306" t="s">
        <v>1013</v>
      </c>
      <c r="T403" s="306" t="s">
        <v>1013</v>
      </c>
      <c r="U403" s="306" t="s">
        <v>1013</v>
      </c>
      <c r="V403" s="306" t="s">
        <v>1013</v>
      </c>
      <c r="W403" s="306" t="s">
        <v>1013</v>
      </c>
      <c r="X403" s="306" t="s">
        <v>1013</v>
      </c>
      <c r="Y403" s="306" t="s">
        <v>1697</v>
      </c>
      <c r="Z403" s="306" t="s">
        <v>1015</v>
      </c>
      <c r="AA403" s="306" t="s">
        <v>1013</v>
      </c>
    </row>
    <row r="404" spans="1:27">
      <c r="A404" s="306" t="s">
        <v>494</v>
      </c>
      <c r="B404" s="306" t="s">
        <v>1003</v>
      </c>
      <c r="C404" s="306" t="s">
        <v>1004</v>
      </c>
      <c r="D404" s="306" t="s">
        <v>2435</v>
      </c>
      <c r="E404" s="306" t="s">
        <v>1768</v>
      </c>
      <c r="F404" s="306" t="s">
        <v>1007</v>
      </c>
      <c r="G404" s="308">
        <v>46019</v>
      </c>
      <c r="H404" s="308">
        <v>46019</v>
      </c>
      <c r="I404" s="309">
        <v>-1717319.96</v>
      </c>
      <c r="J404" s="306" t="s">
        <v>1008</v>
      </c>
      <c r="K404" s="309">
        <v>-1717319.96</v>
      </c>
      <c r="L404" s="306" t="s">
        <v>1008</v>
      </c>
      <c r="M404" s="306" t="s">
        <v>1693</v>
      </c>
      <c r="N404" s="306" t="s">
        <v>1694</v>
      </c>
      <c r="O404" s="306" t="s">
        <v>1714</v>
      </c>
      <c r="P404" s="306" t="s">
        <v>1696</v>
      </c>
      <c r="Q404" s="306" t="s">
        <v>1013</v>
      </c>
      <c r="R404" s="306" t="s">
        <v>1013</v>
      </c>
      <c r="S404" s="306" t="s">
        <v>1013</v>
      </c>
      <c r="T404" s="306" t="s">
        <v>1013</v>
      </c>
      <c r="U404" s="306" t="s">
        <v>1013</v>
      </c>
      <c r="V404" s="306" t="s">
        <v>1013</v>
      </c>
      <c r="W404" s="306" t="s">
        <v>1013</v>
      </c>
      <c r="X404" s="306" t="s">
        <v>1013</v>
      </c>
      <c r="Y404" s="306" t="s">
        <v>1697</v>
      </c>
      <c r="Z404" s="306" t="s">
        <v>1015</v>
      </c>
      <c r="AA404" s="306" t="s">
        <v>1013</v>
      </c>
    </row>
    <row r="405" spans="1:27">
      <c r="A405" s="306" t="s">
        <v>494</v>
      </c>
      <c r="B405" s="306" t="s">
        <v>1003</v>
      </c>
      <c r="C405" s="306" t="s">
        <v>1004</v>
      </c>
      <c r="D405" s="306" t="s">
        <v>2435</v>
      </c>
      <c r="E405" s="306" t="s">
        <v>1769</v>
      </c>
      <c r="F405" s="306" t="s">
        <v>1007</v>
      </c>
      <c r="G405" s="308">
        <v>46019</v>
      </c>
      <c r="H405" s="308">
        <v>46019</v>
      </c>
      <c r="I405" s="309">
        <v>-1088.5</v>
      </c>
      <c r="J405" s="306" t="s">
        <v>1008</v>
      </c>
      <c r="K405" s="309">
        <v>-1088.5</v>
      </c>
      <c r="L405" s="306" t="s">
        <v>1008</v>
      </c>
      <c r="M405" s="306" t="s">
        <v>1738</v>
      </c>
      <c r="N405" s="306" t="s">
        <v>1694</v>
      </c>
      <c r="O405" s="306" t="s">
        <v>1770</v>
      </c>
      <c r="P405" s="306" t="s">
        <v>1696</v>
      </c>
      <c r="Q405" s="306" t="s">
        <v>1013</v>
      </c>
      <c r="R405" s="306" t="s">
        <v>1013</v>
      </c>
      <c r="S405" s="306" t="s">
        <v>1013</v>
      </c>
      <c r="T405" s="306" t="s">
        <v>1013</v>
      </c>
      <c r="U405" s="306" t="s">
        <v>1013</v>
      </c>
      <c r="V405" s="306" t="s">
        <v>1013</v>
      </c>
      <c r="W405" s="306" t="s">
        <v>1013</v>
      </c>
      <c r="X405" s="306" t="s">
        <v>1013</v>
      </c>
      <c r="Y405" s="306" t="s">
        <v>1697</v>
      </c>
      <c r="Z405" s="306" t="s">
        <v>1015</v>
      </c>
      <c r="AA405" s="306" t="s">
        <v>1013</v>
      </c>
    </row>
    <row r="406" spans="1:27">
      <c r="A406" s="306" t="s">
        <v>494</v>
      </c>
      <c r="B406" s="306" t="s">
        <v>1003</v>
      </c>
      <c r="C406" s="306" t="s">
        <v>1004</v>
      </c>
      <c r="D406" s="306" t="s">
        <v>2435</v>
      </c>
      <c r="E406" s="306" t="s">
        <v>1771</v>
      </c>
      <c r="F406" s="306" t="s">
        <v>1007</v>
      </c>
      <c r="G406" s="308">
        <v>46019</v>
      </c>
      <c r="H406" s="308">
        <v>46019</v>
      </c>
      <c r="I406" s="309">
        <v>-3378.42</v>
      </c>
      <c r="J406" s="306" t="s">
        <v>1008</v>
      </c>
      <c r="K406" s="309">
        <v>-3378.42</v>
      </c>
      <c r="L406" s="306" t="s">
        <v>1008</v>
      </c>
      <c r="M406" s="306" t="s">
        <v>1699</v>
      </c>
      <c r="N406" s="306" t="s">
        <v>1694</v>
      </c>
      <c r="O406" s="306" t="s">
        <v>1772</v>
      </c>
      <c r="P406" s="306" t="s">
        <v>1696</v>
      </c>
      <c r="Q406" s="306" t="s">
        <v>1013</v>
      </c>
      <c r="R406" s="306" t="s">
        <v>1013</v>
      </c>
      <c r="S406" s="306" t="s">
        <v>1013</v>
      </c>
      <c r="T406" s="306" t="s">
        <v>1013</v>
      </c>
      <c r="U406" s="306" t="s">
        <v>1013</v>
      </c>
      <c r="V406" s="306" t="s">
        <v>1013</v>
      </c>
      <c r="W406" s="306" t="s">
        <v>1013</v>
      </c>
      <c r="X406" s="306" t="s">
        <v>1013</v>
      </c>
      <c r="Y406" s="306" t="s">
        <v>1697</v>
      </c>
      <c r="Z406" s="306" t="s">
        <v>1015</v>
      </c>
      <c r="AA406" s="306" t="s">
        <v>1013</v>
      </c>
    </row>
    <row r="407" spans="1:27">
      <c r="A407" s="306" t="s">
        <v>494</v>
      </c>
      <c r="B407" s="306" t="s">
        <v>1003</v>
      </c>
      <c r="C407" s="306" t="s">
        <v>1004</v>
      </c>
      <c r="D407" s="306" t="s">
        <v>2435</v>
      </c>
      <c r="E407" s="306" t="s">
        <v>1773</v>
      </c>
      <c r="F407" s="306" t="s">
        <v>1007</v>
      </c>
      <c r="G407" s="308">
        <v>46019</v>
      </c>
      <c r="H407" s="308">
        <v>46019</v>
      </c>
      <c r="I407" s="309">
        <v>-20160.93</v>
      </c>
      <c r="J407" s="306" t="s">
        <v>1008</v>
      </c>
      <c r="K407" s="309">
        <v>-20160.93</v>
      </c>
      <c r="L407" s="306" t="s">
        <v>1008</v>
      </c>
      <c r="M407" s="306" t="s">
        <v>1738</v>
      </c>
      <c r="N407" s="306" t="s">
        <v>1694</v>
      </c>
      <c r="O407" s="306" t="s">
        <v>1774</v>
      </c>
      <c r="P407" s="306" t="s">
        <v>1696</v>
      </c>
      <c r="Q407" s="306" t="s">
        <v>1013</v>
      </c>
      <c r="R407" s="306" t="s">
        <v>1013</v>
      </c>
      <c r="S407" s="306" t="s">
        <v>1013</v>
      </c>
      <c r="T407" s="306" t="s">
        <v>1013</v>
      </c>
      <c r="U407" s="306" t="s">
        <v>1013</v>
      </c>
      <c r="V407" s="306" t="s">
        <v>1013</v>
      </c>
      <c r="W407" s="306" t="s">
        <v>1013</v>
      </c>
      <c r="X407" s="306" t="s">
        <v>1013</v>
      </c>
      <c r="Y407" s="306" t="s">
        <v>1697</v>
      </c>
      <c r="Z407" s="306" t="s">
        <v>1015</v>
      </c>
      <c r="AA407" s="306" t="s">
        <v>1013</v>
      </c>
    </row>
    <row r="408" spans="1:27">
      <c r="A408" s="306" t="s">
        <v>494</v>
      </c>
      <c r="B408" s="306" t="s">
        <v>1003</v>
      </c>
      <c r="C408" s="306" t="s">
        <v>1004</v>
      </c>
      <c r="D408" s="306" t="s">
        <v>2435</v>
      </c>
      <c r="E408" s="306" t="s">
        <v>1775</v>
      </c>
      <c r="F408" s="306" t="s">
        <v>1007</v>
      </c>
      <c r="G408" s="308">
        <v>46019</v>
      </c>
      <c r="H408" s="308">
        <v>46019</v>
      </c>
      <c r="I408" s="309">
        <v>-2457.62</v>
      </c>
      <c r="J408" s="306" t="s">
        <v>1008</v>
      </c>
      <c r="K408" s="309">
        <v>-2457.62</v>
      </c>
      <c r="L408" s="306" t="s">
        <v>1008</v>
      </c>
      <c r="M408" s="306" t="s">
        <v>1699</v>
      </c>
      <c r="N408" s="306" t="s">
        <v>1694</v>
      </c>
      <c r="O408" s="306" t="s">
        <v>1776</v>
      </c>
      <c r="P408" s="306" t="s">
        <v>1696</v>
      </c>
      <c r="Q408" s="306" t="s">
        <v>1013</v>
      </c>
      <c r="R408" s="306" t="s">
        <v>1013</v>
      </c>
      <c r="S408" s="306" t="s">
        <v>1013</v>
      </c>
      <c r="T408" s="306" t="s">
        <v>1013</v>
      </c>
      <c r="U408" s="306" t="s">
        <v>1013</v>
      </c>
      <c r="V408" s="306" t="s">
        <v>1013</v>
      </c>
      <c r="W408" s="306" t="s">
        <v>1013</v>
      </c>
      <c r="X408" s="306" t="s">
        <v>1013</v>
      </c>
      <c r="Y408" s="306" t="s">
        <v>1697</v>
      </c>
      <c r="Z408" s="306" t="s">
        <v>1015</v>
      </c>
      <c r="AA408" s="306" t="s">
        <v>1013</v>
      </c>
    </row>
    <row r="409" spans="1:27">
      <c r="A409" s="306" t="s">
        <v>494</v>
      </c>
      <c r="B409" s="306" t="s">
        <v>1003</v>
      </c>
      <c r="C409" s="306" t="s">
        <v>1004</v>
      </c>
      <c r="D409" s="306" t="s">
        <v>2435</v>
      </c>
      <c r="E409" s="306" t="s">
        <v>1777</v>
      </c>
      <c r="F409" s="306" t="s">
        <v>1007</v>
      </c>
      <c r="G409" s="308">
        <v>46019</v>
      </c>
      <c r="H409" s="308">
        <v>46019</v>
      </c>
      <c r="I409" s="309">
        <v>-9356.9500000000007</v>
      </c>
      <c r="J409" s="306" t="s">
        <v>1008</v>
      </c>
      <c r="K409" s="309">
        <v>-9356.9500000000007</v>
      </c>
      <c r="L409" s="306" t="s">
        <v>1008</v>
      </c>
      <c r="M409" s="306" t="s">
        <v>1699</v>
      </c>
      <c r="N409" s="306" t="s">
        <v>1694</v>
      </c>
      <c r="O409" s="306" t="s">
        <v>1778</v>
      </c>
      <c r="P409" s="306" t="s">
        <v>1696</v>
      </c>
      <c r="Q409" s="306" t="s">
        <v>1013</v>
      </c>
      <c r="R409" s="306" t="s">
        <v>1013</v>
      </c>
      <c r="S409" s="306" t="s">
        <v>1013</v>
      </c>
      <c r="T409" s="306" t="s">
        <v>1013</v>
      </c>
      <c r="U409" s="306" t="s">
        <v>1013</v>
      </c>
      <c r="V409" s="306" t="s">
        <v>1013</v>
      </c>
      <c r="W409" s="306" t="s">
        <v>1013</v>
      </c>
      <c r="X409" s="306" t="s">
        <v>1013</v>
      </c>
      <c r="Y409" s="306" t="s">
        <v>1697</v>
      </c>
      <c r="Z409" s="306" t="s">
        <v>1015</v>
      </c>
      <c r="AA409" s="306" t="s">
        <v>1013</v>
      </c>
    </row>
    <row r="410" spans="1:27">
      <c r="A410" s="306" t="s">
        <v>494</v>
      </c>
      <c r="B410" s="306" t="s">
        <v>1003</v>
      </c>
      <c r="C410" s="306" t="s">
        <v>1004</v>
      </c>
      <c r="D410" s="306" t="s">
        <v>2435</v>
      </c>
      <c r="E410" s="306" t="s">
        <v>1779</v>
      </c>
      <c r="F410" s="306" t="s">
        <v>1007</v>
      </c>
      <c r="G410" s="308">
        <v>46019</v>
      </c>
      <c r="H410" s="308">
        <v>46019</v>
      </c>
      <c r="I410" s="309">
        <v>-2403.3000000000002</v>
      </c>
      <c r="J410" s="306" t="s">
        <v>1008</v>
      </c>
      <c r="K410" s="309">
        <v>-2403.3000000000002</v>
      </c>
      <c r="L410" s="306" t="s">
        <v>1008</v>
      </c>
      <c r="M410" s="306" t="s">
        <v>1699</v>
      </c>
      <c r="N410" s="306" t="s">
        <v>1694</v>
      </c>
      <c r="O410" s="306" t="s">
        <v>1780</v>
      </c>
      <c r="P410" s="306" t="s">
        <v>1696</v>
      </c>
      <c r="Q410" s="306" t="s">
        <v>1013</v>
      </c>
      <c r="R410" s="306" t="s">
        <v>1013</v>
      </c>
      <c r="S410" s="306" t="s">
        <v>1013</v>
      </c>
      <c r="T410" s="306" t="s">
        <v>1013</v>
      </c>
      <c r="U410" s="306" t="s">
        <v>1013</v>
      </c>
      <c r="V410" s="306" t="s">
        <v>1013</v>
      </c>
      <c r="W410" s="306" t="s">
        <v>1013</v>
      </c>
      <c r="X410" s="306" t="s">
        <v>1013</v>
      </c>
      <c r="Y410" s="306" t="s">
        <v>1697</v>
      </c>
      <c r="Z410" s="306" t="s">
        <v>1015</v>
      </c>
      <c r="AA410" s="306" t="s">
        <v>1013</v>
      </c>
    </row>
    <row r="411" spans="1:27">
      <c r="A411" s="306" t="s">
        <v>494</v>
      </c>
      <c r="B411" s="306" t="s">
        <v>1003</v>
      </c>
      <c r="C411" s="306" t="s">
        <v>1004</v>
      </c>
      <c r="D411" s="306" t="s">
        <v>2435</v>
      </c>
      <c r="E411" s="306" t="s">
        <v>1781</v>
      </c>
      <c r="F411" s="306" t="s">
        <v>1007</v>
      </c>
      <c r="G411" s="308">
        <v>46019</v>
      </c>
      <c r="H411" s="308">
        <v>46019</v>
      </c>
      <c r="I411" s="309">
        <v>-50146.1</v>
      </c>
      <c r="J411" s="306" t="s">
        <v>1008</v>
      </c>
      <c r="K411" s="309">
        <v>-50146.1</v>
      </c>
      <c r="L411" s="306" t="s">
        <v>1008</v>
      </c>
      <c r="M411" s="306" t="s">
        <v>1699</v>
      </c>
      <c r="N411" s="306" t="s">
        <v>1694</v>
      </c>
      <c r="O411" s="306" t="s">
        <v>1782</v>
      </c>
      <c r="P411" s="306" t="s">
        <v>1696</v>
      </c>
      <c r="Q411" s="306" t="s">
        <v>1013</v>
      </c>
      <c r="R411" s="306" t="s">
        <v>1013</v>
      </c>
      <c r="S411" s="306" t="s">
        <v>1013</v>
      </c>
      <c r="T411" s="306" t="s">
        <v>1013</v>
      </c>
      <c r="U411" s="306" t="s">
        <v>1013</v>
      </c>
      <c r="V411" s="306" t="s">
        <v>1013</v>
      </c>
      <c r="W411" s="306" t="s">
        <v>1013</v>
      </c>
      <c r="X411" s="306" t="s">
        <v>1013</v>
      </c>
      <c r="Y411" s="306" t="s">
        <v>1697</v>
      </c>
      <c r="Z411" s="306" t="s">
        <v>1015</v>
      </c>
      <c r="AA411" s="306" t="s">
        <v>1013</v>
      </c>
    </row>
    <row r="412" spans="1:27">
      <c r="A412" s="306" t="s">
        <v>494</v>
      </c>
      <c r="B412" s="306" t="s">
        <v>1003</v>
      </c>
      <c r="C412" s="306" t="s">
        <v>1004</v>
      </c>
      <c r="D412" s="306" t="s">
        <v>2435</v>
      </c>
      <c r="E412" s="306" t="s">
        <v>1783</v>
      </c>
      <c r="F412" s="306" t="s">
        <v>1007</v>
      </c>
      <c r="G412" s="308">
        <v>46019</v>
      </c>
      <c r="H412" s="308">
        <v>46019</v>
      </c>
      <c r="I412" s="309">
        <v>-46992.79</v>
      </c>
      <c r="J412" s="306" t="s">
        <v>1008</v>
      </c>
      <c r="K412" s="309">
        <v>-46992.79</v>
      </c>
      <c r="L412" s="306" t="s">
        <v>1008</v>
      </c>
      <c r="M412" s="306" t="s">
        <v>1699</v>
      </c>
      <c r="N412" s="306" t="s">
        <v>1694</v>
      </c>
      <c r="O412" s="306" t="s">
        <v>1784</v>
      </c>
      <c r="P412" s="306" t="s">
        <v>1696</v>
      </c>
      <c r="Q412" s="306" t="s">
        <v>1013</v>
      </c>
      <c r="R412" s="306" t="s">
        <v>1013</v>
      </c>
      <c r="S412" s="306" t="s">
        <v>1013</v>
      </c>
      <c r="T412" s="306" t="s">
        <v>1013</v>
      </c>
      <c r="U412" s="306" t="s">
        <v>1013</v>
      </c>
      <c r="V412" s="306" t="s">
        <v>1013</v>
      </c>
      <c r="W412" s="306" t="s">
        <v>1013</v>
      </c>
      <c r="X412" s="306" t="s">
        <v>1013</v>
      </c>
      <c r="Y412" s="306" t="s">
        <v>1697</v>
      </c>
      <c r="Z412" s="306" t="s">
        <v>1015</v>
      </c>
      <c r="AA412" s="306" t="s">
        <v>1013</v>
      </c>
    </row>
    <row r="413" spans="1:27">
      <c r="A413" s="306" t="s">
        <v>494</v>
      </c>
      <c r="B413" s="306" t="s">
        <v>1003</v>
      </c>
      <c r="C413" s="306" t="s">
        <v>1004</v>
      </c>
      <c r="D413" s="306" t="s">
        <v>2435</v>
      </c>
      <c r="E413" s="306" t="s">
        <v>1785</v>
      </c>
      <c r="F413" s="306" t="s">
        <v>1007</v>
      </c>
      <c r="G413" s="308">
        <v>46019</v>
      </c>
      <c r="H413" s="308">
        <v>46019</v>
      </c>
      <c r="I413" s="309">
        <v>-1190.29</v>
      </c>
      <c r="J413" s="306" t="s">
        <v>1008</v>
      </c>
      <c r="K413" s="309">
        <v>-1190.29</v>
      </c>
      <c r="L413" s="306" t="s">
        <v>1008</v>
      </c>
      <c r="M413" s="306" t="s">
        <v>1699</v>
      </c>
      <c r="N413" s="306" t="s">
        <v>1694</v>
      </c>
      <c r="O413" s="306" t="s">
        <v>1726</v>
      </c>
      <c r="P413" s="306" t="s">
        <v>1696</v>
      </c>
      <c r="Q413" s="306" t="s">
        <v>1013</v>
      </c>
      <c r="R413" s="306" t="s">
        <v>1013</v>
      </c>
      <c r="S413" s="306" t="s">
        <v>1013</v>
      </c>
      <c r="T413" s="306" t="s">
        <v>1013</v>
      </c>
      <c r="U413" s="306" t="s">
        <v>1013</v>
      </c>
      <c r="V413" s="306" t="s">
        <v>1013</v>
      </c>
      <c r="W413" s="306" t="s">
        <v>1013</v>
      </c>
      <c r="X413" s="306" t="s">
        <v>1013</v>
      </c>
      <c r="Y413" s="306" t="s">
        <v>1697</v>
      </c>
      <c r="Z413" s="306" t="s">
        <v>1015</v>
      </c>
      <c r="AA413" s="306" t="s">
        <v>1013</v>
      </c>
    </row>
    <row r="414" spans="1:27">
      <c r="A414" s="306" t="s">
        <v>494</v>
      </c>
      <c r="B414" s="306" t="s">
        <v>1003</v>
      </c>
      <c r="C414" s="306" t="s">
        <v>1004</v>
      </c>
      <c r="D414" s="306" t="s">
        <v>2435</v>
      </c>
      <c r="E414" s="306" t="s">
        <v>1786</v>
      </c>
      <c r="F414" s="306" t="s">
        <v>1007</v>
      </c>
      <c r="G414" s="308">
        <v>46019</v>
      </c>
      <c r="H414" s="308">
        <v>46019</v>
      </c>
      <c r="I414" s="309">
        <v>-40723.51</v>
      </c>
      <c r="J414" s="306" t="s">
        <v>1008</v>
      </c>
      <c r="K414" s="309">
        <v>-40723.51</v>
      </c>
      <c r="L414" s="306" t="s">
        <v>1008</v>
      </c>
      <c r="M414" s="306" t="s">
        <v>1699</v>
      </c>
      <c r="N414" s="306" t="s">
        <v>1694</v>
      </c>
      <c r="O414" s="306" t="s">
        <v>1787</v>
      </c>
      <c r="P414" s="306" t="s">
        <v>1696</v>
      </c>
      <c r="Q414" s="306" t="s">
        <v>1013</v>
      </c>
      <c r="R414" s="306" t="s">
        <v>1013</v>
      </c>
      <c r="S414" s="306" t="s">
        <v>1013</v>
      </c>
      <c r="T414" s="306" t="s">
        <v>1013</v>
      </c>
      <c r="U414" s="306" t="s">
        <v>1013</v>
      </c>
      <c r="V414" s="306" t="s">
        <v>1013</v>
      </c>
      <c r="W414" s="306" t="s">
        <v>1013</v>
      </c>
      <c r="X414" s="306" t="s">
        <v>1013</v>
      </c>
      <c r="Y414" s="306" t="s">
        <v>1697</v>
      </c>
      <c r="Z414" s="306" t="s">
        <v>1015</v>
      </c>
      <c r="AA414" s="306" t="s">
        <v>1013</v>
      </c>
    </row>
    <row r="415" spans="1:27">
      <c r="A415" s="306" t="s">
        <v>494</v>
      </c>
      <c r="B415" s="306" t="s">
        <v>1003</v>
      </c>
      <c r="C415" s="306" t="s">
        <v>1004</v>
      </c>
      <c r="D415" s="306" t="s">
        <v>2435</v>
      </c>
      <c r="E415" s="306" t="s">
        <v>1788</v>
      </c>
      <c r="F415" s="306" t="s">
        <v>1007</v>
      </c>
      <c r="G415" s="308">
        <v>46019</v>
      </c>
      <c r="H415" s="308">
        <v>46019</v>
      </c>
      <c r="I415" s="309">
        <v>-7165.33</v>
      </c>
      <c r="J415" s="306" t="s">
        <v>1008</v>
      </c>
      <c r="K415" s="309">
        <v>-7165.33</v>
      </c>
      <c r="L415" s="306" t="s">
        <v>1008</v>
      </c>
      <c r="M415" s="306" t="s">
        <v>1738</v>
      </c>
      <c r="N415" s="306" t="s">
        <v>1694</v>
      </c>
      <c r="O415" s="306" t="s">
        <v>1789</v>
      </c>
      <c r="P415" s="306" t="s">
        <v>1696</v>
      </c>
      <c r="Q415" s="306" t="s">
        <v>1013</v>
      </c>
      <c r="R415" s="306" t="s">
        <v>1013</v>
      </c>
      <c r="S415" s="306" t="s">
        <v>1013</v>
      </c>
      <c r="T415" s="306" t="s">
        <v>1013</v>
      </c>
      <c r="U415" s="306" t="s">
        <v>1013</v>
      </c>
      <c r="V415" s="306" t="s">
        <v>1013</v>
      </c>
      <c r="W415" s="306" t="s">
        <v>1013</v>
      </c>
      <c r="X415" s="306" t="s">
        <v>1013</v>
      </c>
      <c r="Y415" s="306" t="s">
        <v>1697</v>
      </c>
      <c r="Z415" s="306" t="s">
        <v>1015</v>
      </c>
      <c r="AA415" s="306" t="s">
        <v>1013</v>
      </c>
    </row>
    <row r="416" spans="1:27">
      <c r="A416" s="306" t="s">
        <v>494</v>
      </c>
      <c r="B416" s="306" t="s">
        <v>1003</v>
      </c>
      <c r="C416" s="306" t="s">
        <v>1004</v>
      </c>
      <c r="D416" s="306" t="s">
        <v>2435</v>
      </c>
      <c r="E416" s="306" t="s">
        <v>1790</v>
      </c>
      <c r="F416" s="306" t="s">
        <v>1007</v>
      </c>
      <c r="G416" s="308">
        <v>46019</v>
      </c>
      <c r="H416" s="308">
        <v>46019</v>
      </c>
      <c r="I416" s="309">
        <v>-6266.04</v>
      </c>
      <c r="J416" s="306" t="s">
        <v>1008</v>
      </c>
      <c r="K416" s="309">
        <v>-6266.04</v>
      </c>
      <c r="L416" s="306" t="s">
        <v>1008</v>
      </c>
      <c r="M416" s="306" t="s">
        <v>1738</v>
      </c>
      <c r="N416" s="306" t="s">
        <v>1694</v>
      </c>
      <c r="O416" s="306" t="s">
        <v>1791</v>
      </c>
      <c r="P416" s="306" t="s">
        <v>1696</v>
      </c>
      <c r="Q416" s="306" t="s">
        <v>1013</v>
      </c>
      <c r="R416" s="306" t="s">
        <v>1013</v>
      </c>
      <c r="S416" s="306" t="s">
        <v>1013</v>
      </c>
      <c r="T416" s="306" t="s">
        <v>1013</v>
      </c>
      <c r="U416" s="306" t="s">
        <v>1013</v>
      </c>
      <c r="V416" s="306" t="s">
        <v>1013</v>
      </c>
      <c r="W416" s="306" t="s">
        <v>1013</v>
      </c>
      <c r="X416" s="306" t="s">
        <v>1013</v>
      </c>
      <c r="Y416" s="306" t="s">
        <v>1697</v>
      </c>
      <c r="Z416" s="306" t="s">
        <v>1015</v>
      </c>
      <c r="AA416" s="306" t="s">
        <v>1013</v>
      </c>
    </row>
    <row r="417" spans="1:27">
      <c r="A417" s="306" t="s">
        <v>494</v>
      </c>
      <c r="B417" s="306" t="s">
        <v>1003</v>
      </c>
      <c r="C417" s="306" t="s">
        <v>1004</v>
      </c>
      <c r="D417" s="306" t="s">
        <v>2435</v>
      </c>
      <c r="E417" s="306" t="s">
        <v>1792</v>
      </c>
      <c r="F417" s="306" t="s">
        <v>1007</v>
      </c>
      <c r="G417" s="308">
        <v>46019</v>
      </c>
      <c r="H417" s="308">
        <v>46019</v>
      </c>
      <c r="I417" s="309">
        <v>-544.25</v>
      </c>
      <c r="J417" s="306" t="s">
        <v>1008</v>
      </c>
      <c r="K417" s="309">
        <v>-544.25</v>
      </c>
      <c r="L417" s="306" t="s">
        <v>1008</v>
      </c>
      <c r="M417" s="306" t="s">
        <v>1738</v>
      </c>
      <c r="N417" s="306" t="s">
        <v>1694</v>
      </c>
      <c r="O417" s="306" t="s">
        <v>1793</v>
      </c>
      <c r="P417" s="306" t="s">
        <v>1696</v>
      </c>
      <c r="Q417" s="306" t="s">
        <v>1013</v>
      </c>
      <c r="R417" s="306" t="s">
        <v>1013</v>
      </c>
      <c r="S417" s="306" t="s">
        <v>1013</v>
      </c>
      <c r="T417" s="306" t="s">
        <v>1013</v>
      </c>
      <c r="U417" s="306" t="s">
        <v>1013</v>
      </c>
      <c r="V417" s="306" t="s">
        <v>1013</v>
      </c>
      <c r="W417" s="306" t="s">
        <v>1013</v>
      </c>
      <c r="X417" s="306" t="s">
        <v>1013</v>
      </c>
      <c r="Y417" s="306" t="s">
        <v>1697</v>
      </c>
      <c r="Z417" s="306" t="s">
        <v>1015</v>
      </c>
      <c r="AA417" s="306" t="s">
        <v>1013</v>
      </c>
    </row>
    <row r="418" spans="1:27">
      <c r="A418" s="306" t="s">
        <v>494</v>
      </c>
      <c r="B418" s="306" t="s">
        <v>1003</v>
      </c>
      <c r="C418" s="306" t="s">
        <v>1004</v>
      </c>
      <c r="D418" s="306" t="s">
        <v>2435</v>
      </c>
      <c r="E418" s="306" t="s">
        <v>1794</v>
      </c>
      <c r="F418" s="306" t="s">
        <v>1007</v>
      </c>
      <c r="G418" s="308">
        <v>46019</v>
      </c>
      <c r="H418" s="308">
        <v>46019</v>
      </c>
      <c r="I418" s="309">
        <v>-1088.5</v>
      </c>
      <c r="J418" s="306" t="s">
        <v>1008</v>
      </c>
      <c r="K418" s="309">
        <v>-1088.5</v>
      </c>
      <c r="L418" s="306" t="s">
        <v>1008</v>
      </c>
      <c r="M418" s="306" t="s">
        <v>1738</v>
      </c>
      <c r="N418" s="306" t="s">
        <v>1694</v>
      </c>
      <c r="O418" s="306" t="s">
        <v>1795</v>
      </c>
      <c r="P418" s="306" t="s">
        <v>1696</v>
      </c>
      <c r="Q418" s="306" t="s">
        <v>1013</v>
      </c>
      <c r="R418" s="306" t="s">
        <v>1013</v>
      </c>
      <c r="S418" s="306" t="s">
        <v>1013</v>
      </c>
      <c r="T418" s="306" t="s">
        <v>1013</v>
      </c>
      <c r="U418" s="306" t="s">
        <v>1013</v>
      </c>
      <c r="V418" s="306" t="s">
        <v>1013</v>
      </c>
      <c r="W418" s="306" t="s">
        <v>1013</v>
      </c>
      <c r="X418" s="306" t="s">
        <v>1013</v>
      </c>
      <c r="Y418" s="306" t="s">
        <v>1697</v>
      </c>
      <c r="Z418" s="306" t="s">
        <v>1015</v>
      </c>
      <c r="AA418" s="306" t="s">
        <v>1013</v>
      </c>
    </row>
    <row r="419" spans="1:27">
      <c r="A419" s="306" t="s">
        <v>494</v>
      </c>
      <c r="B419" s="306" t="s">
        <v>1003</v>
      </c>
      <c r="C419" s="306" t="s">
        <v>1004</v>
      </c>
      <c r="D419" s="306" t="s">
        <v>2435</v>
      </c>
      <c r="E419" s="306" t="s">
        <v>1796</v>
      </c>
      <c r="F419" s="306" t="s">
        <v>1007</v>
      </c>
      <c r="G419" s="308">
        <v>46019</v>
      </c>
      <c r="H419" s="308">
        <v>46019</v>
      </c>
      <c r="I419" s="309">
        <v>-77660.479999999996</v>
      </c>
      <c r="J419" s="306" t="s">
        <v>1008</v>
      </c>
      <c r="K419" s="309">
        <v>-77660.479999999996</v>
      </c>
      <c r="L419" s="306" t="s">
        <v>1008</v>
      </c>
      <c r="M419" s="306" t="s">
        <v>1699</v>
      </c>
      <c r="N419" s="306" t="s">
        <v>1694</v>
      </c>
      <c r="O419" s="306" t="s">
        <v>1797</v>
      </c>
      <c r="P419" s="306" t="s">
        <v>1696</v>
      </c>
      <c r="Q419" s="306" t="s">
        <v>1013</v>
      </c>
      <c r="R419" s="306" t="s">
        <v>1013</v>
      </c>
      <c r="S419" s="306" t="s">
        <v>1013</v>
      </c>
      <c r="T419" s="306" t="s">
        <v>1013</v>
      </c>
      <c r="U419" s="306" t="s">
        <v>1013</v>
      </c>
      <c r="V419" s="306" t="s">
        <v>1013</v>
      </c>
      <c r="W419" s="306" t="s">
        <v>1013</v>
      </c>
      <c r="X419" s="306" t="s">
        <v>1013</v>
      </c>
      <c r="Y419" s="306" t="s">
        <v>1697</v>
      </c>
      <c r="Z419" s="306" t="s">
        <v>1015</v>
      </c>
      <c r="AA419" s="306" t="s">
        <v>1013</v>
      </c>
    </row>
    <row r="420" spans="1:27">
      <c r="A420" s="306" t="s">
        <v>494</v>
      </c>
      <c r="B420" s="306" t="s">
        <v>1003</v>
      </c>
      <c r="C420" s="306" t="s">
        <v>1004</v>
      </c>
      <c r="D420" s="306" t="s">
        <v>2435</v>
      </c>
      <c r="E420" s="306" t="s">
        <v>1798</v>
      </c>
      <c r="F420" s="306" t="s">
        <v>1007</v>
      </c>
      <c r="G420" s="308">
        <v>46019</v>
      </c>
      <c r="H420" s="308">
        <v>46019</v>
      </c>
      <c r="I420" s="309">
        <v>-44654.67</v>
      </c>
      <c r="J420" s="306" t="s">
        <v>1008</v>
      </c>
      <c r="K420" s="309">
        <v>-44654.67</v>
      </c>
      <c r="L420" s="306" t="s">
        <v>1008</v>
      </c>
      <c r="M420" s="306" t="s">
        <v>1699</v>
      </c>
      <c r="N420" s="306" t="s">
        <v>1694</v>
      </c>
      <c r="O420" s="306" t="s">
        <v>1799</v>
      </c>
      <c r="P420" s="306" t="s">
        <v>1696</v>
      </c>
      <c r="Q420" s="306" t="s">
        <v>1013</v>
      </c>
      <c r="R420" s="306" t="s">
        <v>1013</v>
      </c>
      <c r="S420" s="306" t="s">
        <v>1013</v>
      </c>
      <c r="T420" s="306" t="s">
        <v>1013</v>
      </c>
      <c r="U420" s="306" t="s">
        <v>1013</v>
      </c>
      <c r="V420" s="306" t="s">
        <v>1013</v>
      </c>
      <c r="W420" s="306" t="s">
        <v>1013</v>
      </c>
      <c r="X420" s="306" t="s">
        <v>1013</v>
      </c>
      <c r="Y420" s="306" t="s">
        <v>1697</v>
      </c>
      <c r="Z420" s="306" t="s">
        <v>1015</v>
      </c>
      <c r="AA420" s="306" t="s">
        <v>1013</v>
      </c>
    </row>
    <row r="421" spans="1:27">
      <c r="A421" s="306" t="s">
        <v>494</v>
      </c>
      <c r="B421" s="306" t="s">
        <v>1003</v>
      </c>
      <c r="C421" s="306" t="s">
        <v>1004</v>
      </c>
      <c r="D421" s="306" t="s">
        <v>2435</v>
      </c>
      <c r="E421" s="306" t="s">
        <v>1800</v>
      </c>
      <c r="F421" s="306" t="s">
        <v>1007</v>
      </c>
      <c r="G421" s="308">
        <v>46019</v>
      </c>
      <c r="H421" s="308">
        <v>46019</v>
      </c>
      <c r="I421" s="309">
        <v>-4467.45</v>
      </c>
      <c r="J421" s="306" t="s">
        <v>1008</v>
      </c>
      <c r="K421" s="309">
        <v>-4467.45</v>
      </c>
      <c r="L421" s="306" t="s">
        <v>1008</v>
      </c>
      <c r="M421" s="306" t="s">
        <v>1738</v>
      </c>
      <c r="N421" s="306" t="s">
        <v>1694</v>
      </c>
      <c r="O421" s="306" t="s">
        <v>1801</v>
      </c>
      <c r="P421" s="306" t="s">
        <v>1696</v>
      </c>
      <c r="Q421" s="306" t="s">
        <v>1013</v>
      </c>
      <c r="R421" s="306" t="s">
        <v>1013</v>
      </c>
      <c r="S421" s="306" t="s">
        <v>1013</v>
      </c>
      <c r="T421" s="306" t="s">
        <v>1013</v>
      </c>
      <c r="U421" s="306" t="s">
        <v>1013</v>
      </c>
      <c r="V421" s="306" t="s">
        <v>1013</v>
      </c>
      <c r="W421" s="306" t="s">
        <v>1013</v>
      </c>
      <c r="X421" s="306" t="s">
        <v>1013</v>
      </c>
      <c r="Y421" s="306" t="s">
        <v>1697</v>
      </c>
      <c r="Z421" s="306" t="s">
        <v>1015</v>
      </c>
      <c r="AA421" s="306" t="s">
        <v>1013</v>
      </c>
    </row>
    <row r="422" spans="1:27">
      <c r="A422" s="306" t="s">
        <v>494</v>
      </c>
      <c r="B422" s="306" t="s">
        <v>1003</v>
      </c>
      <c r="C422" s="306" t="s">
        <v>1004</v>
      </c>
      <c r="D422" s="306" t="s">
        <v>2435</v>
      </c>
      <c r="E422" s="306" t="s">
        <v>1802</v>
      </c>
      <c r="F422" s="306" t="s">
        <v>1007</v>
      </c>
      <c r="G422" s="308">
        <v>46019</v>
      </c>
      <c r="H422" s="308">
        <v>46019</v>
      </c>
      <c r="I422" s="309">
        <v>-4981.97</v>
      </c>
      <c r="J422" s="306" t="s">
        <v>1008</v>
      </c>
      <c r="K422" s="309">
        <v>-4981.97</v>
      </c>
      <c r="L422" s="306" t="s">
        <v>1008</v>
      </c>
      <c r="M422" s="306" t="s">
        <v>1699</v>
      </c>
      <c r="N422" s="306" t="s">
        <v>1694</v>
      </c>
      <c r="O422" s="306" t="s">
        <v>1803</v>
      </c>
      <c r="P422" s="306" t="s">
        <v>1696</v>
      </c>
      <c r="Q422" s="306" t="s">
        <v>1013</v>
      </c>
      <c r="R422" s="306" t="s">
        <v>1013</v>
      </c>
      <c r="S422" s="306" t="s">
        <v>1013</v>
      </c>
      <c r="T422" s="306" t="s">
        <v>1013</v>
      </c>
      <c r="U422" s="306" t="s">
        <v>1013</v>
      </c>
      <c r="V422" s="306" t="s">
        <v>1013</v>
      </c>
      <c r="W422" s="306" t="s">
        <v>1013</v>
      </c>
      <c r="X422" s="306" t="s">
        <v>1013</v>
      </c>
      <c r="Y422" s="306" t="s">
        <v>1697</v>
      </c>
      <c r="Z422" s="306" t="s">
        <v>1015</v>
      </c>
      <c r="AA422" s="306" t="s">
        <v>1013</v>
      </c>
    </row>
    <row r="423" spans="1:27">
      <c r="A423" s="306" t="s">
        <v>494</v>
      </c>
      <c r="B423" s="306" t="s">
        <v>1003</v>
      </c>
      <c r="C423" s="306" t="s">
        <v>1004</v>
      </c>
      <c r="D423" s="306" t="s">
        <v>2435</v>
      </c>
      <c r="E423" s="306" t="s">
        <v>1804</v>
      </c>
      <c r="F423" s="306" t="s">
        <v>1007</v>
      </c>
      <c r="G423" s="308">
        <v>46019</v>
      </c>
      <c r="H423" s="308">
        <v>46019</v>
      </c>
      <c r="I423" s="309">
        <v>-621.53</v>
      </c>
      <c r="J423" s="306" t="s">
        <v>1008</v>
      </c>
      <c r="K423" s="309">
        <v>-621.53</v>
      </c>
      <c r="L423" s="306" t="s">
        <v>1008</v>
      </c>
      <c r="M423" s="306" t="s">
        <v>1738</v>
      </c>
      <c r="N423" s="306" t="s">
        <v>1694</v>
      </c>
      <c r="O423" s="306" t="s">
        <v>1805</v>
      </c>
      <c r="P423" s="306" t="s">
        <v>1696</v>
      </c>
      <c r="Q423" s="306" t="s">
        <v>1013</v>
      </c>
      <c r="R423" s="306" t="s">
        <v>1013</v>
      </c>
      <c r="S423" s="306" t="s">
        <v>1013</v>
      </c>
      <c r="T423" s="306" t="s">
        <v>1013</v>
      </c>
      <c r="U423" s="306" t="s">
        <v>1013</v>
      </c>
      <c r="V423" s="306" t="s">
        <v>1013</v>
      </c>
      <c r="W423" s="306" t="s">
        <v>1013</v>
      </c>
      <c r="X423" s="306" t="s">
        <v>1013</v>
      </c>
      <c r="Y423" s="306" t="s">
        <v>1697</v>
      </c>
      <c r="Z423" s="306" t="s">
        <v>1015</v>
      </c>
      <c r="AA423" s="306" t="s">
        <v>1013</v>
      </c>
    </row>
    <row r="424" spans="1:27">
      <c r="A424" s="306" t="s">
        <v>494</v>
      </c>
      <c r="B424" s="306" t="s">
        <v>1003</v>
      </c>
      <c r="C424" s="306" t="s">
        <v>1004</v>
      </c>
      <c r="D424" s="306" t="s">
        <v>2435</v>
      </c>
      <c r="E424" s="306" t="s">
        <v>1806</v>
      </c>
      <c r="F424" s="306" t="s">
        <v>1007</v>
      </c>
      <c r="G424" s="308">
        <v>46019</v>
      </c>
      <c r="H424" s="308">
        <v>46019</v>
      </c>
      <c r="I424" s="309">
        <v>-88.25</v>
      </c>
      <c r="J424" s="306" t="s">
        <v>1008</v>
      </c>
      <c r="K424" s="309">
        <v>-88.25</v>
      </c>
      <c r="L424" s="306" t="s">
        <v>1008</v>
      </c>
      <c r="M424" s="306" t="s">
        <v>1738</v>
      </c>
      <c r="N424" s="306" t="s">
        <v>1694</v>
      </c>
      <c r="O424" s="306" t="s">
        <v>1807</v>
      </c>
      <c r="P424" s="306" t="s">
        <v>1696</v>
      </c>
      <c r="Q424" s="306" t="s">
        <v>1013</v>
      </c>
      <c r="R424" s="306" t="s">
        <v>1013</v>
      </c>
      <c r="S424" s="306" t="s">
        <v>1013</v>
      </c>
      <c r="T424" s="306" t="s">
        <v>1013</v>
      </c>
      <c r="U424" s="306" t="s">
        <v>1013</v>
      </c>
      <c r="V424" s="306" t="s">
        <v>1013</v>
      </c>
      <c r="W424" s="306" t="s">
        <v>1013</v>
      </c>
      <c r="X424" s="306" t="s">
        <v>1013</v>
      </c>
      <c r="Y424" s="306" t="s">
        <v>1697</v>
      </c>
      <c r="Z424" s="306" t="s">
        <v>1015</v>
      </c>
      <c r="AA424" s="306" t="s">
        <v>1013</v>
      </c>
    </row>
    <row r="425" spans="1:27">
      <c r="A425" s="306" t="s">
        <v>494</v>
      </c>
      <c r="B425" s="306" t="s">
        <v>1003</v>
      </c>
      <c r="C425" s="306" t="s">
        <v>1004</v>
      </c>
      <c r="D425" s="306" t="s">
        <v>2435</v>
      </c>
      <c r="E425" s="306" t="s">
        <v>1808</v>
      </c>
      <c r="F425" s="306" t="s">
        <v>1007</v>
      </c>
      <c r="G425" s="308">
        <v>45961</v>
      </c>
      <c r="H425" s="308">
        <v>46019</v>
      </c>
      <c r="I425" s="309">
        <v>2788.56</v>
      </c>
      <c r="J425" s="306" t="s">
        <v>1008</v>
      </c>
      <c r="K425" s="309">
        <v>2788.56</v>
      </c>
      <c r="L425" s="306" t="s">
        <v>1008</v>
      </c>
      <c r="M425" s="306" t="s">
        <v>1809</v>
      </c>
      <c r="N425" s="306" t="s">
        <v>1810</v>
      </c>
      <c r="O425" s="306" t="s">
        <v>1811</v>
      </c>
      <c r="P425" s="306" t="s">
        <v>270</v>
      </c>
      <c r="Q425" s="306" t="s">
        <v>1013</v>
      </c>
      <c r="R425" s="306" t="s">
        <v>1013</v>
      </c>
      <c r="S425" s="306" t="s">
        <v>1013</v>
      </c>
      <c r="T425" s="306" t="s">
        <v>1013</v>
      </c>
      <c r="U425" s="306" t="s">
        <v>1013</v>
      </c>
      <c r="V425" s="306" t="s">
        <v>1013</v>
      </c>
      <c r="W425" s="306" t="s">
        <v>1013</v>
      </c>
      <c r="X425" s="306" t="s">
        <v>1013</v>
      </c>
      <c r="Y425" s="306" t="s">
        <v>1812</v>
      </c>
      <c r="Z425" s="306" t="s">
        <v>1015</v>
      </c>
      <c r="AA425" s="306" t="s">
        <v>1013</v>
      </c>
    </row>
    <row r="426" spans="1:27">
      <c r="A426" s="306" t="s">
        <v>494</v>
      </c>
      <c r="B426" s="306" t="s">
        <v>1003</v>
      </c>
      <c r="C426" s="306" t="s">
        <v>1004</v>
      </c>
      <c r="D426" s="306" t="s">
        <v>2435</v>
      </c>
      <c r="E426" s="306" t="s">
        <v>1813</v>
      </c>
      <c r="F426" s="306" t="s">
        <v>1007</v>
      </c>
      <c r="G426" s="308">
        <v>45991</v>
      </c>
      <c r="H426" s="308">
        <v>46019</v>
      </c>
      <c r="I426" s="309">
        <v>5732.04</v>
      </c>
      <c r="J426" s="306" t="s">
        <v>1008</v>
      </c>
      <c r="K426" s="309">
        <v>5732.04</v>
      </c>
      <c r="L426" s="306" t="s">
        <v>1008</v>
      </c>
      <c r="M426" s="306" t="s">
        <v>1814</v>
      </c>
      <c r="N426" s="306" t="s">
        <v>1810</v>
      </c>
      <c r="O426" s="306" t="s">
        <v>1815</v>
      </c>
      <c r="P426" s="306" t="s">
        <v>270</v>
      </c>
      <c r="Q426" s="306" t="s">
        <v>1013</v>
      </c>
      <c r="R426" s="306" t="s">
        <v>1013</v>
      </c>
      <c r="S426" s="306" t="s">
        <v>1013</v>
      </c>
      <c r="T426" s="306" t="s">
        <v>1013</v>
      </c>
      <c r="U426" s="306" t="s">
        <v>1013</v>
      </c>
      <c r="V426" s="306" t="s">
        <v>1013</v>
      </c>
      <c r="W426" s="306" t="s">
        <v>1013</v>
      </c>
      <c r="X426" s="306" t="s">
        <v>1013</v>
      </c>
      <c r="Y426" s="306" t="s">
        <v>1812</v>
      </c>
      <c r="Z426" s="306" t="s">
        <v>1015</v>
      </c>
      <c r="AA426" s="306" t="s">
        <v>1013</v>
      </c>
    </row>
    <row r="427" spans="1:27">
      <c r="A427" s="306" t="s">
        <v>494</v>
      </c>
      <c r="B427" s="306" t="s">
        <v>1003</v>
      </c>
      <c r="C427" s="306" t="s">
        <v>1004</v>
      </c>
      <c r="D427" s="306" t="s">
        <v>2435</v>
      </c>
      <c r="E427" s="306" t="s">
        <v>1816</v>
      </c>
      <c r="F427" s="306" t="s">
        <v>1007</v>
      </c>
      <c r="G427" s="308">
        <v>45991</v>
      </c>
      <c r="H427" s="308">
        <v>46019</v>
      </c>
      <c r="I427" s="309">
        <v>9138.4699999999993</v>
      </c>
      <c r="J427" s="306" t="s">
        <v>1008</v>
      </c>
      <c r="K427" s="309">
        <v>9138.4699999999993</v>
      </c>
      <c r="L427" s="306" t="s">
        <v>1008</v>
      </c>
      <c r="M427" s="306" t="s">
        <v>1814</v>
      </c>
      <c r="N427" s="306" t="s">
        <v>1810</v>
      </c>
      <c r="O427" s="306" t="s">
        <v>1817</v>
      </c>
      <c r="P427" s="306" t="s">
        <v>270</v>
      </c>
      <c r="Q427" s="306" t="s">
        <v>1013</v>
      </c>
      <c r="R427" s="306" t="s">
        <v>1013</v>
      </c>
      <c r="S427" s="306" t="s">
        <v>1013</v>
      </c>
      <c r="T427" s="306" t="s">
        <v>1013</v>
      </c>
      <c r="U427" s="306" t="s">
        <v>1013</v>
      </c>
      <c r="V427" s="306" t="s">
        <v>1013</v>
      </c>
      <c r="W427" s="306" t="s">
        <v>1013</v>
      </c>
      <c r="X427" s="306" t="s">
        <v>1013</v>
      </c>
      <c r="Y427" s="306" t="s">
        <v>1812</v>
      </c>
      <c r="Z427" s="306" t="s">
        <v>1015</v>
      </c>
      <c r="AA427" s="306" t="s">
        <v>1013</v>
      </c>
    </row>
    <row r="428" spans="1:27">
      <c r="A428" s="306" t="s">
        <v>494</v>
      </c>
      <c r="B428" s="306" t="s">
        <v>1003</v>
      </c>
      <c r="C428" s="306" t="s">
        <v>1004</v>
      </c>
      <c r="D428" s="306" t="s">
        <v>2435</v>
      </c>
      <c r="E428" s="306" t="s">
        <v>1819</v>
      </c>
      <c r="F428" s="306" t="s">
        <v>1007</v>
      </c>
      <c r="G428" s="308">
        <v>45991</v>
      </c>
      <c r="H428" s="308">
        <v>46019</v>
      </c>
      <c r="I428" s="309">
        <v>1832.81</v>
      </c>
      <c r="J428" s="306" t="s">
        <v>1008</v>
      </c>
      <c r="K428" s="309">
        <v>1832.81</v>
      </c>
      <c r="L428" s="306" t="s">
        <v>1008</v>
      </c>
      <c r="M428" s="306" t="s">
        <v>1820</v>
      </c>
      <c r="N428" s="306" t="s">
        <v>1821</v>
      </c>
      <c r="O428" s="306" t="s">
        <v>1822</v>
      </c>
      <c r="P428" s="306" t="s">
        <v>270</v>
      </c>
      <c r="Q428" s="306" t="s">
        <v>1013</v>
      </c>
      <c r="R428" s="306" t="s">
        <v>1013</v>
      </c>
      <c r="S428" s="306" t="s">
        <v>1013</v>
      </c>
      <c r="T428" s="306" t="s">
        <v>1013</v>
      </c>
      <c r="U428" s="306" t="s">
        <v>1013</v>
      </c>
      <c r="V428" s="306" t="s">
        <v>1013</v>
      </c>
      <c r="W428" s="306" t="s">
        <v>1013</v>
      </c>
      <c r="X428" s="306" t="s">
        <v>1013</v>
      </c>
      <c r="Y428" s="306" t="s">
        <v>1812</v>
      </c>
      <c r="Z428" s="306" t="s">
        <v>1015</v>
      </c>
      <c r="AA428" s="306" t="s">
        <v>1013</v>
      </c>
    </row>
    <row r="429" spans="1:27">
      <c r="A429" s="306" t="s">
        <v>494</v>
      </c>
      <c r="B429" s="306" t="s">
        <v>1003</v>
      </c>
      <c r="C429" s="306" t="s">
        <v>1004</v>
      </c>
      <c r="D429" s="306" t="s">
        <v>2435</v>
      </c>
      <c r="E429" s="306" t="s">
        <v>1823</v>
      </c>
      <c r="F429" s="306" t="s">
        <v>1007</v>
      </c>
      <c r="G429" s="308">
        <v>46019</v>
      </c>
      <c r="H429" s="308">
        <v>46019</v>
      </c>
      <c r="I429" s="309">
        <v>-3439.7</v>
      </c>
      <c r="J429" s="306" t="s">
        <v>1008</v>
      </c>
      <c r="K429" s="309">
        <v>-3439.7</v>
      </c>
      <c r="L429" s="306" t="s">
        <v>1008</v>
      </c>
      <c r="M429" s="306" t="s">
        <v>1824</v>
      </c>
      <c r="N429" s="306" t="s">
        <v>1825</v>
      </c>
      <c r="O429" s="306" t="s">
        <v>1826</v>
      </c>
      <c r="P429" s="306" t="s">
        <v>270</v>
      </c>
      <c r="Q429" s="306" t="s">
        <v>1013</v>
      </c>
      <c r="R429" s="306" t="s">
        <v>1013</v>
      </c>
      <c r="S429" s="306" t="s">
        <v>1013</v>
      </c>
      <c r="T429" s="306" t="s">
        <v>1013</v>
      </c>
      <c r="U429" s="306" t="s">
        <v>1013</v>
      </c>
      <c r="V429" s="306" t="s">
        <v>1013</v>
      </c>
      <c r="W429" s="306" t="s">
        <v>1013</v>
      </c>
      <c r="X429" s="306" t="s">
        <v>1013</v>
      </c>
      <c r="Y429" s="306" t="s">
        <v>1812</v>
      </c>
      <c r="Z429" s="306" t="s">
        <v>1015</v>
      </c>
      <c r="AA429" s="306" t="s">
        <v>1013</v>
      </c>
    </row>
    <row r="430" spans="1:27">
      <c r="A430" s="306" t="s">
        <v>494</v>
      </c>
      <c r="B430" s="306" t="s">
        <v>1003</v>
      </c>
      <c r="C430" s="306" t="s">
        <v>1004</v>
      </c>
      <c r="D430" s="306" t="s">
        <v>2435</v>
      </c>
      <c r="E430" s="306" t="s">
        <v>1827</v>
      </c>
      <c r="F430" s="306" t="s">
        <v>1007</v>
      </c>
      <c r="G430" s="308">
        <v>46019</v>
      </c>
      <c r="H430" s="308">
        <v>46019</v>
      </c>
      <c r="I430" s="309">
        <v>-170076.53</v>
      </c>
      <c r="J430" s="306" t="s">
        <v>1008</v>
      </c>
      <c r="K430" s="309">
        <v>-170076.53</v>
      </c>
      <c r="L430" s="306" t="s">
        <v>1008</v>
      </c>
      <c r="M430" s="306" t="s">
        <v>1824</v>
      </c>
      <c r="N430" s="306" t="s">
        <v>1825</v>
      </c>
      <c r="O430" s="306" t="s">
        <v>1828</v>
      </c>
      <c r="P430" s="306" t="s">
        <v>270</v>
      </c>
      <c r="Q430" s="306" t="s">
        <v>1013</v>
      </c>
      <c r="R430" s="306" t="s">
        <v>1013</v>
      </c>
      <c r="S430" s="306" t="s">
        <v>1013</v>
      </c>
      <c r="T430" s="306" t="s">
        <v>1013</v>
      </c>
      <c r="U430" s="306" t="s">
        <v>1013</v>
      </c>
      <c r="V430" s="306" t="s">
        <v>1013</v>
      </c>
      <c r="W430" s="306" t="s">
        <v>1013</v>
      </c>
      <c r="X430" s="306" t="s">
        <v>1013</v>
      </c>
      <c r="Y430" s="306" t="s">
        <v>1812</v>
      </c>
      <c r="Z430" s="306" t="s">
        <v>1015</v>
      </c>
      <c r="AA430" s="306" t="s">
        <v>1013</v>
      </c>
    </row>
    <row r="431" spans="1:27">
      <c r="A431" s="306" t="s">
        <v>494</v>
      </c>
      <c r="B431" s="306" t="s">
        <v>1003</v>
      </c>
      <c r="C431" s="306" t="s">
        <v>1004</v>
      </c>
      <c r="D431" s="306" t="s">
        <v>2435</v>
      </c>
      <c r="E431" s="306" t="s">
        <v>1829</v>
      </c>
      <c r="F431" s="306" t="s">
        <v>1007</v>
      </c>
      <c r="G431" s="308">
        <v>46019</v>
      </c>
      <c r="H431" s="308">
        <v>46019</v>
      </c>
      <c r="I431" s="309">
        <v>-202660.84</v>
      </c>
      <c r="J431" s="306" t="s">
        <v>1008</v>
      </c>
      <c r="K431" s="309">
        <v>-202660.84</v>
      </c>
      <c r="L431" s="306" t="s">
        <v>1008</v>
      </c>
      <c r="M431" s="306" t="s">
        <v>1824</v>
      </c>
      <c r="N431" s="306" t="s">
        <v>1825</v>
      </c>
      <c r="O431" s="306" t="s">
        <v>1830</v>
      </c>
      <c r="P431" s="306" t="s">
        <v>270</v>
      </c>
      <c r="Q431" s="306" t="s">
        <v>1013</v>
      </c>
      <c r="R431" s="306" t="s">
        <v>1013</v>
      </c>
      <c r="S431" s="306" t="s">
        <v>1013</v>
      </c>
      <c r="T431" s="306" t="s">
        <v>1013</v>
      </c>
      <c r="U431" s="306" t="s">
        <v>1013</v>
      </c>
      <c r="V431" s="306" t="s">
        <v>1013</v>
      </c>
      <c r="W431" s="306" t="s">
        <v>1013</v>
      </c>
      <c r="X431" s="306" t="s">
        <v>1013</v>
      </c>
      <c r="Y431" s="306" t="s">
        <v>1812</v>
      </c>
      <c r="Z431" s="306" t="s">
        <v>1015</v>
      </c>
      <c r="AA431" s="306" t="s">
        <v>1013</v>
      </c>
    </row>
    <row r="432" spans="1:27">
      <c r="A432" s="306" t="s">
        <v>494</v>
      </c>
      <c r="B432" s="306" t="s">
        <v>1003</v>
      </c>
      <c r="C432" s="306" t="s">
        <v>1004</v>
      </c>
      <c r="D432" s="306" t="s">
        <v>2435</v>
      </c>
      <c r="E432" s="306" t="s">
        <v>1831</v>
      </c>
      <c r="F432" s="306" t="s">
        <v>1007</v>
      </c>
      <c r="G432" s="308">
        <v>46019</v>
      </c>
      <c r="H432" s="308">
        <v>46019</v>
      </c>
      <c r="I432" s="309">
        <v>-63655.81</v>
      </c>
      <c r="J432" s="306" t="s">
        <v>1008</v>
      </c>
      <c r="K432" s="309">
        <v>-63655.81</v>
      </c>
      <c r="L432" s="306" t="s">
        <v>1008</v>
      </c>
      <c r="M432" s="306" t="s">
        <v>1824</v>
      </c>
      <c r="N432" s="306" t="s">
        <v>1825</v>
      </c>
      <c r="O432" s="306" t="s">
        <v>1832</v>
      </c>
      <c r="P432" s="306" t="s">
        <v>270</v>
      </c>
      <c r="Q432" s="306" t="s">
        <v>1013</v>
      </c>
      <c r="R432" s="306" t="s">
        <v>1013</v>
      </c>
      <c r="S432" s="306" t="s">
        <v>1013</v>
      </c>
      <c r="T432" s="306" t="s">
        <v>1013</v>
      </c>
      <c r="U432" s="306" t="s">
        <v>1013</v>
      </c>
      <c r="V432" s="306" t="s">
        <v>1013</v>
      </c>
      <c r="W432" s="306" t="s">
        <v>1013</v>
      </c>
      <c r="X432" s="306" t="s">
        <v>1013</v>
      </c>
      <c r="Y432" s="306" t="s">
        <v>1812</v>
      </c>
      <c r="Z432" s="306" t="s">
        <v>1015</v>
      </c>
      <c r="AA432" s="306" t="s">
        <v>1013</v>
      </c>
    </row>
    <row r="433" spans="1:27">
      <c r="A433" s="306" t="s">
        <v>494</v>
      </c>
      <c r="B433" s="306" t="s">
        <v>1003</v>
      </c>
      <c r="C433" s="306" t="s">
        <v>1004</v>
      </c>
      <c r="D433" s="306" t="s">
        <v>2435</v>
      </c>
      <c r="E433" s="306" t="s">
        <v>1833</v>
      </c>
      <c r="F433" s="306" t="s">
        <v>1007</v>
      </c>
      <c r="G433" s="308">
        <v>46019</v>
      </c>
      <c r="H433" s="308">
        <v>46019</v>
      </c>
      <c r="I433" s="309">
        <v>-41368.94</v>
      </c>
      <c r="J433" s="306" t="s">
        <v>1008</v>
      </c>
      <c r="K433" s="309">
        <v>-41368.94</v>
      </c>
      <c r="L433" s="306" t="s">
        <v>1008</v>
      </c>
      <c r="M433" s="306" t="s">
        <v>1824</v>
      </c>
      <c r="N433" s="306" t="s">
        <v>1825</v>
      </c>
      <c r="O433" s="306" t="s">
        <v>1834</v>
      </c>
      <c r="P433" s="306" t="s">
        <v>270</v>
      </c>
      <c r="Q433" s="306" t="s">
        <v>1013</v>
      </c>
      <c r="R433" s="306" t="s">
        <v>1013</v>
      </c>
      <c r="S433" s="306" t="s">
        <v>1013</v>
      </c>
      <c r="T433" s="306" t="s">
        <v>1013</v>
      </c>
      <c r="U433" s="306" t="s">
        <v>1013</v>
      </c>
      <c r="V433" s="306" t="s">
        <v>1013</v>
      </c>
      <c r="W433" s="306" t="s">
        <v>1013</v>
      </c>
      <c r="X433" s="306" t="s">
        <v>1013</v>
      </c>
      <c r="Y433" s="306" t="s">
        <v>1812</v>
      </c>
      <c r="Z433" s="306" t="s">
        <v>1015</v>
      </c>
      <c r="AA433" s="306" t="s">
        <v>1013</v>
      </c>
    </row>
    <row r="434" spans="1:27">
      <c r="A434" s="306" t="s">
        <v>494</v>
      </c>
      <c r="B434" s="306" t="s">
        <v>1003</v>
      </c>
      <c r="C434" s="306" t="s">
        <v>1004</v>
      </c>
      <c r="D434" s="306" t="s">
        <v>2435</v>
      </c>
      <c r="E434" s="306" t="s">
        <v>1835</v>
      </c>
      <c r="F434" s="306" t="s">
        <v>1007</v>
      </c>
      <c r="G434" s="308">
        <v>46019</v>
      </c>
      <c r="H434" s="308">
        <v>46019</v>
      </c>
      <c r="I434" s="309">
        <v>-774104.54</v>
      </c>
      <c r="J434" s="306" t="s">
        <v>1008</v>
      </c>
      <c r="K434" s="309">
        <v>-774104.54</v>
      </c>
      <c r="L434" s="306" t="s">
        <v>1008</v>
      </c>
      <c r="M434" s="306" t="s">
        <v>1836</v>
      </c>
      <c r="N434" s="306" t="s">
        <v>1837</v>
      </c>
      <c r="O434" s="306" t="s">
        <v>1838</v>
      </c>
      <c r="P434" s="306" t="s">
        <v>270</v>
      </c>
      <c r="Q434" s="306" t="s">
        <v>1013</v>
      </c>
      <c r="R434" s="306" t="s">
        <v>1013</v>
      </c>
      <c r="S434" s="306" t="s">
        <v>1013</v>
      </c>
      <c r="T434" s="306" t="s">
        <v>1013</v>
      </c>
      <c r="U434" s="306" t="s">
        <v>1013</v>
      </c>
      <c r="V434" s="306" t="s">
        <v>1013</v>
      </c>
      <c r="W434" s="306" t="s">
        <v>1013</v>
      </c>
      <c r="X434" s="306" t="s">
        <v>1013</v>
      </c>
      <c r="Y434" s="306" t="s">
        <v>1812</v>
      </c>
      <c r="Z434" s="306" t="s">
        <v>1015</v>
      </c>
      <c r="AA434" s="306" t="s">
        <v>1013</v>
      </c>
    </row>
    <row r="435" spans="1:27">
      <c r="A435" s="306" t="s">
        <v>494</v>
      </c>
      <c r="B435" s="306" t="s">
        <v>1003</v>
      </c>
      <c r="C435" s="306" t="s">
        <v>1004</v>
      </c>
      <c r="D435" s="306" t="s">
        <v>2435</v>
      </c>
      <c r="E435" s="306" t="s">
        <v>1839</v>
      </c>
      <c r="F435" s="306" t="s">
        <v>1007</v>
      </c>
      <c r="G435" s="308">
        <v>46019</v>
      </c>
      <c r="H435" s="308">
        <v>46019</v>
      </c>
      <c r="I435" s="309">
        <v>-169181.42</v>
      </c>
      <c r="J435" s="306" t="s">
        <v>1008</v>
      </c>
      <c r="K435" s="309">
        <v>-169181.42</v>
      </c>
      <c r="L435" s="306" t="s">
        <v>1008</v>
      </c>
      <c r="M435" s="306" t="s">
        <v>1836</v>
      </c>
      <c r="N435" s="306" t="s">
        <v>1837</v>
      </c>
      <c r="O435" s="306" t="s">
        <v>1840</v>
      </c>
      <c r="P435" s="306" t="s">
        <v>270</v>
      </c>
      <c r="Q435" s="306" t="s">
        <v>1013</v>
      </c>
      <c r="R435" s="306" t="s">
        <v>1013</v>
      </c>
      <c r="S435" s="306" t="s">
        <v>1013</v>
      </c>
      <c r="T435" s="306" t="s">
        <v>1013</v>
      </c>
      <c r="U435" s="306" t="s">
        <v>1013</v>
      </c>
      <c r="V435" s="306" t="s">
        <v>1013</v>
      </c>
      <c r="W435" s="306" t="s">
        <v>1013</v>
      </c>
      <c r="X435" s="306" t="s">
        <v>1013</v>
      </c>
      <c r="Y435" s="306" t="s">
        <v>1812</v>
      </c>
      <c r="Z435" s="306" t="s">
        <v>1015</v>
      </c>
      <c r="AA435" s="306" t="s">
        <v>1013</v>
      </c>
    </row>
    <row r="436" spans="1:27">
      <c r="A436" s="306" t="s">
        <v>494</v>
      </c>
      <c r="B436" s="306" t="s">
        <v>1003</v>
      </c>
      <c r="C436" s="306" t="s">
        <v>1004</v>
      </c>
      <c r="D436" s="306" t="s">
        <v>2435</v>
      </c>
      <c r="E436" s="306" t="s">
        <v>1841</v>
      </c>
      <c r="F436" s="306" t="s">
        <v>1007</v>
      </c>
      <c r="G436" s="308">
        <v>46019</v>
      </c>
      <c r="H436" s="308">
        <v>46019</v>
      </c>
      <c r="I436" s="309">
        <v>-134724.14000000001</v>
      </c>
      <c r="J436" s="306" t="s">
        <v>1008</v>
      </c>
      <c r="K436" s="309">
        <v>-134724.14000000001</v>
      </c>
      <c r="L436" s="306" t="s">
        <v>1008</v>
      </c>
      <c r="M436" s="306" t="s">
        <v>1836</v>
      </c>
      <c r="N436" s="306" t="s">
        <v>1837</v>
      </c>
      <c r="O436" s="306" t="s">
        <v>1842</v>
      </c>
      <c r="P436" s="306" t="s">
        <v>270</v>
      </c>
      <c r="Q436" s="306" t="s">
        <v>1013</v>
      </c>
      <c r="R436" s="306" t="s">
        <v>1013</v>
      </c>
      <c r="S436" s="306" t="s">
        <v>1013</v>
      </c>
      <c r="T436" s="306" t="s">
        <v>1013</v>
      </c>
      <c r="U436" s="306" t="s">
        <v>1013</v>
      </c>
      <c r="V436" s="306" t="s">
        <v>1013</v>
      </c>
      <c r="W436" s="306" t="s">
        <v>1013</v>
      </c>
      <c r="X436" s="306" t="s">
        <v>1013</v>
      </c>
      <c r="Y436" s="306" t="s">
        <v>1812</v>
      </c>
      <c r="Z436" s="306" t="s">
        <v>1015</v>
      </c>
      <c r="AA436" s="306" t="s">
        <v>1013</v>
      </c>
    </row>
    <row r="437" spans="1:27">
      <c r="A437" s="306" t="s">
        <v>494</v>
      </c>
      <c r="B437" s="306" t="s">
        <v>1003</v>
      </c>
      <c r="C437" s="306" t="s">
        <v>1004</v>
      </c>
      <c r="D437" s="306" t="s">
        <v>2435</v>
      </c>
      <c r="E437" s="306" t="s">
        <v>1843</v>
      </c>
      <c r="F437" s="306" t="s">
        <v>1007</v>
      </c>
      <c r="G437" s="308">
        <v>46019</v>
      </c>
      <c r="H437" s="308">
        <v>46019</v>
      </c>
      <c r="I437" s="309">
        <v>-1006529.09</v>
      </c>
      <c r="J437" s="306" t="s">
        <v>1008</v>
      </c>
      <c r="K437" s="309">
        <v>-1006529.09</v>
      </c>
      <c r="L437" s="306" t="s">
        <v>1008</v>
      </c>
      <c r="M437" s="306" t="s">
        <v>1836</v>
      </c>
      <c r="N437" s="306" t="s">
        <v>1837</v>
      </c>
      <c r="O437" s="306" t="s">
        <v>1844</v>
      </c>
      <c r="P437" s="306" t="s">
        <v>270</v>
      </c>
      <c r="Q437" s="306" t="s">
        <v>1013</v>
      </c>
      <c r="R437" s="306" t="s">
        <v>1013</v>
      </c>
      <c r="S437" s="306" t="s">
        <v>1013</v>
      </c>
      <c r="T437" s="306" t="s">
        <v>1013</v>
      </c>
      <c r="U437" s="306" t="s">
        <v>1013</v>
      </c>
      <c r="V437" s="306" t="s">
        <v>1013</v>
      </c>
      <c r="W437" s="306" t="s">
        <v>1013</v>
      </c>
      <c r="X437" s="306" t="s">
        <v>1013</v>
      </c>
      <c r="Y437" s="306" t="s">
        <v>1812</v>
      </c>
      <c r="Z437" s="306" t="s">
        <v>1015</v>
      </c>
      <c r="AA437" s="306" t="s">
        <v>1013</v>
      </c>
    </row>
    <row r="438" spans="1:27">
      <c r="A438" s="306" t="s">
        <v>494</v>
      </c>
      <c r="B438" s="306" t="s">
        <v>1003</v>
      </c>
      <c r="C438" s="306" t="s">
        <v>1004</v>
      </c>
      <c r="D438" s="306" t="s">
        <v>2435</v>
      </c>
      <c r="E438" s="306" t="s">
        <v>1845</v>
      </c>
      <c r="F438" s="306" t="s">
        <v>1007</v>
      </c>
      <c r="G438" s="308">
        <v>46019</v>
      </c>
      <c r="H438" s="308">
        <v>46019</v>
      </c>
      <c r="I438" s="309">
        <v>-278484.65000000002</v>
      </c>
      <c r="J438" s="306" t="s">
        <v>1008</v>
      </c>
      <c r="K438" s="309">
        <v>-278484.65000000002</v>
      </c>
      <c r="L438" s="306" t="s">
        <v>1008</v>
      </c>
      <c r="M438" s="306" t="s">
        <v>1824</v>
      </c>
      <c r="N438" s="306" t="s">
        <v>1825</v>
      </c>
      <c r="O438" s="306" t="s">
        <v>1846</v>
      </c>
      <c r="P438" s="306" t="s">
        <v>270</v>
      </c>
      <c r="Q438" s="306" t="s">
        <v>1013</v>
      </c>
      <c r="R438" s="306" t="s">
        <v>1013</v>
      </c>
      <c r="S438" s="306" t="s">
        <v>1013</v>
      </c>
      <c r="T438" s="306" t="s">
        <v>1013</v>
      </c>
      <c r="U438" s="306" t="s">
        <v>1013</v>
      </c>
      <c r="V438" s="306" t="s">
        <v>1013</v>
      </c>
      <c r="W438" s="306" t="s">
        <v>1013</v>
      </c>
      <c r="X438" s="306" t="s">
        <v>1013</v>
      </c>
      <c r="Y438" s="306" t="s">
        <v>1812</v>
      </c>
      <c r="Z438" s="306" t="s">
        <v>1015</v>
      </c>
      <c r="AA438" s="306" t="s">
        <v>1013</v>
      </c>
    </row>
    <row r="439" spans="1:27">
      <c r="A439" s="306" t="s">
        <v>494</v>
      </c>
      <c r="B439" s="306" t="s">
        <v>1003</v>
      </c>
      <c r="C439" s="306" t="s">
        <v>1004</v>
      </c>
      <c r="D439" s="306" t="s">
        <v>2435</v>
      </c>
      <c r="E439" s="306" t="s">
        <v>1847</v>
      </c>
      <c r="F439" s="306" t="s">
        <v>1007</v>
      </c>
      <c r="G439" s="308">
        <v>46019</v>
      </c>
      <c r="H439" s="308">
        <v>46019</v>
      </c>
      <c r="I439" s="309">
        <v>-52312.06</v>
      </c>
      <c r="J439" s="306" t="s">
        <v>1008</v>
      </c>
      <c r="K439" s="309">
        <v>-52312.06</v>
      </c>
      <c r="L439" s="306" t="s">
        <v>1008</v>
      </c>
      <c r="M439" s="306" t="s">
        <v>1824</v>
      </c>
      <c r="N439" s="306" t="s">
        <v>1825</v>
      </c>
      <c r="O439" s="306" t="s">
        <v>1848</v>
      </c>
      <c r="P439" s="306" t="s">
        <v>270</v>
      </c>
      <c r="Q439" s="306" t="s">
        <v>1013</v>
      </c>
      <c r="R439" s="306" t="s">
        <v>1013</v>
      </c>
      <c r="S439" s="306" t="s">
        <v>1013</v>
      </c>
      <c r="T439" s="306" t="s">
        <v>1013</v>
      </c>
      <c r="U439" s="306" t="s">
        <v>1013</v>
      </c>
      <c r="V439" s="306" t="s">
        <v>1013</v>
      </c>
      <c r="W439" s="306" t="s">
        <v>1013</v>
      </c>
      <c r="X439" s="306" t="s">
        <v>1013</v>
      </c>
      <c r="Y439" s="306" t="s">
        <v>1812</v>
      </c>
      <c r="Z439" s="306" t="s">
        <v>1015</v>
      </c>
      <c r="AA439" s="306" t="s">
        <v>1013</v>
      </c>
    </row>
    <row r="440" spans="1:27">
      <c r="A440" s="306" t="s">
        <v>494</v>
      </c>
      <c r="B440" s="306" t="s">
        <v>1003</v>
      </c>
      <c r="C440" s="306" t="s">
        <v>1004</v>
      </c>
      <c r="D440" s="306" t="s">
        <v>2435</v>
      </c>
      <c r="E440" s="306" t="s">
        <v>1849</v>
      </c>
      <c r="F440" s="306" t="s">
        <v>1007</v>
      </c>
      <c r="G440" s="308">
        <v>46019</v>
      </c>
      <c r="H440" s="308">
        <v>46019</v>
      </c>
      <c r="I440" s="309">
        <v>-1045.01</v>
      </c>
      <c r="J440" s="306" t="s">
        <v>1008</v>
      </c>
      <c r="K440" s="309">
        <v>-1045.01</v>
      </c>
      <c r="L440" s="306" t="s">
        <v>1008</v>
      </c>
      <c r="M440" s="306" t="s">
        <v>1824</v>
      </c>
      <c r="N440" s="306" t="s">
        <v>1825</v>
      </c>
      <c r="O440" s="306" t="s">
        <v>1850</v>
      </c>
      <c r="P440" s="306" t="s">
        <v>270</v>
      </c>
      <c r="Q440" s="306" t="s">
        <v>1013</v>
      </c>
      <c r="R440" s="306" t="s">
        <v>1013</v>
      </c>
      <c r="S440" s="306" t="s">
        <v>1013</v>
      </c>
      <c r="T440" s="306" t="s">
        <v>1013</v>
      </c>
      <c r="U440" s="306" t="s">
        <v>1013</v>
      </c>
      <c r="V440" s="306" t="s">
        <v>1013</v>
      </c>
      <c r="W440" s="306" t="s">
        <v>1013</v>
      </c>
      <c r="X440" s="306" t="s">
        <v>1013</v>
      </c>
      <c r="Y440" s="306" t="s">
        <v>1812</v>
      </c>
      <c r="Z440" s="306" t="s">
        <v>1015</v>
      </c>
      <c r="AA440" s="306" t="s">
        <v>1013</v>
      </c>
    </row>
    <row r="441" spans="1:27">
      <c r="A441" s="306" t="s">
        <v>494</v>
      </c>
      <c r="B441" s="306" t="s">
        <v>1003</v>
      </c>
      <c r="C441" s="306" t="s">
        <v>1004</v>
      </c>
      <c r="D441" s="306" t="s">
        <v>2435</v>
      </c>
      <c r="E441" s="306" t="s">
        <v>1851</v>
      </c>
      <c r="F441" s="306" t="s">
        <v>1007</v>
      </c>
      <c r="G441" s="308">
        <v>46019</v>
      </c>
      <c r="H441" s="308">
        <v>46019</v>
      </c>
      <c r="I441" s="309">
        <v>-29838.33</v>
      </c>
      <c r="J441" s="306" t="s">
        <v>1008</v>
      </c>
      <c r="K441" s="309">
        <v>-29838.33</v>
      </c>
      <c r="L441" s="306" t="s">
        <v>1008</v>
      </c>
      <c r="M441" s="306" t="s">
        <v>1824</v>
      </c>
      <c r="N441" s="306" t="s">
        <v>1825</v>
      </c>
      <c r="O441" s="306" t="s">
        <v>1852</v>
      </c>
      <c r="P441" s="306" t="s">
        <v>270</v>
      </c>
      <c r="Q441" s="306" t="s">
        <v>1013</v>
      </c>
      <c r="R441" s="306" t="s">
        <v>1013</v>
      </c>
      <c r="S441" s="306" t="s">
        <v>1013</v>
      </c>
      <c r="T441" s="306" t="s">
        <v>1013</v>
      </c>
      <c r="U441" s="306" t="s">
        <v>1013</v>
      </c>
      <c r="V441" s="306" t="s">
        <v>1013</v>
      </c>
      <c r="W441" s="306" t="s">
        <v>1013</v>
      </c>
      <c r="X441" s="306" t="s">
        <v>1013</v>
      </c>
      <c r="Y441" s="306" t="s">
        <v>1812</v>
      </c>
      <c r="Z441" s="306" t="s">
        <v>1015</v>
      </c>
      <c r="AA441" s="306" t="s">
        <v>1013</v>
      </c>
    </row>
    <row r="442" spans="1:27">
      <c r="A442" s="306" t="s">
        <v>494</v>
      </c>
      <c r="B442" s="306" t="s">
        <v>1003</v>
      </c>
      <c r="C442" s="306" t="s">
        <v>1004</v>
      </c>
      <c r="D442" s="306" t="s">
        <v>2435</v>
      </c>
      <c r="E442" s="306" t="s">
        <v>1853</v>
      </c>
      <c r="F442" s="306" t="s">
        <v>1007</v>
      </c>
      <c r="G442" s="308">
        <v>46019</v>
      </c>
      <c r="H442" s="308">
        <v>46019</v>
      </c>
      <c r="I442" s="309">
        <v>-175073.8</v>
      </c>
      <c r="J442" s="306" t="s">
        <v>1008</v>
      </c>
      <c r="K442" s="309">
        <v>-175073.8</v>
      </c>
      <c r="L442" s="306" t="s">
        <v>1008</v>
      </c>
      <c r="M442" s="306" t="s">
        <v>1824</v>
      </c>
      <c r="N442" s="306" t="s">
        <v>1825</v>
      </c>
      <c r="O442" s="306" t="s">
        <v>1854</v>
      </c>
      <c r="P442" s="306" t="s">
        <v>270</v>
      </c>
      <c r="Q442" s="306" t="s">
        <v>1013</v>
      </c>
      <c r="R442" s="306" t="s">
        <v>1013</v>
      </c>
      <c r="S442" s="306" t="s">
        <v>1013</v>
      </c>
      <c r="T442" s="306" t="s">
        <v>1013</v>
      </c>
      <c r="U442" s="306" t="s">
        <v>1013</v>
      </c>
      <c r="V442" s="306" t="s">
        <v>1013</v>
      </c>
      <c r="W442" s="306" t="s">
        <v>1013</v>
      </c>
      <c r="X442" s="306" t="s">
        <v>1013</v>
      </c>
      <c r="Y442" s="306" t="s">
        <v>1812</v>
      </c>
      <c r="Z442" s="306" t="s">
        <v>1015</v>
      </c>
      <c r="AA442" s="306" t="s">
        <v>1013</v>
      </c>
    </row>
    <row r="443" spans="1:27">
      <c r="A443" s="306" t="s">
        <v>494</v>
      </c>
      <c r="B443" s="306" t="s">
        <v>1003</v>
      </c>
      <c r="C443" s="306" t="s">
        <v>1004</v>
      </c>
      <c r="D443" s="306" t="s">
        <v>2435</v>
      </c>
      <c r="E443" s="306" t="s">
        <v>1855</v>
      </c>
      <c r="F443" s="306" t="s">
        <v>1007</v>
      </c>
      <c r="G443" s="308">
        <v>46019</v>
      </c>
      <c r="H443" s="308">
        <v>46019</v>
      </c>
      <c r="I443" s="309">
        <v>-26590.41</v>
      </c>
      <c r="J443" s="306" t="s">
        <v>1008</v>
      </c>
      <c r="K443" s="309">
        <v>-26590.41</v>
      </c>
      <c r="L443" s="306" t="s">
        <v>1008</v>
      </c>
      <c r="M443" s="306" t="s">
        <v>1824</v>
      </c>
      <c r="N443" s="306" t="s">
        <v>1825</v>
      </c>
      <c r="O443" s="306" t="s">
        <v>1856</v>
      </c>
      <c r="P443" s="306" t="s">
        <v>270</v>
      </c>
      <c r="Q443" s="306" t="s">
        <v>1013</v>
      </c>
      <c r="R443" s="306" t="s">
        <v>1013</v>
      </c>
      <c r="S443" s="306" t="s">
        <v>1013</v>
      </c>
      <c r="T443" s="306" t="s">
        <v>1013</v>
      </c>
      <c r="U443" s="306" t="s">
        <v>1013</v>
      </c>
      <c r="V443" s="306" t="s">
        <v>1013</v>
      </c>
      <c r="W443" s="306" t="s">
        <v>1013</v>
      </c>
      <c r="X443" s="306" t="s">
        <v>1013</v>
      </c>
      <c r="Y443" s="306" t="s">
        <v>1812</v>
      </c>
      <c r="Z443" s="306" t="s">
        <v>1015</v>
      </c>
      <c r="AA443" s="306" t="s">
        <v>1013</v>
      </c>
    </row>
    <row r="444" spans="1:27">
      <c r="A444" s="306" t="s">
        <v>494</v>
      </c>
      <c r="B444" s="306" t="s">
        <v>1003</v>
      </c>
      <c r="C444" s="306" t="s">
        <v>1004</v>
      </c>
      <c r="D444" s="306" t="s">
        <v>2435</v>
      </c>
      <c r="E444" s="306" t="s">
        <v>1857</v>
      </c>
      <c r="F444" s="306" t="s">
        <v>1007</v>
      </c>
      <c r="G444" s="308">
        <v>46019</v>
      </c>
      <c r="H444" s="308">
        <v>46019</v>
      </c>
      <c r="I444" s="309">
        <v>-59726.48</v>
      </c>
      <c r="J444" s="306" t="s">
        <v>1008</v>
      </c>
      <c r="K444" s="309">
        <v>-59726.48</v>
      </c>
      <c r="L444" s="306" t="s">
        <v>1008</v>
      </c>
      <c r="M444" s="306" t="s">
        <v>1824</v>
      </c>
      <c r="N444" s="306" t="s">
        <v>1825</v>
      </c>
      <c r="O444" s="306" t="s">
        <v>1858</v>
      </c>
      <c r="P444" s="306" t="s">
        <v>270</v>
      </c>
      <c r="Q444" s="306" t="s">
        <v>1013</v>
      </c>
      <c r="R444" s="306" t="s">
        <v>1013</v>
      </c>
      <c r="S444" s="306" t="s">
        <v>1013</v>
      </c>
      <c r="T444" s="306" t="s">
        <v>1013</v>
      </c>
      <c r="U444" s="306" t="s">
        <v>1013</v>
      </c>
      <c r="V444" s="306" t="s">
        <v>1013</v>
      </c>
      <c r="W444" s="306" t="s">
        <v>1013</v>
      </c>
      <c r="X444" s="306" t="s">
        <v>1013</v>
      </c>
      <c r="Y444" s="306" t="s">
        <v>1812</v>
      </c>
      <c r="Z444" s="306" t="s">
        <v>1015</v>
      </c>
      <c r="AA444" s="306" t="s">
        <v>1013</v>
      </c>
    </row>
    <row r="445" spans="1:27">
      <c r="A445" s="306" t="s">
        <v>494</v>
      </c>
      <c r="B445" s="306" t="s">
        <v>1003</v>
      </c>
      <c r="C445" s="306" t="s">
        <v>1004</v>
      </c>
      <c r="D445" s="306" t="s">
        <v>2435</v>
      </c>
      <c r="E445" s="306" t="s">
        <v>1859</v>
      </c>
      <c r="F445" s="306" t="s">
        <v>1007</v>
      </c>
      <c r="G445" s="308">
        <v>46019</v>
      </c>
      <c r="H445" s="308">
        <v>46019</v>
      </c>
      <c r="I445" s="309">
        <v>-1700300.19</v>
      </c>
      <c r="J445" s="306" t="s">
        <v>1008</v>
      </c>
      <c r="K445" s="309">
        <v>-1700300.19</v>
      </c>
      <c r="L445" s="306" t="s">
        <v>1008</v>
      </c>
      <c r="M445" s="306" t="s">
        <v>1824</v>
      </c>
      <c r="N445" s="306" t="s">
        <v>1825</v>
      </c>
      <c r="O445" s="306" t="s">
        <v>1860</v>
      </c>
      <c r="P445" s="306" t="s">
        <v>270</v>
      </c>
      <c r="Q445" s="306" t="s">
        <v>1013</v>
      </c>
      <c r="R445" s="306" t="s">
        <v>1013</v>
      </c>
      <c r="S445" s="306" t="s">
        <v>1013</v>
      </c>
      <c r="T445" s="306" t="s">
        <v>1013</v>
      </c>
      <c r="U445" s="306" t="s">
        <v>1013</v>
      </c>
      <c r="V445" s="306" t="s">
        <v>1013</v>
      </c>
      <c r="W445" s="306" t="s">
        <v>1013</v>
      </c>
      <c r="X445" s="306" t="s">
        <v>1013</v>
      </c>
      <c r="Y445" s="306" t="s">
        <v>1812</v>
      </c>
      <c r="Z445" s="306" t="s">
        <v>1015</v>
      </c>
      <c r="AA445" s="306" t="s">
        <v>1013</v>
      </c>
    </row>
    <row r="446" spans="1:27">
      <c r="A446" s="306" t="s">
        <v>494</v>
      </c>
      <c r="B446" s="306" t="s">
        <v>1003</v>
      </c>
      <c r="C446" s="306" t="s">
        <v>1004</v>
      </c>
      <c r="D446" s="306" t="s">
        <v>2435</v>
      </c>
      <c r="E446" s="306" t="s">
        <v>1861</v>
      </c>
      <c r="F446" s="306" t="s">
        <v>1007</v>
      </c>
      <c r="G446" s="308">
        <v>46019</v>
      </c>
      <c r="H446" s="308">
        <v>46019</v>
      </c>
      <c r="I446" s="309">
        <v>-65271.23</v>
      </c>
      <c r="J446" s="306" t="s">
        <v>1008</v>
      </c>
      <c r="K446" s="309">
        <v>-65271.23</v>
      </c>
      <c r="L446" s="306" t="s">
        <v>1008</v>
      </c>
      <c r="M446" s="306" t="s">
        <v>1836</v>
      </c>
      <c r="N446" s="306" t="s">
        <v>1837</v>
      </c>
      <c r="O446" s="306" t="s">
        <v>1862</v>
      </c>
      <c r="P446" s="306" t="s">
        <v>270</v>
      </c>
      <c r="Q446" s="306" t="s">
        <v>1013</v>
      </c>
      <c r="R446" s="306" t="s">
        <v>1013</v>
      </c>
      <c r="S446" s="306" t="s">
        <v>1013</v>
      </c>
      <c r="T446" s="306" t="s">
        <v>1013</v>
      </c>
      <c r="U446" s="306" t="s">
        <v>1013</v>
      </c>
      <c r="V446" s="306" t="s">
        <v>1013</v>
      </c>
      <c r="W446" s="306" t="s">
        <v>1013</v>
      </c>
      <c r="X446" s="306" t="s">
        <v>1013</v>
      </c>
      <c r="Y446" s="306" t="s">
        <v>1812</v>
      </c>
      <c r="Z446" s="306" t="s">
        <v>1015</v>
      </c>
      <c r="AA446" s="306" t="s">
        <v>1013</v>
      </c>
    </row>
    <row r="447" spans="1:27">
      <c r="A447" s="306" t="s">
        <v>494</v>
      </c>
      <c r="B447" s="306" t="s">
        <v>1003</v>
      </c>
      <c r="C447" s="306" t="s">
        <v>1004</v>
      </c>
      <c r="D447" s="306" t="s">
        <v>2435</v>
      </c>
      <c r="E447" s="306" t="s">
        <v>1863</v>
      </c>
      <c r="F447" s="306" t="s">
        <v>1007</v>
      </c>
      <c r="G447" s="308">
        <v>46019</v>
      </c>
      <c r="H447" s="308">
        <v>46019</v>
      </c>
      <c r="I447" s="309">
        <v>-134893.87</v>
      </c>
      <c r="J447" s="306" t="s">
        <v>1008</v>
      </c>
      <c r="K447" s="309">
        <v>-134893.87</v>
      </c>
      <c r="L447" s="306" t="s">
        <v>1008</v>
      </c>
      <c r="M447" s="306" t="s">
        <v>1836</v>
      </c>
      <c r="N447" s="306" t="s">
        <v>1837</v>
      </c>
      <c r="O447" s="306" t="s">
        <v>1864</v>
      </c>
      <c r="P447" s="306" t="s">
        <v>270</v>
      </c>
      <c r="Q447" s="306" t="s">
        <v>1013</v>
      </c>
      <c r="R447" s="306" t="s">
        <v>1013</v>
      </c>
      <c r="S447" s="306" t="s">
        <v>1013</v>
      </c>
      <c r="T447" s="306" t="s">
        <v>1013</v>
      </c>
      <c r="U447" s="306" t="s">
        <v>1013</v>
      </c>
      <c r="V447" s="306" t="s">
        <v>1013</v>
      </c>
      <c r="W447" s="306" t="s">
        <v>1013</v>
      </c>
      <c r="X447" s="306" t="s">
        <v>1013</v>
      </c>
      <c r="Y447" s="306" t="s">
        <v>1812</v>
      </c>
      <c r="Z447" s="306" t="s">
        <v>1015</v>
      </c>
      <c r="AA447" s="306" t="s">
        <v>1013</v>
      </c>
    </row>
    <row r="448" spans="1:27">
      <c r="A448" s="306" t="s">
        <v>494</v>
      </c>
      <c r="B448" s="306" t="s">
        <v>1003</v>
      </c>
      <c r="C448" s="306" t="s">
        <v>1004</v>
      </c>
      <c r="D448" s="306" t="s">
        <v>2435</v>
      </c>
      <c r="E448" s="306" t="s">
        <v>1865</v>
      </c>
      <c r="F448" s="306" t="s">
        <v>1007</v>
      </c>
      <c r="G448" s="308">
        <v>46019</v>
      </c>
      <c r="H448" s="308">
        <v>46019</v>
      </c>
      <c r="I448" s="309">
        <v>-50754.91</v>
      </c>
      <c r="J448" s="306" t="s">
        <v>1008</v>
      </c>
      <c r="K448" s="309">
        <v>-50754.91</v>
      </c>
      <c r="L448" s="306" t="s">
        <v>1008</v>
      </c>
      <c r="M448" s="306" t="s">
        <v>1836</v>
      </c>
      <c r="N448" s="306" t="s">
        <v>1837</v>
      </c>
      <c r="O448" s="306" t="s">
        <v>1866</v>
      </c>
      <c r="P448" s="306" t="s">
        <v>270</v>
      </c>
      <c r="Q448" s="306" t="s">
        <v>1013</v>
      </c>
      <c r="R448" s="306" t="s">
        <v>1013</v>
      </c>
      <c r="S448" s="306" t="s">
        <v>1013</v>
      </c>
      <c r="T448" s="306" t="s">
        <v>1013</v>
      </c>
      <c r="U448" s="306" t="s">
        <v>1013</v>
      </c>
      <c r="V448" s="306" t="s">
        <v>1013</v>
      </c>
      <c r="W448" s="306" t="s">
        <v>1013</v>
      </c>
      <c r="X448" s="306" t="s">
        <v>1013</v>
      </c>
      <c r="Y448" s="306" t="s">
        <v>1812</v>
      </c>
      <c r="Z448" s="306" t="s">
        <v>1015</v>
      </c>
      <c r="AA448" s="306" t="s">
        <v>1013</v>
      </c>
    </row>
    <row r="449" spans="1:27">
      <c r="A449" s="306" t="s">
        <v>494</v>
      </c>
      <c r="B449" s="306" t="s">
        <v>1003</v>
      </c>
      <c r="C449" s="306" t="s">
        <v>1004</v>
      </c>
      <c r="D449" s="306" t="s">
        <v>2435</v>
      </c>
      <c r="E449" s="306" t="s">
        <v>1867</v>
      </c>
      <c r="F449" s="306" t="s">
        <v>1007</v>
      </c>
      <c r="G449" s="308">
        <v>46019</v>
      </c>
      <c r="H449" s="308">
        <v>46019</v>
      </c>
      <c r="I449" s="309">
        <v>-184808.77</v>
      </c>
      <c r="J449" s="306" t="s">
        <v>1008</v>
      </c>
      <c r="K449" s="309">
        <v>-184808.77</v>
      </c>
      <c r="L449" s="306" t="s">
        <v>1008</v>
      </c>
      <c r="M449" s="306" t="s">
        <v>1836</v>
      </c>
      <c r="N449" s="306" t="s">
        <v>1837</v>
      </c>
      <c r="O449" s="306" t="s">
        <v>1868</v>
      </c>
      <c r="P449" s="306" t="s">
        <v>270</v>
      </c>
      <c r="Q449" s="306" t="s">
        <v>1013</v>
      </c>
      <c r="R449" s="306" t="s">
        <v>1013</v>
      </c>
      <c r="S449" s="306" t="s">
        <v>1013</v>
      </c>
      <c r="T449" s="306" t="s">
        <v>1013</v>
      </c>
      <c r="U449" s="306" t="s">
        <v>1013</v>
      </c>
      <c r="V449" s="306" t="s">
        <v>1013</v>
      </c>
      <c r="W449" s="306" t="s">
        <v>1013</v>
      </c>
      <c r="X449" s="306" t="s">
        <v>1013</v>
      </c>
      <c r="Y449" s="306" t="s">
        <v>1812</v>
      </c>
      <c r="Z449" s="306" t="s">
        <v>1015</v>
      </c>
      <c r="AA449" s="306" t="s">
        <v>1013</v>
      </c>
    </row>
    <row r="450" spans="1:27">
      <c r="A450" s="306" t="s">
        <v>494</v>
      </c>
      <c r="B450" s="306" t="s">
        <v>1003</v>
      </c>
      <c r="C450" s="306" t="s">
        <v>1004</v>
      </c>
      <c r="D450" s="306" t="s">
        <v>2435</v>
      </c>
      <c r="E450" s="306" t="s">
        <v>1869</v>
      </c>
      <c r="F450" s="306" t="s">
        <v>1007</v>
      </c>
      <c r="G450" s="308">
        <v>46019</v>
      </c>
      <c r="H450" s="308">
        <v>46019</v>
      </c>
      <c r="I450" s="309">
        <v>-3300.69</v>
      </c>
      <c r="J450" s="306" t="s">
        <v>1008</v>
      </c>
      <c r="K450" s="309">
        <v>-3300.69</v>
      </c>
      <c r="L450" s="306" t="s">
        <v>1008</v>
      </c>
      <c r="M450" s="306" t="s">
        <v>1836</v>
      </c>
      <c r="N450" s="306" t="s">
        <v>1837</v>
      </c>
      <c r="O450" s="306" t="s">
        <v>1870</v>
      </c>
      <c r="P450" s="306" t="s">
        <v>270</v>
      </c>
      <c r="Q450" s="306" t="s">
        <v>1013</v>
      </c>
      <c r="R450" s="306" t="s">
        <v>1013</v>
      </c>
      <c r="S450" s="306" t="s">
        <v>1013</v>
      </c>
      <c r="T450" s="306" t="s">
        <v>1013</v>
      </c>
      <c r="U450" s="306" t="s">
        <v>1013</v>
      </c>
      <c r="V450" s="306" t="s">
        <v>1013</v>
      </c>
      <c r="W450" s="306" t="s">
        <v>1013</v>
      </c>
      <c r="X450" s="306" t="s">
        <v>1013</v>
      </c>
      <c r="Y450" s="306" t="s">
        <v>1812</v>
      </c>
      <c r="Z450" s="306" t="s">
        <v>1015</v>
      </c>
      <c r="AA450" s="306" t="s">
        <v>1013</v>
      </c>
    </row>
    <row r="451" spans="1:27">
      <c r="A451" s="306" t="s">
        <v>494</v>
      </c>
      <c r="B451" s="306" t="s">
        <v>1003</v>
      </c>
      <c r="C451" s="306" t="s">
        <v>1004</v>
      </c>
      <c r="D451" s="306" t="s">
        <v>2435</v>
      </c>
      <c r="E451" s="306" t="s">
        <v>1871</v>
      </c>
      <c r="F451" s="306" t="s">
        <v>1007</v>
      </c>
      <c r="G451" s="308">
        <v>46019</v>
      </c>
      <c r="H451" s="308">
        <v>46019</v>
      </c>
      <c r="I451" s="309">
        <v>-357081.58</v>
      </c>
      <c r="J451" s="306" t="s">
        <v>1008</v>
      </c>
      <c r="K451" s="309">
        <v>-357081.58</v>
      </c>
      <c r="L451" s="306" t="s">
        <v>1008</v>
      </c>
      <c r="M451" s="306" t="s">
        <v>1824</v>
      </c>
      <c r="N451" s="306" t="s">
        <v>1825</v>
      </c>
      <c r="O451" s="306" t="s">
        <v>1872</v>
      </c>
      <c r="P451" s="306" t="s">
        <v>270</v>
      </c>
      <c r="Q451" s="306" t="s">
        <v>1013</v>
      </c>
      <c r="R451" s="306" t="s">
        <v>1013</v>
      </c>
      <c r="S451" s="306" t="s">
        <v>1013</v>
      </c>
      <c r="T451" s="306" t="s">
        <v>1013</v>
      </c>
      <c r="U451" s="306" t="s">
        <v>1013</v>
      </c>
      <c r="V451" s="306" t="s">
        <v>1013</v>
      </c>
      <c r="W451" s="306" t="s">
        <v>1013</v>
      </c>
      <c r="X451" s="306" t="s">
        <v>1013</v>
      </c>
      <c r="Y451" s="306" t="s">
        <v>1812</v>
      </c>
      <c r="Z451" s="306" t="s">
        <v>1015</v>
      </c>
      <c r="AA451" s="306" t="s">
        <v>1013</v>
      </c>
    </row>
    <row r="452" spans="1:27">
      <c r="A452" s="306" t="s">
        <v>494</v>
      </c>
      <c r="B452" s="306" t="s">
        <v>1003</v>
      </c>
      <c r="C452" s="306" t="s">
        <v>1004</v>
      </c>
      <c r="D452" s="306" t="s">
        <v>2435</v>
      </c>
      <c r="E452" s="306" t="s">
        <v>1873</v>
      </c>
      <c r="F452" s="306" t="s">
        <v>1007</v>
      </c>
      <c r="G452" s="308">
        <v>46019</v>
      </c>
      <c r="H452" s="308">
        <v>46019</v>
      </c>
      <c r="I452" s="309">
        <v>-334540.03999999998</v>
      </c>
      <c r="J452" s="306" t="s">
        <v>1008</v>
      </c>
      <c r="K452" s="309">
        <v>-334540.03999999998</v>
      </c>
      <c r="L452" s="306" t="s">
        <v>1008</v>
      </c>
      <c r="M452" s="306" t="s">
        <v>1824</v>
      </c>
      <c r="N452" s="306" t="s">
        <v>1825</v>
      </c>
      <c r="O452" s="306" t="s">
        <v>1874</v>
      </c>
      <c r="P452" s="306" t="s">
        <v>270</v>
      </c>
      <c r="Q452" s="306" t="s">
        <v>1013</v>
      </c>
      <c r="R452" s="306" t="s">
        <v>1013</v>
      </c>
      <c r="S452" s="306" t="s">
        <v>1013</v>
      </c>
      <c r="T452" s="306" t="s">
        <v>1013</v>
      </c>
      <c r="U452" s="306" t="s">
        <v>1013</v>
      </c>
      <c r="V452" s="306" t="s">
        <v>1013</v>
      </c>
      <c r="W452" s="306" t="s">
        <v>1013</v>
      </c>
      <c r="X452" s="306" t="s">
        <v>1013</v>
      </c>
      <c r="Y452" s="306" t="s">
        <v>1812</v>
      </c>
      <c r="Z452" s="306" t="s">
        <v>1015</v>
      </c>
      <c r="AA452" s="306" t="s">
        <v>1013</v>
      </c>
    </row>
    <row r="453" spans="1:27">
      <c r="A453" s="306" t="s">
        <v>494</v>
      </c>
      <c r="B453" s="306" t="s">
        <v>1003</v>
      </c>
      <c r="C453" s="306" t="s">
        <v>1004</v>
      </c>
      <c r="D453" s="306" t="s">
        <v>2435</v>
      </c>
      <c r="E453" s="306" t="s">
        <v>1875</v>
      </c>
      <c r="F453" s="306" t="s">
        <v>1007</v>
      </c>
      <c r="G453" s="308">
        <v>46019</v>
      </c>
      <c r="H453" s="308">
        <v>46019</v>
      </c>
      <c r="I453" s="309">
        <v>-29278.33</v>
      </c>
      <c r="J453" s="306" t="s">
        <v>1008</v>
      </c>
      <c r="K453" s="309">
        <v>-29278.33</v>
      </c>
      <c r="L453" s="306" t="s">
        <v>1008</v>
      </c>
      <c r="M453" s="306" t="s">
        <v>1824</v>
      </c>
      <c r="N453" s="306" t="s">
        <v>1825</v>
      </c>
      <c r="O453" s="306" t="s">
        <v>1876</v>
      </c>
      <c r="P453" s="306" t="s">
        <v>270</v>
      </c>
      <c r="Q453" s="306" t="s">
        <v>1013</v>
      </c>
      <c r="R453" s="306" t="s">
        <v>1013</v>
      </c>
      <c r="S453" s="306" t="s">
        <v>1013</v>
      </c>
      <c r="T453" s="306" t="s">
        <v>1013</v>
      </c>
      <c r="U453" s="306" t="s">
        <v>1013</v>
      </c>
      <c r="V453" s="306" t="s">
        <v>1013</v>
      </c>
      <c r="W453" s="306" t="s">
        <v>1013</v>
      </c>
      <c r="X453" s="306" t="s">
        <v>1013</v>
      </c>
      <c r="Y453" s="306" t="s">
        <v>1812</v>
      </c>
      <c r="Z453" s="306" t="s">
        <v>1015</v>
      </c>
      <c r="AA453" s="306" t="s">
        <v>1013</v>
      </c>
    </row>
    <row r="454" spans="1:27">
      <c r="A454" s="306" t="s">
        <v>494</v>
      </c>
      <c r="B454" s="306" t="s">
        <v>1003</v>
      </c>
      <c r="C454" s="306" t="s">
        <v>1004</v>
      </c>
      <c r="D454" s="306" t="s">
        <v>2435</v>
      </c>
      <c r="E454" s="306" t="s">
        <v>1877</v>
      </c>
      <c r="F454" s="306" t="s">
        <v>1007</v>
      </c>
      <c r="G454" s="308">
        <v>46019</v>
      </c>
      <c r="H454" s="308">
        <v>46019</v>
      </c>
      <c r="I454" s="309">
        <v>-406628.65</v>
      </c>
      <c r="J454" s="306" t="s">
        <v>1008</v>
      </c>
      <c r="K454" s="309">
        <v>-406628.65</v>
      </c>
      <c r="L454" s="306" t="s">
        <v>1008</v>
      </c>
      <c r="M454" s="306" t="s">
        <v>1824</v>
      </c>
      <c r="N454" s="306" t="s">
        <v>1825</v>
      </c>
      <c r="O454" s="306" t="s">
        <v>1878</v>
      </c>
      <c r="P454" s="306" t="s">
        <v>270</v>
      </c>
      <c r="Q454" s="306" t="s">
        <v>1013</v>
      </c>
      <c r="R454" s="306" t="s">
        <v>1013</v>
      </c>
      <c r="S454" s="306" t="s">
        <v>1013</v>
      </c>
      <c r="T454" s="306" t="s">
        <v>1013</v>
      </c>
      <c r="U454" s="306" t="s">
        <v>1013</v>
      </c>
      <c r="V454" s="306" t="s">
        <v>1013</v>
      </c>
      <c r="W454" s="306" t="s">
        <v>1013</v>
      </c>
      <c r="X454" s="306" t="s">
        <v>1013</v>
      </c>
      <c r="Y454" s="306" t="s">
        <v>1812</v>
      </c>
      <c r="Z454" s="306" t="s">
        <v>1015</v>
      </c>
      <c r="AA454" s="306" t="s">
        <v>1013</v>
      </c>
    </row>
    <row r="455" spans="1:27">
      <c r="A455" s="306" t="s">
        <v>494</v>
      </c>
      <c r="B455" s="306" t="s">
        <v>1003</v>
      </c>
      <c r="C455" s="306" t="s">
        <v>1004</v>
      </c>
      <c r="D455" s="306" t="s">
        <v>2435</v>
      </c>
      <c r="E455" s="306" t="s">
        <v>1879</v>
      </c>
      <c r="F455" s="306" t="s">
        <v>1007</v>
      </c>
      <c r="G455" s="308">
        <v>46019</v>
      </c>
      <c r="H455" s="308">
        <v>46019</v>
      </c>
      <c r="I455" s="309">
        <v>-1384384.95</v>
      </c>
      <c r="J455" s="306" t="s">
        <v>1008</v>
      </c>
      <c r="K455" s="309">
        <v>-1384384.95</v>
      </c>
      <c r="L455" s="306" t="s">
        <v>1008</v>
      </c>
      <c r="M455" s="306" t="s">
        <v>1824</v>
      </c>
      <c r="N455" s="306" t="s">
        <v>1825</v>
      </c>
      <c r="O455" s="306" t="s">
        <v>1880</v>
      </c>
      <c r="P455" s="306" t="s">
        <v>270</v>
      </c>
      <c r="Q455" s="306" t="s">
        <v>1013</v>
      </c>
      <c r="R455" s="306" t="s">
        <v>1013</v>
      </c>
      <c r="S455" s="306" t="s">
        <v>1013</v>
      </c>
      <c r="T455" s="306" t="s">
        <v>1013</v>
      </c>
      <c r="U455" s="306" t="s">
        <v>1013</v>
      </c>
      <c r="V455" s="306" t="s">
        <v>1013</v>
      </c>
      <c r="W455" s="306" t="s">
        <v>1013</v>
      </c>
      <c r="X455" s="306" t="s">
        <v>1013</v>
      </c>
      <c r="Y455" s="306" t="s">
        <v>1812</v>
      </c>
      <c r="Z455" s="306" t="s">
        <v>1015</v>
      </c>
      <c r="AA455" s="306" t="s">
        <v>1013</v>
      </c>
    </row>
    <row r="456" spans="1:27">
      <c r="A456" s="306" t="s">
        <v>494</v>
      </c>
      <c r="B456" s="306" t="s">
        <v>1003</v>
      </c>
      <c r="C456" s="306" t="s">
        <v>1004</v>
      </c>
      <c r="D456" s="306" t="s">
        <v>2435</v>
      </c>
      <c r="E456" s="306" t="s">
        <v>1881</v>
      </c>
      <c r="F456" s="306" t="s">
        <v>1007</v>
      </c>
      <c r="G456" s="308">
        <v>46019</v>
      </c>
      <c r="H456" s="308">
        <v>46019</v>
      </c>
      <c r="I456" s="309">
        <v>-1418.83</v>
      </c>
      <c r="J456" s="306" t="s">
        <v>1008</v>
      </c>
      <c r="K456" s="309">
        <v>-1418.83</v>
      </c>
      <c r="L456" s="306" t="s">
        <v>1008</v>
      </c>
      <c r="M456" s="306" t="s">
        <v>1836</v>
      </c>
      <c r="N456" s="306" t="s">
        <v>1837</v>
      </c>
      <c r="O456" s="306" t="s">
        <v>1882</v>
      </c>
      <c r="P456" s="306" t="s">
        <v>270</v>
      </c>
      <c r="Q456" s="306" t="s">
        <v>1013</v>
      </c>
      <c r="R456" s="306" t="s">
        <v>1013</v>
      </c>
      <c r="S456" s="306" t="s">
        <v>1013</v>
      </c>
      <c r="T456" s="306" t="s">
        <v>1013</v>
      </c>
      <c r="U456" s="306" t="s">
        <v>1013</v>
      </c>
      <c r="V456" s="306" t="s">
        <v>1013</v>
      </c>
      <c r="W456" s="306" t="s">
        <v>1013</v>
      </c>
      <c r="X456" s="306" t="s">
        <v>1013</v>
      </c>
      <c r="Y456" s="306" t="s">
        <v>1812</v>
      </c>
      <c r="Z456" s="306" t="s">
        <v>1015</v>
      </c>
      <c r="AA456" s="306" t="s">
        <v>1013</v>
      </c>
    </row>
    <row r="457" spans="1:27">
      <c r="A457" s="306" t="s">
        <v>494</v>
      </c>
      <c r="B457" s="306" t="s">
        <v>1003</v>
      </c>
      <c r="C457" s="306" t="s">
        <v>1004</v>
      </c>
      <c r="D457" s="306" t="s">
        <v>2435</v>
      </c>
      <c r="E457" s="306" t="s">
        <v>1883</v>
      </c>
      <c r="F457" s="306" t="s">
        <v>1007</v>
      </c>
      <c r="G457" s="308">
        <v>46019</v>
      </c>
      <c r="H457" s="308">
        <v>46019</v>
      </c>
      <c r="I457" s="309">
        <v>-23680.32</v>
      </c>
      <c r="J457" s="306" t="s">
        <v>1008</v>
      </c>
      <c r="K457" s="309">
        <v>-23680.32</v>
      </c>
      <c r="L457" s="306" t="s">
        <v>1008</v>
      </c>
      <c r="M457" s="306" t="s">
        <v>1836</v>
      </c>
      <c r="N457" s="306" t="s">
        <v>1837</v>
      </c>
      <c r="O457" s="306" t="s">
        <v>1884</v>
      </c>
      <c r="P457" s="306" t="s">
        <v>270</v>
      </c>
      <c r="Q457" s="306" t="s">
        <v>1013</v>
      </c>
      <c r="R457" s="306" t="s">
        <v>1013</v>
      </c>
      <c r="S457" s="306" t="s">
        <v>1013</v>
      </c>
      <c r="T457" s="306" t="s">
        <v>1013</v>
      </c>
      <c r="U457" s="306" t="s">
        <v>1013</v>
      </c>
      <c r="V457" s="306" t="s">
        <v>1013</v>
      </c>
      <c r="W457" s="306" t="s">
        <v>1013</v>
      </c>
      <c r="X457" s="306" t="s">
        <v>1013</v>
      </c>
      <c r="Y457" s="306" t="s">
        <v>1812</v>
      </c>
      <c r="Z457" s="306" t="s">
        <v>1015</v>
      </c>
      <c r="AA457" s="306" t="s">
        <v>1013</v>
      </c>
    </row>
    <row r="458" spans="1:27">
      <c r="A458" s="306" t="s">
        <v>494</v>
      </c>
      <c r="B458" s="306" t="s">
        <v>1003</v>
      </c>
      <c r="C458" s="306" t="s">
        <v>1004</v>
      </c>
      <c r="D458" s="306" t="s">
        <v>2435</v>
      </c>
      <c r="E458" s="306" t="s">
        <v>1885</v>
      </c>
      <c r="F458" s="306" t="s">
        <v>1007</v>
      </c>
      <c r="G458" s="308">
        <v>46019</v>
      </c>
      <c r="H458" s="308">
        <v>46019</v>
      </c>
      <c r="I458" s="309">
        <v>-1450648.56</v>
      </c>
      <c r="J458" s="306" t="s">
        <v>1008</v>
      </c>
      <c r="K458" s="309">
        <v>-1450648.56</v>
      </c>
      <c r="L458" s="306" t="s">
        <v>1008</v>
      </c>
      <c r="M458" s="306" t="s">
        <v>1836</v>
      </c>
      <c r="N458" s="306" t="s">
        <v>1837</v>
      </c>
      <c r="O458" s="306" t="s">
        <v>1838</v>
      </c>
      <c r="P458" s="306" t="s">
        <v>270</v>
      </c>
      <c r="Q458" s="306" t="s">
        <v>1013</v>
      </c>
      <c r="R458" s="306" t="s">
        <v>1013</v>
      </c>
      <c r="S458" s="306" t="s">
        <v>1013</v>
      </c>
      <c r="T458" s="306" t="s">
        <v>1013</v>
      </c>
      <c r="U458" s="306" t="s">
        <v>1013</v>
      </c>
      <c r="V458" s="306" t="s">
        <v>1013</v>
      </c>
      <c r="W458" s="306" t="s">
        <v>1013</v>
      </c>
      <c r="X458" s="306" t="s">
        <v>1013</v>
      </c>
      <c r="Y458" s="306" t="s">
        <v>1812</v>
      </c>
      <c r="Z458" s="306" t="s">
        <v>1015</v>
      </c>
      <c r="AA458" s="306" t="s">
        <v>1013</v>
      </c>
    </row>
    <row r="459" spans="1:27">
      <c r="A459" s="306" t="s">
        <v>494</v>
      </c>
      <c r="B459" s="306" t="s">
        <v>1003</v>
      </c>
      <c r="C459" s="306" t="s">
        <v>1004</v>
      </c>
      <c r="D459" s="306" t="s">
        <v>2435</v>
      </c>
      <c r="E459" s="306" t="s">
        <v>1886</v>
      </c>
      <c r="F459" s="306" t="s">
        <v>1007</v>
      </c>
      <c r="G459" s="308">
        <v>46019</v>
      </c>
      <c r="H459" s="308">
        <v>46019</v>
      </c>
      <c r="I459" s="309">
        <v>-251922.52</v>
      </c>
      <c r="J459" s="306" t="s">
        <v>1008</v>
      </c>
      <c r="K459" s="309">
        <v>-251922.52</v>
      </c>
      <c r="L459" s="306" t="s">
        <v>1008</v>
      </c>
      <c r="M459" s="306" t="s">
        <v>1836</v>
      </c>
      <c r="N459" s="306" t="s">
        <v>1837</v>
      </c>
      <c r="O459" s="306" t="s">
        <v>1887</v>
      </c>
      <c r="P459" s="306" t="s">
        <v>270</v>
      </c>
      <c r="Q459" s="306" t="s">
        <v>1013</v>
      </c>
      <c r="R459" s="306" t="s">
        <v>1013</v>
      </c>
      <c r="S459" s="306" t="s">
        <v>1013</v>
      </c>
      <c r="T459" s="306" t="s">
        <v>1013</v>
      </c>
      <c r="U459" s="306" t="s">
        <v>1013</v>
      </c>
      <c r="V459" s="306" t="s">
        <v>1013</v>
      </c>
      <c r="W459" s="306" t="s">
        <v>1013</v>
      </c>
      <c r="X459" s="306" t="s">
        <v>1013</v>
      </c>
      <c r="Y459" s="306" t="s">
        <v>1812</v>
      </c>
      <c r="Z459" s="306" t="s">
        <v>1015</v>
      </c>
      <c r="AA459" s="306" t="s">
        <v>1013</v>
      </c>
    </row>
    <row r="460" spans="1:27">
      <c r="A460" s="306" t="s">
        <v>494</v>
      </c>
      <c r="B460" s="306" t="s">
        <v>1003</v>
      </c>
      <c r="C460" s="306" t="s">
        <v>1004</v>
      </c>
      <c r="D460" s="306" t="s">
        <v>2435</v>
      </c>
      <c r="E460" s="306" t="s">
        <v>1888</v>
      </c>
      <c r="F460" s="306" t="s">
        <v>1007</v>
      </c>
      <c r="G460" s="308">
        <v>46019</v>
      </c>
      <c r="H460" s="308">
        <v>46019</v>
      </c>
      <c r="I460" s="309">
        <v>-59653.59</v>
      </c>
      <c r="J460" s="306" t="s">
        <v>1008</v>
      </c>
      <c r="K460" s="309">
        <v>-59653.59</v>
      </c>
      <c r="L460" s="306" t="s">
        <v>1008</v>
      </c>
      <c r="M460" s="306" t="s">
        <v>1836</v>
      </c>
      <c r="N460" s="306" t="s">
        <v>1837</v>
      </c>
      <c r="O460" s="306" t="s">
        <v>1840</v>
      </c>
      <c r="P460" s="306" t="s">
        <v>270</v>
      </c>
      <c r="Q460" s="306" t="s">
        <v>1013</v>
      </c>
      <c r="R460" s="306" t="s">
        <v>1013</v>
      </c>
      <c r="S460" s="306" t="s">
        <v>1013</v>
      </c>
      <c r="T460" s="306" t="s">
        <v>1013</v>
      </c>
      <c r="U460" s="306" t="s">
        <v>1013</v>
      </c>
      <c r="V460" s="306" t="s">
        <v>1013</v>
      </c>
      <c r="W460" s="306" t="s">
        <v>1013</v>
      </c>
      <c r="X460" s="306" t="s">
        <v>1013</v>
      </c>
      <c r="Y460" s="306" t="s">
        <v>1812</v>
      </c>
      <c r="Z460" s="306" t="s">
        <v>1015</v>
      </c>
      <c r="AA460" s="306" t="s">
        <v>1013</v>
      </c>
    </row>
    <row r="461" spans="1:27">
      <c r="A461" s="306" t="s">
        <v>494</v>
      </c>
      <c r="B461" s="306" t="s">
        <v>1003</v>
      </c>
      <c r="C461" s="306" t="s">
        <v>1004</v>
      </c>
      <c r="D461" s="306" t="s">
        <v>2435</v>
      </c>
      <c r="E461" s="306" t="s">
        <v>1889</v>
      </c>
      <c r="F461" s="306" t="s">
        <v>1007</v>
      </c>
      <c r="G461" s="308">
        <v>46019</v>
      </c>
      <c r="H461" s="308">
        <v>46019</v>
      </c>
      <c r="I461" s="309">
        <v>-188875.6</v>
      </c>
      <c r="J461" s="306" t="s">
        <v>1008</v>
      </c>
      <c r="K461" s="309">
        <v>-188875.6</v>
      </c>
      <c r="L461" s="306" t="s">
        <v>1008</v>
      </c>
      <c r="M461" s="306" t="s">
        <v>1836</v>
      </c>
      <c r="N461" s="306" t="s">
        <v>1837</v>
      </c>
      <c r="O461" s="306" t="s">
        <v>1842</v>
      </c>
      <c r="P461" s="306" t="s">
        <v>270</v>
      </c>
      <c r="Q461" s="306" t="s">
        <v>1013</v>
      </c>
      <c r="R461" s="306" t="s">
        <v>1013</v>
      </c>
      <c r="S461" s="306" t="s">
        <v>1013</v>
      </c>
      <c r="T461" s="306" t="s">
        <v>1013</v>
      </c>
      <c r="U461" s="306" t="s">
        <v>1013</v>
      </c>
      <c r="V461" s="306" t="s">
        <v>1013</v>
      </c>
      <c r="W461" s="306" t="s">
        <v>1013</v>
      </c>
      <c r="X461" s="306" t="s">
        <v>1013</v>
      </c>
      <c r="Y461" s="306" t="s">
        <v>1812</v>
      </c>
      <c r="Z461" s="306" t="s">
        <v>1015</v>
      </c>
      <c r="AA461" s="306" t="s">
        <v>1013</v>
      </c>
    </row>
    <row r="462" spans="1:27">
      <c r="A462" s="306" t="s">
        <v>494</v>
      </c>
      <c r="B462" s="306" t="s">
        <v>1003</v>
      </c>
      <c r="C462" s="306" t="s">
        <v>1004</v>
      </c>
      <c r="D462" s="306" t="s">
        <v>2435</v>
      </c>
      <c r="E462" s="306" t="s">
        <v>1890</v>
      </c>
      <c r="F462" s="306" t="s">
        <v>1007</v>
      </c>
      <c r="G462" s="308">
        <v>46019</v>
      </c>
      <c r="H462" s="308">
        <v>46019</v>
      </c>
      <c r="I462" s="309">
        <v>-572466.77</v>
      </c>
      <c r="J462" s="306" t="s">
        <v>1008</v>
      </c>
      <c r="K462" s="309">
        <v>-572466.77</v>
      </c>
      <c r="L462" s="306" t="s">
        <v>1008</v>
      </c>
      <c r="M462" s="306" t="s">
        <v>1836</v>
      </c>
      <c r="N462" s="306" t="s">
        <v>1837</v>
      </c>
      <c r="O462" s="306" t="s">
        <v>1844</v>
      </c>
      <c r="P462" s="306" t="s">
        <v>270</v>
      </c>
      <c r="Q462" s="306" t="s">
        <v>1013</v>
      </c>
      <c r="R462" s="306" t="s">
        <v>1013</v>
      </c>
      <c r="S462" s="306" t="s">
        <v>1013</v>
      </c>
      <c r="T462" s="306" t="s">
        <v>1013</v>
      </c>
      <c r="U462" s="306" t="s">
        <v>1013</v>
      </c>
      <c r="V462" s="306" t="s">
        <v>1013</v>
      </c>
      <c r="W462" s="306" t="s">
        <v>1013</v>
      </c>
      <c r="X462" s="306" t="s">
        <v>1013</v>
      </c>
      <c r="Y462" s="306" t="s">
        <v>1812</v>
      </c>
      <c r="Z462" s="306" t="s">
        <v>1015</v>
      </c>
      <c r="AA462" s="306" t="s">
        <v>1013</v>
      </c>
    </row>
    <row r="463" spans="1:27">
      <c r="A463" s="306" t="s">
        <v>494</v>
      </c>
      <c r="B463" s="306" t="s">
        <v>1003</v>
      </c>
      <c r="C463" s="306" t="s">
        <v>1004</v>
      </c>
      <c r="D463" s="306" t="s">
        <v>2435</v>
      </c>
      <c r="E463" s="306" t="s">
        <v>1891</v>
      </c>
      <c r="F463" s="306" t="s">
        <v>1007</v>
      </c>
      <c r="G463" s="308">
        <v>46019</v>
      </c>
      <c r="H463" s="308">
        <v>46019</v>
      </c>
      <c r="I463" s="309">
        <v>-3378.42</v>
      </c>
      <c r="J463" s="306" t="s">
        <v>1008</v>
      </c>
      <c r="K463" s="309">
        <v>-3378.42</v>
      </c>
      <c r="L463" s="306" t="s">
        <v>1008</v>
      </c>
      <c r="M463" s="306" t="s">
        <v>1824</v>
      </c>
      <c r="N463" s="306" t="s">
        <v>1825</v>
      </c>
      <c r="O463" s="306" t="s">
        <v>1892</v>
      </c>
      <c r="P463" s="306" t="s">
        <v>270</v>
      </c>
      <c r="Q463" s="306" t="s">
        <v>1013</v>
      </c>
      <c r="R463" s="306" t="s">
        <v>1013</v>
      </c>
      <c r="S463" s="306" t="s">
        <v>1013</v>
      </c>
      <c r="T463" s="306" t="s">
        <v>1013</v>
      </c>
      <c r="U463" s="306" t="s">
        <v>1013</v>
      </c>
      <c r="V463" s="306" t="s">
        <v>1013</v>
      </c>
      <c r="W463" s="306" t="s">
        <v>1013</v>
      </c>
      <c r="X463" s="306" t="s">
        <v>1013</v>
      </c>
      <c r="Y463" s="306" t="s">
        <v>1812</v>
      </c>
      <c r="Z463" s="306" t="s">
        <v>1015</v>
      </c>
      <c r="AA463" s="306" t="s">
        <v>1013</v>
      </c>
    </row>
    <row r="464" spans="1:27">
      <c r="A464" s="306" t="s">
        <v>494</v>
      </c>
      <c r="B464" s="306" t="s">
        <v>1003</v>
      </c>
      <c r="C464" s="306" t="s">
        <v>1004</v>
      </c>
      <c r="D464" s="306" t="s">
        <v>2435</v>
      </c>
      <c r="E464" s="306" t="s">
        <v>1893</v>
      </c>
      <c r="F464" s="306" t="s">
        <v>1007</v>
      </c>
      <c r="G464" s="308">
        <v>46019</v>
      </c>
      <c r="H464" s="308">
        <v>46019</v>
      </c>
      <c r="I464" s="309">
        <v>-3613.31</v>
      </c>
      <c r="J464" s="306" t="s">
        <v>1008</v>
      </c>
      <c r="K464" s="309">
        <v>-3613.31</v>
      </c>
      <c r="L464" s="306" t="s">
        <v>1008</v>
      </c>
      <c r="M464" s="306" t="s">
        <v>1824</v>
      </c>
      <c r="N464" s="306" t="s">
        <v>1825</v>
      </c>
      <c r="O464" s="306" t="s">
        <v>1894</v>
      </c>
      <c r="P464" s="306" t="s">
        <v>270</v>
      </c>
      <c r="Q464" s="306" t="s">
        <v>1013</v>
      </c>
      <c r="R464" s="306" t="s">
        <v>1013</v>
      </c>
      <c r="S464" s="306" t="s">
        <v>1013</v>
      </c>
      <c r="T464" s="306" t="s">
        <v>1013</v>
      </c>
      <c r="U464" s="306" t="s">
        <v>1013</v>
      </c>
      <c r="V464" s="306" t="s">
        <v>1013</v>
      </c>
      <c r="W464" s="306" t="s">
        <v>1013</v>
      </c>
      <c r="X464" s="306" t="s">
        <v>1013</v>
      </c>
      <c r="Y464" s="306" t="s">
        <v>1812</v>
      </c>
      <c r="Z464" s="306" t="s">
        <v>1015</v>
      </c>
      <c r="AA464" s="306" t="s">
        <v>1013</v>
      </c>
    </row>
    <row r="465" spans="1:27">
      <c r="A465" s="306" t="s">
        <v>494</v>
      </c>
      <c r="B465" s="306" t="s">
        <v>1003</v>
      </c>
      <c r="C465" s="306" t="s">
        <v>1004</v>
      </c>
      <c r="D465" s="306" t="s">
        <v>2435</v>
      </c>
      <c r="E465" s="306" t="s">
        <v>1895</v>
      </c>
      <c r="F465" s="306" t="s">
        <v>1007</v>
      </c>
      <c r="G465" s="308">
        <v>46019</v>
      </c>
      <c r="H465" s="308">
        <v>46019</v>
      </c>
      <c r="I465" s="309">
        <v>-382061.95</v>
      </c>
      <c r="J465" s="306" t="s">
        <v>1008</v>
      </c>
      <c r="K465" s="309">
        <v>-382061.95</v>
      </c>
      <c r="L465" s="306" t="s">
        <v>1008</v>
      </c>
      <c r="M465" s="306" t="s">
        <v>1824</v>
      </c>
      <c r="N465" s="306" t="s">
        <v>1825</v>
      </c>
      <c r="O465" s="306" t="s">
        <v>1896</v>
      </c>
      <c r="P465" s="306" t="s">
        <v>270</v>
      </c>
      <c r="Q465" s="306" t="s">
        <v>1013</v>
      </c>
      <c r="R465" s="306" t="s">
        <v>1013</v>
      </c>
      <c r="S465" s="306" t="s">
        <v>1013</v>
      </c>
      <c r="T465" s="306" t="s">
        <v>1013</v>
      </c>
      <c r="U465" s="306" t="s">
        <v>1013</v>
      </c>
      <c r="V465" s="306" t="s">
        <v>1013</v>
      </c>
      <c r="W465" s="306" t="s">
        <v>1013</v>
      </c>
      <c r="X465" s="306" t="s">
        <v>1013</v>
      </c>
      <c r="Y465" s="306" t="s">
        <v>1812</v>
      </c>
      <c r="Z465" s="306" t="s">
        <v>1015</v>
      </c>
      <c r="AA465" s="306" t="s">
        <v>1013</v>
      </c>
    </row>
    <row r="466" spans="1:27">
      <c r="A466" s="306" t="s">
        <v>494</v>
      </c>
      <c r="B466" s="306" t="s">
        <v>1003</v>
      </c>
      <c r="C466" s="306" t="s">
        <v>1004</v>
      </c>
      <c r="D466" s="306" t="s">
        <v>2435</v>
      </c>
      <c r="E466" s="306" t="s">
        <v>1897</v>
      </c>
      <c r="F466" s="306" t="s">
        <v>1007</v>
      </c>
      <c r="G466" s="308">
        <v>46019</v>
      </c>
      <c r="H466" s="308">
        <v>46019</v>
      </c>
      <c r="I466" s="309">
        <v>-25788.77</v>
      </c>
      <c r="J466" s="306" t="s">
        <v>1008</v>
      </c>
      <c r="K466" s="309">
        <v>-25788.77</v>
      </c>
      <c r="L466" s="306" t="s">
        <v>1008</v>
      </c>
      <c r="M466" s="306" t="s">
        <v>1824</v>
      </c>
      <c r="N466" s="306" t="s">
        <v>1825</v>
      </c>
      <c r="O466" s="306" t="s">
        <v>1898</v>
      </c>
      <c r="P466" s="306" t="s">
        <v>270</v>
      </c>
      <c r="Q466" s="306" t="s">
        <v>1013</v>
      </c>
      <c r="R466" s="306" t="s">
        <v>1013</v>
      </c>
      <c r="S466" s="306" t="s">
        <v>1013</v>
      </c>
      <c r="T466" s="306" t="s">
        <v>1013</v>
      </c>
      <c r="U466" s="306" t="s">
        <v>1013</v>
      </c>
      <c r="V466" s="306" t="s">
        <v>1013</v>
      </c>
      <c r="W466" s="306" t="s">
        <v>1013</v>
      </c>
      <c r="X466" s="306" t="s">
        <v>1013</v>
      </c>
      <c r="Y466" s="306" t="s">
        <v>1812</v>
      </c>
      <c r="Z466" s="306" t="s">
        <v>1015</v>
      </c>
      <c r="AA466" s="306" t="s">
        <v>1013</v>
      </c>
    </row>
    <row r="467" spans="1:27">
      <c r="A467" s="306" t="s">
        <v>494</v>
      </c>
      <c r="B467" s="306" t="s">
        <v>1003</v>
      </c>
      <c r="C467" s="306" t="s">
        <v>1004</v>
      </c>
      <c r="D467" s="306" t="s">
        <v>2435</v>
      </c>
      <c r="E467" s="306" t="s">
        <v>1899</v>
      </c>
      <c r="F467" s="306" t="s">
        <v>1007</v>
      </c>
      <c r="G467" s="308">
        <v>46019</v>
      </c>
      <c r="H467" s="308">
        <v>46019</v>
      </c>
      <c r="I467" s="309">
        <v>-4981.97</v>
      </c>
      <c r="J467" s="306" t="s">
        <v>1008</v>
      </c>
      <c r="K467" s="309">
        <v>-4981.97</v>
      </c>
      <c r="L467" s="306" t="s">
        <v>1008</v>
      </c>
      <c r="M467" s="306" t="s">
        <v>1824</v>
      </c>
      <c r="N467" s="306" t="s">
        <v>1825</v>
      </c>
      <c r="O467" s="306" t="s">
        <v>1900</v>
      </c>
      <c r="P467" s="306" t="s">
        <v>270</v>
      </c>
      <c r="Q467" s="306" t="s">
        <v>1013</v>
      </c>
      <c r="R467" s="306" t="s">
        <v>1013</v>
      </c>
      <c r="S467" s="306" t="s">
        <v>1013</v>
      </c>
      <c r="T467" s="306" t="s">
        <v>1013</v>
      </c>
      <c r="U467" s="306" t="s">
        <v>1013</v>
      </c>
      <c r="V467" s="306" t="s">
        <v>1013</v>
      </c>
      <c r="W467" s="306" t="s">
        <v>1013</v>
      </c>
      <c r="X467" s="306" t="s">
        <v>1013</v>
      </c>
      <c r="Y467" s="306" t="s">
        <v>1812</v>
      </c>
      <c r="Z467" s="306" t="s">
        <v>1015</v>
      </c>
      <c r="AA467" s="306" t="s">
        <v>1013</v>
      </c>
    </row>
    <row r="468" spans="1:27">
      <c r="A468" s="306" t="s">
        <v>494</v>
      </c>
      <c r="B468" s="306" t="s">
        <v>1003</v>
      </c>
      <c r="C468" s="306" t="s">
        <v>1004</v>
      </c>
      <c r="D468" s="306" t="s">
        <v>2435</v>
      </c>
      <c r="E468" s="306" t="s">
        <v>1901</v>
      </c>
      <c r="F468" s="306" t="s">
        <v>1007</v>
      </c>
      <c r="G468" s="308">
        <v>46019</v>
      </c>
      <c r="H468" s="308">
        <v>46019</v>
      </c>
      <c r="I468" s="309">
        <v>-2403.3000000000002</v>
      </c>
      <c r="J468" s="306" t="s">
        <v>1008</v>
      </c>
      <c r="K468" s="309">
        <v>-2403.3000000000002</v>
      </c>
      <c r="L468" s="306" t="s">
        <v>1008</v>
      </c>
      <c r="M468" s="306" t="s">
        <v>1824</v>
      </c>
      <c r="N468" s="306" t="s">
        <v>1825</v>
      </c>
      <c r="O468" s="306" t="s">
        <v>1902</v>
      </c>
      <c r="P468" s="306" t="s">
        <v>270</v>
      </c>
      <c r="Q468" s="306" t="s">
        <v>1013</v>
      </c>
      <c r="R468" s="306" t="s">
        <v>1013</v>
      </c>
      <c r="S468" s="306" t="s">
        <v>1013</v>
      </c>
      <c r="T468" s="306" t="s">
        <v>1013</v>
      </c>
      <c r="U468" s="306" t="s">
        <v>1013</v>
      </c>
      <c r="V468" s="306" t="s">
        <v>1013</v>
      </c>
      <c r="W468" s="306" t="s">
        <v>1013</v>
      </c>
      <c r="X468" s="306" t="s">
        <v>1013</v>
      </c>
      <c r="Y468" s="306" t="s">
        <v>1812</v>
      </c>
      <c r="Z468" s="306" t="s">
        <v>1015</v>
      </c>
      <c r="AA468" s="306" t="s">
        <v>1013</v>
      </c>
    </row>
    <row r="469" spans="1:27">
      <c r="A469" s="306" t="s">
        <v>494</v>
      </c>
      <c r="B469" s="306" t="s">
        <v>1003</v>
      </c>
      <c r="C469" s="306" t="s">
        <v>1004</v>
      </c>
      <c r="D469" s="306" t="s">
        <v>2435</v>
      </c>
      <c r="E469" s="306" t="s">
        <v>1903</v>
      </c>
      <c r="F469" s="306" t="s">
        <v>1007</v>
      </c>
      <c r="G469" s="308">
        <v>46019</v>
      </c>
      <c r="H469" s="308">
        <v>46019</v>
      </c>
      <c r="I469" s="309">
        <v>-9355.6200000000008</v>
      </c>
      <c r="J469" s="306" t="s">
        <v>1008</v>
      </c>
      <c r="K469" s="309">
        <v>-9355.6200000000008</v>
      </c>
      <c r="L469" s="306" t="s">
        <v>1008</v>
      </c>
      <c r="M469" s="306" t="s">
        <v>1824</v>
      </c>
      <c r="N469" s="306" t="s">
        <v>1825</v>
      </c>
      <c r="O469" s="306" t="s">
        <v>1904</v>
      </c>
      <c r="P469" s="306" t="s">
        <v>270</v>
      </c>
      <c r="Q469" s="306" t="s">
        <v>1013</v>
      </c>
      <c r="R469" s="306" t="s">
        <v>1013</v>
      </c>
      <c r="S469" s="306" t="s">
        <v>1013</v>
      </c>
      <c r="T469" s="306" t="s">
        <v>1013</v>
      </c>
      <c r="U469" s="306" t="s">
        <v>1013</v>
      </c>
      <c r="V469" s="306" t="s">
        <v>1013</v>
      </c>
      <c r="W469" s="306" t="s">
        <v>1013</v>
      </c>
      <c r="X469" s="306" t="s">
        <v>1013</v>
      </c>
      <c r="Y469" s="306" t="s">
        <v>1812</v>
      </c>
      <c r="Z469" s="306" t="s">
        <v>1015</v>
      </c>
      <c r="AA469" s="306" t="s">
        <v>1013</v>
      </c>
    </row>
    <row r="470" spans="1:27">
      <c r="A470" s="306" t="s">
        <v>494</v>
      </c>
      <c r="B470" s="306" t="s">
        <v>1003</v>
      </c>
      <c r="C470" s="306" t="s">
        <v>1004</v>
      </c>
      <c r="D470" s="306" t="s">
        <v>2435</v>
      </c>
      <c r="E470" s="306" t="s">
        <v>1905</v>
      </c>
      <c r="F470" s="306" t="s">
        <v>1007</v>
      </c>
      <c r="G470" s="308">
        <v>46019</v>
      </c>
      <c r="H470" s="308">
        <v>46019</v>
      </c>
      <c r="I470" s="309">
        <v>-26053.32</v>
      </c>
      <c r="J470" s="306" t="s">
        <v>1008</v>
      </c>
      <c r="K470" s="309">
        <v>-26053.32</v>
      </c>
      <c r="L470" s="306" t="s">
        <v>1008</v>
      </c>
      <c r="M470" s="306" t="s">
        <v>1824</v>
      </c>
      <c r="N470" s="306" t="s">
        <v>1825</v>
      </c>
      <c r="O470" s="306" t="s">
        <v>1906</v>
      </c>
      <c r="P470" s="306" t="s">
        <v>270</v>
      </c>
      <c r="Q470" s="306" t="s">
        <v>1013</v>
      </c>
      <c r="R470" s="306" t="s">
        <v>1013</v>
      </c>
      <c r="S470" s="306" t="s">
        <v>1013</v>
      </c>
      <c r="T470" s="306" t="s">
        <v>1013</v>
      </c>
      <c r="U470" s="306" t="s">
        <v>1013</v>
      </c>
      <c r="V470" s="306" t="s">
        <v>1013</v>
      </c>
      <c r="W470" s="306" t="s">
        <v>1013</v>
      </c>
      <c r="X470" s="306" t="s">
        <v>1013</v>
      </c>
      <c r="Y470" s="306" t="s">
        <v>1812</v>
      </c>
      <c r="Z470" s="306" t="s">
        <v>1015</v>
      </c>
      <c r="AA470" s="306" t="s">
        <v>1013</v>
      </c>
    </row>
    <row r="471" spans="1:27">
      <c r="A471" s="306" t="s">
        <v>494</v>
      </c>
      <c r="B471" s="306" t="s">
        <v>1003</v>
      </c>
      <c r="C471" s="306" t="s">
        <v>1004</v>
      </c>
      <c r="D471" s="306" t="s">
        <v>2435</v>
      </c>
      <c r="E471" s="306" t="s">
        <v>1907</v>
      </c>
      <c r="F471" s="306" t="s">
        <v>1007</v>
      </c>
      <c r="G471" s="308">
        <v>46019</v>
      </c>
      <c r="H471" s="308">
        <v>46019</v>
      </c>
      <c r="I471" s="309">
        <v>-259934.67</v>
      </c>
      <c r="J471" s="306" t="s">
        <v>1008</v>
      </c>
      <c r="K471" s="309">
        <v>-259934.67</v>
      </c>
      <c r="L471" s="306" t="s">
        <v>1008</v>
      </c>
      <c r="M471" s="306" t="s">
        <v>1824</v>
      </c>
      <c r="N471" s="306" t="s">
        <v>1825</v>
      </c>
      <c r="O471" s="306" t="s">
        <v>1860</v>
      </c>
      <c r="P471" s="306" t="s">
        <v>270</v>
      </c>
      <c r="Q471" s="306" t="s">
        <v>1013</v>
      </c>
      <c r="R471" s="306" t="s">
        <v>1013</v>
      </c>
      <c r="S471" s="306" t="s">
        <v>1013</v>
      </c>
      <c r="T471" s="306" t="s">
        <v>1013</v>
      </c>
      <c r="U471" s="306" t="s">
        <v>1013</v>
      </c>
      <c r="V471" s="306" t="s">
        <v>1013</v>
      </c>
      <c r="W471" s="306" t="s">
        <v>1013</v>
      </c>
      <c r="X471" s="306" t="s">
        <v>1013</v>
      </c>
      <c r="Y471" s="306" t="s">
        <v>1812</v>
      </c>
      <c r="Z471" s="306" t="s">
        <v>1015</v>
      </c>
      <c r="AA471" s="306" t="s">
        <v>1013</v>
      </c>
    </row>
    <row r="472" spans="1:27">
      <c r="A472" s="306" t="s">
        <v>494</v>
      </c>
      <c r="B472" s="306" t="s">
        <v>1003</v>
      </c>
      <c r="C472" s="306" t="s">
        <v>1004</v>
      </c>
      <c r="D472" s="306" t="s">
        <v>2435</v>
      </c>
      <c r="E472" s="306" t="s">
        <v>1908</v>
      </c>
      <c r="F472" s="306" t="s">
        <v>1007</v>
      </c>
      <c r="G472" s="308">
        <v>46019</v>
      </c>
      <c r="H472" s="308">
        <v>46019</v>
      </c>
      <c r="I472" s="309">
        <v>-109213.94</v>
      </c>
      <c r="J472" s="306" t="s">
        <v>1008</v>
      </c>
      <c r="K472" s="309">
        <v>-109213.94</v>
      </c>
      <c r="L472" s="306" t="s">
        <v>1008</v>
      </c>
      <c r="M472" s="306" t="s">
        <v>1836</v>
      </c>
      <c r="N472" s="306" t="s">
        <v>1837</v>
      </c>
      <c r="O472" s="306" t="s">
        <v>1909</v>
      </c>
      <c r="P472" s="306" t="s">
        <v>270</v>
      </c>
      <c r="Q472" s="306" t="s">
        <v>1013</v>
      </c>
      <c r="R472" s="306" t="s">
        <v>1013</v>
      </c>
      <c r="S472" s="306" t="s">
        <v>1013</v>
      </c>
      <c r="T472" s="306" t="s">
        <v>1013</v>
      </c>
      <c r="U472" s="306" t="s">
        <v>1013</v>
      </c>
      <c r="V472" s="306" t="s">
        <v>1013</v>
      </c>
      <c r="W472" s="306" t="s">
        <v>1013</v>
      </c>
      <c r="X472" s="306" t="s">
        <v>1013</v>
      </c>
      <c r="Y472" s="306" t="s">
        <v>1812</v>
      </c>
      <c r="Z472" s="306" t="s">
        <v>1015</v>
      </c>
      <c r="AA472" s="306" t="s">
        <v>1013</v>
      </c>
    </row>
    <row r="473" spans="1:27">
      <c r="A473" s="306" t="s">
        <v>494</v>
      </c>
      <c r="B473" s="306" t="s">
        <v>1003</v>
      </c>
      <c r="C473" s="306" t="s">
        <v>1004</v>
      </c>
      <c r="D473" s="306" t="s">
        <v>2435</v>
      </c>
      <c r="E473" s="306" t="s">
        <v>1910</v>
      </c>
      <c r="F473" s="306" t="s">
        <v>1007</v>
      </c>
      <c r="G473" s="308">
        <v>46019</v>
      </c>
      <c r="H473" s="308">
        <v>46019</v>
      </c>
      <c r="I473" s="309">
        <v>-138590.87</v>
      </c>
      <c r="J473" s="306" t="s">
        <v>1008</v>
      </c>
      <c r="K473" s="309">
        <v>-138590.87</v>
      </c>
      <c r="L473" s="306" t="s">
        <v>1008</v>
      </c>
      <c r="M473" s="306" t="s">
        <v>1836</v>
      </c>
      <c r="N473" s="306" t="s">
        <v>1837</v>
      </c>
      <c r="O473" s="306" t="s">
        <v>1911</v>
      </c>
      <c r="P473" s="306" t="s">
        <v>270</v>
      </c>
      <c r="Q473" s="306" t="s">
        <v>1013</v>
      </c>
      <c r="R473" s="306" t="s">
        <v>1013</v>
      </c>
      <c r="S473" s="306" t="s">
        <v>1013</v>
      </c>
      <c r="T473" s="306" t="s">
        <v>1013</v>
      </c>
      <c r="U473" s="306" t="s">
        <v>1013</v>
      </c>
      <c r="V473" s="306" t="s">
        <v>1013</v>
      </c>
      <c r="W473" s="306" t="s">
        <v>1013</v>
      </c>
      <c r="X473" s="306" t="s">
        <v>1013</v>
      </c>
      <c r="Y473" s="306" t="s">
        <v>1812</v>
      </c>
      <c r="Z473" s="306" t="s">
        <v>1015</v>
      </c>
      <c r="AA473" s="306" t="s">
        <v>1013</v>
      </c>
    </row>
    <row r="474" spans="1:27">
      <c r="A474" s="306" t="s">
        <v>494</v>
      </c>
      <c r="B474" s="306" t="s">
        <v>1003</v>
      </c>
      <c r="C474" s="306" t="s">
        <v>1004</v>
      </c>
      <c r="D474" s="306" t="s">
        <v>2435</v>
      </c>
      <c r="E474" s="306" t="s">
        <v>1912</v>
      </c>
      <c r="F474" s="306" t="s">
        <v>1007</v>
      </c>
      <c r="G474" s="308">
        <v>46019</v>
      </c>
      <c r="H474" s="308">
        <v>46019</v>
      </c>
      <c r="I474" s="309">
        <v>-384620.07</v>
      </c>
      <c r="J474" s="306" t="s">
        <v>1008</v>
      </c>
      <c r="K474" s="309">
        <v>-384620.07</v>
      </c>
      <c r="L474" s="306" t="s">
        <v>1008</v>
      </c>
      <c r="M474" s="306" t="s">
        <v>1836</v>
      </c>
      <c r="N474" s="306" t="s">
        <v>1837</v>
      </c>
      <c r="O474" s="306" t="s">
        <v>1913</v>
      </c>
      <c r="P474" s="306" t="s">
        <v>270</v>
      </c>
      <c r="Q474" s="306" t="s">
        <v>1013</v>
      </c>
      <c r="R474" s="306" t="s">
        <v>1013</v>
      </c>
      <c r="S474" s="306" t="s">
        <v>1013</v>
      </c>
      <c r="T474" s="306" t="s">
        <v>1013</v>
      </c>
      <c r="U474" s="306" t="s">
        <v>1013</v>
      </c>
      <c r="V474" s="306" t="s">
        <v>1013</v>
      </c>
      <c r="W474" s="306" t="s">
        <v>1013</v>
      </c>
      <c r="X474" s="306" t="s">
        <v>1013</v>
      </c>
      <c r="Y474" s="306" t="s">
        <v>1812</v>
      </c>
      <c r="Z474" s="306" t="s">
        <v>1015</v>
      </c>
      <c r="AA474" s="306" t="s">
        <v>1013</v>
      </c>
    </row>
    <row r="475" spans="1:27">
      <c r="A475" s="306" t="s">
        <v>494</v>
      </c>
      <c r="B475" s="306" t="s">
        <v>1003</v>
      </c>
      <c r="C475" s="306" t="s">
        <v>1004</v>
      </c>
      <c r="D475" s="306" t="s">
        <v>2435</v>
      </c>
      <c r="E475" s="306" t="s">
        <v>1914</v>
      </c>
      <c r="F475" s="306" t="s">
        <v>1007</v>
      </c>
      <c r="G475" s="308">
        <v>46019</v>
      </c>
      <c r="H475" s="308">
        <v>46019</v>
      </c>
      <c r="I475" s="309">
        <v>-139245.28</v>
      </c>
      <c r="J475" s="306" t="s">
        <v>1008</v>
      </c>
      <c r="K475" s="309">
        <v>-139245.28</v>
      </c>
      <c r="L475" s="306" t="s">
        <v>1008</v>
      </c>
      <c r="M475" s="306" t="s">
        <v>1836</v>
      </c>
      <c r="N475" s="306" t="s">
        <v>1837</v>
      </c>
      <c r="O475" s="306" t="s">
        <v>1864</v>
      </c>
      <c r="P475" s="306" t="s">
        <v>270</v>
      </c>
      <c r="Q475" s="306" t="s">
        <v>1013</v>
      </c>
      <c r="R475" s="306" t="s">
        <v>1013</v>
      </c>
      <c r="S475" s="306" t="s">
        <v>1013</v>
      </c>
      <c r="T475" s="306" t="s">
        <v>1013</v>
      </c>
      <c r="U475" s="306" t="s">
        <v>1013</v>
      </c>
      <c r="V475" s="306" t="s">
        <v>1013</v>
      </c>
      <c r="W475" s="306" t="s">
        <v>1013</v>
      </c>
      <c r="X475" s="306" t="s">
        <v>1013</v>
      </c>
      <c r="Y475" s="306" t="s">
        <v>1812</v>
      </c>
      <c r="Z475" s="306" t="s">
        <v>1015</v>
      </c>
      <c r="AA475" s="306" t="s">
        <v>1013</v>
      </c>
    </row>
    <row r="476" spans="1:27">
      <c r="A476" s="306" t="s">
        <v>494</v>
      </c>
      <c r="B476" s="306" t="s">
        <v>1003</v>
      </c>
      <c r="C476" s="306" t="s">
        <v>1004</v>
      </c>
      <c r="D476" s="306" t="s">
        <v>2435</v>
      </c>
      <c r="E476" s="306" t="s">
        <v>1915</v>
      </c>
      <c r="F476" s="306" t="s">
        <v>1007</v>
      </c>
      <c r="G476" s="308">
        <v>46019</v>
      </c>
      <c r="H476" s="308">
        <v>46019</v>
      </c>
      <c r="I476" s="309">
        <v>-5639.43</v>
      </c>
      <c r="J476" s="306" t="s">
        <v>1008</v>
      </c>
      <c r="K476" s="309">
        <v>-5639.43</v>
      </c>
      <c r="L476" s="306" t="s">
        <v>1008</v>
      </c>
      <c r="M476" s="306" t="s">
        <v>1836</v>
      </c>
      <c r="N476" s="306" t="s">
        <v>1837</v>
      </c>
      <c r="O476" s="306" t="s">
        <v>1866</v>
      </c>
      <c r="P476" s="306" t="s">
        <v>270</v>
      </c>
      <c r="Q476" s="306" t="s">
        <v>1013</v>
      </c>
      <c r="R476" s="306" t="s">
        <v>1013</v>
      </c>
      <c r="S476" s="306" t="s">
        <v>1013</v>
      </c>
      <c r="T476" s="306" t="s">
        <v>1013</v>
      </c>
      <c r="U476" s="306" t="s">
        <v>1013</v>
      </c>
      <c r="V476" s="306" t="s">
        <v>1013</v>
      </c>
      <c r="W476" s="306" t="s">
        <v>1013</v>
      </c>
      <c r="X476" s="306" t="s">
        <v>1013</v>
      </c>
      <c r="Y476" s="306" t="s">
        <v>1812</v>
      </c>
      <c r="Z476" s="306" t="s">
        <v>1015</v>
      </c>
      <c r="AA476" s="306" t="s">
        <v>1013</v>
      </c>
    </row>
    <row r="477" spans="1:27">
      <c r="A477" s="306" t="s">
        <v>494</v>
      </c>
      <c r="B477" s="306" t="s">
        <v>1003</v>
      </c>
      <c r="C477" s="306" t="s">
        <v>1004</v>
      </c>
      <c r="D477" s="306" t="s">
        <v>2435</v>
      </c>
      <c r="E477" s="306" t="s">
        <v>1916</v>
      </c>
      <c r="F477" s="306" t="s">
        <v>1007</v>
      </c>
      <c r="G477" s="308">
        <v>46019</v>
      </c>
      <c r="H477" s="308">
        <v>46019</v>
      </c>
      <c r="I477" s="309">
        <v>-4680.8900000000003</v>
      </c>
      <c r="J477" s="306" t="s">
        <v>1008</v>
      </c>
      <c r="K477" s="309">
        <v>-4680.8900000000003</v>
      </c>
      <c r="L477" s="306" t="s">
        <v>1008</v>
      </c>
      <c r="M477" s="306" t="s">
        <v>1824</v>
      </c>
      <c r="N477" s="306" t="s">
        <v>1825</v>
      </c>
      <c r="O477" s="306" t="s">
        <v>1917</v>
      </c>
      <c r="P477" s="306" t="s">
        <v>270</v>
      </c>
      <c r="Q477" s="306" t="s">
        <v>1013</v>
      </c>
      <c r="R477" s="306" t="s">
        <v>1013</v>
      </c>
      <c r="S477" s="306" t="s">
        <v>1013</v>
      </c>
      <c r="T477" s="306" t="s">
        <v>1013</v>
      </c>
      <c r="U477" s="306" t="s">
        <v>1013</v>
      </c>
      <c r="V477" s="306" t="s">
        <v>1013</v>
      </c>
      <c r="W477" s="306" t="s">
        <v>1013</v>
      </c>
      <c r="X477" s="306" t="s">
        <v>1013</v>
      </c>
      <c r="Y477" s="306" t="s">
        <v>1812</v>
      </c>
      <c r="Z477" s="306" t="s">
        <v>1015</v>
      </c>
      <c r="AA477" s="306" t="s">
        <v>1013</v>
      </c>
    </row>
    <row r="478" spans="1:27">
      <c r="A478" s="306" t="s">
        <v>494</v>
      </c>
      <c r="B478" s="306" t="s">
        <v>1003</v>
      </c>
      <c r="C478" s="306" t="s">
        <v>1004</v>
      </c>
      <c r="D478" s="306" t="s">
        <v>2435</v>
      </c>
      <c r="E478" s="306" t="s">
        <v>1918</v>
      </c>
      <c r="F478" s="306" t="s">
        <v>1007</v>
      </c>
      <c r="G478" s="308">
        <v>46019</v>
      </c>
      <c r="H478" s="308">
        <v>46019</v>
      </c>
      <c r="I478" s="309">
        <v>-48790.96</v>
      </c>
      <c r="J478" s="306" t="s">
        <v>1008</v>
      </c>
      <c r="K478" s="309">
        <v>-48790.96</v>
      </c>
      <c r="L478" s="306" t="s">
        <v>1008</v>
      </c>
      <c r="M478" s="306" t="s">
        <v>1824</v>
      </c>
      <c r="N478" s="306" t="s">
        <v>1825</v>
      </c>
      <c r="O478" s="306" t="s">
        <v>1919</v>
      </c>
      <c r="P478" s="306" t="s">
        <v>270</v>
      </c>
      <c r="Q478" s="306" t="s">
        <v>1013</v>
      </c>
      <c r="R478" s="306" t="s">
        <v>1013</v>
      </c>
      <c r="S478" s="306" t="s">
        <v>1013</v>
      </c>
      <c r="T478" s="306" t="s">
        <v>1013</v>
      </c>
      <c r="U478" s="306" t="s">
        <v>1013</v>
      </c>
      <c r="V478" s="306" t="s">
        <v>1013</v>
      </c>
      <c r="W478" s="306" t="s">
        <v>1013</v>
      </c>
      <c r="X478" s="306" t="s">
        <v>1013</v>
      </c>
      <c r="Y478" s="306" t="s">
        <v>1812</v>
      </c>
      <c r="Z478" s="306" t="s">
        <v>1015</v>
      </c>
      <c r="AA478" s="306" t="s">
        <v>1013</v>
      </c>
    </row>
    <row r="479" spans="1:27">
      <c r="A479" s="306" t="s">
        <v>494</v>
      </c>
      <c r="B479" s="306" t="s">
        <v>1003</v>
      </c>
      <c r="C479" s="306" t="s">
        <v>1004</v>
      </c>
      <c r="D479" s="306" t="s">
        <v>2435</v>
      </c>
      <c r="E479" s="306" t="s">
        <v>1920</v>
      </c>
      <c r="F479" s="306" t="s">
        <v>1007</v>
      </c>
      <c r="G479" s="308">
        <v>46019</v>
      </c>
      <c r="H479" s="308">
        <v>46019</v>
      </c>
      <c r="I479" s="309">
        <v>-2369.67</v>
      </c>
      <c r="J479" s="306" t="s">
        <v>1008</v>
      </c>
      <c r="K479" s="309">
        <v>-2369.67</v>
      </c>
      <c r="L479" s="306" t="s">
        <v>1008</v>
      </c>
      <c r="M479" s="306" t="s">
        <v>1836</v>
      </c>
      <c r="N479" s="306" t="s">
        <v>1837</v>
      </c>
      <c r="O479" s="306" t="s">
        <v>1921</v>
      </c>
      <c r="P479" s="306" t="s">
        <v>270</v>
      </c>
      <c r="Q479" s="306" t="s">
        <v>1013</v>
      </c>
      <c r="R479" s="306" t="s">
        <v>1013</v>
      </c>
      <c r="S479" s="306" t="s">
        <v>1013</v>
      </c>
      <c r="T479" s="306" t="s">
        <v>1013</v>
      </c>
      <c r="U479" s="306" t="s">
        <v>1013</v>
      </c>
      <c r="V479" s="306" t="s">
        <v>1013</v>
      </c>
      <c r="W479" s="306" t="s">
        <v>1013</v>
      </c>
      <c r="X479" s="306" t="s">
        <v>1013</v>
      </c>
      <c r="Y479" s="306" t="s">
        <v>1812</v>
      </c>
      <c r="Z479" s="306" t="s">
        <v>1015</v>
      </c>
      <c r="AA479" s="306" t="s">
        <v>1013</v>
      </c>
    </row>
    <row r="480" spans="1:27">
      <c r="A480" s="306" t="s">
        <v>494</v>
      </c>
      <c r="B480" s="306" t="s">
        <v>1003</v>
      </c>
      <c r="C480" s="306" t="s">
        <v>1004</v>
      </c>
      <c r="D480" s="306" t="s">
        <v>2435</v>
      </c>
      <c r="E480" s="306" t="s">
        <v>1922</v>
      </c>
      <c r="F480" s="306" t="s">
        <v>1007</v>
      </c>
      <c r="G480" s="308">
        <v>46019</v>
      </c>
      <c r="H480" s="308">
        <v>46019</v>
      </c>
      <c r="I480" s="309">
        <v>-119720.35</v>
      </c>
      <c r="J480" s="306" t="s">
        <v>1008</v>
      </c>
      <c r="K480" s="309">
        <v>-119720.35</v>
      </c>
      <c r="L480" s="306" t="s">
        <v>1008</v>
      </c>
      <c r="M480" s="306" t="s">
        <v>1836</v>
      </c>
      <c r="N480" s="306" t="s">
        <v>1837</v>
      </c>
      <c r="O480" s="306" t="s">
        <v>1868</v>
      </c>
      <c r="P480" s="306" t="s">
        <v>270</v>
      </c>
      <c r="Q480" s="306" t="s">
        <v>1013</v>
      </c>
      <c r="R480" s="306" t="s">
        <v>1013</v>
      </c>
      <c r="S480" s="306" t="s">
        <v>1013</v>
      </c>
      <c r="T480" s="306" t="s">
        <v>1013</v>
      </c>
      <c r="U480" s="306" t="s">
        <v>1013</v>
      </c>
      <c r="V480" s="306" t="s">
        <v>1013</v>
      </c>
      <c r="W480" s="306" t="s">
        <v>1013</v>
      </c>
      <c r="X480" s="306" t="s">
        <v>1013</v>
      </c>
      <c r="Y480" s="306" t="s">
        <v>1812</v>
      </c>
      <c r="Z480" s="306" t="s">
        <v>1015</v>
      </c>
      <c r="AA480" s="306" t="s">
        <v>1013</v>
      </c>
    </row>
    <row r="481" spans="1:27">
      <c r="A481" s="306" t="s">
        <v>494</v>
      </c>
      <c r="B481" s="306" t="s">
        <v>1003</v>
      </c>
      <c r="C481" s="306" t="s">
        <v>1004</v>
      </c>
      <c r="D481" s="306" t="s">
        <v>2435</v>
      </c>
      <c r="E481" s="306" t="s">
        <v>1923</v>
      </c>
      <c r="F481" s="306" t="s">
        <v>1007</v>
      </c>
      <c r="G481" s="308">
        <v>46019</v>
      </c>
      <c r="H481" s="308">
        <v>46019</v>
      </c>
      <c r="I481" s="309">
        <v>-64581.09</v>
      </c>
      <c r="J481" s="306" t="s">
        <v>1008</v>
      </c>
      <c r="K481" s="309">
        <v>-64581.09</v>
      </c>
      <c r="L481" s="306" t="s">
        <v>1008</v>
      </c>
      <c r="M481" s="306" t="s">
        <v>1824</v>
      </c>
      <c r="N481" s="306" t="s">
        <v>1825</v>
      </c>
      <c r="O481" s="306" t="s">
        <v>1924</v>
      </c>
      <c r="P481" s="306" t="s">
        <v>270</v>
      </c>
      <c r="Q481" s="306" t="s">
        <v>1013</v>
      </c>
      <c r="R481" s="306" t="s">
        <v>1013</v>
      </c>
      <c r="S481" s="306" t="s">
        <v>1013</v>
      </c>
      <c r="T481" s="306" t="s">
        <v>1013</v>
      </c>
      <c r="U481" s="306" t="s">
        <v>1013</v>
      </c>
      <c r="V481" s="306" t="s">
        <v>1013</v>
      </c>
      <c r="W481" s="306" t="s">
        <v>1013</v>
      </c>
      <c r="X481" s="306" t="s">
        <v>1013</v>
      </c>
      <c r="Y481" s="306" t="s">
        <v>1812</v>
      </c>
      <c r="Z481" s="306" t="s">
        <v>1015</v>
      </c>
      <c r="AA481" s="306" t="s">
        <v>1013</v>
      </c>
    </row>
    <row r="482" spans="1:27">
      <c r="A482" s="306" t="s">
        <v>494</v>
      </c>
      <c r="B482" s="306" t="s">
        <v>1003</v>
      </c>
      <c r="C482" s="306" t="s">
        <v>1004</v>
      </c>
      <c r="D482" s="306" t="s">
        <v>2435</v>
      </c>
      <c r="E482" s="306" t="s">
        <v>1925</v>
      </c>
      <c r="F482" s="306" t="s">
        <v>1007</v>
      </c>
      <c r="G482" s="308">
        <v>46019</v>
      </c>
      <c r="H482" s="308">
        <v>46019</v>
      </c>
      <c r="I482" s="309">
        <v>-56129.79</v>
      </c>
      <c r="J482" s="306" t="s">
        <v>1008</v>
      </c>
      <c r="K482" s="309">
        <v>-56129.79</v>
      </c>
      <c r="L482" s="306" t="s">
        <v>1008</v>
      </c>
      <c r="M482" s="306" t="s">
        <v>1824</v>
      </c>
      <c r="N482" s="306" t="s">
        <v>1825</v>
      </c>
      <c r="O482" s="306" t="s">
        <v>1926</v>
      </c>
      <c r="P482" s="306" t="s">
        <v>270</v>
      </c>
      <c r="Q482" s="306" t="s">
        <v>1013</v>
      </c>
      <c r="R482" s="306" t="s">
        <v>1013</v>
      </c>
      <c r="S482" s="306" t="s">
        <v>1013</v>
      </c>
      <c r="T482" s="306" t="s">
        <v>1013</v>
      </c>
      <c r="U482" s="306" t="s">
        <v>1013</v>
      </c>
      <c r="V482" s="306" t="s">
        <v>1013</v>
      </c>
      <c r="W482" s="306" t="s">
        <v>1013</v>
      </c>
      <c r="X482" s="306" t="s">
        <v>1013</v>
      </c>
      <c r="Y482" s="306" t="s">
        <v>1812</v>
      </c>
      <c r="Z482" s="306" t="s">
        <v>1015</v>
      </c>
      <c r="AA482" s="306" t="s">
        <v>1013</v>
      </c>
    </row>
    <row r="483" spans="1:27">
      <c r="A483" s="306" t="s">
        <v>494</v>
      </c>
      <c r="B483" s="306" t="s">
        <v>1003</v>
      </c>
      <c r="C483" s="306" t="s">
        <v>1004</v>
      </c>
      <c r="D483" s="306" t="s">
        <v>2435</v>
      </c>
      <c r="E483" s="306" t="s">
        <v>1927</v>
      </c>
      <c r="F483" s="306" t="s">
        <v>1007</v>
      </c>
      <c r="G483" s="308">
        <v>46019</v>
      </c>
      <c r="H483" s="308">
        <v>46019</v>
      </c>
      <c r="I483" s="309">
        <v>-50332.15</v>
      </c>
      <c r="J483" s="306" t="s">
        <v>1008</v>
      </c>
      <c r="K483" s="309">
        <v>-50332.15</v>
      </c>
      <c r="L483" s="306" t="s">
        <v>1008</v>
      </c>
      <c r="M483" s="306" t="s">
        <v>1824</v>
      </c>
      <c r="N483" s="306" t="s">
        <v>1825</v>
      </c>
      <c r="O483" s="306" t="s">
        <v>1928</v>
      </c>
      <c r="P483" s="306" t="s">
        <v>270</v>
      </c>
      <c r="Q483" s="306" t="s">
        <v>1013</v>
      </c>
      <c r="R483" s="306" t="s">
        <v>1013</v>
      </c>
      <c r="S483" s="306" t="s">
        <v>1013</v>
      </c>
      <c r="T483" s="306" t="s">
        <v>1013</v>
      </c>
      <c r="U483" s="306" t="s">
        <v>1013</v>
      </c>
      <c r="V483" s="306" t="s">
        <v>1013</v>
      </c>
      <c r="W483" s="306" t="s">
        <v>1013</v>
      </c>
      <c r="X483" s="306" t="s">
        <v>1013</v>
      </c>
      <c r="Y483" s="306" t="s">
        <v>1812</v>
      </c>
      <c r="Z483" s="306" t="s">
        <v>1015</v>
      </c>
      <c r="AA483" s="306" t="s">
        <v>1013</v>
      </c>
    </row>
    <row r="484" spans="1:27">
      <c r="A484" s="306" t="s">
        <v>494</v>
      </c>
      <c r="B484" s="306" t="s">
        <v>1003</v>
      </c>
      <c r="C484" s="306" t="s">
        <v>1004</v>
      </c>
      <c r="D484" s="306" t="s">
        <v>2435</v>
      </c>
      <c r="E484" s="306" t="s">
        <v>1929</v>
      </c>
      <c r="F484" s="306" t="s">
        <v>1007</v>
      </c>
      <c r="G484" s="308">
        <v>46019</v>
      </c>
      <c r="H484" s="308">
        <v>46019</v>
      </c>
      <c r="I484" s="309">
        <v>-9475.5499999999993</v>
      </c>
      <c r="J484" s="306" t="s">
        <v>1008</v>
      </c>
      <c r="K484" s="309">
        <v>-9475.5499999999993</v>
      </c>
      <c r="L484" s="306" t="s">
        <v>1008</v>
      </c>
      <c r="M484" s="306" t="s">
        <v>1824</v>
      </c>
      <c r="N484" s="306" t="s">
        <v>1825</v>
      </c>
      <c r="O484" s="306" t="s">
        <v>1930</v>
      </c>
      <c r="P484" s="306" t="s">
        <v>270</v>
      </c>
      <c r="Q484" s="306" t="s">
        <v>1013</v>
      </c>
      <c r="R484" s="306" t="s">
        <v>1013</v>
      </c>
      <c r="S484" s="306" t="s">
        <v>1013</v>
      </c>
      <c r="T484" s="306" t="s">
        <v>1013</v>
      </c>
      <c r="U484" s="306" t="s">
        <v>1013</v>
      </c>
      <c r="V484" s="306" t="s">
        <v>1013</v>
      </c>
      <c r="W484" s="306" t="s">
        <v>1013</v>
      </c>
      <c r="X484" s="306" t="s">
        <v>1013</v>
      </c>
      <c r="Y484" s="306" t="s">
        <v>1812</v>
      </c>
      <c r="Z484" s="306" t="s">
        <v>1015</v>
      </c>
      <c r="AA484" s="306" t="s">
        <v>1013</v>
      </c>
    </row>
    <row r="485" spans="1:27">
      <c r="A485" s="306" t="s">
        <v>494</v>
      </c>
      <c r="B485" s="306" t="s">
        <v>1003</v>
      </c>
      <c r="C485" s="306" t="s">
        <v>1004</v>
      </c>
      <c r="D485" s="306" t="s">
        <v>2435</v>
      </c>
      <c r="E485" s="306" t="s">
        <v>1931</v>
      </c>
      <c r="F485" s="306" t="s">
        <v>1007</v>
      </c>
      <c r="G485" s="308">
        <v>46019</v>
      </c>
      <c r="H485" s="308">
        <v>46019</v>
      </c>
      <c r="I485" s="309">
        <v>-2748.76</v>
      </c>
      <c r="J485" s="306" t="s">
        <v>1008</v>
      </c>
      <c r="K485" s="309">
        <v>-2748.76</v>
      </c>
      <c r="L485" s="306" t="s">
        <v>1008</v>
      </c>
      <c r="M485" s="306" t="s">
        <v>1824</v>
      </c>
      <c r="N485" s="306" t="s">
        <v>1825</v>
      </c>
      <c r="O485" s="306" t="s">
        <v>1932</v>
      </c>
      <c r="P485" s="306" t="s">
        <v>270</v>
      </c>
      <c r="Q485" s="306" t="s">
        <v>1013</v>
      </c>
      <c r="R485" s="306" t="s">
        <v>1013</v>
      </c>
      <c r="S485" s="306" t="s">
        <v>1013</v>
      </c>
      <c r="T485" s="306" t="s">
        <v>1013</v>
      </c>
      <c r="U485" s="306" t="s">
        <v>1013</v>
      </c>
      <c r="V485" s="306" t="s">
        <v>1013</v>
      </c>
      <c r="W485" s="306" t="s">
        <v>1013</v>
      </c>
      <c r="X485" s="306" t="s">
        <v>1013</v>
      </c>
      <c r="Y485" s="306" t="s">
        <v>1812</v>
      </c>
      <c r="Z485" s="306" t="s">
        <v>1015</v>
      </c>
      <c r="AA485" s="306" t="s">
        <v>1013</v>
      </c>
    </row>
    <row r="486" spans="1:27">
      <c r="A486" s="306" t="s">
        <v>494</v>
      </c>
      <c r="B486" s="306" t="s">
        <v>1003</v>
      </c>
      <c r="C486" s="306" t="s">
        <v>1004</v>
      </c>
      <c r="D486" s="306" t="s">
        <v>2435</v>
      </c>
      <c r="E486" s="306" t="s">
        <v>1933</v>
      </c>
      <c r="F486" s="306" t="s">
        <v>1007</v>
      </c>
      <c r="G486" s="308">
        <v>46019</v>
      </c>
      <c r="H486" s="308">
        <v>46019</v>
      </c>
      <c r="I486" s="309">
        <v>-1450.42</v>
      </c>
      <c r="J486" s="306" t="s">
        <v>1008</v>
      </c>
      <c r="K486" s="309">
        <v>-1450.42</v>
      </c>
      <c r="L486" s="306" t="s">
        <v>1008</v>
      </c>
      <c r="M486" s="306" t="s">
        <v>1824</v>
      </c>
      <c r="N486" s="306" t="s">
        <v>1825</v>
      </c>
      <c r="O486" s="306" t="s">
        <v>1934</v>
      </c>
      <c r="P486" s="306" t="s">
        <v>270</v>
      </c>
      <c r="Q486" s="306" t="s">
        <v>1013</v>
      </c>
      <c r="R486" s="306" t="s">
        <v>1013</v>
      </c>
      <c r="S486" s="306" t="s">
        <v>1013</v>
      </c>
      <c r="T486" s="306" t="s">
        <v>1013</v>
      </c>
      <c r="U486" s="306" t="s">
        <v>1013</v>
      </c>
      <c r="V486" s="306" t="s">
        <v>1013</v>
      </c>
      <c r="W486" s="306" t="s">
        <v>1013</v>
      </c>
      <c r="X486" s="306" t="s">
        <v>1013</v>
      </c>
      <c r="Y486" s="306" t="s">
        <v>1812</v>
      </c>
      <c r="Z486" s="306" t="s">
        <v>1015</v>
      </c>
      <c r="AA486" s="306" t="s">
        <v>1013</v>
      </c>
    </row>
    <row r="487" spans="1:27">
      <c r="A487" s="306" t="s">
        <v>494</v>
      </c>
      <c r="B487" s="306" t="s">
        <v>1003</v>
      </c>
      <c r="C487" s="306" t="s">
        <v>1004</v>
      </c>
      <c r="D487" s="306" t="s">
        <v>2435</v>
      </c>
      <c r="E487" s="306" t="s">
        <v>1935</v>
      </c>
      <c r="F487" s="306" t="s">
        <v>1007</v>
      </c>
      <c r="G487" s="308">
        <v>46019</v>
      </c>
      <c r="H487" s="308">
        <v>46019</v>
      </c>
      <c r="I487" s="309">
        <v>-584.05999999999995</v>
      </c>
      <c r="J487" s="306" t="s">
        <v>1008</v>
      </c>
      <c r="K487" s="309">
        <v>-584.05999999999995</v>
      </c>
      <c r="L487" s="306" t="s">
        <v>1008</v>
      </c>
      <c r="M487" s="306" t="s">
        <v>1824</v>
      </c>
      <c r="N487" s="306" t="s">
        <v>1825</v>
      </c>
      <c r="O487" s="306" t="s">
        <v>1936</v>
      </c>
      <c r="P487" s="306" t="s">
        <v>270</v>
      </c>
      <c r="Q487" s="306" t="s">
        <v>1013</v>
      </c>
      <c r="R487" s="306" t="s">
        <v>1013</v>
      </c>
      <c r="S487" s="306" t="s">
        <v>1013</v>
      </c>
      <c r="T487" s="306" t="s">
        <v>1013</v>
      </c>
      <c r="U487" s="306" t="s">
        <v>1013</v>
      </c>
      <c r="V487" s="306" t="s">
        <v>1013</v>
      </c>
      <c r="W487" s="306" t="s">
        <v>1013</v>
      </c>
      <c r="X487" s="306" t="s">
        <v>1013</v>
      </c>
      <c r="Y487" s="306" t="s">
        <v>1812</v>
      </c>
      <c r="Z487" s="306" t="s">
        <v>1015</v>
      </c>
      <c r="AA487" s="306" t="s">
        <v>1013</v>
      </c>
    </row>
    <row r="488" spans="1:27">
      <c r="A488" s="306" t="s">
        <v>494</v>
      </c>
      <c r="B488" s="306" t="s">
        <v>1003</v>
      </c>
      <c r="C488" s="306" t="s">
        <v>1004</v>
      </c>
      <c r="D488" s="306" t="s">
        <v>2435</v>
      </c>
      <c r="E488" s="306" t="s">
        <v>1937</v>
      </c>
      <c r="F488" s="306" t="s">
        <v>1007</v>
      </c>
      <c r="G488" s="308">
        <v>46019</v>
      </c>
      <c r="H488" s="308">
        <v>46019</v>
      </c>
      <c r="I488" s="309">
        <v>-580.16999999999996</v>
      </c>
      <c r="J488" s="306" t="s">
        <v>1008</v>
      </c>
      <c r="K488" s="309">
        <v>-580.16999999999996</v>
      </c>
      <c r="L488" s="306" t="s">
        <v>1008</v>
      </c>
      <c r="M488" s="306" t="s">
        <v>1824</v>
      </c>
      <c r="N488" s="306" t="s">
        <v>1825</v>
      </c>
      <c r="O488" s="306" t="s">
        <v>1938</v>
      </c>
      <c r="P488" s="306" t="s">
        <v>270</v>
      </c>
      <c r="Q488" s="306" t="s">
        <v>1013</v>
      </c>
      <c r="R488" s="306" t="s">
        <v>1013</v>
      </c>
      <c r="S488" s="306" t="s">
        <v>1013</v>
      </c>
      <c r="T488" s="306" t="s">
        <v>1013</v>
      </c>
      <c r="U488" s="306" t="s">
        <v>1013</v>
      </c>
      <c r="V488" s="306" t="s">
        <v>1013</v>
      </c>
      <c r="W488" s="306" t="s">
        <v>1013</v>
      </c>
      <c r="X488" s="306" t="s">
        <v>1013</v>
      </c>
      <c r="Y488" s="306" t="s">
        <v>1812</v>
      </c>
      <c r="Z488" s="306" t="s">
        <v>1015</v>
      </c>
      <c r="AA488" s="306" t="s">
        <v>1013</v>
      </c>
    </row>
    <row r="489" spans="1:27">
      <c r="A489" s="306" t="s">
        <v>494</v>
      </c>
      <c r="B489" s="306" t="s">
        <v>1003</v>
      </c>
      <c r="C489" s="306" t="s">
        <v>1004</v>
      </c>
      <c r="D489" s="306" t="s">
        <v>2435</v>
      </c>
      <c r="E489" s="306" t="s">
        <v>1939</v>
      </c>
      <c r="F489" s="306" t="s">
        <v>1007</v>
      </c>
      <c r="G489" s="308">
        <v>46019</v>
      </c>
      <c r="H489" s="308">
        <v>46019</v>
      </c>
      <c r="I489" s="309">
        <v>-808414.67</v>
      </c>
      <c r="J489" s="306" t="s">
        <v>1008</v>
      </c>
      <c r="K489" s="309">
        <v>-808414.67</v>
      </c>
      <c r="L489" s="306" t="s">
        <v>1008</v>
      </c>
      <c r="M489" s="306" t="s">
        <v>1836</v>
      </c>
      <c r="N489" s="306" t="s">
        <v>1837</v>
      </c>
      <c r="O489" s="306" t="s">
        <v>1131</v>
      </c>
      <c r="P489" s="306" t="s">
        <v>270</v>
      </c>
      <c r="Q489" s="306" t="s">
        <v>1013</v>
      </c>
      <c r="R489" s="306" t="s">
        <v>1013</v>
      </c>
      <c r="S489" s="306" t="s">
        <v>1013</v>
      </c>
      <c r="T489" s="306" t="s">
        <v>1013</v>
      </c>
      <c r="U489" s="306" t="s">
        <v>1013</v>
      </c>
      <c r="V489" s="306" t="s">
        <v>1013</v>
      </c>
      <c r="W489" s="306" t="s">
        <v>1013</v>
      </c>
      <c r="X489" s="306" t="s">
        <v>1013</v>
      </c>
      <c r="Y489" s="306" t="s">
        <v>1812</v>
      </c>
      <c r="Z489" s="306" t="s">
        <v>1015</v>
      </c>
      <c r="AA489" s="306" t="s">
        <v>1013</v>
      </c>
    </row>
    <row r="490" spans="1:27">
      <c r="A490" s="306" t="s">
        <v>494</v>
      </c>
      <c r="B490" s="306" t="s">
        <v>1003</v>
      </c>
      <c r="C490" s="306" t="s">
        <v>1004</v>
      </c>
      <c r="D490" s="306" t="s">
        <v>2435</v>
      </c>
      <c r="E490" s="306" t="s">
        <v>1940</v>
      </c>
      <c r="F490" s="306" t="s">
        <v>1007</v>
      </c>
      <c r="G490" s="308">
        <v>46019</v>
      </c>
      <c r="H490" s="308">
        <v>46019</v>
      </c>
      <c r="I490" s="309">
        <v>-2591291.83</v>
      </c>
      <c r="J490" s="306" t="s">
        <v>1008</v>
      </c>
      <c r="K490" s="309">
        <v>-2591291.83</v>
      </c>
      <c r="L490" s="306" t="s">
        <v>1008</v>
      </c>
      <c r="M490" s="306" t="s">
        <v>1824</v>
      </c>
      <c r="N490" s="306" t="s">
        <v>1825</v>
      </c>
      <c r="O490" s="306" t="s">
        <v>1136</v>
      </c>
      <c r="P490" s="306" t="s">
        <v>270</v>
      </c>
      <c r="Q490" s="306" t="s">
        <v>1013</v>
      </c>
      <c r="R490" s="306" t="s">
        <v>1013</v>
      </c>
      <c r="S490" s="306" t="s">
        <v>1013</v>
      </c>
      <c r="T490" s="306" t="s">
        <v>1013</v>
      </c>
      <c r="U490" s="306" t="s">
        <v>1013</v>
      </c>
      <c r="V490" s="306" t="s">
        <v>1013</v>
      </c>
      <c r="W490" s="306" t="s">
        <v>1013</v>
      </c>
      <c r="X490" s="306" t="s">
        <v>1013</v>
      </c>
      <c r="Y490" s="306" t="s">
        <v>1812</v>
      </c>
      <c r="Z490" s="306" t="s">
        <v>1015</v>
      </c>
      <c r="AA490" s="306" t="s">
        <v>1013</v>
      </c>
    </row>
    <row r="491" spans="1:27">
      <c r="A491" s="306" t="s">
        <v>494</v>
      </c>
      <c r="B491" s="306" t="s">
        <v>1003</v>
      </c>
      <c r="C491" s="306" t="s">
        <v>1004</v>
      </c>
      <c r="D491" s="306" t="s">
        <v>2435</v>
      </c>
      <c r="E491" s="306" t="s">
        <v>1941</v>
      </c>
      <c r="F491" s="306" t="s">
        <v>1007</v>
      </c>
      <c r="G491" s="308">
        <v>46020</v>
      </c>
      <c r="H491" s="308">
        <v>46020</v>
      </c>
      <c r="I491" s="309">
        <v>-3665.62</v>
      </c>
      <c r="J491" s="306" t="s">
        <v>1008</v>
      </c>
      <c r="K491" s="309">
        <v>-3665.62</v>
      </c>
      <c r="L491" s="306" t="s">
        <v>1008</v>
      </c>
      <c r="M491" s="306" t="s">
        <v>1942</v>
      </c>
      <c r="N491" s="306" t="s">
        <v>1942</v>
      </c>
      <c r="O491" s="306" t="s">
        <v>1822</v>
      </c>
      <c r="P491" s="306" t="s">
        <v>1069</v>
      </c>
      <c r="Q491" s="306" t="s">
        <v>1013</v>
      </c>
      <c r="R491" s="306" t="s">
        <v>1013</v>
      </c>
      <c r="S491" s="306" t="s">
        <v>1013</v>
      </c>
      <c r="T491" s="306" t="s">
        <v>1013</v>
      </c>
      <c r="U491" s="306" t="s">
        <v>1013</v>
      </c>
      <c r="V491" s="306" t="s">
        <v>1013</v>
      </c>
      <c r="W491" s="306" t="s">
        <v>1013</v>
      </c>
      <c r="X491" s="306" t="s">
        <v>1013</v>
      </c>
      <c r="Y491" s="306" t="s">
        <v>1943</v>
      </c>
      <c r="Z491" s="306" t="s">
        <v>1015</v>
      </c>
      <c r="AA491" s="306" t="s">
        <v>1013</v>
      </c>
    </row>
    <row r="492" spans="1:27">
      <c r="A492" s="306" t="s">
        <v>494</v>
      </c>
      <c r="B492" s="306" t="s">
        <v>1003</v>
      </c>
      <c r="C492" s="306" t="s">
        <v>1004</v>
      </c>
      <c r="D492" s="306" t="s">
        <v>2435</v>
      </c>
      <c r="E492" s="306" t="s">
        <v>1944</v>
      </c>
      <c r="F492" s="306" t="s">
        <v>1007</v>
      </c>
      <c r="G492" s="308">
        <v>46020</v>
      </c>
      <c r="H492" s="308">
        <v>46020</v>
      </c>
      <c r="I492" s="309">
        <v>-2932.49</v>
      </c>
      <c r="J492" s="306" t="s">
        <v>1008</v>
      </c>
      <c r="K492" s="309">
        <v>-2932.49</v>
      </c>
      <c r="L492" s="306" t="s">
        <v>1008</v>
      </c>
      <c r="M492" s="306" t="s">
        <v>1945</v>
      </c>
      <c r="N492" s="306" t="s">
        <v>1946</v>
      </c>
      <c r="O492" s="306" t="s">
        <v>1822</v>
      </c>
      <c r="P492" s="306" t="s">
        <v>1069</v>
      </c>
      <c r="Q492" s="306" t="s">
        <v>1013</v>
      </c>
      <c r="R492" s="306" t="s">
        <v>1013</v>
      </c>
      <c r="S492" s="306" t="s">
        <v>1013</v>
      </c>
      <c r="T492" s="306" t="s">
        <v>1013</v>
      </c>
      <c r="U492" s="306" t="s">
        <v>1013</v>
      </c>
      <c r="V492" s="306" t="s">
        <v>1013</v>
      </c>
      <c r="W492" s="306" t="s">
        <v>1013</v>
      </c>
      <c r="X492" s="306" t="s">
        <v>1013</v>
      </c>
      <c r="Y492" s="306" t="s">
        <v>1947</v>
      </c>
      <c r="Z492" s="306" t="s">
        <v>1015</v>
      </c>
      <c r="AA492" s="306" t="s">
        <v>1013</v>
      </c>
    </row>
    <row r="493" spans="1:27">
      <c r="A493" s="306" t="s">
        <v>494</v>
      </c>
      <c r="B493" s="306" t="s">
        <v>1003</v>
      </c>
      <c r="C493" s="306" t="s">
        <v>1004</v>
      </c>
      <c r="D493" s="306" t="s">
        <v>2435</v>
      </c>
      <c r="E493" s="306" t="s">
        <v>1948</v>
      </c>
      <c r="F493" s="306" t="s">
        <v>1007</v>
      </c>
      <c r="G493" s="308">
        <v>46020</v>
      </c>
      <c r="H493" s="308">
        <v>46020</v>
      </c>
      <c r="I493" s="309">
        <v>-2932.49</v>
      </c>
      <c r="J493" s="306" t="s">
        <v>1008</v>
      </c>
      <c r="K493" s="309">
        <v>-2932.49</v>
      </c>
      <c r="L493" s="306" t="s">
        <v>1008</v>
      </c>
      <c r="M493" s="306" t="s">
        <v>1949</v>
      </c>
      <c r="N493" s="306" t="s">
        <v>1950</v>
      </c>
      <c r="O493" s="306" t="s">
        <v>1822</v>
      </c>
      <c r="P493" s="306" t="s">
        <v>1951</v>
      </c>
      <c r="Q493" s="306" t="s">
        <v>1013</v>
      </c>
      <c r="R493" s="306" t="s">
        <v>1013</v>
      </c>
      <c r="S493" s="306" t="s">
        <v>1013</v>
      </c>
      <c r="T493" s="306" t="s">
        <v>1013</v>
      </c>
      <c r="U493" s="306" t="s">
        <v>1013</v>
      </c>
      <c r="V493" s="306" t="s">
        <v>1013</v>
      </c>
      <c r="W493" s="306" t="s">
        <v>1013</v>
      </c>
      <c r="X493" s="306" t="s">
        <v>1013</v>
      </c>
      <c r="Y493" s="306" t="s">
        <v>1952</v>
      </c>
      <c r="Z493" s="306" t="s">
        <v>1015</v>
      </c>
      <c r="AA493" s="306" t="s">
        <v>1013</v>
      </c>
    </row>
    <row r="494" spans="1:27">
      <c r="A494" s="306" t="s">
        <v>494</v>
      </c>
      <c r="B494" s="306" t="s">
        <v>1003</v>
      </c>
      <c r="C494" s="306" t="s">
        <v>1004</v>
      </c>
      <c r="D494" s="306" t="s">
        <v>2435</v>
      </c>
      <c r="E494" s="306" t="s">
        <v>1953</v>
      </c>
      <c r="F494" s="306" t="s">
        <v>1007</v>
      </c>
      <c r="G494" s="308">
        <v>46020</v>
      </c>
      <c r="H494" s="308">
        <v>46020</v>
      </c>
      <c r="I494" s="309">
        <v>-3665.62</v>
      </c>
      <c r="J494" s="306" t="s">
        <v>1008</v>
      </c>
      <c r="K494" s="309">
        <v>-3665.62</v>
      </c>
      <c r="L494" s="306" t="s">
        <v>1008</v>
      </c>
      <c r="M494" s="306" t="s">
        <v>1954</v>
      </c>
      <c r="N494" s="306" t="s">
        <v>1954</v>
      </c>
      <c r="O494" s="306" t="s">
        <v>1822</v>
      </c>
      <c r="P494" s="306" t="s">
        <v>204</v>
      </c>
      <c r="Q494" s="306" t="s">
        <v>1013</v>
      </c>
      <c r="R494" s="306" t="s">
        <v>1013</v>
      </c>
      <c r="S494" s="306" t="s">
        <v>1013</v>
      </c>
      <c r="T494" s="306" t="s">
        <v>1013</v>
      </c>
      <c r="U494" s="306" t="s">
        <v>1013</v>
      </c>
      <c r="V494" s="306" t="s">
        <v>1013</v>
      </c>
      <c r="W494" s="306" t="s">
        <v>1013</v>
      </c>
      <c r="X494" s="306" t="s">
        <v>1013</v>
      </c>
      <c r="Y494" s="306" t="s">
        <v>1955</v>
      </c>
      <c r="Z494" s="306" t="s">
        <v>1015</v>
      </c>
      <c r="AA494" s="306" t="s">
        <v>1013</v>
      </c>
    </row>
    <row r="495" spans="1:27">
      <c r="A495" s="306" t="s">
        <v>494</v>
      </c>
      <c r="B495" s="306" t="s">
        <v>1003</v>
      </c>
      <c r="C495" s="306" t="s">
        <v>1004</v>
      </c>
      <c r="D495" s="306" t="s">
        <v>2435</v>
      </c>
      <c r="E495" s="306" t="s">
        <v>1956</v>
      </c>
      <c r="F495" s="306" t="s">
        <v>1007</v>
      </c>
      <c r="G495" s="308">
        <v>46020</v>
      </c>
      <c r="H495" s="308">
        <v>46020</v>
      </c>
      <c r="I495" s="309">
        <v>-3665.62</v>
      </c>
      <c r="J495" s="306" t="s">
        <v>1008</v>
      </c>
      <c r="K495" s="309">
        <v>-3665.62</v>
      </c>
      <c r="L495" s="306" t="s">
        <v>1008</v>
      </c>
      <c r="M495" s="306" t="s">
        <v>1957</v>
      </c>
      <c r="N495" s="306" t="s">
        <v>1958</v>
      </c>
      <c r="O495" s="306" t="s">
        <v>1822</v>
      </c>
      <c r="P495" s="306" t="s">
        <v>1959</v>
      </c>
      <c r="Q495" s="306" t="s">
        <v>1013</v>
      </c>
      <c r="R495" s="306" t="s">
        <v>1013</v>
      </c>
      <c r="S495" s="306" t="s">
        <v>1013</v>
      </c>
      <c r="T495" s="306" t="s">
        <v>1013</v>
      </c>
      <c r="U495" s="306" t="s">
        <v>1013</v>
      </c>
      <c r="V495" s="306" t="s">
        <v>1013</v>
      </c>
      <c r="W495" s="306" t="s">
        <v>1013</v>
      </c>
      <c r="X495" s="306" t="s">
        <v>1013</v>
      </c>
      <c r="Y495" s="306" t="s">
        <v>1960</v>
      </c>
      <c r="Z495" s="306" t="s">
        <v>1015</v>
      </c>
      <c r="AA495" s="306" t="s">
        <v>1013</v>
      </c>
    </row>
    <row r="496" spans="1:27">
      <c r="A496" s="306" t="s">
        <v>494</v>
      </c>
      <c r="B496" s="306" t="s">
        <v>1003</v>
      </c>
      <c r="C496" s="306" t="s">
        <v>1004</v>
      </c>
      <c r="D496" s="306" t="s">
        <v>2435</v>
      </c>
      <c r="E496" s="306" t="s">
        <v>1961</v>
      </c>
      <c r="F496" s="306" t="s">
        <v>1007</v>
      </c>
      <c r="G496" s="308">
        <v>46020</v>
      </c>
      <c r="H496" s="308">
        <v>46020</v>
      </c>
      <c r="I496" s="309">
        <v>-2932.49</v>
      </c>
      <c r="J496" s="306" t="s">
        <v>1008</v>
      </c>
      <c r="K496" s="309">
        <v>-2932.49</v>
      </c>
      <c r="L496" s="306" t="s">
        <v>1008</v>
      </c>
      <c r="M496" s="306" t="s">
        <v>1962</v>
      </c>
      <c r="N496" s="306" t="s">
        <v>1963</v>
      </c>
      <c r="O496" s="306" t="s">
        <v>1822</v>
      </c>
      <c r="P496" s="306" t="s">
        <v>1964</v>
      </c>
      <c r="Q496" s="306" t="s">
        <v>1013</v>
      </c>
      <c r="R496" s="306" t="s">
        <v>1013</v>
      </c>
      <c r="S496" s="306" t="s">
        <v>1013</v>
      </c>
      <c r="T496" s="306" t="s">
        <v>1013</v>
      </c>
      <c r="U496" s="306" t="s">
        <v>1013</v>
      </c>
      <c r="V496" s="306" t="s">
        <v>1013</v>
      </c>
      <c r="W496" s="306" t="s">
        <v>1013</v>
      </c>
      <c r="X496" s="306" t="s">
        <v>1013</v>
      </c>
      <c r="Y496" s="306" t="s">
        <v>1688</v>
      </c>
      <c r="Z496" s="306" t="s">
        <v>1015</v>
      </c>
      <c r="AA496" s="306" t="s">
        <v>1013</v>
      </c>
    </row>
    <row r="497" spans="1:27">
      <c r="A497" s="306" t="s">
        <v>494</v>
      </c>
      <c r="B497" s="306" t="s">
        <v>1003</v>
      </c>
      <c r="C497" s="306" t="s">
        <v>1004</v>
      </c>
      <c r="D497" s="306" t="s">
        <v>2435</v>
      </c>
      <c r="E497" s="306" t="s">
        <v>1965</v>
      </c>
      <c r="F497" s="306" t="s">
        <v>1007</v>
      </c>
      <c r="G497" s="308">
        <v>46020</v>
      </c>
      <c r="H497" s="308">
        <v>46020</v>
      </c>
      <c r="I497" s="309">
        <v>-2932.49</v>
      </c>
      <c r="J497" s="306" t="s">
        <v>1008</v>
      </c>
      <c r="K497" s="309">
        <v>-2932.49</v>
      </c>
      <c r="L497" s="306" t="s">
        <v>1008</v>
      </c>
      <c r="M497" s="306" t="s">
        <v>1966</v>
      </c>
      <c r="N497" s="306" t="s">
        <v>1966</v>
      </c>
      <c r="O497" s="306" t="s">
        <v>1822</v>
      </c>
      <c r="P497" s="306" t="s">
        <v>1967</v>
      </c>
      <c r="Q497" s="306" t="s">
        <v>1013</v>
      </c>
      <c r="R497" s="306" t="s">
        <v>1013</v>
      </c>
      <c r="S497" s="306" t="s">
        <v>1013</v>
      </c>
      <c r="T497" s="306" t="s">
        <v>1013</v>
      </c>
      <c r="U497" s="306" t="s">
        <v>1013</v>
      </c>
      <c r="V497" s="306" t="s">
        <v>1013</v>
      </c>
      <c r="W497" s="306" t="s">
        <v>1013</v>
      </c>
      <c r="X497" s="306" t="s">
        <v>1013</v>
      </c>
      <c r="Y497" s="306" t="s">
        <v>1968</v>
      </c>
      <c r="Z497" s="306" t="s">
        <v>1015</v>
      </c>
      <c r="AA497" s="306" t="s">
        <v>1013</v>
      </c>
    </row>
    <row r="498" spans="1:27">
      <c r="A498" s="306" t="s">
        <v>494</v>
      </c>
      <c r="B498" s="306" t="s">
        <v>1003</v>
      </c>
      <c r="C498" s="306" t="s">
        <v>1004</v>
      </c>
      <c r="D498" s="306" t="s">
        <v>2435</v>
      </c>
      <c r="E498" s="306" t="s">
        <v>1969</v>
      </c>
      <c r="F498" s="306" t="s">
        <v>1007</v>
      </c>
      <c r="G498" s="308">
        <v>46020</v>
      </c>
      <c r="H498" s="308">
        <v>46020</v>
      </c>
      <c r="I498" s="309">
        <v>-2932.49</v>
      </c>
      <c r="J498" s="306" t="s">
        <v>1008</v>
      </c>
      <c r="K498" s="309">
        <v>-2932.49</v>
      </c>
      <c r="L498" s="306" t="s">
        <v>1008</v>
      </c>
      <c r="M498" s="306" t="s">
        <v>1970</v>
      </c>
      <c r="N498" s="306" t="s">
        <v>1970</v>
      </c>
      <c r="O498" s="306" t="s">
        <v>1822</v>
      </c>
      <c r="P498" s="306" t="s">
        <v>1971</v>
      </c>
      <c r="Q498" s="306" t="s">
        <v>1013</v>
      </c>
      <c r="R498" s="306" t="s">
        <v>1013</v>
      </c>
      <c r="S498" s="306" t="s">
        <v>1013</v>
      </c>
      <c r="T498" s="306" t="s">
        <v>1013</v>
      </c>
      <c r="U498" s="306" t="s">
        <v>1013</v>
      </c>
      <c r="V498" s="306" t="s">
        <v>1013</v>
      </c>
      <c r="W498" s="306" t="s">
        <v>1013</v>
      </c>
      <c r="X498" s="306" t="s">
        <v>1013</v>
      </c>
      <c r="Y498" s="306" t="s">
        <v>1972</v>
      </c>
      <c r="Z498" s="306" t="s">
        <v>1015</v>
      </c>
      <c r="AA498" s="306" t="s">
        <v>1013</v>
      </c>
    </row>
    <row r="499" spans="1:27">
      <c r="A499" s="306" t="s">
        <v>494</v>
      </c>
      <c r="B499" s="306" t="s">
        <v>1003</v>
      </c>
      <c r="C499" s="306" t="s">
        <v>1004</v>
      </c>
      <c r="D499" s="306" t="s">
        <v>2435</v>
      </c>
      <c r="E499" s="306" t="s">
        <v>1973</v>
      </c>
      <c r="F499" s="306" t="s">
        <v>1007</v>
      </c>
      <c r="G499" s="308">
        <v>46020</v>
      </c>
      <c r="H499" s="308">
        <v>46020</v>
      </c>
      <c r="I499" s="309">
        <v>-1832.81</v>
      </c>
      <c r="J499" s="306" t="s">
        <v>1008</v>
      </c>
      <c r="K499" s="309">
        <v>-1832.81</v>
      </c>
      <c r="L499" s="306" t="s">
        <v>1008</v>
      </c>
      <c r="M499" s="306" t="s">
        <v>1974</v>
      </c>
      <c r="N499" s="306" t="s">
        <v>1535</v>
      </c>
      <c r="O499" s="306" t="s">
        <v>1822</v>
      </c>
      <c r="P499" s="306" t="s">
        <v>263</v>
      </c>
      <c r="Q499" s="306" t="s">
        <v>1013</v>
      </c>
      <c r="R499" s="306" t="s">
        <v>1013</v>
      </c>
      <c r="S499" s="306" t="s">
        <v>1013</v>
      </c>
      <c r="T499" s="306" t="s">
        <v>1013</v>
      </c>
      <c r="U499" s="306" t="s">
        <v>1013</v>
      </c>
      <c r="V499" s="306" t="s">
        <v>1013</v>
      </c>
      <c r="W499" s="306" t="s">
        <v>1013</v>
      </c>
      <c r="X499" s="306" t="s">
        <v>1013</v>
      </c>
      <c r="Y499" s="306" t="s">
        <v>1537</v>
      </c>
      <c r="Z499" s="306" t="s">
        <v>1015</v>
      </c>
      <c r="AA499" s="306" t="s">
        <v>1013</v>
      </c>
    </row>
    <row r="500" spans="1:27">
      <c r="A500" s="306" t="s">
        <v>494</v>
      </c>
      <c r="B500" s="306" t="s">
        <v>1003</v>
      </c>
      <c r="C500" s="306" t="s">
        <v>1004</v>
      </c>
      <c r="D500" s="306" t="s">
        <v>2435</v>
      </c>
      <c r="E500" s="306" t="s">
        <v>1975</v>
      </c>
      <c r="F500" s="306" t="s">
        <v>1007</v>
      </c>
      <c r="G500" s="308">
        <v>46020</v>
      </c>
      <c r="H500" s="308">
        <v>46020</v>
      </c>
      <c r="I500" s="309">
        <v>-1832.81</v>
      </c>
      <c r="J500" s="306" t="s">
        <v>1008</v>
      </c>
      <c r="K500" s="309">
        <v>-1832.81</v>
      </c>
      <c r="L500" s="306" t="s">
        <v>1008</v>
      </c>
      <c r="M500" s="306" t="s">
        <v>1976</v>
      </c>
      <c r="N500" s="306" t="s">
        <v>1694</v>
      </c>
      <c r="O500" s="306" t="s">
        <v>1822</v>
      </c>
      <c r="P500" s="306" t="s">
        <v>1696</v>
      </c>
      <c r="Q500" s="306" t="s">
        <v>1013</v>
      </c>
      <c r="R500" s="306" t="s">
        <v>1013</v>
      </c>
      <c r="S500" s="306" t="s">
        <v>1013</v>
      </c>
      <c r="T500" s="306" t="s">
        <v>1013</v>
      </c>
      <c r="U500" s="306" t="s">
        <v>1013</v>
      </c>
      <c r="V500" s="306" t="s">
        <v>1013</v>
      </c>
      <c r="W500" s="306" t="s">
        <v>1013</v>
      </c>
      <c r="X500" s="306" t="s">
        <v>1013</v>
      </c>
      <c r="Y500" s="306" t="s">
        <v>1697</v>
      </c>
      <c r="Z500" s="306" t="s">
        <v>1015</v>
      </c>
      <c r="AA500" s="306" t="s">
        <v>1013</v>
      </c>
    </row>
    <row r="501" spans="1:27">
      <c r="A501" s="306" t="s">
        <v>494</v>
      </c>
      <c r="B501" s="306" t="s">
        <v>1003</v>
      </c>
      <c r="C501" s="306" t="s">
        <v>1004</v>
      </c>
      <c r="D501" s="306" t="s">
        <v>2435</v>
      </c>
      <c r="E501" s="306" t="s">
        <v>1977</v>
      </c>
      <c r="F501" s="306" t="s">
        <v>1007</v>
      </c>
      <c r="G501" s="308">
        <v>46020</v>
      </c>
      <c r="H501" s="308">
        <v>46020</v>
      </c>
      <c r="I501" s="309">
        <v>-1832.81</v>
      </c>
      <c r="J501" s="306" t="s">
        <v>1008</v>
      </c>
      <c r="K501" s="309">
        <v>-1832.81</v>
      </c>
      <c r="L501" s="306" t="s">
        <v>1008</v>
      </c>
      <c r="M501" s="306" t="s">
        <v>1978</v>
      </c>
      <c r="N501" s="306" t="s">
        <v>1151</v>
      </c>
      <c r="O501" s="306" t="s">
        <v>1822</v>
      </c>
      <c r="P501" s="306" t="s">
        <v>244</v>
      </c>
      <c r="Q501" s="306" t="s">
        <v>1013</v>
      </c>
      <c r="R501" s="306" t="s">
        <v>1013</v>
      </c>
      <c r="S501" s="306" t="s">
        <v>1013</v>
      </c>
      <c r="T501" s="306" t="s">
        <v>1013</v>
      </c>
      <c r="U501" s="306" t="s">
        <v>1013</v>
      </c>
      <c r="V501" s="306" t="s">
        <v>1013</v>
      </c>
      <c r="W501" s="306" t="s">
        <v>1013</v>
      </c>
      <c r="X501" s="306" t="s">
        <v>1013</v>
      </c>
      <c r="Y501" s="306" t="s">
        <v>1153</v>
      </c>
      <c r="Z501" s="306" t="s">
        <v>1015</v>
      </c>
      <c r="AA501" s="306" t="s">
        <v>1013</v>
      </c>
    </row>
    <row r="502" spans="1:27">
      <c r="A502" s="306" t="s">
        <v>494</v>
      </c>
      <c r="B502" s="306" t="s">
        <v>1003</v>
      </c>
      <c r="C502" s="306" t="s">
        <v>1004</v>
      </c>
      <c r="D502" s="306" t="s">
        <v>2435</v>
      </c>
      <c r="E502" s="306" t="s">
        <v>1979</v>
      </c>
      <c r="F502" s="306" t="s">
        <v>1007</v>
      </c>
      <c r="G502" s="308">
        <v>46020</v>
      </c>
      <c r="H502" s="308">
        <v>46020</v>
      </c>
      <c r="I502" s="309">
        <v>-1832.81</v>
      </c>
      <c r="J502" s="306" t="s">
        <v>1008</v>
      </c>
      <c r="K502" s="309">
        <v>-1832.81</v>
      </c>
      <c r="L502" s="306" t="s">
        <v>1008</v>
      </c>
      <c r="M502" s="306" t="s">
        <v>1980</v>
      </c>
      <c r="N502" s="306" t="s">
        <v>1403</v>
      </c>
      <c r="O502" s="306" t="s">
        <v>1822</v>
      </c>
      <c r="P502" s="306" t="s">
        <v>1405</v>
      </c>
      <c r="Q502" s="306" t="s">
        <v>1013</v>
      </c>
      <c r="R502" s="306" t="s">
        <v>1013</v>
      </c>
      <c r="S502" s="306" t="s">
        <v>1013</v>
      </c>
      <c r="T502" s="306" t="s">
        <v>1013</v>
      </c>
      <c r="U502" s="306" t="s">
        <v>1013</v>
      </c>
      <c r="V502" s="306" t="s">
        <v>1013</v>
      </c>
      <c r="W502" s="306" t="s">
        <v>1013</v>
      </c>
      <c r="X502" s="306" t="s">
        <v>1013</v>
      </c>
      <c r="Y502" s="306" t="s">
        <v>1406</v>
      </c>
      <c r="Z502" s="306" t="s">
        <v>1015</v>
      </c>
      <c r="AA502" s="306" t="s">
        <v>1013</v>
      </c>
    </row>
    <row r="503" spans="1:27">
      <c r="A503" s="306" t="s">
        <v>494</v>
      </c>
      <c r="B503" s="306" t="s">
        <v>1003</v>
      </c>
      <c r="C503" s="306" t="s">
        <v>1004</v>
      </c>
      <c r="D503" s="306" t="s">
        <v>2435</v>
      </c>
      <c r="E503" s="306" t="s">
        <v>1981</v>
      </c>
      <c r="F503" s="306" t="s">
        <v>1007</v>
      </c>
      <c r="G503" s="308">
        <v>46020</v>
      </c>
      <c r="H503" s="308">
        <v>46020</v>
      </c>
      <c r="I503" s="309">
        <v>-1788.11</v>
      </c>
      <c r="J503" s="306" t="s">
        <v>1008</v>
      </c>
      <c r="K503" s="309">
        <v>-1788.11</v>
      </c>
      <c r="L503" s="306" t="s">
        <v>1008</v>
      </c>
      <c r="M503" s="306" t="s">
        <v>1982</v>
      </c>
      <c r="N503" s="306" t="s">
        <v>1982</v>
      </c>
      <c r="O503" s="306" t="s">
        <v>1822</v>
      </c>
      <c r="P503" s="306" t="s">
        <v>1069</v>
      </c>
      <c r="Q503" s="306" t="s">
        <v>1013</v>
      </c>
      <c r="R503" s="306" t="s">
        <v>1013</v>
      </c>
      <c r="S503" s="306" t="s">
        <v>1013</v>
      </c>
      <c r="T503" s="306" t="s">
        <v>1013</v>
      </c>
      <c r="U503" s="306" t="s">
        <v>1013</v>
      </c>
      <c r="V503" s="306" t="s">
        <v>1013</v>
      </c>
      <c r="W503" s="306" t="s">
        <v>1013</v>
      </c>
      <c r="X503" s="306" t="s">
        <v>1013</v>
      </c>
      <c r="Y503" s="306" t="s">
        <v>1983</v>
      </c>
      <c r="Z503" s="306" t="s">
        <v>1015</v>
      </c>
      <c r="AA503" s="306" t="s">
        <v>1013</v>
      </c>
    </row>
    <row r="504" spans="1:27">
      <c r="A504" s="306" t="s">
        <v>494</v>
      </c>
      <c r="B504" s="306" t="s">
        <v>1003</v>
      </c>
      <c r="C504" s="306" t="s">
        <v>1004</v>
      </c>
      <c r="D504" s="306" t="s">
        <v>2435</v>
      </c>
      <c r="E504" s="306" t="s">
        <v>1984</v>
      </c>
      <c r="F504" s="306" t="s">
        <v>1007</v>
      </c>
      <c r="G504" s="308">
        <v>46020</v>
      </c>
      <c r="H504" s="308">
        <v>46020</v>
      </c>
      <c r="I504" s="309">
        <v>-1703.11</v>
      </c>
      <c r="J504" s="306" t="s">
        <v>1008</v>
      </c>
      <c r="K504" s="309">
        <v>-1703.11</v>
      </c>
      <c r="L504" s="306" t="s">
        <v>1008</v>
      </c>
      <c r="M504" s="306" t="s">
        <v>1985</v>
      </c>
      <c r="N504" s="306" t="s">
        <v>1986</v>
      </c>
      <c r="O504" s="306" t="s">
        <v>1822</v>
      </c>
      <c r="P504" s="306" t="s">
        <v>1069</v>
      </c>
      <c r="Q504" s="306" t="s">
        <v>1013</v>
      </c>
      <c r="R504" s="306" t="s">
        <v>1013</v>
      </c>
      <c r="S504" s="306" t="s">
        <v>1013</v>
      </c>
      <c r="T504" s="306" t="s">
        <v>1013</v>
      </c>
      <c r="U504" s="306" t="s">
        <v>1013</v>
      </c>
      <c r="V504" s="306" t="s">
        <v>1013</v>
      </c>
      <c r="W504" s="306" t="s">
        <v>1013</v>
      </c>
      <c r="X504" s="306" t="s">
        <v>1013</v>
      </c>
      <c r="Y504" s="306" t="s">
        <v>1987</v>
      </c>
      <c r="Z504" s="306" t="s">
        <v>1015</v>
      </c>
      <c r="AA504" s="306" t="s">
        <v>1013</v>
      </c>
    </row>
    <row r="505" spans="1:27">
      <c r="A505" s="306" t="s">
        <v>494</v>
      </c>
      <c r="B505" s="306" t="s">
        <v>1003</v>
      </c>
      <c r="C505" s="306" t="s">
        <v>1004</v>
      </c>
      <c r="D505" s="306" t="s">
        <v>2435</v>
      </c>
      <c r="E505" s="306" t="s">
        <v>1988</v>
      </c>
      <c r="F505" s="306" t="s">
        <v>1007</v>
      </c>
      <c r="G505" s="308">
        <v>46020</v>
      </c>
      <c r="H505" s="308">
        <v>46020</v>
      </c>
      <c r="I505" s="309">
        <v>-1703.11</v>
      </c>
      <c r="J505" s="306" t="s">
        <v>1008</v>
      </c>
      <c r="K505" s="309">
        <v>-1703.11</v>
      </c>
      <c r="L505" s="306" t="s">
        <v>1008</v>
      </c>
      <c r="M505" s="306" t="s">
        <v>1989</v>
      </c>
      <c r="N505" s="306" t="s">
        <v>1990</v>
      </c>
      <c r="O505" s="306" t="s">
        <v>1822</v>
      </c>
      <c r="P505" s="306" t="s">
        <v>1069</v>
      </c>
      <c r="Q505" s="306" t="s">
        <v>1013</v>
      </c>
      <c r="R505" s="306" t="s">
        <v>1013</v>
      </c>
      <c r="S505" s="306" t="s">
        <v>1013</v>
      </c>
      <c r="T505" s="306" t="s">
        <v>1013</v>
      </c>
      <c r="U505" s="306" t="s">
        <v>1013</v>
      </c>
      <c r="V505" s="306" t="s">
        <v>1013</v>
      </c>
      <c r="W505" s="306" t="s">
        <v>1013</v>
      </c>
      <c r="X505" s="306" t="s">
        <v>1013</v>
      </c>
      <c r="Y505" s="306" t="s">
        <v>1991</v>
      </c>
      <c r="Z505" s="306" t="s">
        <v>1015</v>
      </c>
      <c r="AA505" s="306" t="s">
        <v>1013</v>
      </c>
    </row>
    <row r="506" spans="1:27">
      <c r="A506" s="306" t="s">
        <v>494</v>
      </c>
      <c r="B506" s="306" t="s">
        <v>1003</v>
      </c>
      <c r="C506" s="306" t="s">
        <v>1004</v>
      </c>
      <c r="D506" s="306" t="s">
        <v>2435</v>
      </c>
      <c r="E506" s="306" t="s">
        <v>1992</v>
      </c>
      <c r="F506" s="306" t="s">
        <v>1007</v>
      </c>
      <c r="G506" s="308">
        <v>46020</v>
      </c>
      <c r="H506" s="308">
        <v>46020</v>
      </c>
      <c r="I506" s="309">
        <v>-1586.99</v>
      </c>
      <c r="J506" s="306" t="s">
        <v>1008</v>
      </c>
      <c r="K506" s="309">
        <v>-1586.99</v>
      </c>
      <c r="L506" s="306" t="s">
        <v>1008</v>
      </c>
      <c r="M506" s="306" t="s">
        <v>1993</v>
      </c>
      <c r="N506" s="306" t="s">
        <v>1994</v>
      </c>
      <c r="O506" s="306" t="s">
        <v>1995</v>
      </c>
      <c r="P506" s="306" t="s">
        <v>1069</v>
      </c>
      <c r="Q506" s="306" t="s">
        <v>1013</v>
      </c>
      <c r="R506" s="306" t="s">
        <v>1013</v>
      </c>
      <c r="S506" s="306" t="s">
        <v>1013</v>
      </c>
      <c r="T506" s="306" t="s">
        <v>1013</v>
      </c>
      <c r="U506" s="306" t="s">
        <v>1013</v>
      </c>
      <c r="V506" s="306" t="s">
        <v>1013</v>
      </c>
      <c r="W506" s="306" t="s">
        <v>1013</v>
      </c>
      <c r="X506" s="306" t="s">
        <v>1013</v>
      </c>
      <c r="Y506" s="306" t="s">
        <v>1996</v>
      </c>
      <c r="Z506" s="306" t="s">
        <v>1015</v>
      </c>
      <c r="AA506" s="306" t="s">
        <v>1013</v>
      </c>
    </row>
    <row r="507" spans="1:27">
      <c r="A507" s="306" t="s">
        <v>494</v>
      </c>
      <c r="B507" s="306" t="s">
        <v>1003</v>
      </c>
      <c r="C507" s="306" t="s">
        <v>1004</v>
      </c>
      <c r="D507" s="306" t="s">
        <v>2435</v>
      </c>
      <c r="E507" s="306" t="s">
        <v>1997</v>
      </c>
      <c r="F507" s="306" t="s">
        <v>1007</v>
      </c>
      <c r="G507" s="308">
        <v>46020</v>
      </c>
      <c r="H507" s="308">
        <v>46020</v>
      </c>
      <c r="I507" s="309">
        <v>-2286.4899999999998</v>
      </c>
      <c r="J507" s="306" t="s">
        <v>1008</v>
      </c>
      <c r="K507" s="309">
        <v>-2286.4899999999998</v>
      </c>
      <c r="L507" s="306" t="s">
        <v>1008</v>
      </c>
      <c r="M507" s="306" t="s">
        <v>1949</v>
      </c>
      <c r="N507" s="306" t="s">
        <v>259</v>
      </c>
      <c r="O507" s="306" t="s">
        <v>1822</v>
      </c>
      <c r="P507" s="306" t="s">
        <v>188</v>
      </c>
      <c r="Q507" s="306" t="s">
        <v>1013</v>
      </c>
      <c r="R507" s="306" t="s">
        <v>1013</v>
      </c>
      <c r="S507" s="306" t="s">
        <v>1013</v>
      </c>
      <c r="T507" s="306" t="s">
        <v>1013</v>
      </c>
      <c r="U507" s="306" t="s">
        <v>1013</v>
      </c>
      <c r="V507" s="306" t="s">
        <v>1013</v>
      </c>
      <c r="W507" s="306" t="s">
        <v>1013</v>
      </c>
      <c r="X507" s="306" t="s">
        <v>1013</v>
      </c>
      <c r="Y507" s="306" t="s">
        <v>1998</v>
      </c>
      <c r="Z507" s="306" t="s">
        <v>1015</v>
      </c>
      <c r="AA507" s="306" t="s">
        <v>1013</v>
      </c>
    </row>
    <row r="508" spans="1:27">
      <c r="A508" s="306" t="s">
        <v>494</v>
      </c>
      <c r="B508" s="306" t="s">
        <v>1003</v>
      </c>
      <c r="C508" s="306" t="s">
        <v>1004</v>
      </c>
      <c r="D508" s="306" t="s">
        <v>2435</v>
      </c>
      <c r="E508" s="306" t="s">
        <v>1999</v>
      </c>
      <c r="F508" s="306" t="s">
        <v>1007</v>
      </c>
      <c r="G508" s="308">
        <v>46020</v>
      </c>
      <c r="H508" s="308">
        <v>46020</v>
      </c>
      <c r="I508" s="309">
        <v>-4032.18</v>
      </c>
      <c r="J508" s="306" t="s">
        <v>1008</v>
      </c>
      <c r="K508" s="309">
        <v>-4032.18</v>
      </c>
      <c r="L508" s="306" t="s">
        <v>1008</v>
      </c>
      <c r="M508" s="306" t="s">
        <v>1949</v>
      </c>
      <c r="N508" s="306" t="s">
        <v>260</v>
      </c>
      <c r="O508" s="306" t="s">
        <v>1822</v>
      </c>
      <c r="P508" s="306" t="s">
        <v>188</v>
      </c>
      <c r="Q508" s="306" t="s">
        <v>1013</v>
      </c>
      <c r="R508" s="306" t="s">
        <v>1013</v>
      </c>
      <c r="S508" s="306" t="s">
        <v>1013</v>
      </c>
      <c r="T508" s="306" t="s">
        <v>1013</v>
      </c>
      <c r="U508" s="306" t="s">
        <v>1013</v>
      </c>
      <c r="V508" s="306" t="s">
        <v>1013</v>
      </c>
      <c r="W508" s="306" t="s">
        <v>1013</v>
      </c>
      <c r="X508" s="306" t="s">
        <v>1013</v>
      </c>
      <c r="Y508" s="306" t="s">
        <v>1998</v>
      </c>
      <c r="Z508" s="306" t="s">
        <v>1015</v>
      </c>
      <c r="AA508" s="306" t="s">
        <v>1013</v>
      </c>
    </row>
    <row r="509" spans="1:27">
      <c r="A509" s="306" t="s">
        <v>494</v>
      </c>
      <c r="B509" s="306" t="s">
        <v>1003</v>
      </c>
      <c r="C509" s="306" t="s">
        <v>1004</v>
      </c>
      <c r="D509" s="306" t="s">
        <v>2435</v>
      </c>
      <c r="E509" s="306" t="s">
        <v>2000</v>
      </c>
      <c r="F509" s="306" t="s">
        <v>1007</v>
      </c>
      <c r="G509" s="308">
        <v>46020</v>
      </c>
      <c r="H509" s="308">
        <v>46020</v>
      </c>
      <c r="I509" s="309">
        <v>-3665.62</v>
      </c>
      <c r="J509" s="306" t="s">
        <v>1008</v>
      </c>
      <c r="K509" s="309">
        <v>-3665.62</v>
      </c>
      <c r="L509" s="306" t="s">
        <v>1008</v>
      </c>
      <c r="M509" s="306" t="s">
        <v>1949</v>
      </c>
      <c r="N509" s="306" t="s">
        <v>2001</v>
      </c>
      <c r="O509" s="306" t="s">
        <v>1822</v>
      </c>
      <c r="P509" s="306" t="s">
        <v>2002</v>
      </c>
      <c r="Q509" s="306" t="s">
        <v>1013</v>
      </c>
      <c r="R509" s="306" t="s">
        <v>1013</v>
      </c>
      <c r="S509" s="306" t="s">
        <v>1013</v>
      </c>
      <c r="T509" s="306" t="s">
        <v>1013</v>
      </c>
      <c r="U509" s="306" t="s">
        <v>1013</v>
      </c>
      <c r="V509" s="306" t="s">
        <v>1013</v>
      </c>
      <c r="W509" s="306" t="s">
        <v>1013</v>
      </c>
      <c r="X509" s="306" t="s">
        <v>1013</v>
      </c>
      <c r="Y509" s="306" t="s">
        <v>2003</v>
      </c>
      <c r="Z509" s="306" t="s">
        <v>1015</v>
      </c>
      <c r="AA509" s="306" t="s">
        <v>1013</v>
      </c>
    </row>
    <row r="510" spans="1:27">
      <c r="A510" s="306" t="s">
        <v>494</v>
      </c>
      <c r="B510" s="306" t="s">
        <v>1003</v>
      </c>
      <c r="C510" s="306" t="s">
        <v>1004</v>
      </c>
      <c r="D510" s="306" t="s">
        <v>2435</v>
      </c>
      <c r="E510" s="306" t="s">
        <v>2004</v>
      </c>
      <c r="F510" s="306" t="s">
        <v>1007</v>
      </c>
      <c r="G510" s="308">
        <v>46020</v>
      </c>
      <c r="H510" s="308">
        <v>46020</v>
      </c>
      <c r="I510" s="309">
        <v>-2932.51</v>
      </c>
      <c r="J510" s="306" t="s">
        <v>1008</v>
      </c>
      <c r="K510" s="309">
        <v>-2932.51</v>
      </c>
      <c r="L510" s="306" t="s">
        <v>1008</v>
      </c>
      <c r="M510" s="306" t="s">
        <v>2005</v>
      </c>
      <c r="N510" s="306" t="s">
        <v>2005</v>
      </c>
      <c r="O510" s="306" t="s">
        <v>1822</v>
      </c>
      <c r="P510" s="306" t="s">
        <v>1069</v>
      </c>
      <c r="Q510" s="306" t="s">
        <v>1013</v>
      </c>
      <c r="R510" s="306" t="s">
        <v>1013</v>
      </c>
      <c r="S510" s="306" t="s">
        <v>1013</v>
      </c>
      <c r="T510" s="306" t="s">
        <v>1013</v>
      </c>
      <c r="U510" s="306" t="s">
        <v>1013</v>
      </c>
      <c r="V510" s="306" t="s">
        <v>1013</v>
      </c>
      <c r="W510" s="306" t="s">
        <v>1013</v>
      </c>
      <c r="X510" s="306" t="s">
        <v>1013</v>
      </c>
      <c r="Y510" s="306" t="s">
        <v>1070</v>
      </c>
      <c r="Z510" s="306" t="s">
        <v>1015</v>
      </c>
      <c r="AA510" s="306" t="s">
        <v>1013</v>
      </c>
    </row>
    <row r="511" spans="1:27">
      <c r="A511" s="306" t="s">
        <v>494</v>
      </c>
      <c r="B511" s="306" t="s">
        <v>1003</v>
      </c>
      <c r="C511" s="306" t="s">
        <v>1004</v>
      </c>
      <c r="D511" s="306" t="s">
        <v>2435</v>
      </c>
      <c r="E511" s="306" t="s">
        <v>2006</v>
      </c>
      <c r="F511" s="306" t="s">
        <v>1007</v>
      </c>
      <c r="G511" s="308">
        <v>46020</v>
      </c>
      <c r="H511" s="308">
        <v>46020</v>
      </c>
      <c r="I511" s="309">
        <v>-2932.49</v>
      </c>
      <c r="J511" s="306" t="s">
        <v>1008</v>
      </c>
      <c r="K511" s="309">
        <v>-2932.49</v>
      </c>
      <c r="L511" s="306" t="s">
        <v>1008</v>
      </c>
      <c r="M511" s="306" t="s">
        <v>2007</v>
      </c>
      <c r="N511" s="306" t="s">
        <v>2008</v>
      </c>
      <c r="O511" s="306" t="s">
        <v>1822</v>
      </c>
      <c r="P511" s="306" t="s">
        <v>1069</v>
      </c>
      <c r="Q511" s="306" t="s">
        <v>1013</v>
      </c>
      <c r="R511" s="306" t="s">
        <v>1013</v>
      </c>
      <c r="S511" s="306" t="s">
        <v>1013</v>
      </c>
      <c r="T511" s="306" t="s">
        <v>1013</v>
      </c>
      <c r="U511" s="306" t="s">
        <v>1013</v>
      </c>
      <c r="V511" s="306" t="s">
        <v>1013</v>
      </c>
      <c r="W511" s="306" t="s">
        <v>1013</v>
      </c>
      <c r="X511" s="306" t="s">
        <v>1013</v>
      </c>
      <c r="Y511" s="306" t="s">
        <v>2009</v>
      </c>
      <c r="Z511" s="306" t="s">
        <v>1015</v>
      </c>
      <c r="AA511" s="306" t="s">
        <v>1013</v>
      </c>
    </row>
    <row r="512" spans="1:27">
      <c r="A512" s="306" t="s">
        <v>494</v>
      </c>
      <c r="B512" s="306" t="s">
        <v>1003</v>
      </c>
      <c r="C512" s="306" t="s">
        <v>1004</v>
      </c>
      <c r="D512" s="306" t="s">
        <v>2435</v>
      </c>
      <c r="E512" s="306" t="s">
        <v>2010</v>
      </c>
      <c r="F512" s="306" t="s">
        <v>1007</v>
      </c>
      <c r="G512" s="308">
        <v>46020</v>
      </c>
      <c r="H512" s="308">
        <v>46020</v>
      </c>
      <c r="I512" s="309">
        <v>-3665.62</v>
      </c>
      <c r="J512" s="306" t="s">
        <v>1008</v>
      </c>
      <c r="K512" s="309">
        <v>-3665.62</v>
      </c>
      <c r="L512" s="306" t="s">
        <v>1008</v>
      </c>
      <c r="M512" s="306" t="s">
        <v>2011</v>
      </c>
      <c r="N512" s="306" t="s">
        <v>2011</v>
      </c>
      <c r="O512" s="306" t="s">
        <v>1822</v>
      </c>
      <c r="P512" s="306" t="s">
        <v>1069</v>
      </c>
      <c r="Q512" s="306" t="s">
        <v>1013</v>
      </c>
      <c r="R512" s="306" t="s">
        <v>1013</v>
      </c>
      <c r="S512" s="306" t="s">
        <v>1013</v>
      </c>
      <c r="T512" s="306" t="s">
        <v>1013</v>
      </c>
      <c r="U512" s="306" t="s">
        <v>1013</v>
      </c>
      <c r="V512" s="306" t="s">
        <v>1013</v>
      </c>
      <c r="W512" s="306" t="s">
        <v>1013</v>
      </c>
      <c r="X512" s="306" t="s">
        <v>1013</v>
      </c>
      <c r="Y512" s="306" t="s">
        <v>2012</v>
      </c>
      <c r="Z512" s="306" t="s">
        <v>1015</v>
      </c>
      <c r="AA512" s="306" t="s">
        <v>1013</v>
      </c>
    </row>
    <row r="513" spans="1:27">
      <c r="A513" s="306" t="s">
        <v>494</v>
      </c>
      <c r="B513" s="306" t="s">
        <v>1003</v>
      </c>
      <c r="C513" s="306" t="s">
        <v>1004</v>
      </c>
      <c r="D513" s="306" t="s">
        <v>2435</v>
      </c>
      <c r="E513" s="306" t="s">
        <v>2013</v>
      </c>
      <c r="F513" s="306" t="s">
        <v>1007</v>
      </c>
      <c r="G513" s="308">
        <v>46020</v>
      </c>
      <c r="H513" s="308">
        <v>46020</v>
      </c>
      <c r="I513" s="309">
        <v>-2932.49</v>
      </c>
      <c r="J513" s="306" t="s">
        <v>1008</v>
      </c>
      <c r="K513" s="309">
        <v>-2932.49</v>
      </c>
      <c r="L513" s="306" t="s">
        <v>1008</v>
      </c>
      <c r="M513" s="306" t="s">
        <v>2014</v>
      </c>
      <c r="N513" s="306" t="s">
        <v>2014</v>
      </c>
      <c r="O513" s="306" t="s">
        <v>1822</v>
      </c>
      <c r="P513" s="306" t="s">
        <v>212</v>
      </c>
      <c r="Q513" s="306" t="s">
        <v>1013</v>
      </c>
      <c r="R513" s="306" t="s">
        <v>1013</v>
      </c>
      <c r="S513" s="306" t="s">
        <v>1013</v>
      </c>
      <c r="T513" s="306" t="s">
        <v>1013</v>
      </c>
      <c r="U513" s="306" t="s">
        <v>1013</v>
      </c>
      <c r="V513" s="306" t="s">
        <v>1013</v>
      </c>
      <c r="W513" s="306" t="s">
        <v>1013</v>
      </c>
      <c r="X513" s="306" t="s">
        <v>1013</v>
      </c>
      <c r="Y513" s="306" t="s">
        <v>1112</v>
      </c>
      <c r="Z513" s="306" t="s">
        <v>1015</v>
      </c>
      <c r="AA513" s="306" t="s">
        <v>1013</v>
      </c>
    </row>
    <row r="514" spans="1:27">
      <c r="A514" s="306" t="s">
        <v>494</v>
      </c>
      <c r="B514" s="306" t="s">
        <v>1003</v>
      </c>
      <c r="C514" s="306" t="s">
        <v>1004</v>
      </c>
      <c r="D514" s="306" t="s">
        <v>2435</v>
      </c>
      <c r="E514" s="306" t="s">
        <v>2015</v>
      </c>
      <c r="F514" s="306" t="s">
        <v>1007</v>
      </c>
      <c r="G514" s="308">
        <v>46020</v>
      </c>
      <c r="H514" s="308">
        <v>46020</v>
      </c>
      <c r="I514" s="309">
        <v>-2078.62</v>
      </c>
      <c r="J514" s="306" t="s">
        <v>1008</v>
      </c>
      <c r="K514" s="309">
        <v>-2078.62</v>
      </c>
      <c r="L514" s="306" t="s">
        <v>1008</v>
      </c>
      <c r="M514" s="306" t="s">
        <v>2016</v>
      </c>
      <c r="N514" s="306" t="s">
        <v>2016</v>
      </c>
      <c r="O514" s="306" t="s">
        <v>1822</v>
      </c>
      <c r="P514" s="306" t="s">
        <v>206</v>
      </c>
      <c r="Q514" s="306" t="s">
        <v>1013</v>
      </c>
      <c r="R514" s="306" t="s">
        <v>1013</v>
      </c>
      <c r="S514" s="306" t="s">
        <v>1013</v>
      </c>
      <c r="T514" s="306" t="s">
        <v>1013</v>
      </c>
      <c r="U514" s="306" t="s">
        <v>1013</v>
      </c>
      <c r="V514" s="306" t="s">
        <v>1013</v>
      </c>
      <c r="W514" s="306" t="s">
        <v>1013</v>
      </c>
      <c r="X514" s="306" t="s">
        <v>1013</v>
      </c>
      <c r="Y514" s="306" t="s">
        <v>2017</v>
      </c>
      <c r="Z514" s="306" t="s">
        <v>1015</v>
      </c>
      <c r="AA514" s="306" t="s">
        <v>1013</v>
      </c>
    </row>
    <row r="515" spans="1:27">
      <c r="A515" s="306" t="s">
        <v>494</v>
      </c>
      <c r="B515" s="306" t="s">
        <v>1003</v>
      </c>
      <c r="C515" s="306" t="s">
        <v>1004</v>
      </c>
      <c r="D515" s="306" t="s">
        <v>2435</v>
      </c>
      <c r="E515" s="306" t="s">
        <v>2018</v>
      </c>
      <c r="F515" s="306" t="s">
        <v>1007</v>
      </c>
      <c r="G515" s="308">
        <v>46020</v>
      </c>
      <c r="H515" s="308">
        <v>46020</v>
      </c>
      <c r="I515" s="309">
        <v>-2932.49</v>
      </c>
      <c r="J515" s="306" t="s">
        <v>1008</v>
      </c>
      <c r="K515" s="309">
        <v>-2932.49</v>
      </c>
      <c r="L515" s="306" t="s">
        <v>1008</v>
      </c>
      <c r="M515" s="306" t="s">
        <v>2019</v>
      </c>
      <c r="N515" s="306" t="s">
        <v>2019</v>
      </c>
      <c r="O515" s="306" t="s">
        <v>1822</v>
      </c>
      <c r="P515" s="306" t="s">
        <v>2020</v>
      </c>
      <c r="Q515" s="306" t="s">
        <v>1013</v>
      </c>
      <c r="R515" s="306" t="s">
        <v>1013</v>
      </c>
      <c r="S515" s="306" t="s">
        <v>1013</v>
      </c>
      <c r="T515" s="306" t="s">
        <v>1013</v>
      </c>
      <c r="U515" s="306" t="s">
        <v>1013</v>
      </c>
      <c r="V515" s="306" t="s">
        <v>1013</v>
      </c>
      <c r="W515" s="306" t="s">
        <v>1013</v>
      </c>
      <c r="X515" s="306" t="s">
        <v>1013</v>
      </c>
      <c r="Y515" s="306" t="s">
        <v>2021</v>
      </c>
      <c r="Z515" s="306" t="s">
        <v>1015</v>
      </c>
      <c r="AA515" s="306" t="s">
        <v>1013</v>
      </c>
    </row>
    <row r="516" spans="1:27">
      <c r="A516" s="306" t="s">
        <v>494</v>
      </c>
      <c r="B516" s="306" t="s">
        <v>1003</v>
      </c>
      <c r="C516" s="306" t="s">
        <v>1004</v>
      </c>
      <c r="D516" s="306" t="s">
        <v>2435</v>
      </c>
      <c r="E516" s="306" t="s">
        <v>2022</v>
      </c>
      <c r="F516" s="306" t="s">
        <v>1007</v>
      </c>
      <c r="G516" s="308">
        <v>46020</v>
      </c>
      <c r="H516" s="308">
        <v>46020</v>
      </c>
      <c r="I516" s="309">
        <v>2286.4899999999998</v>
      </c>
      <c r="J516" s="306" t="s">
        <v>1008</v>
      </c>
      <c r="K516" s="309">
        <v>2286.4899999999998</v>
      </c>
      <c r="L516" s="306" t="s">
        <v>1008</v>
      </c>
      <c r="M516" s="306" t="s">
        <v>1949</v>
      </c>
      <c r="N516" s="306" t="s">
        <v>259</v>
      </c>
      <c r="O516" s="306" t="s">
        <v>1822</v>
      </c>
      <c r="P516" s="306" t="s">
        <v>188</v>
      </c>
      <c r="Q516" s="306" t="s">
        <v>1013</v>
      </c>
      <c r="R516" s="306" t="s">
        <v>1013</v>
      </c>
      <c r="S516" s="306" t="s">
        <v>1013</v>
      </c>
      <c r="T516" s="306" t="s">
        <v>1013</v>
      </c>
      <c r="U516" s="306" t="s">
        <v>1013</v>
      </c>
      <c r="V516" s="306" t="s">
        <v>1013</v>
      </c>
      <c r="W516" s="306" t="s">
        <v>1013</v>
      </c>
      <c r="X516" s="306" t="s">
        <v>1013</v>
      </c>
      <c r="Y516" s="306" t="s">
        <v>1998</v>
      </c>
      <c r="Z516" s="306" t="s">
        <v>1015</v>
      </c>
      <c r="AA516" s="306" t="s">
        <v>1013</v>
      </c>
    </row>
    <row r="517" spans="1:27">
      <c r="A517" s="306" t="s">
        <v>494</v>
      </c>
      <c r="B517" s="306" t="s">
        <v>1003</v>
      </c>
      <c r="C517" s="306" t="s">
        <v>1004</v>
      </c>
      <c r="D517" s="306" t="s">
        <v>2435</v>
      </c>
      <c r="E517" s="306" t="s">
        <v>2023</v>
      </c>
      <c r="F517" s="306" t="s">
        <v>1007</v>
      </c>
      <c r="G517" s="308">
        <v>46020</v>
      </c>
      <c r="H517" s="308">
        <v>46020</v>
      </c>
      <c r="I517" s="309">
        <v>4032.18</v>
      </c>
      <c r="J517" s="306" t="s">
        <v>1008</v>
      </c>
      <c r="K517" s="309">
        <v>4032.18</v>
      </c>
      <c r="L517" s="306" t="s">
        <v>1008</v>
      </c>
      <c r="M517" s="306" t="s">
        <v>1949</v>
      </c>
      <c r="N517" s="306" t="s">
        <v>260</v>
      </c>
      <c r="O517" s="306" t="s">
        <v>1822</v>
      </c>
      <c r="P517" s="306" t="s">
        <v>188</v>
      </c>
      <c r="Q517" s="306" t="s">
        <v>1013</v>
      </c>
      <c r="R517" s="306" t="s">
        <v>1013</v>
      </c>
      <c r="S517" s="306" t="s">
        <v>1013</v>
      </c>
      <c r="T517" s="306" t="s">
        <v>1013</v>
      </c>
      <c r="U517" s="306" t="s">
        <v>1013</v>
      </c>
      <c r="V517" s="306" t="s">
        <v>1013</v>
      </c>
      <c r="W517" s="306" t="s">
        <v>1013</v>
      </c>
      <c r="X517" s="306" t="s">
        <v>1013</v>
      </c>
      <c r="Y517" s="306" t="s">
        <v>1998</v>
      </c>
      <c r="Z517" s="306" t="s">
        <v>1015</v>
      </c>
      <c r="AA517" s="306" t="s">
        <v>1013</v>
      </c>
    </row>
    <row r="518" spans="1:27">
      <c r="A518" s="306" t="s">
        <v>494</v>
      </c>
      <c r="B518" s="306" t="s">
        <v>1003</v>
      </c>
      <c r="C518" s="306" t="s">
        <v>1004</v>
      </c>
      <c r="D518" s="306" t="s">
        <v>2435</v>
      </c>
      <c r="E518" s="306" t="s">
        <v>2024</v>
      </c>
      <c r="F518" s="306" t="s">
        <v>1007</v>
      </c>
      <c r="G518" s="308">
        <v>46020</v>
      </c>
      <c r="H518" s="308">
        <v>46020</v>
      </c>
      <c r="I518" s="309">
        <v>3665.62</v>
      </c>
      <c r="J518" s="306" t="s">
        <v>1008</v>
      </c>
      <c r="K518" s="309">
        <v>3665.62</v>
      </c>
      <c r="L518" s="306" t="s">
        <v>1008</v>
      </c>
      <c r="M518" s="306" t="s">
        <v>1949</v>
      </c>
      <c r="N518" s="306" t="s">
        <v>2001</v>
      </c>
      <c r="O518" s="306" t="s">
        <v>1822</v>
      </c>
      <c r="P518" s="306" t="s">
        <v>2002</v>
      </c>
      <c r="Q518" s="306" t="s">
        <v>1013</v>
      </c>
      <c r="R518" s="306" t="s">
        <v>1013</v>
      </c>
      <c r="S518" s="306" t="s">
        <v>1013</v>
      </c>
      <c r="T518" s="306" t="s">
        <v>1013</v>
      </c>
      <c r="U518" s="306" t="s">
        <v>1013</v>
      </c>
      <c r="V518" s="306" t="s">
        <v>1013</v>
      </c>
      <c r="W518" s="306" t="s">
        <v>1013</v>
      </c>
      <c r="X518" s="306" t="s">
        <v>1013</v>
      </c>
      <c r="Y518" s="306" t="s">
        <v>2003</v>
      </c>
      <c r="Z518" s="306" t="s">
        <v>1015</v>
      </c>
      <c r="AA518" s="306" t="s">
        <v>1013</v>
      </c>
    </row>
    <row r="519" spans="1:27">
      <c r="A519" s="306" t="s">
        <v>494</v>
      </c>
      <c r="B519" s="306" t="s">
        <v>1003</v>
      </c>
      <c r="C519" s="306" t="s">
        <v>1004</v>
      </c>
      <c r="D519" s="306" t="s">
        <v>2435</v>
      </c>
      <c r="E519" s="306" t="s">
        <v>2025</v>
      </c>
      <c r="F519" s="306" t="s">
        <v>1007</v>
      </c>
      <c r="G519" s="308">
        <v>46020</v>
      </c>
      <c r="H519" s="308">
        <v>46020</v>
      </c>
      <c r="I519" s="309">
        <v>2932.49</v>
      </c>
      <c r="J519" s="306" t="s">
        <v>1008</v>
      </c>
      <c r="K519" s="309">
        <v>2932.49</v>
      </c>
      <c r="L519" s="306" t="s">
        <v>1008</v>
      </c>
      <c r="M519" s="306" t="s">
        <v>1949</v>
      </c>
      <c r="N519" s="306" t="s">
        <v>1950</v>
      </c>
      <c r="O519" s="306" t="s">
        <v>1822</v>
      </c>
      <c r="P519" s="306" t="s">
        <v>1951</v>
      </c>
      <c r="Q519" s="306" t="s">
        <v>1013</v>
      </c>
      <c r="R519" s="306" t="s">
        <v>1013</v>
      </c>
      <c r="S519" s="306" t="s">
        <v>1013</v>
      </c>
      <c r="T519" s="306" t="s">
        <v>1013</v>
      </c>
      <c r="U519" s="306" t="s">
        <v>1013</v>
      </c>
      <c r="V519" s="306" t="s">
        <v>1013</v>
      </c>
      <c r="W519" s="306" t="s">
        <v>1013</v>
      </c>
      <c r="X519" s="306" t="s">
        <v>1013</v>
      </c>
      <c r="Y519" s="306" t="s">
        <v>1952</v>
      </c>
      <c r="Z519" s="306" t="s">
        <v>1015</v>
      </c>
      <c r="AA519" s="306" t="s">
        <v>1013</v>
      </c>
    </row>
    <row r="520" spans="1:27">
      <c r="A520" s="306" t="s">
        <v>494</v>
      </c>
      <c r="B520" s="306" t="s">
        <v>1003</v>
      </c>
      <c r="C520" s="306" t="s">
        <v>1004</v>
      </c>
      <c r="D520" s="306" t="s">
        <v>2435</v>
      </c>
      <c r="E520" s="306" t="s">
        <v>2026</v>
      </c>
      <c r="F520" s="306" t="s">
        <v>1007</v>
      </c>
      <c r="G520" s="308">
        <v>46022</v>
      </c>
      <c r="H520" s="308">
        <v>46022</v>
      </c>
      <c r="I520" s="309">
        <v>70395.28</v>
      </c>
      <c r="J520" s="306" t="s">
        <v>1008</v>
      </c>
      <c r="K520" s="309">
        <v>70395.28</v>
      </c>
      <c r="L520" s="306" t="s">
        <v>1008</v>
      </c>
      <c r="M520" s="306" t="s">
        <v>2027</v>
      </c>
      <c r="N520" s="306" t="s">
        <v>2027</v>
      </c>
      <c r="O520" s="306" t="s">
        <v>2028</v>
      </c>
      <c r="P520" s="306" t="s">
        <v>222</v>
      </c>
      <c r="Q520" s="306" t="s">
        <v>1013</v>
      </c>
      <c r="R520" s="306" t="s">
        <v>1013</v>
      </c>
      <c r="S520" s="306" t="s">
        <v>1013</v>
      </c>
      <c r="T520" s="306" t="s">
        <v>1013</v>
      </c>
      <c r="U520" s="306" t="s">
        <v>1013</v>
      </c>
      <c r="V520" s="306" t="s">
        <v>1013</v>
      </c>
      <c r="W520" s="306" t="s">
        <v>1013</v>
      </c>
      <c r="X520" s="306" t="s">
        <v>1013</v>
      </c>
      <c r="Y520" s="306" t="s">
        <v>1036</v>
      </c>
      <c r="Z520" s="306" t="s">
        <v>1015</v>
      </c>
      <c r="AA520" s="306" t="s">
        <v>1013</v>
      </c>
    </row>
    <row r="521" spans="1:27">
      <c r="A521" s="306" t="s">
        <v>494</v>
      </c>
      <c r="B521" s="306" t="s">
        <v>1003</v>
      </c>
      <c r="C521" s="306" t="s">
        <v>1004</v>
      </c>
      <c r="D521" s="306" t="s">
        <v>2435</v>
      </c>
      <c r="E521" s="306" t="s">
        <v>2029</v>
      </c>
      <c r="F521" s="306" t="s">
        <v>1007</v>
      </c>
      <c r="G521" s="308">
        <v>46022</v>
      </c>
      <c r="H521" s="308">
        <v>46022</v>
      </c>
      <c r="I521" s="309">
        <v>-46850.01</v>
      </c>
      <c r="J521" s="306" t="s">
        <v>1008</v>
      </c>
      <c r="K521" s="309">
        <v>-46850.01</v>
      </c>
      <c r="L521" s="306" t="s">
        <v>1008</v>
      </c>
      <c r="M521" s="306" t="s">
        <v>2027</v>
      </c>
      <c r="N521" s="306" t="s">
        <v>2027</v>
      </c>
      <c r="O521" s="306" t="s">
        <v>2030</v>
      </c>
      <c r="P521" s="306" t="s">
        <v>222</v>
      </c>
      <c r="Q521" s="306" t="s">
        <v>1013</v>
      </c>
      <c r="R521" s="306" t="s">
        <v>1013</v>
      </c>
      <c r="S521" s="306" t="s">
        <v>1013</v>
      </c>
      <c r="T521" s="306" t="s">
        <v>1013</v>
      </c>
      <c r="U521" s="306" t="s">
        <v>1013</v>
      </c>
      <c r="V521" s="306" t="s">
        <v>1013</v>
      </c>
      <c r="W521" s="306" t="s">
        <v>1013</v>
      </c>
      <c r="X521" s="306" t="s">
        <v>1013</v>
      </c>
      <c r="Y521" s="306" t="s">
        <v>1036</v>
      </c>
      <c r="Z521" s="306" t="s">
        <v>1015</v>
      </c>
      <c r="AA521" s="306" t="s">
        <v>1013</v>
      </c>
    </row>
    <row r="522" spans="1:27">
      <c r="A522" s="306" t="s">
        <v>494</v>
      </c>
      <c r="B522" s="306" t="s">
        <v>1003</v>
      </c>
      <c r="C522" s="306" t="s">
        <v>1004</v>
      </c>
      <c r="D522" s="306" t="s">
        <v>2435</v>
      </c>
      <c r="E522" s="306" t="s">
        <v>2031</v>
      </c>
      <c r="F522" s="306" t="s">
        <v>1007</v>
      </c>
      <c r="G522" s="308">
        <v>46022</v>
      </c>
      <c r="H522" s="308">
        <v>46022</v>
      </c>
      <c r="I522" s="309">
        <v>-134801.17000000001</v>
      </c>
      <c r="J522" s="306" t="s">
        <v>1008</v>
      </c>
      <c r="K522" s="309">
        <v>-134801.17000000001</v>
      </c>
      <c r="L522" s="306" t="s">
        <v>1008</v>
      </c>
      <c r="M522" s="306" t="s">
        <v>2027</v>
      </c>
      <c r="N522" s="306" t="s">
        <v>2027</v>
      </c>
      <c r="O522" s="306" t="s">
        <v>2032</v>
      </c>
      <c r="P522" s="306" t="s">
        <v>222</v>
      </c>
      <c r="Q522" s="306" t="s">
        <v>1013</v>
      </c>
      <c r="R522" s="306" t="s">
        <v>1013</v>
      </c>
      <c r="S522" s="306" t="s">
        <v>1013</v>
      </c>
      <c r="T522" s="306" t="s">
        <v>1013</v>
      </c>
      <c r="U522" s="306" t="s">
        <v>1013</v>
      </c>
      <c r="V522" s="306" t="s">
        <v>1013</v>
      </c>
      <c r="W522" s="306" t="s">
        <v>1013</v>
      </c>
      <c r="X522" s="306" t="s">
        <v>1013</v>
      </c>
      <c r="Y522" s="306" t="s">
        <v>1036</v>
      </c>
      <c r="Z522" s="306" t="s">
        <v>1015</v>
      </c>
      <c r="AA522" s="306" t="s">
        <v>1013</v>
      </c>
    </row>
    <row r="523" spans="1:27">
      <c r="A523" s="306" t="s">
        <v>494</v>
      </c>
      <c r="B523" s="306" t="s">
        <v>1003</v>
      </c>
      <c r="C523" s="306" t="s">
        <v>1004</v>
      </c>
      <c r="D523" s="306" t="s">
        <v>2435</v>
      </c>
      <c r="E523" s="306" t="s">
        <v>2033</v>
      </c>
      <c r="F523" s="306" t="s">
        <v>1007</v>
      </c>
      <c r="G523" s="308">
        <v>46022</v>
      </c>
      <c r="H523" s="308">
        <v>46022</v>
      </c>
      <c r="I523" s="309">
        <v>-42964.959999999999</v>
      </c>
      <c r="J523" s="306" t="s">
        <v>1008</v>
      </c>
      <c r="K523" s="309">
        <v>-42964.959999999999</v>
      </c>
      <c r="L523" s="306" t="s">
        <v>1008</v>
      </c>
      <c r="M523" s="306" t="s">
        <v>2027</v>
      </c>
      <c r="N523" s="306" t="s">
        <v>2027</v>
      </c>
      <c r="O523" s="306" t="s">
        <v>2034</v>
      </c>
      <c r="P523" s="306" t="s">
        <v>222</v>
      </c>
      <c r="Q523" s="306" t="s">
        <v>1013</v>
      </c>
      <c r="R523" s="306" t="s">
        <v>1013</v>
      </c>
      <c r="S523" s="306" t="s">
        <v>1013</v>
      </c>
      <c r="T523" s="306" t="s">
        <v>1013</v>
      </c>
      <c r="U523" s="306" t="s">
        <v>1013</v>
      </c>
      <c r="V523" s="306" t="s">
        <v>1013</v>
      </c>
      <c r="W523" s="306" t="s">
        <v>1013</v>
      </c>
      <c r="X523" s="306" t="s">
        <v>1013</v>
      </c>
      <c r="Y523" s="306" t="s">
        <v>1036</v>
      </c>
      <c r="Z523" s="306" t="s">
        <v>1015</v>
      </c>
      <c r="AA523" s="306" t="s">
        <v>1013</v>
      </c>
    </row>
    <row r="524" spans="1:27">
      <c r="A524" s="306" t="s">
        <v>494</v>
      </c>
      <c r="B524" s="306" t="s">
        <v>1003</v>
      </c>
      <c r="C524" s="306" t="s">
        <v>1004</v>
      </c>
      <c r="D524" s="306" t="s">
        <v>2435</v>
      </c>
      <c r="E524" s="306" t="s">
        <v>2035</v>
      </c>
      <c r="F524" s="306" t="s">
        <v>1007</v>
      </c>
      <c r="G524" s="308">
        <v>46022</v>
      </c>
      <c r="H524" s="308">
        <v>46022</v>
      </c>
      <c r="I524" s="309">
        <v>176084.57</v>
      </c>
      <c r="J524" s="306" t="s">
        <v>1008</v>
      </c>
      <c r="K524" s="309">
        <v>176084.57</v>
      </c>
      <c r="L524" s="306" t="s">
        <v>1008</v>
      </c>
      <c r="M524" s="306" t="s">
        <v>2036</v>
      </c>
      <c r="N524" s="306" t="s">
        <v>2036</v>
      </c>
      <c r="O524" s="306" t="s">
        <v>2037</v>
      </c>
      <c r="P524" s="306" t="s">
        <v>222</v>
      </c>
      <c r="Q524" s="306" t="s">
        <v>1013</v>
      </c>
      <c r="R524" s="306" t="s">
        <v>1013</v>
      </c>
      <c r="S524" s="306" t="s">
        <v>1013</v>
      </c>
      <c r="T524" s="306" t="s">
        <v>1013</v>
      </c>
      <c r="U524" s="306" t="s">
        <v>1013</v>
      </c>
      <c r="V524" s="306" t="s">
        <v>1013</v>
      </c>
      <c r="W524" s="306" t="s">
        <v>1013</v>
      </c>
      <c r="X524" s="306" t="s">
        <v>1013</v>
      </c>
      <c r="Y524" s="306" t="s">
        <v>1036</v>
      </c>
      <c r="Z524" s="306" t="s">
        <v>1015</v>
      </c>
      <c r="AA524" s="306" t="s">
        <v>1013</v>
      </c>
    </row>
    <row r="525" spans="1:27">
      <c r="A525" s="306" t="s">
        <v>494</v>
      </c>
      <c r="B525" s="306" t="s">
        <v>1003</v>
      </c>
      <c r="C525" s="306" t="s">
        <v>1004</v>
      </c>
      <c r="D525" s="306" t="s">
        <v>2435</v>
      </c>
      <c r="E525" s="306" t="s">
        <v>2038</v>
      </c>
      <c r="F525" s="306" t="s">
        <v>1007</v>
      </c>
      <c r="G525" s="308">
        <v>46022</v>
      </c>
      <c r="H525" s="308">
        <v>46022</v>
      </c>
      <c r="I525" s="309">
        <v>115561.95</v>
      </c>
      <c r="J525" s="306" t="s">
        <v>1008</v>
      </c>
      <c r="K525" s="309">
        <v>115561.95</v>
      </c>
      <c r="L525" s="306" t="s">
        <v>1008</v>
      </c>
      <c r="M525" s="306" t="s">
        <v>2036</v>
      </c>
      <c r="N525" s="306" t="s">
        <v>2036</v>
      </c>
      <c r="O525" s="306" t="s">
        <v>2039</v>
      </c>
      <c r="P525" s="306" t="s">
        <v>222</v>
      </c>
      <c r="Q525" s="306" t="s">
        <v>1013</v>
      </c>
      <c r="R525" s="306" t="s">
        <v>1013</v>
      </c>
      <c r="S525" s="306" t="s">
        <v>1013</v>
      </c>
      <c r="T525" s="306" t="s">
        <v>1013</v>
      </c>
      <c r="U525" s="306" t="s">
        <v>1013</v>
      </c>
      <c r="V525" s="306" t="s">
        <v>1013</v>
      </c>
      <c r="W525" s="306" t="s">
        <v>1013</v>
      </c>
      <c r="X525" s="306" t="s">
        <v>1013</v>
      </c>
      <c r="Y525" s="306" t="s">
        <v>1036</v>
      </c>
      <c r="Z525" s="306" t="s">
        <v>1015</v>
      </c>
      <c r="AA525" s="306" t="s">
        <v>1013</v>
      </c>
    </row>
    <row r="526" spans="1:27">
      <c r="A526" s="306" t="s">
        <v>494</v>
      </c>
      <c r="B526" s="306" t="s">
        <v>1003</v>
      </c>
      <c r="C526" s="306" t="s">
        <v>1004</v>
      </c>
      <c r="D526" s="306" t="s">
        <v>2435</v>
      </c>
      <c r="E526" s="306" t="s">
        <v>2040</v>
      </c>
      <c r="F526" s="306" t="s">
        <v>1007</v>
      </c>
      <c r="G526" s="308">
        <v>46022</v>
      </c>
      <c r="H526" s="308">
        <v>46022</v>
      </c>
      <c r="I526" s="309">
        <v>23731.47</v>
      </c>
      <c r="J526" s="306" t="s">
        <v>1008</v>
      </c>
      <c r="K526" s="309">
        <v>23731.47</v>
      </c>
      <c r="L526" s="306" t="s">
        <v>1008</v>
      </c>
      <c r="M526" s="306" t="s">
        <v>2036</v>
      </c>
      <c r="N526" s="306" t="s">
        <v>2036</v>
      </c>
      <c r="O526" s="306" t="s">
        <v>2041</v>
      </c>
      <c r="P526" s="306" t="s">
        <v>222</v>
      </c>
      <c r="Q526" s="306" t="s">
        <v>1013</v>
      </c>
      <c r="R526" s="306" t="s">
        <v>1013</v>
      </c>
      <c r="S526" s="306" t="s">
        <v>1013</v>
      </c>
      <c r="T526" s="306" t="s">
        <v>1013</v>
      </c>
      <c r="U526" s="306" t="s">
        <v>1013</v>
      </c>
      <c r="V526" s="306" t="s">
        <v>1013</v>
      </c>
      <c r="W526" s="306" t="s">
        <v>1013</v>
      </c>
      <c r="X526" s="306" t="s">
        <v>1013</v>
      </c>
      <c r="Y526" s="306" t="s">
        <v>1036</v>
      </c>
      <c r="Z526" s="306" t="s">
        <v>1015</v>
      </c>
      <c r="AA526" s="306" t="s">
        <v>1013</v>
      </c>
    </row>
    <row r="527" spans="1:27">
      <c r="A527" s="306" t="s">
        <v>494</v>
      </c>
      <c r="B527" s="306" t="s">
        <v>1003</v>
      </c>
      <c r="C527" s="306" t="s">
        <v>1004</v>
      </c>
      <c r="D527" s="306" t="s">
        <v>2435</v>
      </c>
      <c r="E527" s="306" t="s">
        <v>2042</v>
      </c>
      <c r="F527" s="306" t="s">
        <v>1007</v>
      </c>
      <c r="G527" s="308">
        <v>46022</v>
      </c>
      <c r="H527" s="308">
        <v>46022</v>
      </c>
      <c r="I527" s="309">
        <v>48205.91</v>
      </c>
      <c r="J527" s="306" t="s">
        <v>1008</v>
      </c>
      <c r="K527" s="309">
        <v>48205.91</v>
      </c>
      <c r="L527" s="306" t="s">
        <v>1008</v>
      </c>
      <c r="M527" s="306" t="s">
        <v>2036</v>
      </c>
      <c r="N527" s="306" t="s">
        <v>2036</v>
      </c>
      <c r="O527" s="306" t="s">
        <v>2043</v>
      </c>
      <c r="P527" s="306" t="s">
        <v>222</v>
      </c>
      <c r="Q527" s="306" t="s">
        <v>1013</v>
      </c>
      <c r="R527" s="306" t="s">
        <v>1013</v>
      </c>
      <c r="S527" s="306" t="s">
        <v>1013</v>
      </c>
      <c r="T527" s="306" t="s">
        <v>1013</v>
      </c>
      <c r="U527" s="306" t="s">
        <v>1013</v>
      </c>
      <c r="V527" s="306" t="s">
        <v>1013</v>
      </c>
      <c r="W527" s="306" t="s">
        <v>1013</v>
      </c>
      <c r="X527" s="306" t="s">
        <v>1013</v>
      </c>
      <c r="Y527" s="306" t="s">
        <v>1036</v>
      </c>
      <c r="Z527" s="306" t="s">
        <v>1015</v>
      </c>
      <c r="AA527" s="306" t="s">
        <v>1013</v>
      </c>
    </row>
    <row r="528" spans="1:27">
      <c r="A528" s="306" t="s">
        <v>494</v>
      </c>
      <c r="B528" s="306" t="s">
        <v>1003</v>
      </c>
      <c r="C528" s="306" t="s">
        <v>1004</v>
      </c>
      <c r="D528" s="306" t="s">
        <v>2435</v>
      </c>
      <c r="E528" s="306" t="s">
        <v>2044</v>
      </c>
      <c r="F528" s="306" t="s">
        <v>1007</v>
      </c>
      <c r="G528" s="308">
        <v>46022</v>
      </c>
      <c r="H528" s="308">
        <v>46022</v>
      </c>
      <c r="I528" s="309">
        <v>3703.77</v>
      </c>
      <c r="J528" s="306" t="s">
        <v>1008</v>
      </c>
      <c r="K528" s="309">
        <v>3703.77</v>
      </c>
      <c r="L528" s="306" t="s">
        <v>1008</v>
      </c>
      <c r="M528" s="306" t="s">
        <v>2045</v>
      </c>
      <c r="N528" s="306" t="s">
        <v>2045</v>
      </c>
      <c r="O528" s="306" t="s">
        <v>2046</v>
      </c>
      <c r="P528" s="306" t="s">
        <v>164</v>
      </c>
      <c r="Q528" s="306" t="s">
        <v>1013</v>
      </c>
      <c r="R528" s="306" t="s">
        <v>1013</v>
      </c>
      <c r="S528" s="306" t="s">
        <v>1013</v>
      </c>
      <c r="T528" s="306" t="s">
        <v>1013</v>
      </c>
      <c r="U528" s="306" t="s">
        <v>1013</v>
      </c>
      <c r="V528" s="306" t="s">
        <v>1013</v>
      </c>
      <c r="W528" s="306" t="s">
        <v>1013</v>
      </c>
      <c r="X528" s="306" t="s">
        <v>1013</v>
      </c>
      <c r="Y528" s="306" t="s">
        <v>2047</v>
      </c>
      <c r="Z528" s="306" t="s">
        <v>1015</v>
      </c>
      <c r="AA528" s="306" t="s">
        <v>1013</v>
      </c>
    </row>
    <row r="529" spans="1:27">
      <c r="A529" s="306" t="s">
        <v>494</v>
      </c>
      <c r="B529" s="306" t="s">
        <v>1003</v>
      </c>
      <c r="C529" s="306" t="s">
        <v>1004</v>
      </c>
      <c r="D529" s="306" t="s">
        <v>2435</v>
      </c>
      <c r="E529" s="306" t="s">
        <v>2048</v>
      </c>
      <c r="F529" s="306" t="s">
        <v>1007</v>
      </c>
      <c r="G529" s="308">
        <v>46022</v>
      </c>
      <c r="H529" s="308">
        <v>46022</v>
      </c>
      <c r="I529" s="309">
        <v>91568.9</v>
      </c>
      <c r="J529" s="306" t="s">
        <v>1008</v>
      </c>
      <c r="K529" s="309">
        <v>91568.9</v>
      </c>
      <c r="L529" s="306" t="s">
        <v>1008</v>
      </c>
      <c r="M529" s="306" t="s">
        <v>2045</v>
      </c>
      <c r="N529" s="306" t="s">
        <v>2045</v>
      </c>
      <c r="O529" s="306" t="s">
        <v>2049</v>
      </c>
      <c r="P529" s="306" t="s">
        <v>164</v>
      </c>
      <c r="Q529" s="306" t="s">
        <v>1013</v>
      </c>
      <c r="R529" s="306" t="s">
        <v>1013</v>
      </c>
      <c r="S529" s="306" t="s">
        <v>1013</v>
      </c>
      <c r="T529" s="306" t="s">
        <v>1013</v>
      </c>
      <c r="U529" s="306" t="s">
        <v>1013</v>
      </c>
      <c r="V529" s="306" t="s">
        <v>1013</v>
      </c>
      <c r="W529" s="306" t="s">
        <v>1013</v>
      </c>
      <c r="X529" s="306" t="s">
        <v>1013</v>
      </c>
      <c r="Y529" s="306" t="s">
        <v>2047</v>
      </c>
      <c r="Z529" s="306" t="s">
        <v>1015</v>
      </c>
      <c r="AA529" s="306" t="s">
        <v>1013</v>
      </c>
    </row>
    <row r="530" spans="1:27">
      <c r="A530" s="306" t="s">
        <v>494</v>
      </c>
      <c r="B530" s="306" t="s">
        <v>1003</v>
      </c>
      <c r="C530" s="306" t="s">
        <v>1004</v>
      </c>
      <c r="D530" s="306" t="s">
        <v>2435</v>
      </c>
      <c r="E530" s="306" t="s">
        <v>2050</v>
      </c>
      <c r="F530" s="306" t="s">
        <v>1007</v>
      </c>
      <c r="G530" s="308">
        <v>46022</v>
      </c>
      <c r="H530" s="308">
        <v>46022</v>
      </c>
      <c r="I530" s="309">
        <v>11261.4</v>
      </c>
      <c r="J530" s="306" t="s">
        <v>1008</v>
      </c>
      <c r="K530" s="309">
        <v>11261.4</v>
      </c>
      <c r="L530" s="306" t="s">
        <v>1008</v>
      </c>
      <c r="M530" s="306" t="s">
        <v>2036</v>
      </c>
      <c r="N530" s="306" t="s">
        <v>2036</v>
      </c>
      <c r="O530" s="306" t="s">
        <v>2051</v>
      </c>
      <c r="P530" s="306" t="s">
        <v>222</v>
      </c>
      <c r="Q530" s="306" t="s">
        <v>1013</v>
      </c>
      <c r="R530" s="306" t="s">
        <v>1013</v>
      </c>
      <c r="S530" s="306" t="s">
        <v>1013</v>
      </c>
      <c r="T530" s="306" t="s">
        <v>1013</v>
      </c>
      <c r="U530" s="306" t="s">
        <v>1013</v>
      </c>
      <c r="V530" s="306" t="s">
        <v>1013</v>
      </c>
      <c r="W530" s="306" t="s">
        <v>1013</v>
      </c>
      <c r="X530" s="306" t="s">
        <v>1013</v>
      </c>
      <c r="Y530" s="306" t="s">
        <v>1036</v>
      </c>
      <c r="Z530" s="306" t="s">
        <v>1015</v>
      </c>
      <c r="AA530" s="306" t="s">
        <v>1013</v>
      </c>
    </row>
    <row r="531" spans="1:27">
      <c r="A531" s="306" t="s">
        <v>494</v>
      </c>
      <c r="B531" s="306" t="s">
        <v>1003</v>
      </c>
      <c r="C531" s="306" t="s">
        <v>1004</v>
      </c>
      <c r="D531" s="306" t="s">
        <v>2435</v>
      </c>
      <c r="E531" s="306" t="s">
        <v>2052</v>
      </c>
      <c r="F531" s="306" t="s">
        <v>1007</v>
      </c>
      <c r="G531" s="308">
        <v>46022</v>
      </c>
      <c r="H531" s="308">
        <v>46022</v>
      </c>
      <c r="I531" s="309">
        <v>99353.39</v>
      </c>
      <c r="J531" s="306" t="s">
        <v>1008</v>
      </c>
      <c r="K531" s="309">
        <v>99353.39</v>
      </c>
      <c r="L531" s="306" t="s">
        <v>1008</v>
      </c>
      <c r="M531" s="306" t="s">
        <v>2045</v>
      </c>
      <c r="N531" s="306" t="s">
        <v>2045</v>
      </c>
      <c r="O531" s="306" t="s">
        <v>2053</v>
      </c>
      <c r="P531" s="306" t="s">
        <v>164</v>
      </c>
      <c r="Q531" s="306" t="s">
        <v>1013</v>
      </c>
      <c r="R531" s="306" t="s">
        <v>1013</v>
      </c>
      <c r="S531" s="306" t="s">
        <v>1013</v>
      </c>
      <c r="T531" s="306" t="s">
        <v>1013</v>
      </c>
      <c r="U531" s="306" t="s">
        <v>1013</v>
      </c>
      <c r="V531" s="306" t="s">
        <v>1013</v>
      </c>
      <c r="W531" s="306" t="s">
        <v>1013</v>
      </c>
      <c r="X531" s="306" t="s">
        <v>1013</v>
      </c>
      <c r="Y531" s="306" t="s">
        <v>2047</v>
      </c>
      <c r="Z531" s="306" t="s">
        <v>1015</v>
      </c>
      <c r="AA531" s="306" t="s">
        <v>1013</v>
      </c>
    </row>
    <row r="532" spans="1:27">
      <c r="A532" s="306" t="s">
        <v>494</v>
      </c>
      <c r="B532" s="306" t="s">
        <v>1003</v>
      </c>
      <c r="C532" s="306" t="s">
        <v>1004</v>
      </c>
      <c r="D532" s="306" t="s">
        <v>2435</v>
      </c>
      <c r="E532" s="306" t="s">
        <v>2054</v>
      </c>
      <c r="F532" s="306" t="s">
        <v>1007</v>
      </c>
      <c r="G532" s="308">
        <v>46022</v>
      </c>
      <c r="H532" s="308">
        <v>46022</v>
      </c>
      <c r="I532" s="309">
        <v>-25619.96</v>
      </c>
      <c r="J532" s="306" t="s">
        <v>1008</v>
      </c>
      <c r="K532" s="309">
        <v>-25619.96</v>
      </c>
      <c r="L532" s="306" t="s">
        <v>1008</v>
      </c>
      <c r="M532" s="306" t="s">
        <v>2055</v>
      </c>
      <c r="N532" s="306" t="s">
        <v>2056</v>
      </c>
      <c r="O532" s="306" t="s">
        <v>2057</v>
      </c>
      <c r="P532" s="306" t="s">
        <v>188</v>
      </c>
      <c r="Q532" s="306" t="s">
        <v>1013</v>
      </c>
      <c r="R532" s="306" t="s">
        <v>1013</v>
      </c>
      <c r="S532" s="306" t="s">
        <v>1013</v>
      </c>
      <c r="T532" s="306" t="s">
        <v>1013</v>
      </c>
      <c r="U532" s="306" t="s">
        <v>1013</v>
      </c>
      <c r="V532" s="306" t="s">
        <v>1013</v>
      </c>
      <c r="W532" s="306" t="s">
        <v>1013</v>
      </c>
      <c r="X532" s="306" t="s">
        <v>1013</v>
      </c>
      <c r="Y532" s="306" t="s">
        <v>2058</v>
      </c>
      <c r="Z532" s="306" t="s">
        <v>1015</v>
      </c>
      <c r="AA532" s="306" t="s">
        <v>1013</v>
      </c>
    </row>
    <row r="533" spans="1:27">
      <c r="A533" s="306" t="s">
        <v>494</v>
      </c>
      <c r="B533" s="306" t="s">
        <v>1003</v>
      </c>
      <c r="C533" s="306" t="s">
        <v>1004</v>
      </c>
      <c r="D533" s="306" t="s">
        <v>2435</v>
      </c>
      <c r="E533" s="306" t="s">
        <v>2059</v>
      </c>
      <c r="F533" s="306" t="s">
        <v>1007</v>
      </c>
      <c r="G533" s="308">
        <v>46022</v>
      </c>
      <c r="H533" s="308">
        <v>46022</v>
      </c>
      <c r="I533" s="309">
        <v>-5114.8500000000004</v>
      </c>
      <c r="J533" s="306" t="s">
        <v>1008</v>
      </c>
      <c r="K533" s="309">
        <v>-5114.8500000000004</v>
      </c>
      <c r="L533" s="306" t="s">
        <v>1008</v>
      </c>
      <c r="M533" s="306" t="s">
        <v>2060</v>
      </c>
      <c r="N533" s="306" t="s">
        <v>2060</v>
      </c>
      <c r="O533" s="306" t="s">
        <v>2061</v>
      </c>
      <c r="P533" s="306" t="s">
        <v>164</v>
      </c>
      <c r="Q533" s="306" t="s">
        <v>1013</v>
      </c>
      <c r="R533" s="306" t="s">
        <v>1013</v>
      </c>
      <c r="S533" s="306" t="s">
        <v>1013</v>
      </c>
      <c r="T533" s="306" t="s">
        <v>1013</v>
      </c>
      <c r="U533" s="306" t="s">
        <v>1013</v>
      </c>
      <c r="V533" s="306" t="s">
        <v>1013</v>
      </c>
      <c r="W533" s="306" t="s">
        <v>1013</v>
      </c>
      <c r="X533" s="306" t="s">
        <v>1013</v>
      </c>
      <c r="Y533" s="306" t="s">
        <v>2047</v>
      </c>
      <c r="Z533" s="306" t="s">
        <v>1015</v>
      </c>
      <c r="AA533" s="306" t="s">
        <v>1013</v>
      </c>
    </row>
    <row r="534" spans="1:27">
      <c r="A534" s="306" t="s">
        <v>494</v>
      </c>
      <c r="B534" s="306" t="s">
        <v>1003</v>
      </c>
      <c r="C534" s="306" t="s">
        <v>1004</v>
      </c>
      <c r="D534" s="306" t="s">
        <v>2435</v>
      </c>
      <c r="E534" s="306" t="s">
        <v>2062</v>
      </c>
      <c r="F534" s="306" t="s">
        <v>1007</v>
      </c>
      <c r="G534" s="308">
        <v>46022</v>
      </c>
      <c r="H534" s="308">
        <v>46022</v>
      </c>
      <c r="I534" s="309">
        <v>-112492.11</v>
      </c>
      <c r="J534" s="306" t="s">
        <v>1008</v>
      </c>
      <c r="K534" s="309">
        <v>-112492.11</v>
      </c>
      <c r="L534" s="306" t="s">
        <v>1008</v>
      </c>
      <c r="M534" s="306" t="s">
        <v>1168</v>
      </c>
      <c r="N534" s="306" t="s">
        <v>1151</v>
      </c>
      <c r="O534" s="306" t="s">
        <v>1224</v>
      </c>
      <c r="P534" s="306" t="s">
        <v>244</v>
      </c>
      <c r="Q534" s="306" t="s">
        <v>1013</v>
      </c>
      <c r="R534" s="306" t="s">
        <v>1013</v>
      </c>
      <c r="S534" s="306" t="s">
        <v>1013</v>
      </c>
      <c r="T534" s="306" t="s">
        <v>1013</v>
      </c>
      <c r="U534" s="306" t="s">
        <v>1013</v>
      </c>
      <c r="V534" s="306" t="s">
        <v>1013</v>
      </c>
      <c r="W534" s="306" t="s">
        <v>1013</v>
      </c>
      <c r="X534" s="306" t="s">
        <v>1013</v>
      </c>
      <c r="Y534" s="306" t="s">
        <v>1153</v>
      </c>
      <c r="Z534" s="306" t="s">
        <v>1015</v>
      </c>
      <c r="AA534" s="306" t="s">
        <v>1013</v>
      </c>
    </row>
    <row r="535" spans="1:27">
      <c r="A535" s="306" t="s">
        <v>494</v>
      </c>
      <c r="B535" s="306" t="s">
        <v>1003</v>
      </c>
      <c r="C535" s="306" t="s">
        <v>1004</v>
      </c>
      <c r="D535" s="306" t="s">
        <v>2435</v>
      </c>
      <c r="E535" s="306" t="s">
        <v>2063</v>
      </c>
      <c r="F535" s="306" t="s">
        <v>1007</v>
      </c>
      <c r="G535" s="308">
        <v>46022</v>
      </c>
      <c r="H535" s="308">
        <v>46022</v>
      </c>
      <c r="I535" s="309">
        <v>-128.25</v>
      </c>
      <c r="J535" s="306" t="s">
        <v>1008</v>
      </c>
      <c r="K535" s="309">
        <v>-128.25</v>
      </c>
      <c r="L535" s="306" t="s">
        <v>1008</v>
      </c>
      <c r="M535" s="306" t="s">
        <v>1738</v>
      </c>
      <c r="N535" s="306" t="s">
        <v>1694</v>
      </c>
      <c r="O535" s="306" t="s">
        <v>1224</v>
      </c>
      <c r="P535" s="306" t="s">
        <v>1696</v>
      </c>
      <c r="Q535" s="306" t="s">
        <v>1013</v>
      </c>
      <c r="R535" s="306" t="s">
        <v>1013</v>
      </c>
      <c r="S535" s="306" t="s">
        <v>1013</v>
      </c>
      <c r="T535" s="306" t="s">
        <v>1013</v>
      </c>
      <c r="U535" s="306" t="s">
        <v>1013</v>
      </c>
      <c r="V535" s="306" t="s">
        <v>1013</v>
      </c>
      <c r="W535" s="306" t="s">
        <v>1013</v>
      </c>
      <c r="X535" s="306" t="s">
        <v>1013</v>
      </c>
      <c r="Y535" s="306" t="s">
        <v>1697</v>
      </c>
      <c r="Z535" s="306" t="s">
        <v>1015</v>
      </c>
      <c r="AA535" s="306" t="s">
        <v>1013</v>
      </c>
    </row>
    <row r="536" spans="1:27">
      <c r="A536" s="306" t="s">
        <v>494</v>
      </c>
      <c r="B536" s="306" t="s">
        <v>1003</v>
      </c>
      <c r="C536" s="306" t="s">
        <v>1004</v>
      </c>
      <c r="D536" s="306" t="s">
        <v>2435</v>
      </c>
      <c r="E536" s="306" t="s">
        <v>2064</v>
      </c>
      <c r="F536" s="306" t="s">
        <v>1007</v>
      </c>
      <c r="G536" s="308">
        <v>46022</v>
      </c>
      <c r="H536" s="308">
        <v>46022</v>
      </c>
      <c r="I536" s="309">
        <v>-104034.95</v>
      </c>
      <c r="J536" s="306" t="s">
        <v>1008</v>
      </c>
      <c r="K536" s="309">
        <v>-104034.95</v>
      </c>
      <c r="L536" s="306" t="s">
        <v>1008</v>
      </c>
      <c r="M536" s="306" t="s">
        <v>1738</v>
      </c>
      <c r="N536" s="306" t="s">
        <v>1694</v>
      </c>
      <c r="O536" s="306" t="s">
        <v>1224</v>
      </c>
      <c r="P536" s="306" t="s">
        <v>1696</v>
      </c>
      <c r="Q536" s="306" t="s">
        <v>1013</v>
      </c>
      <c r="R536" s="306" t="s">
        <v>1013</v>
      </c>
      <c r="S536" s="306" t="s">
        <v>1013</v>
      </c>
      <c r="T536" s="306" t="s">
        <v>1013</v>
      </c>
      <c r="U536" s="306" t="s">
        <v>1013</v>
      </c>
      <c r="V536" s="306" t="s">
        <v>1013</v>
      </c>
      <c r="W536" s="306" t="s">
        <v>1013</v>
      </c>
      <c r="X536" s="306" t="s">
        <v>1013</v>
      </c>
      <c r="Y536" s="306" t="s">
        <v>1697</v>
      </c>
      <c r="Z536" s="306" t="s">
        <v>1015</v>
      </c>
      <c r="AA536" s="306" t="s">
        <v>1013</v>
      </c>
    </row>
    <row r="537" spans="1:27">
      <c r="A537" s="306" t="s">
        <v>494</v>
      </c>
      <c r="B537" s="306" t="s">
        <v>1003</v>
      </c>
      <c r="C537" s="306" t="s">
        <v>1004</v>
      </c>
      <c r="D537" s="306" t="s">
        <v>2435</v>
      </c>
      <c r="E537" s="306" t="s">
        <v>2065</v>
      </c>
      <c r="F537" s="306" t="s">
        <v>1007</v>
      </c>
      <c r="G537" s="308">
        <v>46022</v>
      </c>
      <c r="H537" s="308">
        <v>46022</v>
      </c>
      <c r="I537" s="309">
        <v>-109096.45</v>
      </c>
      <c r="J537" s="306" t="s">
        <v>1008</v>
      </c>
      <c r="K537" s="309">
        <v>-109096.45</v>
      </c>
      <c r="L537" s="306" t="s">
        <v>1008</v>
      </c>
      <c r="M537" s="306" t="s">
        <v>1562</v>
      </c>
      <c r="N537" s="306" t="s">
        <v>1535</v>
      </c>
      <c r="O537" s="306" t="s">
        <v>1224</v>
      </c>
      <c r="P537" s="306" t="s">
        <v>263</v>
      </c>
      <c r="Q537" s="306" t="s">
        <v>1013</v>
      </c>
      <c r="R537" s="306" t="s">
        <v>1013</v>
      </c>
      <c r="S537" s="306" t="s">
        <v>1013</v>
      </c>
      <c r="T537" s="306" t="s">
        <v>1013</v>
      </c>
      <c r="U537" s="306" t="s">
        <v>1013</v>
      </c>
      <c r="V537" s="306" t="s">
        <v>1013</v>
      </c>
      <c r="W537" s="306" t="s">
        <v>1013</v>
      </c>
      <c r="X537" s="306" t="s">
        <v>1013</v>
      </c>
      <c r="Y537" s="306" t="s">
        <v>1537</v>
      </c>
      <c r="Z537" s="306" t="s">
        <v>1015</v>
      </c>
      <c r="AA537" s="306" t="s">
        <v>1013</v>
      </c>
    </row>
    <row r="538" spans="1:27">
      <c r="A538" s="306" t="s">
        <v>494</v>
      </c>
      <c r="B538" s="306" t="s">
        <v>1003</v>
      </c>
      <c r="C538" s="306" t="s">
        <v>1004</v>
      </c>
      <c r="D538" s="306" t="s">
        <v>2435</v>
      </c>
      <c r="E538" s="306" t="s">
        <v>2066</v>
      </c>
      <c r="F538" s="306" t="s">
        <v>1007</v>
      </c>
      <c r="G538" s="308">
        <v>46022</v>
      </c>
      <c r="H538" s="308">
        <v>46022</v>
      </c>
      <c r="I538" s="309">
        <v>-112229.22</v>
      </c>
      <c r="J538" s="306" t="s">
        <v>1008</v>
      </c>
      <c r="K538" s="309">
        <v>-112229.22</v>
      </c>
      <c r="L538" s="306" t="s">
        <v>1008</v>
      </c>
      <c r="M538" s="306" t="s">
        <v>1421</v>
      </c>
      <c r="N538" s="306" t="s">
        <v>1403</v>
      </c>
      <c r="O538" s="306" t="s">
        <v>1224</v>
      </c>
      <c r="P538" s="306" t="s">
        <v>1405</v>
      </c>
      <c r="Q538" s="306" t="s">
        <v>1013</v>
      </c>
      <c r="R538" s="306" t="s">
        <v>1013</v>
      </c>
      <c r="S538" s="306" t="s">
        <v>1013</v>
      </c>
      <c r="T538" s="306" t="s">
        <v>1013</v>
      </c>
      <c r="U538" s="306" t="s">
        <v>1013</v>
      </c>
      <c r="V538" s="306" t="s">
        <v>1013</v>
      </c>
      <c r="W538" s="306" t="s">
        <v>1013</v>
      </c>
      <c r="X538" s="306" t="s">
        <v>1013</v>
      </c>
      <c r="Y538" s="306" t="s">
        <v>1406</v>
      </c>
      <c r="Z538" s="306" t="s">
        <v>1015</v>
      </c>
      <c r="AA538" s="306" t="s">
        <v>1013</v>
      </c>
    </row>
    <row r="539" spans="1:27">
      <c r="A539" s="306" t="s">
        <v>494</v>
      </c>
      <c r="B539" s="306" t="s">
        <v>1003</v>
      </c>
      <c r="C539" s="306" t="s">
        <v>1004</v>
      </c>
      <c r="D539" s="306" t="s">
        <v>2435</v>
      </c>
      <c r="E539" s="306" t="s">
        <v>2067</v>
      </c>
      <c r="F539" s="306" t="s">
        <v>1007</v>
      </c>
      <c r="G539" s="308">
        <v>46022</v>
      </c>
      <c r="H539" s="308">
        <v>46022</v>
      </c>
      <c r="I539" s="309">
        <v>-46850.239999999998</v>
      </c>
      <c r="J539" s="306" t="s">
        <v>1008</v>
      </c>
      <c r="K539" s="309">
        <v>-46850.239999999998</v>
      </c>
      <c r="L539" s="306" t="s">
        <v>1008</v>
      </c>
      <c r="M539" s="306" t="s">
        <v>2060</v>
      </c>
      <c r="N539" s="306" t="s">
        <v>2060</v>
      </c>
      <c r="O539" s="306" t="s">
        <v>2068</v>
      </c>
      <c r="P539" s="306" t="s">
        <v>164</v>
      </c>
      <c r="Q539" s="306" t="s">
        <v>1013</v>
      </c>
      <c r="R539" s="306" t="s">
        <v>1013</v>
      </c>
      <c r="S539" s="306" t="s">
        <v>1013</v>
      </c>
      <c r="T539" s="306" t="s">
        <v>1013</v>
      </c>
      <c r="U539" s="306" t="s">
        <v>1013</v>
      </c>
      <c r="V539" s="306" t="s">
        <v>1013</v>
      </c>
      <c r="W539" s="306" t="s">
        <v>1013</v>
      </c>
      <c r="X539" s="306" t="s">
        <v>1013</v>
      </c>
      <c r="Y539" s="306" t="s">
        <v>2047</v>
      </c>
      <c r="Z539" s="306" t="s">
        <v>1015</v>
      </c>
      <c r="AA539" s="306" t="s">
        <v>1013</v>
      </c>
    </row>
    <row r="540" spans="1:27">
      <c r="A540" s="306" t="s">
        <v>494</v>
      </c>
      <c r="B540" s="306" t="s">
        <v>1003</v>
      </c>
      <c r="C540" s="306" t="s">
        <v>1004</v>
      </c>
      <c r="D540" s="306" t="s">
        <v>2435</v>
      </c>
      <c r="E540" s="306" t="s">
        <v>2069</v>
      </c>
      <c r="F540" s="306" t="s">
        <v>1007</v>
      </c>
      <c r="G540" s="308">
        <v>46022</v>
      </c>
      <c r="H540" s="308">
        <v>46022</v>
      </c>
      <c r="I540" s="309">
        <v>-30467.89</v>
      </c>
      <c r="J540" s="306" t="s">
        <v>1008</v>
      </c>
      <c r="K540" s="309">
        <v>-30467.89</v>
      </c>
      <c r="L540" s="306" t="s">
        <v>1008</v>
      </c>
      <c r="M540" s="306" t="s">
        <v>2027</v>
      </c>
      <c r="N540" s="306" t="s">
        <v>2027</v>
      </c>
      <c r="O540" s="306" t="s">
        <v>2070</v>
      </c>
      <c r="P540" s="306" t="s">
        <v>222</v>
      </c>
      <c r="Q540" s="306" t="s">
        <v>1013</v>
      </c>
      <c r="R540" s="306" t="s">
        <v>1013</v>
      </c>
      <c r="S540" s="306" t="s">
        <v>1013</v>
      </c>
      <c r="T540" s="306" t="s">
        <v>1013</v>
      </c>
      <c r="U540" s="306" t="s">
        <v>1013</v>
      </c>
      <c r="V540" s="306" t="s">
        <v>1013</v>
      </c>
      <c r="W540" s="306" t="s">
        <v>1013</v>
      </c>
      <c r="X540" s="306" t="s">
        <v>1013</v>
      </c>
      <c r="Y540" s="306" t="s">
        <v>1036</v>
      </c>
      <c r="Z540" s="306" t="s">
        <v>1015</v>
      </c>
      <c r="AA540" s="306" t="s">
        <v>1013</v>
      </c>
    </row>
    <row r="541" spans="1:27">
      <c r="A541" s="306" t="s">
        <v>494</v>
      </c>
      <c r="B541" s="306" t="s">
        <v>1003</v>
      </c>
      <c r="C541" s="306" t="s">
        <v>1004</v>
      </c>
      <c r="D541" s="306" t="s">
        <v>2435</v>
      </c>
      <c r="E541" s="306" t="s">
        <v>2071</v>
      </c>
      <c r="F541" s="306" t="s">
        <v>1007</v>
      </c>
      <c r="G541" s="308">
        <v>46022</v>
      </c>
      <c r="H541" s="308">
        <v>46022</v>
      </c>
      <c r="I541" s="309">
        <v>-5766.07</v>
      </c>
      <c r="J541" s="306" t="s">
        <v>1008</v>
      </c>
      <c r="K541" s="309">
        <v>-5766.07</v>
      </c>
      <c r="L541" s="306" t="s">
        <v>1008</v>
      </c>
      <c r="M541" s="306" t="s">
        <v>2027</v>
      </c>
      <c r="N541" s="306" t="s">
        <v>2027</v>
      </c>
      <c r="O541" s="306" t="s">
        <v>2072</v>
      </c>
      <c r="P541" s="306" t="s">
        <v>222</v>
      </c>
      <c r="Q541" s="306" t="s">
        <v>1013</v>
      </c>
      <c r="R541" s="306" t="s">
        <v>1013</v>
      </c>
      <c r="S541" s="306" t="s">
        <v>1013</v>
      </c>
      <c r="T541" s="306" t="s">
        <v>1013</v>
      </c>
      <c r="U541" s="306" t="s">
        <v>1013</v>
      </c>
      <c r="V541" s="306" t="s">
        <v>1013</v>
      </c>
      <c r="W541" s="306" t="s">
        <v>1013</v>
      </c>
      <c r="X541" s="306" t="s">
        <v>1013</v>
      </c>
      <c r="Y541" s="306" t="s">
        <v>1036</v>
      </c>
      <c r="Z541" s="306" t="s">
        <v>1015</v>
      </c>
      <c r="AA541" s="306" t="s">
        <v>1013</v>
      </c>
    </row>
    <row r="542" spans="1:27">
      <c r="A542" s="306" t="s">
        <v>494</v>
      </c>
      <c r="B542" s="306" t="s">
        <v>1003</v>
      </c>
      <c r="C542" s="306" t="s">
        <v>1004</v>
      </c>
      <c r="D542" s="306" t="s">
        <v>2435</v>
      </c>
      <c r="E542" s="306" t="s">
        <v>2073</v>
      </c>
      <c r="F542" s="306" t="s">
        <v>1007</v>
      </c>
      <c r="G542" s="308">
        <v>46022</v>
      </c>
      <c r="H542" s="308">
        <v>46022</v>
      </c>
      <c r="I542" s="309">
        <v>-19623.62</v>
      </c>
      <c r="J542" s="306" t="s">
        <v>1008</v>
      </c>
      <c r="K542" s="309">
        <v>-19623.62</v>
      </c>
      <c r="L542" s="306" t="s">
        <v>1008</v>
      </c>
      <c r="M542" s="306" t="s">
        <v>2074</v>
      </c>
      <c r="N542" s="306" t="s">
        <v>2075</v>
      </c>
      <c r="O542" s="306" t="s">
        <v>2076</v>
      </c>
      <c r="P542" s="306" t="s">
        <v>188</v>
      </c>
      <c r="Q542" s="306" t="s">
        <v>1013</v>
      </c>
      <c r="R542" s="306" t="s">
        <v>1013</v>
      </c>
      <c r="S542" s="306" t="s">
        <v>1013</v>
      </c>
      <c r="T542" s="306" t="s">
        <v>1013</v>
      </c>
      <c r="U542" s="306" t="s">
        <v>1013</v>
      </c>
      <c r="V542" s="306" t="s">
        <v>1013</v>
      </c>
      <c r="W542" s="306" t="s">
        <v>1013</v>
      </c>
      <c r="X542" s="306" t="s">
        <v>1013</v>
      </c>
      <c r="Y542" s="306" t="s">
        <v>2077</v>
      </c>
      <c r="Z542" s="306" t="s">
        <v>1015</v>
      </c>
      <c r="AA542" s="306" t="s">
        <v>1013</v>
      </c>
    </row>
    <row r="543" spans="1:27">
      <c r="A543" s="306" t="s">
        <v>494</v>
      </c>
      <c r="B543" s="306" t="s">
        <v>1003</v>
      </c>
      <c r="C543" s="306" t="s">
        <v>1004</v>
      </c>
      <c r="D543" s="306" t="s">
        <v>2435</v>
      </c>
      <c r="E543" s="306" t="s">
        <v>2078</v>
      </c>
      <c r="F543" s="306" t="s">
        <v>1007</v>
      </c>
      <c r="G543" s="308">
        <v>46022</v>
      </c>
      <c r="H543" s="308">
        <v>46022</v>
      </c>
      <c r="I543" s="309">
        <v>-4834.74</v>
      </c>
      <c r="J543" s="306" t="s">
        <v>1008</v>
      </c>
      <c r="K543" s="309">
        <v>-4834.74</v>
      </c>
      <c r="L543" s="306" t="s">
        <v>1008</v>
      </c>
      <c r="M543" s="306" t="s">
        <v>1410</v>
      </c>
      <c r="N543" s="306" t="s">
        <v>1403</v>
      </c>
      <c r="O543" s="306" t="s">
        <v>2079</v>
      </c>
      <c r="P543" s="306" t="s">
        <v>1405</v>
      </c>
      <c r="Q543" s="306" t="s">
        <v>1013</v>
      </c>
      <c r="R543" s="306" t="s">
        <v>1013</v>
      </c>
      <c r="S543" s="306" t="s">
        <v>1013</v>
      </c>
      <c r="T543" s="306" t="s">
        <v>1013</v>
      </c>
      <c r="U543" s="306" t="s">
        <v>1013</v>
      </c>
      <c r="V543" s="306" t="s">
        <v>1013</v>
      </c>
      <c r="W543" s="306" t="s">
        <v>1013</v>
      </c>
      <c r="X543" s="306" t="s">
        <v>1013</v>
      </c>
      <c r="Y543" s="306" t="s">
        <v>1406</v>
      </c>
      <c r="Z543" s="306" t="s">
        <v>1015</v>
      </c>
      <c r="AA543" s="306" t="s">
        <v>1013</v>
      </c>
    </row>
    <row r="544" spans="1:27">
      <c r="A544" s="306" t="s">
        <v>494</v>
      </c>
      <c r="B544" s="306" t="s">
        <v>1003</v>
      </c>
      <c r="C544" s="306" t="s">
        <v>1004</v>
      </c>
      <c r="D544" s="306" t="s">
        <v>2435</v>
      </c>
      <c r="E544" s="306" t="s">
        <v>2080</v>
      </c>
      <c r="F544" s="306" t="s">
        <v>1007</v>
      </c>
      <c r="G544" s="308">
        <v>46022</v>
      </c>
      <c r="H544" s="308">
        <v>46022</v>
      </c>
      <c r="I544" s="309">
        <v>-128313.67</v>
      </c>
      <c r="J544" s="306" t="s">
        <v>1008</v>
      </c>
      <c r="K544" s="309">
        <v>-128313.67</v>
      </c>
      <c r="L544" s="306" t="s">
        <v>1008</v>
      </c>
      <c r="M544" s="306" t="s">
        <v>2081</v>
      </c>
      <c r="N544" s="306" t="s">
        <v>2075</v>
      </c>
      <c r="O544" s="306" t="s">
        <v>2082</v>
      </c>
      <c r="P544" s="306" t="s">
        <v>188</v>
      </c>
      <c r="Q544" s="306" t="s">
        <v>1013</v>
      </c>
      <c r="R544" s="306" t="s">
        <v>1013</v>
      </c>
      <c r="S544" s="306" t="s">
        <v>1013</v>
      </c>
      <c r="T544" s="306" t="s">
        <v>1013</v>
      </c>
      <c r="U544" s="306" t="s">
        <v>1013</v>
      </c>
      <c r="V544" s="306" t="s">
        <v>1013</v>
      </c>
      <c r="W544" s="306" t="s">
        <v>1013</v>
      </c>
      <c r="X544" s="306" t="s">
        <v>1013</v>
      </c>
      <c r="Y544" s="306" t="s">
        <v>2077</v>
      </c>
      <c r="Z544" s="306" t="s">
        <v>1015</v>
      </c>
      <c r="AA544" s="306" t="s">
        <v>1013</v>
      </c>
    </row>
    <row r="545" spans="1:27">
      <c r="A545" s="306" t="s">
        <v>494</v>
      </c>
      <c r="B545" s="306" t="s">
        <v>1003</v>
      </c>
      <c r="C545" s="306" t="s">
        <v>1004</v>
      </c>
      <c r="D545" s="306" t="s">
        <v>2435</v>
      </c>
      <c r="E545" s="306" t="s">
        <v>2083</v>
      </c>
      <c r="F545" s="306" t="s">
        <v>1007</v>
      </c>
      <c r="G545" s="308">
        <v>46022</v>
      </c>
      <c r="H545" s="308">
        <v>46022</v>
      </c>
      <c r="I545" s="309">
        <v>-242.61</v>
      </c>
      <c r="J545" s="306" t="s">
        <v>1008</v>
      </c>
      <c r="K545" s="309">
        <v>-242.61</v>
      </c>
      <c r="L545" s="306" t="s">
        <v>1008</v>
      </c>
      <c r="M545" s="306" t="s">
        <v>1168</v>
      </c>
      <c r="N545" s="306" t="s">
        <v>1151</v>
      </c>
      <c r="O545" s="306" t="s">
        <v>2084</v>
      </c>
      <c r="P545" s="306" t="s">
        <v>244</v>
      </c>
      <c r="Q545" s="306" t="s">
        <v>1013</v>
      </c>
      <c r="R545" s="306" t="s">
        <v>1013</v>
      </c>
      <c r="S545" s="306" t="s">
        <v>1013</v>
      </c>
      <c r="T545" s="306" t="s">
        <v>1013</v>
      </c>
      <c r="U545" s="306" t="s">
        <v>1013</v>
      </c>
      <c r="V545" s="306" t="s">
        <v>1013</v>
      </c>
      <c r="W545" s="306" t="s">
        <v>1013</v>
      </c>
      <c r="X545" s="306" t="s">
        <v>1013</v>
      </c>
      <c r="Y545" s="306" t="s">
        <v>1153</v>
      </c>
      <c r="Z545" s="306" t="s">
        <v>1015</v>
      </c>
      <c r="AA545" s="306" t="s">
        <v>1013</v>
      </c>
    </row>
    <row r="546" spans="1:27">
      <c r="A546" s="306" t="s">
        <v>494</v>
      </c>
      <c r="B546" s="306" t="s">
        <v>1003</v>
      </c>
      <c r="C546" s="306" t="s">
        <v>1004</v>
      </c>
      <c r="D546" s="306" t="s">
        <v>2435</v>
      </c>
      <c r="E546" s="306" t="s">
        <v>2085</v>
      </c>
      <c r="F546" s="306" t="s">
        <v>1007</v>
      </c>
      <c r="G546" s="308">
        <v>46022</v>
      </c>
      <c r="H546" s="308">
        <v>46022</v>
      </c>
      <c r="I546" s="309">
        <v>-184066.94</v>
      </c>
      <c r="J546" s="306" t="s">
        <v>1008</v>
      </c>
      <c r="K546" s="309">
        <v>-184066.94</v>
      </c>
      <c r="L546" s="306" t="s">
        <v>1008</v>
      </c>
      <c r="M546" s="306" t="s">
        <v>2086</v>
      </c>
      <c r="N546" s="306" t="s">
        <v>2086</v>
      </c>
      <c r="O546" s="306" t="s">
        <v>2087</v>
      </c>
      <c r="P546" s="306" t="s">
        <v>188</v>
      </c>
      <c r="Q546" s="306" t="s">
        <v>1013</v>
      </c>
      <c r="R546" s="306" t="s">
        <v>1013</v>
      </c>
      <c r="S546" s="306" t="s">
        <v>1013</v>
      </c>
      <c r="T546" s="306" t="s">
        <v>1013</v>
      </c>
      <c r="U546" s="306" t="s">
        <v>1013</v>
      </c>
      <c r="V546" s="306" t="s">
        <v>1013</v>
      </c>
      <c r="W546" s="306" t="s">
        <v>1013</v>
      </c>
      <c r="X546" s="306" t="s">
        <v>1013</v>
      </c>
      <c r="Y546" s="306" t="s">
        <v>2077</v>
      </c>
      <c r="Z546" s="306" t="s">
        <v>1071</v>
      </c>
      <c r="AA546" s="306" t="s">
        <v>1013</v>
      </c>
    </row>
    <row r="547" spans="1:27">
      <c r="A547" s="306" t="s">
        <v>494</v>
      </c>
      <c r="B547" s="306" t="s">
        <v>1003</v>
      </c>
      <c r="C547" s="306" t="s">
        <v>1004</v>
      </c>
      <c r="D547" s="306" t="s">
        <v>2435</v>
      </c>
      <c r="E547" s="306" t="s">
        <v>2088</v>
      </c>
      <c r="F547" s="306" t="s">
        <v>1007</v>
      </c>
      <c r="G547" s="308">
        <v>46022</v>
      </c>
      <c r="H547" s="308">
        <v>46022</v>
      </c>
      <c r="I547" s="309">
        <v>-615</v>
      </c>
      <c r="J547" s="306" t="s">
        <v>1008</v>
      </c>
      <c r="K547" s="309">
        <v>-615</v>
      </c>
      <c r="L547" s="306" t="s">
        <v>1008</v>
      </c>
      <c r="M547" s="306" t="s">
        <v>2089</v>
      </c>
      <c r="N547" s="306" t="s">
        <v>2089</v>
      </c>
      <c r="O547" s="306" t="s">
        <v>1129</v>
      </c>
      <c r="P547" s="306" t="s">
        <v>164</v>
      </c>
      <c r="Q547" s="306" t="s">
        <v>1013</v>
      </c>
      <c r="R547" s="306" t="s">
        <v>1013</v>
      </c>
      <c r="S547" s="306" t="s">
        <v>1013</v>
      </c>
      <c r="T547" s="306" t="s">
        <v>1013</v>
      </c>
      <c r="U547" s="306" t="s">
        <v>1013</v>
      </c>
      <c r="V547" s="306" t="s">
        <v>1013</v>
      </c>
      <c r="W547" s="306" t="s">
        <v>1013</v>
      </c>
      <c r="X547" s="306" t="s">
        <v>1013</v>
      </c>
      <c r="Y547" s="306" t="s">
        <v>2047</v>
      </c>
      <c r="Z547" s="306" t="s">
        <v>1071</v>
      </c>
      <c r="AA547" s="306" t="s">
        <v>1013</v>
      </c>
    </row>
    <row r="548" spans="1:27">
      <c r="A548" s="306" t="s">
        <v>494</v>
      </c>
      <c r="B548" s="306" t="s">
        <v>1003</v>
      </c>
      <c r="C548" s="306" t="s">
        <v>1004</v>
      </c>
      <c r="D548" s="306" t="s">
        <v>2435</v>
      </c>
      <c r="E548" s="306" t="s">
        <v>2090</v>
      </c>
      <c r="F548" s="306" t="s">
        <v>1007</v>
      </c>
      <c r="G548" s="308">
        <v>46022</v>
      </c>
      <c r="H548" s="308">
        <v>46022</v>
      </c>
      <c r="I548" s="309">
        <v>-3215.09</v>
      </c>
      <c r="J548" s="306" t="s">
        <v>1008</v>
      </c>
      <c r="K548" s="309">
        <v>-3215.09</v>
      </c>
      <c r="L548" s="306" t="s">
        <v>1008</v>
      </c>
      <c r="M548" s="306" t="s">
        <v>2092</v>
      </c>
      <c r="N548" s="306" t="s">
        <v>2092</v>
      </c>
      <c r="O548" s="306" t="s">
        <v>2093</v>
      </c>
      <c r="P548" s="306" t="s">
        <v>1069</v>
      </c>
      <c r="Q548" s="306" t="s">
        <v>1013</v>
      </c>
      <c r="R548" s="306" t="s">
        <v>1013</v>
      </c>
      <c r="S548" s="306" t="s">
        <v>1013</v>
      </c>
      <c r="T548" s="306" t="s">
        <v>1013</v>
      </c>
      <c r="U548" s="306" t="s">
        <v>1013</v>
      </c>
      <c r="V548" s="306" t="s">
        <v>1013</v>
      </c>
      <c r="W548" s="306" t="s">
        <v>1013</v>
      </c>
      <c r="X548" s="306" t="s">
        <v>1013</v>
      </c>
      <c r="Y548" s="306" t="s">
        <v>2094</v>
      </c>
      <c r="Z548" s="306" t="s">
        <v>1015</v>
      </c>
      <c r="AA548" s="306" t="s">
        <v>1013</v>
      </c>
    </row>
    <row r="549" spans="1:27">
      <c r="A549" s="306" t="s">
        <v>494</v>
      </c>
      <c r="B549" s="306" t="s">
        <v>1003</v>
      </c>
      <c r="C549" s="306" t="s">
        <v>1004</v>
      </c>
      <c r="D549" s="306" t="s">
        <v>2435</v>
      </c>
      <c r="E549" s="306" t="s">
        <v>2095</v>
      </c>
      <c r="F549" s="306" t="s">
        <v>1007</v>
      </c>
      <c r="G549" s="308">
        <v>46022</v>
      </c>
      <c r="H549" s="308">
        <v>46022</v>
      </c>
      <c r="I549" s="309">
        <v>-5811.32</v>
      </c>
      <c r="J549" s="306" t="s">
        <v>1008</v>
      </c>
      <c r="K549" s="309">
        <v>-5811.32</v>
      </c>
      <c r="L549" s="306" t="s">
        <v>1008</v>
      </c>
      <c r="M549" s="306" t="s">
        <v>2097</v>
      </c>
      <c r="N549" s="306" t="s">
        <v>2097</v>
      </c>
      <c r="O549" s="306" t="s">
        <v>2098</v>
      </c>
      <c r="P549" s="306" t="s">
        <v>1069</v>
      </c>
      <c r="Q549" s="306" t="s">
        <v>1013</v>
      </c>
      <c r="R549" s="306" t="s">
        <v>1013</v>
      </c>
      <c r="S549" s="306" t="s">
        <v>1013</v>
      </c>
      <c r="T549" s="306" t="s">
        <v>1013</v>
      </c>
      <c r="U549" s="306" t="s">
        <v>1013</v>
      </c>
      <c r="V549" s="306" t="s">
        <v>1013</v>
      </c>
      <c r="W549" s="306" t="s">
        <v>1013</v>
      </c>
      <c r="X549" s="306" t="s">
        <v>1013</v>
      </c>
      <c r="Y549" s="306" t="s">
        <v>2003</v>
      </c>
      <c r="Z549" s="306" t="s">
        <v>1015</v>
      </c>
      <c r="AA549" s="306" t="s">
        <v>1013</v>
      </c>
    </row>
    <row r="550" spans="1:27">
      <c r="A550" s="306" t="s">
        <v>494</v>
      </c>
      <c r="B550" s="306" t="s">
        <v>1003</v>
      </c>
      <c r="C550" s="306" t="s">
        <v>1004</v>
      </c>
      <c r="D550" s="306" t="s">
        <v>2435</v>
      </c>
      <c r="E550" s="306" t="s">
        <v>2099</v>
      </c>
      <c r="F550" s="306" t="s">
        <v>1007</v>
      </c>
      <c r="G550" s="308">
        <v>46022</v>
      </c>
      <c r="H550" s="308">
        <v>46022</v>
      </c>
      <c r="I550" s="309">
        <v>4489.5</v>
      </c>
      <c r="J550" s="306" t="s">
        <v>1008</v>
      </c>
      <c r="K550" s="309">
        <v>4489.5</v>
      </c>
      <c r="L550" s="306" t="s">
        <v>1008</v>
      </c>
      <c r="M550" s="306" t="s">
        <v>2100</v>
      </c>
      <c r="N550" s="306" t="s">
        <v>2100</v>
      </c>
      <c r="O550" s="306" t="s">
        <v>1129</v>
      </c>
      <c r="P550" s="306" t="s">
        <v>222</v>
      </c>
      <c r="Q550" s="306" t="s">
        <v>1013</v>
      </c>
      <c r="R550" s="306" t="s">
        <v>1013</v>
      </c>
      <c r="S550" s="306" t="s">
        <v>1013</v>
      </c>
      <c r="T550" s="306" t="s">
        <v>1013</v>
      </c>
      <c r="U550" s="306" t="s">
        <v>1013</v>
      </c>
      <c r="V550" s="306" t="s">
        <v>1013</v>
      </c>
      <c r="W550" s="306" t="s">
        <v>1013</v>
      </c>
      <c r="X550" s="306" t="s">
        <v>1013</v>
      </c>
      <c r="Y550" s="306" t="s">
        <v>2101</v>
      </c>
      <c r="Z550" s="306" t="s">
        <v>1015</v>
      </c>
      <c r="AA550" s="306" t="s">
        <v>1013</v>
      </c>
    </row>
    <row r="551" spans="1:27">
      <c r="A551" s="306" t="s">
        <v>494</v>
      </c>
      <c r="B551" s="306" t="s">
        <v>1003</v>
      </c>
      <c r="C551" s="306" t="s">
        <v>1004</v>
      </c>
      <c r="D551" s="306" t="s">
        <v>2435</v>
      </c>
      <c r="E551" s="306" t="s">
        <v>2102</v>
      </c>
      <c r="F551" s="306" t="s">
        <v>1007</v>
      </c>
      <c r="G551" s="308">
        <v>46022</v>
      </c>
      <c r="H551" s="308">
        <v>46022</v>
      </c>
      <c r="I551" s="309">
        <v>62213.56</v>
      </c>
      <c r="J551" s="306" t="s">
        <v>1008</v>
      </c>
      <c r="K551" s="309">
        <v>62213.56</v>
      </c>
      <c r="L551" s="306" t="s">
        <v>1008</v>
      </c>
      <c r="M551" s="306" t="s">
        <v>2100</v>
      </c>
      <c r="N551" s="306" t="s">
        <v>2100</v>
      </c>
      <c r="O551" s="306" t="s">
        <v>2103</v>
      </c>
      <c r="P551" s="306" t="s">
        <v>222</v>
      </c>
      <c r="Q551" s="306" t="s">
        <v>1013</v>
      </c>
      <c r="R551" s="306" t="s">
        <v>1013</v>
      </c>
      <c r="S551" s="306" t="s">
        <v>1013</v>
      </c>
      <c r="T551" s="306" t="s">
        <v>1013</v>
      </c>
      <c r="U551" s="306" t="s">
        <v>1013</v>
      </c>
      <c r="V551" s="306" t="s">
        <v>1013</v>
      </c>
      <c r="W551" s="306" t="s">
        <v>1013</v>
      </c>
      <c r="X551" s="306" t="s">
        <v>1013</v>
      </c>
      <c r="Y551" s="306" t="s">
        <v>2101</v>
      </c>
      <c r="Z551" s="306" t="s">
        <v>1015</v>
      </c>
      <c r="AA551" s="306" t="s">
        <v>1013</v>
      </c>
    </row>
    <row r="552" spans="1:27">
      <c r="A552" s="306" t="s">
        <v>494</v>
      </c>
      <c r="B552" s="306" t="s">
        <v>1003</v>
      </c>
      <c r="C552" s="306" t="s">
        <v>1004</v>
      </c>
      <c r="D552" s="306" t="s">
        <v>2435</v>
      </c>
      <c r="E552" s="306" t="s">
        <v>2104</v>
      </c>
      <c r="F552" s="306" t="s">
        <v>1007</v>
      </c>
      <c r="G552" s="308">
        <v>46022</v>
      </c>
      <c r="H552" s="308">
        <v>46022</v>
      </c>
      <c r="I552" s="309">
        <v>318619.2</v>
      </c>
      <c r="J552" s="306" t="s">
        <v>1008</v>
      </c>
      <c r="K552" s="309">
        <v>318619.2</v>
      </c>
      <c r="L552" s="306" t="s">
        <v>1008</v>
      </c>
      <c r="M552" s="306" t="s">
        <v>2100</v>
      </c>
      <c r="N552" s="306" t="s">
        <v>2100</v>
      </c>
      <c r="O552" s="306" t="s">
        <v>2105</v>
      </c>
      <c r="P552" s="306" t="s">
        <v>222</v>
      </c>
      <c r="Q552" s="306" t="s">
        <v>1013</v>
      </c>
      <c r="R552" s="306" t="s">
        <v>1013</v>
      </c>
      <c r="S552" s="306" t="s">
        <v>1013</v>
      </c>
      <c r="T552" s="306" t="s">
        <v>1013</v>
      </c>
      <c r="U552" s="306" t="s">
        <v>1013</v>
      </c>
      <c r="V552" s="306" t="s">
        <v>1013</v>
      </c>
      <c r="W552" s="306" t="s">
        <v>1013</v>
      </c>
      <c r="X552" s="306" t="s">
        <v>1013</v>
      </c>
      <c r="Y552" s="306" t="s">
        <v>2101</v>
      </c>
      <c r="Z552" s="306" t="s">
        <v>1015</v>
      </c>
      <c r="AA552" s="306" t="s">
        <v>1013</v>
      </c>
    </row>
    <row r="553" spans="1:27">
      <c r="A553" s="306" t="s">
        <v>494</v>
      </c>
      <c r="B553" s="306" t="s">
        <v>1003</v>
      </c>
      <c r="C553" s="306" t="s">
        <v>1004</v>
      </c>
      <c r="D553" s="306" t="s">
        <v>2435</v>
      </c>
      <c r="E553" s="306" t="s">
        <v>2106</v>
      </c>
      <c r="F553" s="306" t="s">
        <v>1007</v>
      </c>
      <c r="G553" s="308">
        <v>46022</v>
      </c>
      <c r="H553" s="308">
        <v>46022</v>
      </c>
      <c r="I553" s="309">
        <v>1845</v>
      </c>
      <c r="J553" s="306" t="s">
        <v>1008</v>
      </c>
      <c r="K553" s="309">
        <v>1845</v>
      </c>
      <c r="L553" s="306" t="s">
        <v>1008</v>
      </c>
      <c r="M553" s="306" t="s">
        <v>2100</v>
      </c>
      <c r="N553" s="306" t="s">
        <v>2100</v>
      </c>
      <c r="O553" s="306" t="s">
        <v>2107</v>
      </c>
      <c r="P553" s="306" t="s">
        <v>222</v>
      </c>
      <c r="Q553" s="306" t="s">
        <v>1013</v>
      </c>
      <c r="R553" s="306" t="s">
        <v>1013</v>
      </c>
      <c r="S553" s="306" t="s">
        <v>1013</v>
      </c>
      <c r="T553" s="306" t="s">
        <v>1013</v>
      </c>
      <c r="U553" s="306" t="s">
        <v>1013</v>
      </c>
      <c r="V553" s="306" t="s">
        <v>1013</v>
      </c>
      <c r="W553" s="306" t="s">
        <v>1013</v>
      </c>
      <c r="X553" s="306" t="s">
        <v>1013</v>
      </c>
      <c r="Y553" s="306" t="s">
        <v>2101</v>
      </c>
      <c r="Z553" s="306" t="s">
        <v>1015</v>
      </c>
      <c r="AA553" s="306" t="s">
        <v>1013</v>
      </c>
    </row>
    <row r="554" spans="1:27">
      <c r="A554" s="306" t="s">
        <v>494</v>
      </c>
      <c r="B554" s="306" t="s">
        <v>1003</v>
      </c>
      <c r="C554" s="306" t="s">
        <v>1004</v>
      </c>
      <c r="D554" s="306" t="s">
        <v>2435</v>
      </c>
      <c r="E554" s="306" t="s">
        <v>2108</v>
      </c>
      <c r="F554" s="306" t="s">
        <v>1007</v>
      </c>
      <c r="G554" s="308">
        <v>46022</v>
      </c>
      <c r="H554" s="308">
        <v>46022</v>
      </c>
      <c r="I554" s="309">
        <v>1845</v>
      </c>
      <c r="J554" s="306" t="s">
        <v>1008</v>
      </c>
      <c r="K554" s="309">
        <v>1845</v>
      </c>
      <c r="L554" s="306" t="s">
        <v>1008</v>
      </c>
      <c r="M554" s="306" t="s">
        <v>2100</v>
      </c>
      <c r="N554" s="306" t="s">
        <v>2100</v>
      </c>
      <c r="O554" s="306" t="s">
        <v>2109</v>
      </c>
      <c r="P554" s="306" t="s">
        <v>222</v>
      </c>
      <c r="Q554" s="306" t="s">
        <v>1013</v>
      </c>
      <c r="R554" s="306" t="s">
        <v>1013</v>
      </c>
      <c r="S554" s="306" t="s">
        <v>1013</v>
      </c>
      <c r="T554" s="306" t="s">
        <v>1013</v>
      </c>
      <c r="U554" s="306" t="s">
        <v>1013</v>
      </c>
      <c r="V554" s="306" t="s">
        <v>1013</v>
      </c>
      <c r="W554" s="306" t="s">
        <v>1013</v>
      </c>
      <c r="X554" s="306" t="s">
        <v>1013</v>
      </c>
      <c r="Y554" s="306" t="s">
        <v>2101</v>
      </c>
      <c r="Z554" s="306" t="s">
        <v>1015</v>
      </c>
      <c r="AA554" s="306" t="s">
        <v>1013</v>
      </c>
    </row>
    <row r="555" spans="1:27">
      <c r="A555" s="306" t="s">
        <v>494</v>
      </c>
      <c r="B555" s="306" t="s">
        <v>1003</v>
      </c>
      <c r="C555" s="306" t="s">
        <v>1004</v>
      </c>
      <c r="D555" s="306" t="s">
        <v>2435</v>
      </c>
      <c r="E555" s="306" t="s">
        <v>2110</v>
      </c>
      <c r="F555" s="306" t="s">
        <v>1007</v>
      </c>
      <c r="G555" s="308">
        <v>46022</v>
      </c>
      <c r="H555" s="308">
        <v>46022</v>
      </c>
      <c r="I555" s="309">
        <v>15124.89</v>
      </c>
      <c r="J555" s="306" t="s">
        <v>1008</v>
      </c>
      <c r="K555" s="309">
        <v>15124.89</v>
      </c>
      <c r="L555" s="306" t="s">
        <v>1008</v>
      </c>
      <c r="M555" s="306" t="s">
        <v>2100</v>
      </c>
      <c r="N555" s="306" t="s">
        <v>2100</v>
      </c>
      <c r="O555" s="306" t="s">
        <v>2111</v>
      </c>
      <c r="P555" s="306" t="s">
        <v>222</v>
      </c>
      <c r="Q555" s="306" t="s">
        <v>1013</v>
      </c>
      <c r="R555" s="306" t="s">
        <v>1013</v>
      </c>
      <c r="S555" s="306" t="s">
        <v>1013</v>
      </c>
      <c r="T555" s="306" t="s">
        <v>1013</v>
      </c>
      <c r="U555" s="306" t="s">
        <v>1013</v>
      </c>
      <c r="V555" s="306" t="s">
        <v>1013</v>
      </c>
      <c r="W555" s="306" t="s">
        <v>1013</v>
      </c>
      <c r="X555" s="306" t="s">
        <v>1013</v>
      </c>
      <c r="Y555" s="306" t="s">
        <v>2101</v>
      </c>
      <c r="Z555" s="306" t="s">
        <v>1015</v>
      </c>
      <c r="AA555" s="306" t="s">
        <v>1013</v>
      </c>
    </row>
    <row r="556" spans="1:27">
      <c r="A556" s="306" t="s">
        <v>494</v>
      </c>
      <c r="B556" s="306" t="s">
        <v>1003</v>
      </c>
      <c r="C556" s="306" t="s">
        <v>1004</v>
      </c>
      <c r="D556" s="306" t="s">
        <v>2435</v>
      </c>
      <c r="E556" s="306" t="s">
        <v>2112</v>
      </c>
      <c r="F556" s="306" t="s">
        <v>1007</v>
      </c>
      <c r="G556" s="308">
        <v>46022</v>
      </c>
      <c r="H556" s="308">
        <v>46022</v>
      </c>
      <c r="I556" s="309">
        <v>11047.22</v>
      </c>
      <c r="J556" s="306" t="s">
        <v>1008</v>
      </c>
      <c r="K556" s="309">
        <v>11047.22</v>
      </c>
      <c r="L556" s="306" t="s">
        <v>1008</v>
      </c>
      <c r="M556" s="306" t="s">
        <v>2100</v>
      </c>
      <c r="N556" s="306" t="s">
        <v>2100</v>
      </c>
      <c r="O556" s="306" t="s">
        <v>2113</v>
      </c>
      <c r="P556" s="306" t="s">
        <v>222</v>
      </c>
      <c r="Q556" s="306" t="s">
        <v>1013</v>
      </c>
      <c r="R556" s="306" t="s">
        <v>1013</v>
      </c>
      <c r="S556" s="306" t="s">
        <v>1013</v>
      </c>
      <c r="T556" s="306" t="s">
        <v>1013</v>
      </c>
      <c r="U556" s="306" t="s">
        <v>1013</v>
      </c>
      <c r="V556" s="306" t="s">
        <v>1013</v>
      </c>
      <c r="W556" s="306" t="s">
        <v>1013</v>
      </c>
      <c r="X556" s="306" t="s">
        <v>1013</v>
      </c>
      <c r="Y556" s="306" t="s">
        <v>2101</v>
      </c>
      <c r="Z556" s="306" t="s">
        <v>1015</v>
      </c>
      <c r="AA556" s="306" t="s">
        <v>1013</v>
      </c>
    </row>
    <row r="557" spans="1:27">
      <c r="A557" s="306" t="s">
        <v>494</v>
      </c>
      <c r="B557" s="306" t="s">
        <v>1003</v>
      </c>
      <c r="C557" s="306" t="s">
        <v>1004</v>
      </c>
      <c r="D557" s="306" t="s">
        <v>2435</v>
      </c>
      <c r="E557" s="306" t="s">
        <v>2114</v>
      </c>
      <c r="F557" s="306" t="s">
        <v>1007</v>
      </c>
      <c r="G557" s="308">
        <v>46022</v>
      </c>
      <c r="H557" s="308">
        <v>46022</v>
      </c>
      <c r="I557" s="309">
        <v>-4708.5</v>
      </c>
      <c r="J557" s="306" t="s">
        <v>1008</v>
      </c>
      <c r="K557" s="309">
        <v>-4708.5</v>
      </c>
      <c r="L557" s="306" t="s">
        <v>1008</v>
      </c>
      <c r="M557" s="306" t="s">
        <v>2115</v>
      </c>
      <c r="N557" s="306" t="s">
        <v>2116</v>
      </c>
      <c r="O557" s="306" t="s">
        <v>1129</v>
      </c>
      <c r="P557" s="306" t="s">
        <v>1012</v>
      </c>
      <c r="Q557" s="306" t="s">
        <v>1013</v>
      </c>
      <c r="R557" s="306" t="s">
        <v>1013</v>
      </c>
      <c r="S557" s="306" t="s">
        <v>1013</v>
      </c>
      <c r="T557" s="306" t="s">
        <v>1013</v>
      </c>
      <c r="U557" s="306" t="s">
        <v>1013</v>
      </c>
      <c r="V557" s="306" t="s">
        <v>1013</v>
      </c>
      <c r="W557" s="306" t="s">
        <v>1013</v>
      </c>
      <c r="X557" s="306" t="s">
        <v>1013</v>
      </c>
      <c r="Y557" s="306" t="s">
        <v>2101</v>
      </c>
      <c r="Z557" s="306" t="s">
        <v>1015</v>
      </c>
      <c r="AA557" s="306" t="s">
        <v>1013</v>
      </c>
    </row>
    <row r="558" spans="1:27">
      <c r="A558" s="306" t="s">
        <v>494</v>
      </c>
      <c r="B558" s="306" t="s">
        <v>1003</v>
      </c>
      <c r="C558" s="306" t="s">
        <v>1004</v>
      </c>
      <c r="D558" s="306" t="s">
        <v>2435</v>
      </c>
      <c r="E558" s="306" t="s">
        <v>2117</v>
      </c>
      <c r="F558" s="306" t="s">
        <v>1007</v>
      </c>
      <c r="G558" s="308">
        <v>46022</v>
      </c>
      <c r="H558" s="308">
        <v>46022</v>
      </c>
      <c r="I558" s="309">
        <v>-6450</v>
      </c>
      <c r="J558" s="306" t="s">
        <v>1008</v>
      </c>
      <c r="K558" s="309">
        <v>-6450</v>
      </c>
      <c r="L558" s="306" t="s">
        <v>1008</v>
      </c>
      <c r="M558" s="306" t="s">
        <v>2115</v>
      </c>
      <c r="N558" s="306" t="s">
        <v>2116</v>
      </c>
      <c r="O558" s="306" t="s">
        <v>2103</v>
      </c>
      <c r="P558" s="306" t="s">
        <v>1012</v>
      </c>
      <c r="Q558" s="306" t="s">
        <v>1013</v>
      </c>
      <c r="R558" s="306" t="s">
        <v>1013</v>
      </c>
      <c r="S558" s="306" t="s">
        <v>1013</v>
      </c>
      <c r="T558" s="306" t="s">
        <v>1013</v>
      </c>
      <c r="U558" s="306" t="s">
        <v>1013</v>
      </c>
      <c r="V558" s="306" t="s">
        <v>1013</v>
      </c>
      <c r="W558" s="306" t="s">
        <v>1013</v>
      </c>
      <c r="X558" s="306" t="s">
        <v>1013</v>
      </c>
      <c r="Y558" s="306" t="s">
        <v>2101</v>
      </c>
      <c r="Z558" s="306" t="s">
        <v>1015</v>
      </c>
      <c r="AA558" s="306" t="s">
        <v>1013</v>
      </c>
    </row>
    <row r="559" spans="1:27">
      <c r="A559" s="306" t="s">
        <v>494</v>
      </c>
      <c r="B559" s="306" t="s">
        <v>1003</v>
      </c>
      <c r="C559" s="306" t="s">
        <v>1004</v>
      </c>
      <c r="D559" s="306" t="s">
        <v>2435</v>
      </c>
      <c r="E559" s="306" t="s">
        <v>2118</v>
      </c>
      <c r="F559" s="306" t="s">
        <v>1007</v>
      </c>
      <c r="G559" s="308">
        <v>46022</v>
      </c>
      <c r="H559" s="308">
        <v>46022</v>
      </c>
      <c r="I559" s="309">
        <v>-221484.4</v>
      </c>
      <c r="J559" s="306" t="s">
        <v>1008</v>
      </c>
      <c r="K559" s="309">
        <v>-221484.4</v>
      </c>
      <c r="L559" s="306" t="s">
        <v>1008</v>
      </c>
      <c r="M559" s="306" t="s">
        <v>2115</v>
      </c>
      <c r="N559" s="306" t="s">
        <v>2116</v>
      </c>
      <c r="O559" s="306" t="s">
        <v>2105</v>
      </c>
      <c r="P559" s="306" t="s">
        <v>1012</v>
      </c>
      <c r="Q559" s="306" t="s">
        <v>1013</v>
      </c>
      <c r="R559" s="306" t="s">
        <v>1013</v>
      </c>
      <c r="S559" s="306" t="s">
        <v>1013</v>
      </c>
      <c r="T559" s="306" t="s">
        <v>1013</v>
      </c>
      <c r="U559" s="306" t="s">
        <v>1013</v>
      </c>
      <c r="V559" s="306" t="s">
        <v>1013</v>
      </c>
      <c r="W559" s="306" t="s">
        <v>1013</v>
      </c>
      <c r="X559" s="306" t="s">
        <v>1013</v>
      </c>
      <c r="Y559" s="306" t="s">
        <v>2101</v>
      </c>
      <c r="Z559" s="306" t="s">
        <v>1015</v>
      </c>
      <c r="AA559" s="306" t="s">
        <v>1013</v>
      </c>
    </row>
    <row r="560" spans="1:27">
      <c r="A560" s="306" t="s">
        <v>494</v>
      </c>
      <c r="B560" s="306" t="s">
        <v>1003</v>
      </c>
      <c r="C560" s="306" t="s">
        <v>1004</v>
      </c>
      <c r="D560" s="306" t="s">
        <v>2435</v>
      </c>
      <c r="E560" s="306" t="s">
        <v>2119</v>
      </c>
      <c r="F560" s="306" t="s">
        <v>1007</v>
      </c>
      <c r="G560" s="308">
        <v>46022</v>
      </c>
      <c r="H560" s="308">
        <v>46022</v>
      </c>
      <c r="I560" s="309">
        <v>-112677.19</v>
      </c>
      <c r="J560" s="306" t="s">
        <v>1008</v>
      </c>
      <c r="K560" s="309">
        <v>-112677.19</v>
      </c>
      <c r="L560" s="306" t="s">
        <v>1008</v>
      </c>
      <c r="M560" s="306" t="s">
        <v>2116</v>
      </c>
      <c r="N560" s="306" t="s">
        <v>2116</v>
      </c>
      <c r="O560" s="306" t="s">
        <v>2105</v>
      </c>
      <c r="P560" s="306" t="s">
        <v>696</v>
      </c>
      <c r="Q560" s="306" t="s">
        <v>1013</v>
      </c>
      <c r="R560" s="306" t="s">
        <v>1013</v>
      </c>
      <c r="S560" s="306" t="s">
        <v>1013</v>
      </c>
      <c r="T560" s="306" t="s">
        <v>1013</v>
      </c>
      <c r="U560" s="306" t="s">
        <v>1013</v>
      </c>
      <c r="V560" s="306" t="s">
        <v>1013</v>
      </c>
      <c r="W560" s="306" t="s">
        <v>1013</v>
      </c>
      <c r="X560" s="306" t="s">
        <v>1013</v>
      </c>
      <c r="Y560" s="306" t="s">
        <v>2101</v>
      </c>
      <c r="Z560" s="306" t="s">
        <v>1015</v>
      </c>
      <c r="AA560" s="306" t="s">
        <v>1013</v>
      </c>
    </row>
    <row r="561" spans="1:27">
      <c r="A561" s="306" t="s">
        <v>494</v>
      </c>
      <c r="B561" s="306" t="s">
        <v>1003</v>
      </c>
      <c r="C561" s="306" t="s">
        <v>1004</v>
      </c>
      <c r="D561" s="306" t="s">
        <v>2435</v>
      </c>
      <c r="E561" s="306" t="s">
        <v>2120</v>
      </c>
      <c r="F561" s="306" t="s">
        <v>1007</v>
      </c>
      <c r="G561" s="308">
        <v>46022</v>
      </c>
      <c r="H561" s="308">
        <v>46022</v>
      </c>
      <c r="I561" s="309">
        <v>-1935</v>
      </c>
      <c r="J561" s="306" t="s">
        <v>1008</v>
      </c>
      <c r="K561" s="309">
        <v>-1935</v>
      </c>
      <c r="L561" s="306" t="s">
        <v>1008</v>
      </c>
      <c r="M561" s="306" t="s">
        <v>2115</v>
      </c>
      <c r="N561" s="306" t="s">
        <v>2116</v>
      </c>
      <c r="O561" s="306" t="s">
        <v>2107</v>
      </c>
      <c r="P561" s="306" t="s">
        <v>1012</v>
      </c>
      <c r="Q561" s="306" t="s">
        <v>1013</v>
      </c>
      <c r="R561" s="306" t="s">
        <v>1013</v>
      </c>
      <c r="S561" s="306" t="s">
        <v>1013</v>
      </c>
      <c r="T561" s="306" t="s">
        <v>1013</v>
      </c>
      <c r="U561" s="306" t="s">
        <v>1013</v>
      </c>
      <c r="V561" s="306" t="s">
        <v>1013</v>
      </c>
      <c r="W561" s="306" t="s">
        <v>1013</v>
      </c>
      <c r="X561" s="306" t="s">
        <v>1013</v>
      </c>
      <c r="Y561" s="306" t="s">
        <v>2101</v>
      </c>
      <c r="Z561" s="306" t="s">
        <v>1015</v>
      </c>
      <c r="AA561" s="306" t="s">
        <v>1013</v>
      </c>
    </row>
    <row r="562" spans="1:27">
      <c r="A562" s="306" t="s">
        <v>494</v>
      </c>
      <c r="B562" s="306" t="s">
        <v>1003</v>
      </c>
      <c r="C562" s="306" t="s">
        <v>1004</v>
      </c>
      <c r="D562" s="306" t="s">
        <v>2435</v>
      </c>
      <c r="E562" s="306" t="s">
        <v>2121</v>
      </c>
      <c r="F562" s="306" t="s">
        <v>1007</v>
      </c>
      <c r="G562" s="308">
        <v>46022</v>
      </c>
      <c r="H562" s="308">
        <v>46022</v>
      </c>
      <c r="I562" s="309">
        <v>-1935</v>
      </c>
      <c r="J562" s="306" t="s">
        <v>1008</v>
      </c>
      <c r="K562" s="309">
        <v>-1935</v>
      </c>
      <c r="L562" s="306" t="s">
        <v>1008</v>
      </c>
      <c r="M562" s="306" t="s">
        <v>2115</v>
      </c>
      <c r="N562" s="306" t="s">
        <v>2116</v>
      </c>
      <c r="O562" s="306" t="s">
        <v>2109</v>
      </c>
      <c r="P562" s="306" t="s">
        <v>1012</v>
      </c>
      <c r="Q562" s="306" t="s">
        <v>1013</v>
      </c>
      <c r="R562" s="306" t="s">
        <v>1013</v>
      </c>
      <c r="S562" s="306" t="s">
        <v>1013</v>
      </c>
      <c r="T562" s="306" t="s">
        <v>1013</v>
      </c>
      <c r="U562" s="306" t="s">
        <v>1013</v>
      </c>
      <c r="V562" s="306" t="s">
        <v>1013</v>
      </c>
      <c r="W562" s="306" t="s">
        <v>1013</v>
      </c>
      <c r="X562" s="306" t="s">
        <v>1013</v>
      </c>
      <c r="Y562" s="306" t="s">
        <v>2101</v>
      </c>
      <c r="Z562" s="306" t="s">
        <v>1015</v>
      </c>
      <c r="AA562" s="306" t="s">
        <v>1013</v>
      </c>
    </row>
    <row r="563" spans="1:27">
      <c r="A563" s="306" t="s">
        <v>494</v>
      </c>
      <c r="B563" s="306" t="s">
        <v>1003</v>
      </c>
      <c r="C563" s="306" t="s">
        <v>1004</v>
      </c>
      <c r="D563" s="306" t="s">
        <v>2435</v>
      </c>
      <c r="E563" s="306" t="s">
        <v>2122</v>
      </c>
      <c r="F563" s="306" t="s">
        <v>1007</v>
      </c>
      <c r="G563" s="308">
        <v>46022</v>
      </c>
      <c r="H563" s="308">
        <v>46022</v>
      </c>
      <c r="I563" s="309">
        <v>-10575.13</v>
      </c>
      <c r="J563" s="306" t="s">
        <v>1008</v>
      </c>
      <c r="K563" s="309">
        <v>-10575.13</v>
      </c>
      <c r="L563" s="306" t="s">
        <v>1008</v>
      </c>
      <c r="M563" s="306" t="s">
        <v>2115</v>
      </c>
      <c r="N563" s="306" t="s">
        <v>2116</v>
      </c>
      <c r="O563" s="306" t="s">
        <v>2111</v>
      </c>
      <c r="P563" s="306" t="s">
        <v>1012</v>
      </c>
      <c r="Q563" s="306" t="s">
        <v>1013</v>
      </c>
      <c r="R563" s="306" t="s">
        <v>1013</v>
      </c>
      <c r="S563" s="306" t="s">
        <v>1013</v>
      </c>
      <c r="T563" s="306" t="s">
        <v>1013</v>
      </c>
      <c r="U563" s="306" t="s">
        <v>1013</v>
      </c>
      <c r="V563" s="306" t="s">
        <v>1013</v>
      </c>
      <c r="W563" s="306" t="s">
        <v>1013</v>
      </c>
      <c r="X563" s="306" t="s">
        <v>1013</v>
      </c>
      <c r="Y563" s="306" t="s">
        <v>2101</v>
      </c>
      <c r="Z563" s="306" t="s">
        <v>1015</v>
      </c>
      <c r="AA563" s="306" t="s">
        <v>1013</v>
      </c>
    </row>
    <row r="564" spans="1:27">
      <c r="A564" s="306" t="s">
        <v>494</v>
      </c>
      <c r="B564" s="306" t="s">
        <v>1003</v>
      </c>
      <c r="C564" s="306" t="s">
        <v>1004</v>
      </c>
      <c r="D564" s="306" t="s">
        <v>2435</v>
      </c>
      <c r="E564" s="306" t="s">
        <v>2123</v>
      </c>
      <c r="F564" s="306" t="s">
        <v>1007</v>
      </c>
      <c r="G564" s="308">
        <v>46022</v>
      </c>
      <c r="H564" s="308">
        <v>46022</v>
      </c>
      <c r="I564" s="309">
        <v>-5287.56</v>
      </c>
      <c r="J564" s="306" t="s">
        <v>1008</v>
      </c>
      <c r="K564" s="309">
        <v>-5287.56</v>
      </c>
      <c r="L564" s="306" t="s">
        <v>1008</v>
      </c>
      <c r="M564" s="306" t="s">
        <v>2116</v>
      </c>
      <c r="N564" s="306" t="s">
        <v>2116</v>
      </c>
      <c r="O564" s="306" t="s">
        <v>2111</v>
      </c>
      <c r="P564" s="306" t="s">
        <v>696</v>
      </c>
      <c r="Q564" s="306" t="s">
        <v>1013</v>
      </c>
      <c r="R564" s="306" t="s">
        <v>1013</v>
      </c>
      <c r="S564" s="306" t="s">
        <v>1013</v>
      </c>
      <c r="T564" s="306" t="s">
        <v>1013</v>
      </c>
      <c r="U564" s="306" t="s">
        <v>1013</v>
      </c>
      <c r="V564" s="306" t="s">
        <v>1013</v>
      </c>
      <c r="W564" s="306" t="s">
        <v>1013</v>
      </c>
      <c r="X564" s="306" t="s">
        <v>1013</v>
      </c>
      <c r="Y564" s="306" t="s">
        <v>2101</v>
      </c>
      <c r="Z564" s="306" t="s">
        <v>1015</v>
      </c>
      <c r="AA564" s="306" t="s">
        <v>1013</v>
      </c>
    </row>
    <row r="565" spans="1:27">
      <c r="A565" s="306" t="s">
        <v>494</v>
      </c>
      <c r="B565" s="306" t="s">
        <v>1003</v>
      </c>
      <c r="C565" s="306" t="s">
        <v>1004</v>
      </c>
      <c r="D565" s="306" t="s">
        <v>2435</v>
      </c>
      <c r="E565" s="306" t="s">
        <v>2124</v>
      </c>
      <c r="F565" s="306" t="s">
        <v>1007</v>
      </c>
      <c r="G565" s="308">
        <v>46022</v>
      </c>
      <c r="H565" s="308">
        <v>46022</v>
      </c>
      <c r="I565" s="309">
        <v>-7724.07</v>
      </c>
      <c r="J565" s="306" t="s">
        <v>1008</v>
      </c>
      <c r="K565" s="309">
        <v>-7724.07</v>
      </c>
      <c r="L565" s="306" t="s">
        <v>1008</v>
      </c>
      <c r="M565" s="306" t="s">
        <v>2115</v>
      </c>
      <c r="N565" s="306" t="s">
        <v>2116</v>
      </c>
      <c r="O565" s="306" t="s">
        <v>2113</v>
      </c>
      <c r="P565" s="306" t="s">
        <v>1012</v>
      </c>
      <c r="Q565" s="306" t="s">
        <v>1013</v>
      </c>
      <c r="R565" s="306" t="s">
        <v>1013</v>
      </c>
      <c r="S565" s="306" t="s">
        <v>1013</v>
      </c>
      <c r="T565" s="306" t="s">
        <v>1013</v>
      </c>
      <c r="U565" s="306" t="s">
        <v>1013</v>
      </c>
      <c r="V565" s="306" t="s">
        <v>1013</v>
      </c>
      <c r="W565" s="306" t="s">
        <v>1013</v>
      </c>
      <c r="X565" s="306" t="s">
        <v>1013</v>
      </c>
      <c r="Y565" s="306" t="s">
        <v>2101</v>
      </c>
      <c r="Z565" s="306" t="s">
        <v>1015</v>
      </c>
      <c r="AA565" s="306" t="s">
        <v>1013</v>
      </c>
    </row>
    <row r="566" spans="1:27">
      <c r="A566" s="306" t="s">
        <v>494</v>
      </c>
      <c r="B566" s="306" t="s">
        <v>1003</v>
      </c>
      <c r="C566" s="306" t="s">
        <v>1004</v>
      </c>
      <c r="D566" s="306" t="s">
        <v>2435</v>
      </c>
      <c r="E566" s="306" t="s">
        <v>2125</v>
      </c>
      <c r="F566" s="306" t="s">
        <v>1007</v>
      </c>
      <c r="G566" s="308">
        <v>46022</v>
      </c>
      <c r="H566" s="308">
        <v>46022</v>
      </c>
      <c r="I566" s="309">
        <v>-3862.04</v>
      </c>
      <c r="J566" s="306" t="s">
        <v>1008</v>
      </c>
      <c r="K566" s="309">
        <v>-3862.04</v>
      </c>
      <c r="L566" s="306" t="s">
        <v>1008</v>
      </c>
      <c r="M566" s="306" t="s">
        <v>2116</v>
      </c>
      <c r="N566" s="306" t="s">
        <v>2116</v>
      </c>
      <c r="O566" s="306" t="s">
        <v>2113</v>
      </c>
      <c r="P566" s="306" t="s">
        <v>696</v>
      </c>
      <c r="Q566" s="306" t="s">
        <v>1013</v>
      </c>
      <c r="R566" s="306" t="s">
        <v>1013</v>
      </c>
      <c r="S566" s="306" t="s">
        <v>1013</v>
      </c>
      <c r="T566" s="306" t="s">
        <v>1013</v>
      </c>
      <c r="U566" s="306" t="s">
        <v>1013</v>
      </c>
      <c r="V566" s="306" t="s">
        <v>1013</v>
      </c>
      <c r="W566" s="306" t="s">
        <v>1013</v>
      </c>
      <c r="X566" s="306" t="s">
        <v>1013</v>
      </c>
      <c r="Y566" s="306" t="s">
        <v>2101</v>
      </c>
      <c r="Z566" s="306" t="s">
        <v>1015</v>
      </c>
      <c r="AA566" s="306" t="s">
        <v>1013</v>
      </c>
    </row>
    <row r="567" spans="1:27">
      <c r="A567" s="306" t="s">
        <v>494</v>
      </c>
      <c r="B567" s="306" t="s">
        <v>1003</v>
      </c>
      <c r="C567" s="306" t="s">
        <v>1004</v>
      </c>
      <c r="D567" s="306" t="s">
        <v>2435</v>
      </c>
      <c r="E567" s="306" t="s">
        <v>2126</v>
      </c>
      <c r="F567" s="306" t="s">
        <v>1007</v>
      </c>
      <c r="G567" s="308">
        <v>46022</v>
      </c>
      <c r="H567" s="308">
        <v>46022</v>
      </c>
      <c r="I567" s="309">
        <v>-17883.41</v>
      </c>
      <c r="J567" s="306" t="s">
        <v>1008</v>
      </c>
      <c r="K567" s="309">
        <v>-17883.41</v>
      </c>
      <c r="L567" s="306" t="s">
        <v>1008</v>
      </c>
      <c r="M567" s="306" t="s">
        <v>2127</v>
      </c>
      <c r="N567" s="306" t="s">
        <v>2127</v>
      </c>
      <c r="O567" s="306" t="s">
        <v>2128</v>
      </c>
      <c r="P567" s="306" t="s">
        <v>280</v>
      </c>
      <c r="Q567" s="306" t="s">
        <v>1013</v>
      </c>
      <c r="R567" s="306" t="s">
        <v>1013</v>
      </c>
      <c r="S567" s="306" t="s">
        <v>1013</v>
      </c>
      <c r="T567" s="306" t="s">
        <v>1013</v>
      </c>
      <c r="U567" s="306" t="s">
        <v>1013</v>
      </c>
      <c r="V567" s="306" t="s">
        <v>1013</v>
      </c>
      <c r="W567" s="306" t="s">
        <v>1013</v>
      </c>
      <c r="X567" s="306" t="s">
        <v>1013</v>
      </c>
      <c r="Y567" s="306" t="s">
        <v>2129</v>
      </c>
      <c r="Z567" s="306" t="s">
        <v>1015</v>
      </c>
      <c r="AA567" s="306" t="s">
        <v>1013</v>
      </c>
    </row>
    <row r="568" spans="1:27">
      <c r="A568" s="306" t="s">
        <v>494</v>
      </c>
      <c r="B568" s="306" t="s">
        <v>1003</v>
      </c>
      <c r="C568" s="306" t="s">
        <v>1004</v>
      </c>
      <c r="D568" s="306" t="s">
        <v>2435</v>
      </c>
      <c r="E568" s="306" t="s">
        <v>2130</v>
      </c>
      <c r="F568" s="306" t="s">
        <v>1007</v>
      </c>
      <c r="G568" s="308">
        <v>46022</v>
      </c>
      <c r="H568" s="308">
        <v>46022</v>
      </c>
      <c r="I568" s="309">
        <v>-4482.25</v>
      </c>
      <c r="J568" s="306" t="s">
        <v>1008</v>
      </c>
      <c r="K568" s="309">
        <v>-4482.25</v>
      </c>
      <c r="L568" s="306" t="s">
        <v>1008</v>
      </c>
      <c r="M568" s="306" t="s">
        <v>2131</v>
      </c>
      <c r="N568" s="306" t="s">
        <v>2132</v>
      </c>
      <c r="O568" s="306" t="s">
        <v>1822</v>
      </c>
      <c r="P568" s="306" t="s">
        <v>696</v>
      </c>
      <c r="Q568" s="306" t="s">
        <v>1013</v>
      </c>
      <c r="R568" s="306" t="s">
        <v>1013</v>
      </c>
      <c r="S568" s="306" t="s">
        <v>1013</v>
      </c>
      <c r="T568" s="306" t="s">
        <v>1013</v>
      </c>
      <c r="U568" s="306" t="s">
        <v>1013</v>
      </c>
      <c r="V568" s="306" t="s">
        <v>1013</v>
      </c>
      <c r="W568" s="306" t="s">
        <v>1013</v>
      </c>
      <c r="X568" s="306" t="s">
        <v>1013</v>
      </c>
      <c r="Y568" s="306" t="s">
        <v>1013</v>
      </c>
      <c r="Z568" s="306" t="s">
        <v>1015</v>
      </c>
      <c r="AA568" s="306" t="s">
        <v>1013</v>
      </c>
    </row>
    <row r="569" spans="1:27">
      <c r="A569" s="306" t="s">
        <v>494</v>
      </c>
      <c r="B569" s="306" t="s">
        <v>1003</v>
      </c>
      <c r="C569" s="306" t="s">
        <v>1004</v>
      </c>
      <c r="D569" s="306" t="s">
        <v>2435</v>
      </c>
      <c r="E569" s="306" t="s">
        <v>2133</v>
      </c>
      <c r="F569" s="306" t="s">
        <v>1007</v>
      </c>
      <c r="G569" s="308">
        <v>46022</v>
      </c>
      <c r="H569" s="308">
        <v>46022</v>
      </c>
      <c r="I569" s="309">
        <v>-2867.16</v>
      </c>
      <c r="J569" s="306" t="s">
        <v>1008</v>
      </c>
      <c r="K569" s="309">
        <v>-2867.16</v>
      </c>
      <c r="L569" s="306" t="s">
        <v>1008</v>
      </c>
      <c r="M569" s="306" t="s">
        <v>2134</v>
      </c>
      <c r="N569" s="306" t="s">
        <v>2134</v>
      </c>
      <c r="O569" s="306" t="s">
        <v>1822</v>
      </c>
      <c r="P569" s="306" t="s">
        <v>250</v>
      </c>
      <c r="Q569" s="306" t="s">
        <v>1013</v>
      </c>
      <c r="R569" s="306" t="s">
        <v>1013</v>
      </c>
      <c r="S569" s="306" t="s">
        <v>1013</v>
      </c>
      <c r="T569" s="306" t="s">
        <v>1013</v>
      </c>
      <c r="U569" s="306" t="s">
        <v>1013</v>
      </c>
      <c r="V569" s="306" t="s">
        <v>1013</v>
      </c>
      <c r="W569" s="306" t="s">
        <v>1013</v>
      </c>
      <c r="X569" s="306" t="s">
        <v>1013</v>
      </c>
      <c r="Y569" s="306" t="s">
        <v>2135</v>
      </c>
      <c r="Z569" s="306" t="s">
        <v>1015</v>
      </c>
      <c r="AA569" s="306" t="s">
        <v>1013</v>
      </c>
    </row>
    <row r="570" spans="1:27">
      <c r="A570" s="306" t="s">
        <v>494</v>
      </c>
      <c r="B570" s="306" t="s">
        <v>1003</v>
      </c>
      <c r="C570" s="306" t="s">
        <v>1004</v>
      </c>
      <c r="D570" s="306" t="s">
        <v>2435</v>
      </c>
      <c r="E570" s="306" t="s">
        <v>2136</v>
      </c>
      <c r="F570" s="306" t="s">
        <v>1007</v>
      </c>
      <c r="G570" s="308">
        <v>46022</v>
      </c>
      <c r="H570" s="308">
        <v>46022</v>
      </c>
      <c r="I570" s="309">
        <v>-1907.3</v>
      </c>
      <c r="J570" s="306" t="s">
        <v>1008</v>
      </c>
      <c r="K570" s="309">
        <v>-1907.3</v>
      </c>
      <c r="L570" s="306" t="s">
        <v>1008</v>
      </c>
      <c r="M570" s="306" t="s">
        <v>2137</v>
      </c>
      <c r="N570" s="306" t="s">
        <v>259</v>
      </c>
      <c r="O570" s="306" t="s">
        <v>1822</v>
      </c>
      <c r="P570" s="306" t="s">
        <v>188</v>
      </c>
      <c r="Q570" s="306" t="s">
        <v>1013</v>
      </c>
      <c r="R570" s="306" t="s">
        <v>1013</v>
      </c>
      <c r="S570" s="306" t="s">
        <v>1013</v>
      </c>
      <c r="T570" s="306" t="s">
        <v>1013</v>
      </c>
      <c r="U570" s="306" t="s">
        <v>1013</v>
      </c>
      <c r="V570" s="306" t="s">
        <v>1013</v>
      </c>
      <c r="W570" s="306" t="s">
        <v>1013</v>
      </c>
      <c r="X570" s="306" t="s">
        <v>1013</v>
      </c>
      <c r="Y570" s="306" t="s">
        <v>1998</v>
      </c>
      <c r="Z570" s="306" t="s">
        <v>1015</v>
      </c>
      <c r="AA570" s="306" t="s">
        <v>1013</v>
      </c>
    </row>
    <row r="571" spans="1:27">
      <c r="A571" s="306" t="s">
        <v>494</v>
      </c>
      <c r="B571" s="306" t="s">
        <v>1003</v>
      </c>
      <c r="C571" s="306" t="s">
        <v>1004</v>
      </c>
      <c r="D571" s="306" t="s">
        <v>2435</v>
      </c>
      <c r="E571" s="306" t="s">
        <v>2138</v>
      </c>
      <c r="F571" s="306" t="s">
        <v>1007</v>
      </c>
      <c r="G571" s="308">
        <v>46022</v>
      </c>
      <c r="H571" s="308">
        <v>46022</v>
      </c>
      <c r="I571" s="309">
        <v>-3942.34</v>
      </c>
      <c r="J571" s="306" t="s">
        <v>1008</v>
      </c>
      <c r="K571" s="309">
        <v>-3942.34</v>
      </c>
      <c r="L571" s="306" t="s">
        <v>1008</v>
      </c>
      <c r="M571" s="306" t="s">
        <v>2139</v>
      </c>
      <c r="N571" s="306" t="s">
        <v>260</v>
      </c>
      <c r="O571" s="306" t="s">
        <v>1822</v>
      </c>
      <c r="P571" s="306" t="s">
        <v>188</v>
      </c>
      <c r="Q571" s="306" t="s">
        <v>1013</v>
      </c>
      <c r="R571" s="306" t="s">
        <v>1013</v>
      </c>
      <c r="S571" s="306" t="s">
        <v>1013</v>
      </c>
      <c r="T571" s="306" t="s">
        <v>1013</v>
      </c>
      <c r="U571" s="306" t="s">
        <v>1013</v>
      </c>
      <c r="V571" s="306" t="s">
        <v>1013</v>
      </c>
      <c r="W571" s="306" t="s">
        <v>1013</v>
      </c>
      <c r="X571" s="306" t="s">
        <v>1013</v>
      </c>
      <c r="Y571" s="306" t="s">
        <v>1998</v>
      </c>
      <c r="Z571" s="306" t="s">
        <v>1015</v>
      </c>
      <c r="AA571" s="306" t="s">
        <v>1013</v>
      </c>
    </row>
    <row r="572" spans="1:27">
      <c r="A572" s="306" t="s">
        <v>494</v>
      </c>
      <c r="B572" s="306" t="s">
        <v>1003</v>
      </c>
      <c r="C572" s="306" t="s">
        <v>1004</v>
      </c>
      <c r="D572" s="306" t="s">
        <v>2435</v>
      </c>
      <c r="E572" s="306" t="s">
        <v>2140</v>
      </c>
      <c r="F572" s="306" t="s">
        <v>1007</v>
      </c>
      <c r="G572" s="308">
        <v>46022</v>
      </c>
      <c r="H572" s="308">
        <v>46022</v>
      </c>
      <c r="I572" s="309">
        <v>-431628.44</v>
      </c>
      <c r="J572" s="306" t="s">
        <v>1008</v>
      </c>
      <c r="K572" s="309">
        <v>-431628.44</v>
      </c>
      <c r="L572" s="306" t="s">
        <v>1008</v>
      </c>
      <c r="M572" s="306" t="s">
        <v>1157</v>
      </c>
      <c r="N572" s="306" t="s">
        <v>1151</v>
      </c>
      <c r="O572" s="306" t="s">
        <v>2141</v>
      </c>
      <c r="P572" s="306" t="s">
        <v>244</v>
      </c>
      <c r="Q572" s="306" t="s">
        <v>1013</v>
      </c>
      <c r="R572" s="306" t="s">
        <v>1013</v>
      </c>
      <c r="S572" s="306" t="s">
        <v>1013</v>
      </c>
      <c r="T572" s="306" t="s">
        <v>1013</v>
      </c>
      <c r="U572" s="306" t="s">
        <v>1013</v>
      </c>
      <c r="V572" s="306" t="s">
        <v>1013</v>
      </c>
      <c r="W572" s="306" t="s">
        <v>1013</v>
      </c>
      <c r="X572" s="306" t="s">
        <v>1013</v>
      </c>
      <c r="Y572" s="306" t="s">
        <v>1153</v>
      </c>
      <c r="Z572" s="306" t="s">
        <v>1015</v>
      </c>
      <c r="AA572" s="306" t="s">
        <v>1013</v>
      </c>
    </row>
    <row r="573" spans="1:27">
      <c r="A573" s="306" t="s">
        <v>494</v>
      </c>
      <c r="B573" s="306" t="s">
        <v>1003</v>
      </c>
      <c r="C573" s="306" t="s">
        <v>1004</v>
      </c>
      <c r="D573" s="306" t="s">
        <v>2435</v>
      </c>
      <c r="E573" s="306" t="s">
        <v>2142</v>
      </c>
      <c r="F573" s="306" t="s">
        <v>1007</v>
      </c>
      <c r="G573" s="308">
        <v>46022</v>
      </c>
      <c r="H573" s="308">
        <v>46022</v>
      </c>
      <c r="I573" s="309">
        <v>-318135.55</v>
      </c>
      <c r="J573" s="306" t="s">
        <v>1008</v>
      </c>
      <c r="K573" s="309">
        <v>-318135.55</v>
      </c>
      <c r="L573" s="306" t="s">
        <v>1008</v>
      </c>
      <c r="M573" s="306" t="s">
        <v>1157</v>
      </c>
      <c r="N573" s="306" t="s">
        <v>1151</v>
      </c>
      <c r="O573" s="306" t="s">
        <v>2141</v>
      </c>
      <c r="P573" s="306" t="s">
        <v>244</v>
      </c>
      <c r="Q573" s="306" t="s">
        <v>1013</v>
      </c>
      <c r="R573" s="306" t="s">
        <v>1013</v>
      </c>
      <c r="S573" s="306" t="s">
        <v>1013</v>
      </c>
      <c r="T573" s="306" t="s">
        <v>1013</v>
      </c>
      <c r="U573" s="306" t="s">
        <v>1013</v>
      </c>
      <c r="V573" s="306" t="s">
        <v>1013</v>
      </c>
      <c r="W573" s="306" t="s">
        <v>1013</v>
      </c>
      <c r="X573" s="306" t="s">
        <v>1013</v>
      </c>
      <c r="Y573" s="306" t="s">
        <v>1153</v>
      </c>
      <c r="Z573" s="306" t="s">
        <v>1015</v>
      </c>
      <c r="AA573" s="306" t="s">
        <v>1013</v>
      </c>
    </row>
    <row r="574" spans="1:27">
      <c r="A574" s="306" t="s">
        <v>494</v>
      </c>
      <c r="B574" s="306" t="s">
        <v>1003</v>
      </c>
      <c r="C574" s="306" t="s">
        <v>1004</v>
      </c>
      <c r="D574" s="306" t="s">
        <v>2435</v>
      </c>
      <c r="E574" s="306" t="s">
        <v>2143</v>
      </c>
      <c r="F574" s="306" t="s">
        <v>1007</v>
      </c>
      <c r="G574" s="308">
        <v>46022</v>
      </c>
      <c r="H574" s="308">
        <v>46022</v>
      </c>
      <c r="I574" s="309">
        <v>-218353.21</v>
      </c>
      <c r="J574" s="306" t="s">
        <v>1008</v>
      </c>
      <c r="K574" s="309">
        <v>-218353.21</v>
      </c>
      <c r="L574" s="306" t="s">
        <v>1008</v>
      </c>
      <c r="M574" s="306" t="s">
        <v>1157</v>
      </c>
      <c r="N574" s="306" t="s">
        <v>1151</v>
      </c>
      <c r="O574" s="306" t="s">
        <v>2141</v>
      </c>
      <c r="P574" s="306" t="s">
        <v>244</v>
      </c>
      <c r="Q574" s="306" t="s">
        <v>1013</v>
      </c>
      <c r="R574" s="306" t="s">
        <v>1013</v>
      </c>
      <c r="S574" s="306" t="s">
        <v>1013</v>
      </c>
      <c r="T574" s="306" t="s">
        <v>1013</v>
      </c>
      <c r="U574" s="306" t="s">
        <v>1013</v>
      </c>
      <c r="V574" s="306" t="s">
        <v>1013</v>
      </c>
      <c r="W574" s="306" t="s">
        <v>1013</v>
      </c>
      <c r="X574" s="306" t="s">
        <v>1013</v>
      </c>
      <c r="Y574" s="306" t="s">
        <v>1153</v>
      </c>
      <c r="Z574" s="306" t="s">
        <v>1015</v>
      </c>
      <c r="AA574" s="306" t="s">
        <v>1013</v>
      </c>
    </row>
    <row r="575" spans="1:27">
      <c r="A575" s="306" t="s">
        <v>494</v>
      </c>
      <c r="B575" s="306" t="s">
        <v>1003</v>
      </c>
      <c r="C575" s="306" t="s">
        <v>1004</v>
      </c>
      <c r="D575" s="306" t="s">
        <v>2435</v>
      </c>
      <c r="E575" s="306" t="s">
        <v>2144</v>
      </c>
      <c r="F575" s="306" t="s">
        <v>1007</v>
      </c>
      <c r="G575" s="308">
        <v>46022</v>
      </c>
      <c r="H575" s="308">
        <v>46022</v>
      </c>
      <c r="I575" s="309">
        <v>-99828.19</v>
      </c>
      <c r="J575" s="306" t="s">
        <v>1008</v>
      </c>
      <c r="K575" s="309">
        <v>-99828.19</v>
      </c>
      <c r="L575" s="306" t="s">
        <v>1008</v>
      </c>
      <c r="M575" s="306" t="s">
        <v>1150</v>
      </c>
      <c r="N575" s="306" t="s">
        <v>1151</v>
      </c>
      <c r="O575" s="306" t="s">
        <v>2145</v>
      </c>
      <c r="P575" s="306" t="s">
        <v>244</v>
      </c>
      <c r="Q575" s="306" t="s">
        <v>1013</v>
      </c>
      <c r="R575" s="306" t="s">
        <v>1013</v>
      </c>
      <c r="S575" s="306" t="s">
        <v>1013</v>
      </c>
      <c r="T575" s="306" t="s">
        <v>1013</v>
      </c>
      <c r="U575" s="306" t="s">
        <v>1013</v>
      </c>
      <c r="V575" s="306" t="s">
        <v>1013</v>
      </c>
      <c r="W575" s="306" t="s">
        <v>1013</v>
      </c>
      <c r="X575" s="306" t="s">
        <v>1013</v>
      </c>
      <c r="Y575" s="306" t="s">
        <v>1153</v>
      </c>
      <c r="Z575" s="306" t="s">
        <v>1015</v>
      </c>
      <c r="AA575" s="306" t="s">
        <v>1013</v>
      </c>
    </row>
    <row r="576" spans="1:27">
      <c r="A576" s="306" t="s">
        <v>494</v>
      </c>
      <c r="B576" s="306" t="s">
        <v>1003</v>
      </c>
      <c r="C576" s="306" t="s">
        <v>1004</v>
      </c>
      <c r="D576" s="306" t="s">
        <v>2435</v>
      </c>
      <c r="E576" s="306" t="s">
        <v>2146</v>
      </c>
      <c r="F576" s="306" t="s">
        <v>1007</v>
      </c>
      <c r="G576" s="308">
        <v>46022</v>
      </c>
      <c r="H576" s="308">
        <v>46022</v>
      </c>
      <c r="I576" s="309">
        <v>-5563.69</v>
      </c>
      <c r="J576" s="306" t="s">
        <v>1008</v>
      </c>
      <c r="K576" s="309">
        <v>-5563.69</v>
      </c>
      <c r="L576" s="306" t="s">
        <v>1008</v>
      </c>
      <c r="M576" s="306" t="s">
        <v>1150</v>
      </c>
      <c r="N576" s="306" t="s">
        <v>1151</v>
      </c>
      <c r="O576" s="306" t="s">
        <v>2147</v>
      </c>
      <c r="P576" s="306" t="s">
        <v>244</v>
      </c>
      <c r="Q576" s="306" t="s">
        <v>1013</v>
      </c>
      <c r="R576" s="306" t="s">
        <v>1013</v>
      </c>
      <c r="S576" s="306" t="s">
        <v>1013</v>
      </c>
      <c r="T576" s="306" t="s">
        <v>1013</v>
      </c>
      <c r="U576" s="306" t="s">
        <v>1013</v>
      </c>
      <c r="V576" s="306" t="s">
        <v>1013</v>
      </c>
      <c r="W576" s="306" t="s">
        <v>1013</v>
      </c>
      <c r="X576" s="306" t="s">
        <v>1013</v>
      </c>
      <c r="Y576" s="306" t="s">
        <v>1153</v>
      </c>
      <c r="Z576" s="306" t="s">
        <v>1015</v>
      </c>
      <c r="AA576" s="306" t="s">
        <v>1013</v>
      </c>
    </row>
    <row r="577" spans="1:27">
      <c r="A577" s="306" t="s">
        <v>494</v>
      </c>
      <c r="B577" s="306" t="s">
        <v>1003</v>
      </c>
      <c r="C577" s="306" t="s">
        <v>1004</v>
      </c>
      <c r="D577" s="306" t="s">
        <v>2435</v>
      </c>
      <c r="E577" s="306" t="s">
        <v>2148</v>
      </c>
      <c r="F577" s="306" t="s">
        <v>1007</v>
      </c>
      <c r="G577" s="308">
        <v>46022</v>
      </c>
      <c r="H577" s="308">
        <v>46022</v>
      </c>
      <c r="I577" s="309">
        <v>-41248.54</v>
      </c>
      <c r="J577" s="306" t="s">
        <v>1008</v>
      </c>
      <c r="K577" s="309">
        <v>-41248.54</v>
      </c>
      <c r="L577" s="306" t="s">
        <v>1008</v>
      </c>
      <c r="M577" s="306" t="s">
        <v>1150</v>
      </c>
      <c r="N577" s="306" t="s">
        <v>1151</v>
      </c>
      <c r="O577" s="306" t="s">
        <v>2149</v>
      </c>
      <c r="P577" s="306" t="s">
        <v>244</v>
      </c>
      <c r="Q577" s="306" t="s">
        <v>1013</v>
      </c>
      <c r="R577" s="306" t="s">
        <v>1013</v>
      </c>
      <c r="S577" s="306" t="s">
        <v>1013</v>
      </c>
      <c r="T577" s="306" t="s">
        <v>1013</v>
      </c>
      <c r="U577" s="306" t="s">
        <v>1013</v>
      </c>
      <c r="V577" s="306" t="s">
        <v>1013</v>
      </c>
      <c r="W577" s="306" t="s">
        <v>1013</v>
      </c>
      <c r="X577" s="306" t="s">
        <v>1013</v>
      </c>
      <c r="Y577" s="306" t="s">
        <v>1153</v>
      </c>
      <c r="Z577" s="306" t="s">
        <v>1015</v>
      </c>
      <c r="AA577" s="306" t="s">
        <v>1013</v>
      </c>
    </row>
    <row r="578" spans="1:27">
      <c r="A578" s="306" t="s">
        <v>494</v>
      </c>
      <c r="B578" s="306" t="s">
        <v>1003</v>
      </c>
      <c r="C578" s="306" t="s">
        <v>1004</v>
      </c>
      <c r="D578" s="306" t="s">
        <v>2435</v>
      </c>
      <c r="E578" s="306" t="s">
        <v>2150</v>
      </c>
      <c r="F578" s="306" t="s">
        <v>1007</v>
      </c>
      <c r="G578" s="308">
        <v>46022</v>
      </c>
      <c r="H578" s="308">
        <v>46022</v>
      </c>
      <c r="I578" s="309">
        <v>-2877.52</v>
      </c>
      <c r="J578" s="306" t="s">
        <v>1008</v>
      </c>
      <c r="K578" s="309">
        <v>-2877.52</v>
      </c>
      <c r="L578" s="306" t="s">
        <v>1008</v>
      </c>
      <c r="M578" s="306" t="s">
        <v>1168</v>
      </c>
      <c r="N578" s="306" t="s">
        <v>1151</v>
      </c>
      <c r="O578" s="306" t="s">
        <v>2151</v>
      </c>
      <c r="P578" s="306" t="s">
        <v>244</v>
      </c>
      <c r="Q578" s="306" t="s">
        <v>1013</v>
      </c>
      <c r="R578" s="306" t="s">
        <v>1013</v>
      </c>
      <c r="S578" s="306" t="s">
        <v>1013</v>
      </c>
      <c r="T578" s="306" t="s">
        <v>1013</v>
      </c>
      <c r="U578" s="306" t="s">
        <v>1013</v>
      </c>
      <c r="V578" s="306" t="s">
        <v>1013</v>
      </c>
      <c r="W578" s="306" t="s">
        <v>1013</v>
      </c>
      <c r="X578" s="306" t="s">
        <v>1013</v>
      </c>
      <c r="Y578" s="306" t="s">
        <v>1153</v>
      </c>
      <c r="Z578" s="306" t="s">
        <v>1015</v>
      </c>
      <c r="AA578" s="306" t="s">
        <v>1013</v>
      </c>
    </row>
    <row r="579" spans="1:27">
      <c r="A579" s="306" t="s">
        <v>494</v>
      </c>
      <c r="B579" s="306" t="s">
        <v>1003</v>
      </c>
      <c r="C579" s="306" t="s">
        <v>1004</v>
      </c>
      <c r="D579" s="306" t="s">
        <v>2435</v>
      </c>
      <c r="E579" s="306" t="s">
        <v>2152</v>
      </c>
      <c r="F579" s="306" t="s">
        <v>1007</v>
      </c>
      <c r="G579" s="308">
        <v>46022</v>
      </c>
      <c r="H579" s="308">
        <v>46022</v>
      </c>
      <c r="I579" s="309">
        <v>-220524.05</v>
      </c>
      <c r="J579" s="306" t="s">
        <v>1008</v>
      </c>
      <c r="K579" s="309">
        <v>-220524.05</v>
      </c>
      <c r="L579" s="306" t="s">
        <v>1008</v>
      </c>
      <c r="M579" s="306" t="s">
        <v>1150</v>
      </c>
      <c r="N579" s="306" t="s">
        <v>1151</v>
      </c>
      <c r="O579" s="306" t="s">
        <v>2153</v>
      </c>
      <c r="P579" s="306" t="s">
        <v>244</v>
      </c>
      <c r="Q579" s="306" t="s">
        <v>1013</v>
      </c>
      <c r="R579" s="306" t="s">
        <v>1013</v>
      </c>
      <c r="S579" s="306" t="s">
        <v>1013</v>
      </c>
      <c r="T579" s="306" t="s">
        <v>1013</v>
      </c>
      <c r="U579" s="306" t="s">
        <v>1013</v>
      </c>
      <c r="V579" s="306" t="s">
        <v>1013</v>
      </c>
      <c r="W579" s="306" t="s">
        <v>1013</v>
      </c>
      <c r="X579" s="306" t="s">
        <v>1013</v>
      </c>
      <c r="Y579" s="306" t="s">
        <v>1153</v>
      </c>
      <c r="Z579" s="306" t="s">
        <v>1015</v>
      </c>
      <c r="AA579" s="306" t="s">
        <v>1013</v>
      </c>
    </row>
    <row r="580" spans="1:27">
      <c r="A580" s="306" t="s">
        <v>494</v>
      </c>
      <c r="B580" s="306" t="s">
        <v>1003</v>
      </c>
      <c r="C580" s="306" t="s">
        <v>1004</v>
      </c>
      <c r="D580" s="306" t="s">
        <v>2435</v>
      </c>
      <c r="E580" s="306" t="s">
        <v>2154</v>
      </c>
      <c r="F580" s="306" t="s">
        <v>1007</v>
      </c>
      <c r="G580" s="308">
        <v>46022</v>
      </c>
      <c r="H580" s="308">
        <v>46022</v>
      </c>
      <c r="I580" s="309">
        <v>-40753.269999999997</v>
      </c>
      <c r="J580" s="306" t="s">
        <v>1008</v>
      </c>
      <c r="K580" s="309">
        <v>-40753.269999999997</v>
      </c>
      <c r="L580" s="306" t="s">
        <v>1008</v>
      </c>
      <c r="M580" s="306" t="s">
        <v>1150</v>
      </c>
      <c r="N580" s="306" t="s">
        <v>1151</v>
      </c>
      <c r="O580" s="306" t="s">
        <v>2155</v>
      </c>
      <c r="P580" s="306" t="s">
        <v>244</v>
      </c>
      <c r="Q580" s="306" t="s">
        <v>1013</v>
      </c>
      <c r="R580" s="306" t="s">
        <v>1013</v>
      </c>
      <c r="S580" s="306" t="s">
        <v>1013</v>
      </c>
      <c r="T580" s="306" t="s">
        <v>1013</v>
      </c>
      <c r="U580" s="306" t="s">
        <v>1013</v>
      </c>
      <c r="V580" s="306" t="s">
        <v>1013</v>
      </c>
      <c r="W580" s="306" t="s">
        <v>1013</v>
      </c>
      <c r="X580" s="306" t="s">
        <v>1013</v>
      </c>
      <c r="Y580" s="306" t="s">
        <v>1153</v>
      </c>
      <c r="Z580" s="306" t="s">
        <v>1015</v>
      </c>
      <c r="AA580" s="306" t="s">
        <v>1013</v>
      </c>
    </row>
    <row r="581" spans="1:27">
      <c r="A581" s="306" t="s">
        <v>494</v>
      </c>
      <c r="B581" s="306" t="s">
        <v>1003</v>
      </c>
      <c r="C581" s="306" t="s">
        <v>1004</v>
      </c>
      <c r="D581" s="306" t="s">
        <v>2435</v>
      </c>
      <c r="E581" s="306" t="s">
        <v>2156</v>
      </c>
      <c r="F581" s="306" t="s">
        <v>1007</v>
      </c>
      <c r="G581" s="308">
        <v>46022</v>
      </c>
      <c r="H581" s="308">
        <v>46022</v>
      </c>
      <c r="I581" s="309">
        <v>-5555.86</v>
      </c>
      <c r="J581" s="306" t="s">
        <v>1008</v>
      </c>
      <c r="K581" s="309">
        <v>-5555.86</v>
      </c>
      <c r="L581" s="306" t="s">
        <v>1008</v>
      </c>
      <c r="M581" s="306" t="s">
        <v>1150</v>
      </c>
      <c r="N581" s="306" t="s">
        <v>1151</v>
      </c>
      <c r="O581" s="306" t="s">
        <v>2157</v>
      </c>
      <c r="P581" s="306" t="s">
        <v>244</v>
      </c>
      <c r="Q581" s="306" t="s">
        <v>1013</v>
      </c>
      <c r="R581" s="306" t="s">
        <v>1013</v>
      </c>
      <c r="S581" s="306" t="s">
        <v>1013</v>
      </c>
      <c r="T581" s="306" t="s">
        <v>1013</v>
      </c>
      <c r="U581" s="306" t="s">
        <v>1013</v>
      </c>
      <c r="V581" s="306" t="s">
        <v>1013</v>
      </c>
      <c r="W581" s="306" t="s">
        <v>1013</v>
      </c>
      <c r="X581" s="306" t="s">
        <v>1013</v>
      </c>
      <c r="Y581" s="306" t="s">
        <v>1153</v>
      </c>
      <c r="Z581" s="306" t="s">
        <v>1015</v>
      </c>
      <c r="AA581" s="306" t="s">
        <v>1013</v>
      </c>
    </row>
    <row r="582" spans="1:27">
      <c r="A582" s="306" t="s">
        <v>494</v>
      </c>
      <c r="B582" s="306" t="s">
        <v>1003</v>
      </c>
      <c r="C582" s="306" t="s">
        <v>1004</v>
      </c>
      <c r="D582" s="306" t="s">
        <v>2435</v>
      </c>
      <c r="E582" s="306" t="s">
        <v>2158</v>
      </c>
      <c r="F582" s="306" t="s">
        <v>1007</v>
      </c>
      <c r="G582" s="308">
        <v>46022</v>
      </c>
      <c r="H582" s="308">
        <v>46022</v>
      </c>
      <c r="I582" s="309">
        <v>-3725.1</v>
      </c>
      <c r="J582" s="306" t="s">
        <v>1008</v>
      </c>
      <c r="K582" s="309">
        <v>-3725.1</v>
      </c>
      <c r="L582" s="306" t="s">
        <v>1008</v>
      </c>
      <c r="M582" s="306" t="s">
        <v>1150</v>
      </c>
      <c r="N582" s="306" t="s">
        <v>1151</v>
      </c>
      <c r="O582" s="306" t="s">
        <v>2159</v>
      </c>
      <c r="P582" s="306" t="s">
        <v>244</v>
      </c>
      <c r="Q582" s="306" t="s">
        <v>1013</v>
      </c>
      <c r="R582" s="306" t="s">
        <v>1013</v>
      </c>
      <c r="S582" s="306" t="s">
        <v>1013</v>
      </c>
      <c r="T582" s="306" t="s">
        <v>1013</v>
      </c>
      <c r="U582" s="306" t="s">
        <v>1013</v>
      </c>
      <c r="V582" s="306" t="s">
        <v>1013</v>
      </c>
      <c r="W582" s="306" t="s">
        <v>1013</v>
      </c>
      <c r="X582" s="306" t="s">
        <v>1013</v>
      </c>
      <c r="Y582" s="306" t="s">
        <v>1153</v>
      </c>
      <c r="Z582" s="306" t="s">
        <v>1015</v>
      </c>
      <c r="AA582" s="306" t="s">
        <v>1013</v>
      </c>
    </row>
    <row r="583" spans="1:27">
      <c r="A583" s="306" t="s">
        <v>494</v>
      </c>
      <c r="B583" s="306" t="s">
        <v>1003</v>
      </c>
      <c r="C583" s="306" t="s">
        <v>1004</v>
      </c>
      <c r="D583" s="306" t="s">
        <v>2435</v>
      </c>
      <c r="E583" s="306" t="s">
        <v>2160</v>
      </c>
      <c r="F583" s="306" t="s">
        <v>1007</v>
      </c>
      <c r="G583" s="308">
        <v>46022</v>
      </c>
      <c r="H583" s="308">
        <v>46022</v>
      </c>
      <c r="I583" s="309">
        <v>-9079.5300000000007</v>
      </c>
      <c r="J583" s="306" t="s">
        <v>1008</v>
      </c>
      <c r="K583" s="309">
        <v>-9079.5300000000007</v>
      </c>
      <c r="L583" s="306" t="s">
        <v>1008</v>
      </c>
      <c r="M583" s="306" t="s">
        <v>1150</v>
      </c>
      <c r="N583" s="306" t="s">
        <v>1151</v>
      </c>
      <c r="O583" s="306" t="s">
        <v>2161</v>
      </c>
      <c r="P583" s="306" t="s">
        <v>244</v>
      </c>
      <c r="Q583" s="306" t="s">
        <v>1013</v>
      </c>
      <c r="R583" s="306" t="s">
        <v>1013</v>
      </c>
      <c r="S583" s="306" t="s">
        <v>1013</v>
      </c>
      <c r="T583" s="306" t="s">
        <v>1013</v>
      </c>
      <c r="U583" s="306" t="s">
        <v>1013</v>
      </c>
      <c r="V583" s="306" t="s">
        <v>1013</v>
      </c>
      <c r="W583" s="306" t="s">
        <v>1013</v>
      </c>
      <c r="X583" s="306" t="s">
        <v>1013</v>
      </c>
      <c r="Y583" s="306" t="s">
        <v>1153</v>
      </c>
      <c r="Z583" s="306" t="s">
        <v>1015</v>
      </c>
      <c r="AA583" s="306" t="s">
        <v>1013</v>
      </c>
    </row>
    <row r="584" spans="1:27">
      <c r="A584" s="306" t="s">
        <v>494</v>
      </c>
      <c r="B584" s="306" t="s">
        <v>1003</v>
      </c>
      <c r="C584" s="306" t="s">
        <v>1004</v>
      </c>
      <c r="D584" s="306" t="s">
        <v>2435</v>
      </c>
      <c r="E584" s="306" t="s">
        <v>2162</v>
      </c>
      <c r="F584" s="306" t="s">
        <v>1007</v>
      </c>
      <c r="G584" s="308">
        <v>46022</v>
      </c>
      <c r="H584" s="308">
        <v>46022</v>
      </c>
      <c r="I584" s="309">
        <v>-1170.29</v>
      </c>
      <c r="J584" s="306" t="s">
        <v>1008</v>
      </c>
      <c r="K584" s="309">
        <v>-1170.29</v>
      </c>
      <c r="L584" s="306" t="s">
        <v>1008</v>
      </c>
      <c r="M584" s="306" t="s">
        <v>1168</v>
      </c>
      <c r="N584" s="306" t="s">
        <v>1151</v>
      </c>
      <c r="O584" s="306" t="s">
        <v>2163</v>
      </c>
      <c r="P584" s="306" t="s">
        <v>244</v>
      </c>
      <c r="Q584" s="306" t="s">
        <v>1013</v>
      </c>
      <c r="R584" s="306" t="s">
        <v>1013</v>
      </c>
      <c r="S584" s="306" t="s">
        <v>1013</v>
      </c>
      <c r="T584" s="306" t="s">
        <v>1013</v>
      </c>
      <c r="U584" s="306" t="s">
        <v>1013</v>
      </c>
      <c r="V584" s="306" t="s">
        <v>1013</v>
      </c>
      <c r="W584" s="306" t="s">
        <v>1013</v>
      </c>
      <c r="X584" s="306" t="s">
        <v>1013</v>
      </c>
      <c r="Y584" s="306" t="s">
        <v>1153</v>
      </c>
      <c r="Z584" s="306" t="s">
        <v>1015</v>
      </c>
      <c r="AA584" s="306" t="s">
        <v>1013</v>
      </c>
    </row>
    <row r="585" spans="1:27">
      <c r="A585" s="306" t="s">
        <v>494</v>
      </c>
      <c r="B585" s="306" t="s">
        <v>1003</v>
      </c>
      <c r="C585" s="306" t="s">
        <v>1004</v>
      </c>
      <c r="D585" s="306" t="s">
        <v>2435</v>
      </c>
      <c r="E585" s="306" t="s">
        <v>2164</v>
      </c>
      <c r="F585" s="306" t="s">
        <v>1007</v>
      </c>
      <c r="G585" s="308">
        <v>46022</v>
      </c>
      <c r="H585" s="308">
        <v>46022</v>
      </c>
      <c r="I585" s="309">
        <v>-64461.41</v>
      </c>
      <c r="J585" s="306" t="s">
        <v>1008</v>
      </c>
      <c r="K585" s="309">
        <v>-64461.41</v>
      </c>
      <c r="L585" s="306" t="s">
        <v>1008</v>
      </c>
      <c r="M585" s="306" t="s">
        <v>1150</v>
      </c>
      <c r="N585" s="306" t="s">
        <v>1151</v>
      </c>
      <c r="O585" s="306" t="s">
        <v>2165</v>
      </c>
      <c r="P585" s="306" t="s">
        <v>244</v>
      </c>
      <c r="Q585" s="306" t="s">
        <v>1013</v>
      </c>
      <c r="R585" s="306" t="s">
        <v>1013</v>
      </c>
      <c r="S585" s="306" t="s">
        <v>1013</v>
      </c>
      <c r="T585" s="306" t="s">
        <v>1013</v>
      </c>
      <c r="U585" s="306" t="s">
        <v>1013</v>
      </c>
      <c r="V585" s="306" t="s">
        <v>1013</v>
      </c>
      <c r="W585" s="306" t="s">
        <v>1013</v>
      </c>
      <c r="X585" s="306" t="s">
        <v>1013</v>
      </c>
      <c r="Y585" s="306" t="s">
        <v>1153</v>
      </c>
      <c r="Z585" s="306" t="s">
        <v>1015</v>
      </c>
      <c r="AA585" s="306" t="s">
        <v>1013</v>
      </c>
    </row>
    <row r="586" spans="1:27">
      <c r="A586" s="306" t="s">
        <v>494</v>
      </c>
      <c r="B586" s="306" t="s">
        <v>1003</v>
      </c>
      <c r="C586" s="306" t="s">
        <v>1004</v>
      </c>
      <c r="D586" s="306" t="s">
        <v>2435</v>
      </c>
      <c r="E586" s="306" t="s">
        <v>2166</v>
      </c>
      <c r="F586" s="306" t="s">
        <v>1007</v>
      </c>
      <c r="G586" s="308">
        <v>46022</v>
      </c>
      <c r="H586" s="308">
        <v>46022</v>
      </c>
      <c r="I586" s="309">
        <v>-103425.41</v>
      </c>
      <c r="J586" s="306" t="s">
        <v>1008</v>
      </c>
      <c r="K586" s="309">
        <v>-103425.41</v>
      </c>
      <c r="L586" s="306" t="s">
        <v>1008</v>
      </c>
      <c r="M586" s="306" t="s">
        <v>1150</v>
      </c>
      <c r="N586" s="306" t="s">
        <v>1151</v>
      </c>
      <c r="O586" s="306" t="s">
        <v>2167</v>
      </c>
      <c r="P586" s="306" t="s">
        <v>244</v>
      </c>
      <c r="Q586" s="306" t="s">
        <v>1013</v>
      </c>
      <c r="R586" s="306" t="s">
        <v>1013</v>
      </c>
      <c r="S586" s="306" t="s">
        <v>1013</v>
      </c>
      <c r="T586" s="306" t="s">
        <v>1013</v>
      </c>
      <c r="U586" s="306" t="s">
        <v>1013</v>
      </c>
      <c r="V586" s="306" t="s">
        <v>1013</v>
      </c>
      <c r="W586" s="306" t="s">
        <v>1013</v>
      </c>
      <c r="X586" s="306" t="s">
        <v>1013</v>
      </c>
      <c r="Y586" s="306" t="s">
        <v>1153</v>
      </c>
      <c r="Z586" s="306" t="s">
        <v>1015</v>
      </c>
      <c r="AA586" s="306" t="s">
        <v>1013</v>
      </c>
    </row>
    <row r="587" spans="1:27">
      <c r="A587" s="306" t="s">
        <v>494</v>
      </c>
      <c r="B587" s="306" t="s">
        <v>1003</v>
      </c>
      <c r="C587" s="306" t="s">
        <v>1004</v>
      </c>
      <c r="D587" s="306" t="s">
        <v>2435</v>
      </c>
      <c r="E587" s="306" t="s">
        <v>2168</v>
      </c>
      <c r="F587" s="306" t="s">
        <v>1007</v>
      </c>
      <c r="G587" s="308">
        <v>46022</v>
      </c>
      <c r="H587" s="308">
        <v>46022</v>
      </c>
      <c r="I587" s="309">
        <v>-565106.65</v>
      </c>
      <c r="J587" s="306" t="s">
        <v>1008</v>
      </c>
      <c r="K587" s="309">
        <v>-565106.65</v>
      </c>
      <c r="L587" s="306" t="s">
        <v>1008</v>
      </c>
      <c r="M587" s="306" t="s">
        <v>1157</v>
      </c>
      <c r="N587" s="306" t="s">
        <v>1151</v>
      </c>
      <c r="O587" s="306" t="s">
        <v>2169</v>
      </c>
      <c r="P587" s="306" t="s">
        <v>244</v>
      </c>
      <c r="Q587" s="306" t="s">
        <v>1013</v>
      </c>
      <c r="R587" s="306" t="s">
        <v>1013</v>
      </c>
      <c r="S587" s="306" t="s">
        <v>1013</v>
      </c>
      <c r="T587" s="306" t="s">
        <v>1013</v>
      </c>
      <c r="U587" s="306" t="s">
        <v>1013</v>
      </c>
      <c r="V587" s="306" t="s">
        <v>1013</v>
      </c>
      <c r="W587" s="306" t="s">
        <v>1013</v>
      </c>
      <c r="X587" s="306" t="s">
        <v>1013</v>
      </c>
      <c r="Y587" s="306" t="s">
        <v>1153</v>
      </c>
      <c r="Z587" s="306" t="s">
        <v>1015</v>
      </c>
      <c r="AA587" s="306" t="s">
        <v>1013</v>
      </c>
    </row>
    <row r="588" spans="1:27">
      <c r="A588" s="306" t="s">
        <v>494</v>
      </c>
      <c r="B588" s="306" t="s">
        <v>1003</v>
      </c>
      <c r="C588" s="306" t="s">
        <v>1004</v>
      </c>
      <c r="D588" s="306" t="s">
        <v>2435</v>
      </c>
      <c r="E588" s="306" t="s">
        <v>2170</v>
      </c>
      <c r="F588" s="306" t="s">
        <v>1007</v>
      </c>
      <c r="G588" s="308">
        <v>46022</v>
      </c>
      <c r="H588" s="308">
        <v>46022</v>
      </c>
      <c r="I588" s="309">
        <v>-279255.63</v>
      </c>
      <c r="J588" s="306" t="s">
        <v>1008</v>
      </c>
      <c r="K588" s="309">
        <v>-279255.63</v>
      </c>
      <c r="L588" s="306" t="s">
        <v>1008</v>
      </c>
      <c r="M588" s="306" t="s">
        <v>1168</v>
      </c>
      <c r="N588" s="306" t="s">
        <v>1151</v>
      </c>
      <c r="O588" s="306" t="s">
        <v>2171</v>
      </c>
      <c r="P588" s="306" t="s">
        <v>244</v>
      </c>
      <c r="Q588" s="306" t="s">
        <v>1013</v>
      </c>
      <c r="R588" s="306" t="s">
        <v>1013</v>
      </c>
      <c r="S588" s="306" t="s">
        <v>1013</v>
      </c>
      <c r="T588" s="306" t="s">
        <v>1013</v>
      </c>
      <c r="U588" s="306" t="s">
        <v>1013</v>
      </c>
      <c r="V588" s="306" t="s">
        <v>1013</v>
      </c>
      <c r="W588" s="306" t="s">
        <v>1013</v>
      </c>
      <c r="X588" s="306" t="s">
        <v>1013</v>
      </c>
      <c r="Y588" s="306" t="s">
        <v>1153</v>
      </c>
      <c r="Z588" s="306" t="s">
        <v>1015</v>
      </c>
      <c r="AA588" s="306" t="s">
        <v>1013</v>
      </c>
    </row>
    <row r="589" spans="1:27">
      <c r="A589" s="306" t="s">
        <v>494</v>
      </c>
      <c r="B589" s="306" t="s">
        <v>1003</v>
      </c>
      <c r="C589" s="306" t="s">
        <v>1004</v>
      </c>
      <c r="D589" s="306" t="s">
        <v>2435</v>
      </c>
      <c r="E589" s="306" t="s">
        <v>2172</v>
      </c>
      <c r="F589" s="306" t="s">
        <v>1007</v>
      </c>
      <c r="G589" s="308">
        <v>46022</v>
      </c>
      <c r="H589" s="308">
        <v>46022</v>
      </c>
      <c r="I589" s="309">
        <v>-693.48</v>
      </c>
      <c r="J589" s="306" t="s">
        <v>1008</v>
      </c>
      <c r="K589" s="309">
        <v>-693.48</v>
      </c>
      <c r="L589" s="306" t="s">
        <v>1008</v>
      </c>
      <c r="M589" s="306" t="s">
        <v>1562</v>
      </c>
      <c r="N589" s="306" t="s">
        <v>1535</v>
      </c>
      <c r="O589" s="306" t="s">
        <v>2173</v>
      </c>
      <c r="P589" s="306" t="s">
        <v>263</v>
      </c>
      <c r="Q589" s="306" t="s">
        <v>1013</v>
      </c>
      <c r="R589" s="306" t="s">
        <v>1013</v>
      </c>
      <c r="S589" s="306" t="s">
        <v>1013</v>
      </c>
      <c r="T589" s="306" t="s">
        <v>1013</v>
      </c>
      <c r="U589" s="306" t="s">
        <v>1013</v>
      </c>
      <c r="V589" s="306" t="s">
        <v>1013</v>
      </c>
      <c r="W589" s="306" t="s">
        <v>1013</v>
      </c>
      <c r="X589" s="306" t="s">
        <v>1013</v>
      </c>
      <c r="Y589" s="306" t="s">
        <v>1537</v>
      </c>
      <c r="Z589" s="306" t="s">
        <v>1015</v>
      </c>
      <c r="AA589" s="306" t="s">
        <v>1013</v>
      </c>
    </row>
    <row r="590" spans="1:27">
      <c r="A590" s="306" t="s">
        <v>494</v>
      </c>
      <c r="B590" s="306" t="s">
        <v>1003</v>
      </c>
      <c r="C590" s="306" t="s">
        <v>1004</v>
      </c>
      <c r="D590" s="306" t="s">
        <v>2435</v>
      </c>
      <c r="E590" s="306" t="s">
        <v>2174</v>
      </c>
      <c r="F590" s="306" t="s">
        <v>1007</v>
      </c>
      <c r="G590" s="308">
        <v>46022</v>
      </c>
      <c r="H590" s="308">
        <v>46022</v>
      </c>
      <c r="I590" s="309">
        <v>559592.99</v>
      </c>
      <c r="J590" s="306" t="s">
        <v>1008</v>
      </c>
      <c r="K590" s="309">
        <v>559592.99</v>
      </c>
      <c r="L590" s="306" t="s">
        <v>1008</v>
      </c>
      <c r="M590" s="306" t="s">
        <v>1553</v>
      </c>
      <c r="N590" s="306" t="s">
        <v>1535</v>
      </c>
      <c r="O590" s="306" t="s">
        <v>1556</v>
      </c>
      <c r="P590" s="306" t="s">
        <v>263</v>
      </c>
      <c r="Q590" s="306" t="s">
        <v>1013</v>
      </c>
      <c r="R590" s="306" t="s">
        <v>1013</v>
      </c>
      <c r="S590" s="306" t="s">
        <v>1013</v>
      </c>
      <c r="T590" s="306" t="s">
        <v>1013</v>
      </c>
      <c r="U590" s="306" t="s">
        <v>1013</v>
      </c>
      <c r="V590" s="306" t="s">
        <v>1013</v>
      </c>
      <c r="W590" s="306" t="s">
        <v>1013</v>
      </c>
      <c r="X590" s="306" t="s">
        <v>1013</v>
      </c>
      <c r="Y590" s="306" t="s">
        <v>1537</v>
      </c>
      <c r="Z590" s="306" t="s">
        <v>1015</v>
      </c>
      <c r="AA590" s="306" t="s">
        <v>1013</v>
      </c>
    </row>
    <row r="591" spans="1:27">
      <c r="A591" s="306" t="s">
        <v>494</v>
      </c>
      <c r="B591" s="306" t="s">
        <v>1003</v>
      </c>
      <c r="C591" s="306" t="s">
        <v>1004</v>
      </c>
      <c r="D591" s="306" t="s">
        <v>2435</v>
      </c>
      <c r="E591" s="306" t="s">
        <v>2175</v>
      </c>
      <c r="F591" s="306" t="s">
        <v>1007</v>
      </c>
      <c r="G591" s="308">
        <v>46022</v>
      </c>
      <c r="H591" s="308">
        <v>46022</v>
      </c>
      <c r="I591" s="309">
        <v>-164740.63</v>
      </c>
      <c r="J591" s="306" t="s">
        <v>1008</v>
      </c>
      <c r="K591" s="309">
        <v>-164740.63</v>
      </c>
      <c r="L591" s="306" t="s">
        <v>1008</v>
      </c>
      <c r="M591" s="306" t="s">
        <v>1534</v>
      </c>
      <c r="N591" s="306" t="s">
        <v>1535</v>
      </c>
      <c r="O591" s="306" t="s">
        <v>2167</v>
      </c>
      <c r="P591" s="306" t="s">
        <v>263</v>
      </c>
      <c r="Q591" s="306" t="s">
        <v>1013</v>
      </c>
      <c r="R591" s="306" t="s">
        <v>1013</v>
      </c>
      <c r="S591" s="306" t="s">
        <v>1013</v>
      </c>
      <c r="T591" s="306" t="s">
        <v>1013</v>
      </c>
      <c r="U591" s="306" t="s">
        <v>1013</v>
      </c>
      <c r="V591" s="306" t="s">
        <v>1013</v>
      </c>
      <c r="W591" s="306" t="s">
        <v>1013</v>
      </c>
      <c r="X591" s="306" t="s">
        <v>1013</v>
      </c>
      <c r="Y591" s="306" t="s">
        <v>1537</v>
      </c>
      <c r="Z591" s="306" t="s">
        <v>1015</v>
      </c>
      <c r="AA591" s="306" t="s">
        <v>1013</v>
      </c>
    </row>
    <row r="592" spans="1:27">
      <c r="A592" s="306" t="s">
        <v>494</v>
      </c>
      <c r="B592" s="306" t="s">
        <v>1003</v>
      </c>
      <c r="C592" s="306" t="s">
        <v>1004</v>
      </c>
      <c r="D592" s="306" t="s">
        <v>2435</v>
      </c>
      <c r="E592" s="306" t="s">
        <v>2176</v>
      </c>
      <c r="F592" s="306" t="s">
        <v>1007</v>
      </c>
      <c r="G592" s="308">
        <v>46022</v>
      </c>
      <c r="H592" s="308">
        <v>46022</v>
      </c>
      <c r="I592" s="309">
        <v>-281923.52</v>
      </c>
      <c r="J592" s="306" t="s">
        <v>1008</v>
      </c>
      <c r="K592" s="309">
        <v>-281923.52</v>
      </c>
      <c r="L592" s="306" t="s">
        <v>1008</v>
      </c>
      <c r="M592" s="306" t="s">
        <v>1562</v>
      </c>
      <c r="N592" s="306" t="s">
        <v>1535</v>
      </c>
      <c r="O592" s="306" t="s">
        <v>2171</v>
      </c>
      <c r="P592" s="306" t="s">
        <v>263</v>
      </c>
      <c r="Q592" s="306" t="s">
        <v>1013</v>
      </c>
      <c r="R592" s="306" t="s">
        <v>1013</v>
      </c>
      <c r="S592" s="306" t="s">
        <v>1013</v>
      </c>
      <c r="T592" s="306" t="s">
        <v>1013</v>
      </c>
      <c r="U592" s="306" t="s">
        <v>1013</v>
      </c>
      <c r="V592" s="306" t="s">
        <v>1013</v>
      </c>
      <c r="W592" s="306" t="s">
        <v>1013</v>
      </c>
      <c r="X592" s="306" t="s">
        <v>1013</v>
      </c>
      <c r="Y592" s="306" t="s">
        <v>1537</v>
      </c>
      <c r="Z592" s="306" t="s">
        <v>1015</v>
      </c>
      <c r="AA592" s="306" t="s">
        <v>1013</v>
      </c>
    </row>
    <row r="593" spans="1:27">
      <c r="A593" s="306" t="s">
        <v>494</v>
      </c>
      <c r="B593" s="306" t="s">
        <v>1003</v>
      </c>
      <c r="C593" s="306" t="s">
        <v>1004</v>
      </c>
      <c r="D593" s="306" t="s">
        <v>2435</v>
      </c>
      <c r="E593" s="306" t="s">
        <v>2177</v>
      </c>
      <c r="F593" s="306" t="s">
        <v>1007</v>
      </c>
      <c r="G593" s="308">
        <v>46022</v>
      </c>
      <c r="H593" s="308">
        <v>46022</v>
      </c>
      <c r="I593" s="309">
        <v>-934923.11</v>
      </c>
      <c r="J593" s="306" t="s">
        <v>1008</v>
      </c>
      <c r="K593" s="309">
        <v>-934923.11</v>
      </c>
      <c r="L593" s="306" t="s">
        <v>1008</v>
      </c>
      <c r="M593" s="306" t="s">
        <v>1562</v>
      </c>
      <c r="N593" s="306" t="s">
        <v>1535</v>
      </c>
      <c r="O593" s="306" t="s">
        <v>2178</v>
      </c>
      <c r="P593" s="306" t="s">
        <v>263</v>
      </c>
      <c r="Q593" s="306" t="s">
        <v>1013</v>
      </c>
      <c r="R593" s="306" t="s">
        <v>1013</v>
      </c>
      <c r="S593" s="306" t="s">
        <v>1013</v>
      </c>
      <c r="T593" s="306" t="s">
        <v>1013</v>
      </c>
      <c r="U593" s="306" t="s">
        <v>1013</v>
      </c>
      <c r="V593" s="306" t="s">
        <v>1013</v>
      </c>
      <c r="W593" s="306" t="s">
        <v>1013</v>
      </c>
      <c r="X593" s="306" t="s">
        <v>1013</v>
      </c>
      <c r="Y593" s="306" t="s">
        <v>1537</v>
      </c>
      <c r="Z593" s="306" t="s">
        <v>1015</v>
      </c>
      <c r="AA593" s="306" t="s">
        <v>1013</v>
      </c>
    </row>
    <row r="594" spans="1:27">
      <c r="A594" s="306" t="s">
        <v>494</v>
      </c>
      <c r="B594" s="306" t="s">
        <v>1003</v>
      </c>
      <c r="C594" s="306" t="s">
        <v>1004</v>
      </c>
      <c r="D594" s="306" t="s">
        <v>2435</v>
      </c>
      <c r="E594" s="306" t="s">
        <v>2179</v>
      </c>
      <c r="F594" s="306" t="s">
        <v>1007</v>
      </c>
      <c r="G594" s="308">
        <v>46022</v>
      </c>
      <c r="H594" s="308">
        <v>46022</v>
      </c>
      <c r="I594" s="309">
        <v>-1021815.6</v>
      </c>
      <c r="J594" s="306" t="s">
        <v>1008</v>
      </c>
      <c r="K594" s="309">
        <v>-1021815.6</v>
      </c>
      <c r="L594" s="306" t="s">
        <v>1008</v>
      </c>
      <c r="M594" s="306" t="s">
        <v>1824</v>
      </c>
      <c r="N594" s="306" t="s">
        <v>1825</v>
      </c>
      <c r="O594" s="306" t="s">
        <v>2180</v>
      </c>
      <c r="P594" s="306" t="s">
        <v>270</v>
      </c>
      <c r="Q594" s="306" t="s">
        <v>1013</v>
      </c>
      <c r="R594" s="306" t="s">
        <v>1013</v>
      </c>
      <c r="S594" s="306" t="s">
        <v>1013</v>
      </c>
      <c r="T594" s="306" t="s">
        <v>1013</v>
      </c>
      <c r="U594" s="306" t="s">
        <v>1013</v>
      </c>
      <c r="V594" s="306" t="s">
        <v>1013</v>
      </c>
      <c r="W594" s="306" t="s">
        <v>1013</v>
      </c>
      <c r="X594" s="306" t="s">
        <v>1013</v>
      </c>
      <c r="Y594" s="306" t="s">
        <v>1812</v>
      </c>
      <c r="Z594" s="306" t="s">
        <v>1015</v>
      </c>
      <c r="AA594" s="306" t="s">
        <v>1013</v>
      </c>
    </row>
    <row r="595" spans="1:27">
      <c r="A595" s="306" t="s">
        <v>494</v>
      </c>
      <c r="B595" s="306" t="s">
        <v>1003</v>
      </c>
      <c r="C595" s="306" t="s">
        <v>1004</v>
      </c>
      <c r="D595" s="306" t="s">
        <v>2435</v>
      </c>
      <c r="E595" s="306" t="s">
        <v>2181</v>
      </c>
      <c r="F595" s="306" t="s">
        <v>1007</v>
      </c>
      <c r="G595" s="308">
        <v>46022</v>
      </c>
      <c r="H595" s="308">
        <v>46022</v>
      </c>
      <c r="I595" s="309">
        <v>-12810964.32</v>
      </c>
      <c r="J595" s="306" t="s">
        <v>1008</v>
      </c>
      <c r="K595" s="309">
        <v>-12810964.32</v>
      </c>
      <c r="L595" s="306" t="s">
        <v>1008</v>
      </c>
      <c r="M595" s="306" t="s">
        <v>1836</v>
      </c>
      <c r="N595" s="306" t="s">
        <v>1837</v>
      </c>
      <c r="O595" s="306" t="s">
        <v>2182</v>
      </c>
      <c r="P595" s="306" t="s">
        <v>270</v>
      </c>
      <c r="Q595" s="306" t="s">
        <v>1013</v>
      </c>
      <c r="R595" s="306" t="s">
        <v>1013</v>
      </c>
      <c r="S595" s="306" t="s">
        <v>1013</v>
      </c>
      <c r="T595" s="306" t="s">
        <v>1013</v>
      </c>
      <c r="U595" s="306" t="s">
        <v>1013</v>
      </c>
      <c r="V595" s="306" t="s">
        <v>1013</v>
      </c>
      <c r="W595" s="306" t="s">
        <v>1013</v>
      </c>
      <c r="X595" s="306" t="s">
        <v>1013</v>
      </c>
      <c r="Y595" s="306" t="s">
        <v>1812</v>
      </c>
      <c r="Z595" s="306" t="s">
        <v>1015</v>
      </c>
      <c r="AA595" s="306" t="s">
        <v>1013</v>
      </c>
    </row>
    <row r="596" spans="1:27">
      <c r="A596" s="306" t="s">
        <v>494</v>
      </c>
      <c r="B596" s="306" t="s">
        <v>1003</v>
      </c>
      <c r="C596" s="306" t="s">
        <v>1004</v>
      </c>
      <c r="D596" s="306" t="s">
        <v>2435</v>
      </c>
      <c r="E596" s="306" t="s">
        <v>2183</v>
      </c>
      <c r="F596" s="306" t="s">
        <v>1007</v>
      </c>
      <c r="G596" s="308">
        <v>46022</v>
      </c>
      <c r="H596" s="308">
        <v>46022</v>
      </c>
      <c r="I596" s="309">
        <v>-110540083.95999999</v>
      </c>
      <c r="J596" s="306" t="s">
        <v>1008</v>
      </c>
      <c r="K596" s="309">
        <v>-110540083.95999999</v>
      </c>
      <c r="L596" s="306" t="s">
        <v>1008</v>
      </c>
      <c r="M596" s="306" t="s">
        <v>1824</v>
      </c>
      <c r="N596" s="306" t="s">
        <v>1825</v>
      </c>
      <c r="O596" s="306" t="s">
        <v>1249</v>
      </c>
      <c r="P596" s="306" t="s">
        <v>270</v>
      </c>
      <c r="Q596" s="306" t="s">
        <v>1013</v>
      </c>
      <c r="R596" s="306" t="s">
        <v>1013</v>
      </c>
      <c r="S596" s="306" t="s">
        <v>1013</v>
      </c>
      <c r="T596" s="306" t="s">
        <v>1013</v>
      </c>
      <c r="U596" s="306" t="s">
        <v>1013</v>
      </c>
      <c r="V596" s="306" t="s">
        <v>1013</v>
      </c>
      <c r="W596" s="306" t="s">
        <v>1013</v>
      </c>
      <c r="X596" s="306" t="s">
        <v>1013</v>
      </c>
      <c r="Y596" s="306" t="s">
        <v>1812</v>
      </c>
      <c r="Z596" s="306" t="s">
        <v>1015</v>
      </c>
      <c r="AA596" s="306" t="s">
        <v>1013</v>
      </c>
    </row>
    <row r="597" spans="1:27">
      <c r="A597" s="306" t="s">
        <v>494</v>
      </c>
      <c r="B597" s="306" t="s">
        <v>1003</v>
      </c>
      <c r="C597" s="306" t="s">
        <v>1004</v>
      </c>
      <c r="D597" s="306" t="s">
        <v>2435</v>
      </c>
      <c r="E597" s="306" t="s">
        <v>2184</v>
      </c>
      <c r="F597" s="306" t="s">
        <v>1007</v>
      </c>
      <c r="G597" s="308">
        <v>46022</v>
      </c>
      <c r="H597" s="308">
        <v>46022</v>
      </c>
      <c r="I597" s="309">
        <v>-3589.31</v>
      </c>
      <c r="J597" s="306" t="s">
        <v>1008</v>
      </c>
      <c r="K597" s="309">
        <v>-3589.31</v>
      </c>
      <c r="L597" s="306" t="s">
        <v>1008</v>
      </c>
      <c r="M597" s="306" t="s">
        <v>2185</v>
      </c>
      <c r="N597" s="306" t="s">
        <v>2185</v>
      </c>
      <c r="O597" s="306" t="s">
        <v>2186</v>
      </c>
      <c r="P597" s="306" t="s">
        <v>222</v>
      </c>
      <c r="Q597" s="306" t="s">
        <v>1013</v>
      </c>
      <c r="R597" s="306" t="s">
        <v>1013</v>
      </c>
      <c r="S597" s="306" t="s">
        <v>1013</v>
      </c>
      <c r="T597" s="306" t="s">
        <v>1013</v>
      </c>
      <c r="U597" s="306" t="s">
        <v>1013</v>
      </c>
      <c r="V597" s="306" t="s">
        <v>1013</v>
      </c>
      <c r="W597" s="306" t="s">
        <v>1013</v>
      </c>
      <c r="X597" s="306" t="s">
        <v>1013</v>
      </c>
      <c r="Y597" s="306" t="s">
        <v>2470</v>
      </c>
      <c r="Z597" s="306" t="s">
        <v>1015</v>
      </c>
      <c r="AA597" s="306" t="s">
        <v>1013</v>
      </c>
    </row>
    <row r="598" spans="1:27">
      <c r="A598" s="306" t="s">
        <v>494</v>
      </c>
      <c r="B598" s="306" t="s">
        <v>1003</v>
      </c>
      <c r="C598" s="306" t="s">
        <v>1004</v>
      </c>
      <c r="D598" s="306" t="s">
        <v>2435</v>
      </c>
      <c r="E598" s="306" t="s">
        <v>2188</v>
      </c>
      <c r="F598" s="306" t="s">
        <v>1007</v>
      </c>
      <c r="G598" s="308">
        <v>46022</v>
      </c>
      <c r="H598" s="308">
        <v>46022</v>
      </c>
      <c r="I598" s="309">
        <v>-219311.32</v>
      </c>
      <c r="J598" s="306" t="s">
        <v>1008</v>
      </c>
      <c r="K598" s="309">
        <v>-219311.32</v>
      </c>
      <c r="L598" s="306" t="s">
        <v>1008</v>
      </c>
      <c r="M598" s="306" t="s">
        <v>2189</v>
      </c>
      <c r="N598" s="306" t="s">
        <v>2189</v>
      </c>
      <c r="O598" s="306" t="s">
        <v>2190</v>
      </c>
      <c r="P598" s="306" t="s">
        <v>222</v>
      </c>
      <c r="Q598" s="306" t="s">
        <v>1013</v>
      </c>
      <c r="R598" s="306" t="s">
        <v>1013</v>
      </c>
      <c r="S598" s="306" t="s">
        <v>1013</v>
      </c>
      <c r="T598" s="306" t="s">
        <v>1013</v>
      </c>
      <c r="U598" s="306" t="s">
        <v>1013</v>
      </c>
      <c r="V598" s="306" t="s">
        <v>1013</v>
      </c>
      <c r="W598" s="306" t="s">
        <v>1013</v>
      </c>
      <c r="X598" s="306" t="s">
        <v>1013</v>
      </c>
      <c r="Y598" s="306" t="s">
        <v>2187</v>
      </c>
      <c r="Z598" s="306" t="s">
        <v>1015</v>
      </c>
      <c r="AA598" s="306" t="s">
        <v>1013</v>
      </c>
    </row>
    <row r="599" spans="1:27">
      <c r="A599" s="306" t="s">
        <v>494</v>
      </c>
      <c r="B599" s="306" t="s">
        <v>1003</v>
      </c>
      <c r="C599" s="306" t="s">
        <v>1004</v>
      </c>
      <c r="D599" s="306" t="s">
        <v>2435</v>
      </c>
      <c r="E599" s="306" t="s">
        <v>2191</v>
      </c>
      <c r="F599" s="306" t="s">
        <v>1007</v>
      </c>
      <c r="G599" s="308">
        <v>46022</v>
      </c>
      <c r="H599" s="308">
        <v>46022</v>
      </c>
      <c r="I599" s="309">
        <v>-3690</v>
      </c>
      <c r="J599" s="306" t="s">
        <v>1008</v>
      </c>
      <c r="K599" s="309">
        <v>-3690</v>
      </c>
      <c r="L599" s="306" t="s">
        <v>1008</v>
      </c>
      <c r="M599" s="306" t="s">
        <v>2192</v>
      </c>
      <c r="N599" s="306" t="s">
        <v>2192</v>
      </c>
      <c r="O599" s="306" t="s">
        <v>2193</v>
      </c>
      <c r="P599" s="306" t="s">
        <v>222</v>
      </c>
      <c r="Q599" s="306" t="s">
        <v>1013</v>
      </c>
      <c r="R599" s="306" t="s">
        <v>1013</v>
      </c>
      <c r="S599" s="306" t="s">
        <v>1013</v>
      </c>
      <c r="T599" s="306" t="s">
        <v>1013</v>
      </c>
      <c r="U599" s="306" t="s">
        <v>1013</v>
      </c>
      <c r="V599" s="306" t="s">
        <v>1013</v>
      </c>
      <c r="W599" s="306" t="s">
        <v>1013</v>
      </c>
      <c r="X599" s="306" t="s">
        <v>1013</v>
      </c>
      <c r="Y599" s="306" t="s">
        <v>2187</v>
      </c>
      <c r="Z599" s="306" t="s">
        <v>1015</v>
      </c>
      <c r="AA599" s="306" t="s">
        <v>1013</v>
      </c>
    </row>
    <row r="600" spans="1:27">
      <c r="A600" s="306" t="s">
        <v>494</v>
      </c>
      <c r="B600" s="306" t="s">
        <v>1003</v>
      </c>
      <c r="C600" s="306" t="s">
        <v>1004</v>
      </c>
      <c r="D600" s="306" t="s">
        <v>2435</v>
      </c>
      <c r="E600" s="306" t="s">
        <v>2194</v>
      </c>
      <c r="F600" s="306" t="s">
        <v>1007</v>
      </c>
      <c r="G600" s="308">
        <v>46022</v>
      </c>
      <c r="H600" s="308">
        <v>46022</v>
      </c>
      <c r="I600" s="309">
        <v>10254.98</v>
      </c>
      <c r="J600" s="306" t="s">
        <v>1008</v>
      </c>
      <c r="K600" s="309">
        <v>10254.98</v>
      </c>
      <c r="L600" s="306" t="s">
        <v>1008</v>
      </c>
      <c r="M600" s="306" t="s">
        <v>2027</v>
      </c>
      <c r="N600" s="306" t="s">
        <v>2027</v>
      </c>
      <c r="O600" s="306" t="s">
        <v>2195</v>
      </c>
      <c r="P600" s="306" t="s">
        <v>222</v>
      </c>
      <c r="Q600" s="306" t="s">
        <v>1013</v>
      </c>
      <c r="R600" s="306" t="s">
        <v>1013</v>
      </c>
      <c r="S600" s="306" t="s">
        <v>1013</v>
      </c>
      <c r="T600" s="306" t="s">
        <v>1013</v>
      </c>
      <c r="U600" s="306" t="s">
        <v>1013</v>
      </c>
      <c r="V600" s="306" t="s">
        <v>1013</v>
      </c>
      <c r="W600" s="306" t="s">
        <v>1013</v>
      </c>
      <c r="X600" s="306" t="s">
        <v>1013</v>
      </c>
      <c r="Y600" s="306" t="s">
        <v>1036</v>
      </c>
      <c r="Z600" s="306" t="s">
        <v>1015</v>
      </c>
      <c r="AA600" s="306" t="s">
        <v>1013</v>
      </c>
    </row>
    <row r="601" spans="1:27">
      <c r="A601" s="306" t="s">
        <v>494</v>
      </c>
      <c r="B601" s="306" t="s">
        <v>1003</v>
      </c>
      <c r="C601" s="306" t="s">
        <v>1004</v>
      </c>
      <c r="D601" s="306" t="s">
        <v>2435</v>
      </c>
      <c r="E601" s="306" t="s">
        <v>2196</v>
      </c>
      <c r="F601" s="306" t="s">
        <v>1007</v>
      </c>
      <c r="G601" s="308">
        <v>46022</v>
      </c>
      <c r="H601" s="308">
        <v>46022</v>
      </c>
      <c r="I601" s="309">
        <v>-60969.29</v>
      </c>
      <c r="J601" s="306" t="s">
        <v>1008</v>
      </c>
      <c r="K601" s="309">
        <v>-60969.29</v>
      </c>
      <c r="L601" s="306" t="s">
        <v>1008</v>
      </c>
      <c r="M601" s="306" t="s">
        <v>2027</v>
      </c>
      <c r="N601" s="306" t="s">
        <v>2027</v>
      </c>
      <c r="O601" s="306" t="s">
        <v>2197</v>
      </c>
      <c r="P601" s="306" t="s">
        <v>222</v>
      </c>
      <c r="Q601" s="306" t="s">
        <v>1013</v>
      </c>
      <c r="R601" s="306" t="s">
        <v>1013</v>
      </c>
      <c r="S601" s="306" t="s">
        <v>1013</v>
      </c>
      <c r="T601" s="306" t="s">
        <v>1013</v>
      </c>
      <c r="U601" s="306" t="s">
        <v>1013</v>
      </c>
      <c r="V601" s="306" t="s">
        <v>1013</v>
      </c>
      <c r="W601" s="306" t="s">
        <v>1013</v>
      </c>
      <c r="X601" s="306" t="s">
        <v>1013</v>
      </c>
      <c r="Y601" s="306" t="s">
        <v>1036</v>
      </c>
      <c r="Z601" s="306" t="s">
        <v>1015</v>
      </c>
      <c r="AA601" s="306" t="s">
        <v>1013</v>
      </c>
    </row>
    <row r="602" spans="1:27">
      <c r="A602" s="306" t="s">
        <v>494</v>
      </c>
      <c r="B602" s="306" t="s">
        <v>1003</v>
      </c>
      <c r="C602" s="306" t="s">
        <v>1004</v>
      </c>
      <c r="D602" s="306" t="s">
        <v>2435</v>
      </c>
      <c r="E602" s="306" t="s">
        <v>2198</v>
      </c>
      <c r="F602" s="306" t="s">
        <v>1007</v>
      </c>
      <c r="G602" s="308">
        <v>46022</v>
      </c>
      <c r="H602" s="308">
        <v>46022</v>
      </c>
      <c r="I602" s="309">
        <v>-168370.76</v>
      </c>
      <c r="J602" s="306" t="s">
        <v>1008</v>
      </c>
      <c r="K602" s="309">
        <v>-168370.76</v>
      </c>
      <c r="L602" s="306" t="s">
        <v>1008</v>
      </c>
      <c r="M602" s="306" t="s">
        <v>2100</v>
      </c>
      <c r="N602" s="306" t="s">
        <v>2100</v>
      </c>
      <c r="O602" s="306" t="s">
        <v>2199</v>
      </c>
      <c r="P602" s="306" t="s">
        <v>222</v>
      </c>
      <c r="Q602" s="306" t="s">
        <v>1013</v>
      </c>
      <c r="R602" s="306" t="s">
        <v>1013</v>
      </c>
      <c r="S602" s="306" t="s">
        <v>1013</v>
      </c>
      <c r="T602" s="306" t="s">
        <v>1013</v>
      </c>
      <c r="U602" s="306" t="s">
        <v>1013</v>
      </c>
      <c r="V602" s="306" t="s">
        <v>1013</v>
      </c>
      <c r="W602" s="306" t="s">
        <v>1013</v>
      </c>
      <c r="X602" s="306" t="s">
        <v>1013</v>
      </c>
      <c r="Y602" s="306" t="s">
        <v>1036</v>
      </c>
      <c r="Z602" s="306" t="s">
        <v>1015</v>
      </c>
      <c r="AA602" s="306" t="s">
        <v>1013</v>
      </c>
    </row>
    <row r="603" spans="1:27">
      <c r="A603" s="306" t="s">
        <v>494</v>
      </c>
      <c r="B603" s="306" t="s">
        <v>1003</v>
      </c>
      <c r="C603" s="306" t="s">
        <v>1004</v>
      </c>
      <c r="D603" s="306" t="s">
        <v>2435</v>
      </c>
      <c r="E603" s="306" t="s">
        <v>2200</v>
      </c>
      <c r="F603" s="306" t="s">
        <v>1007</v>
      </c>
      <c r="G603" s="308">
        <v>46022</v>
      </c>
      <c r="H603" s="308">
        <v>46022</v>
      </c>
      <c r="I603" s="309">
        <v>-5870.97</v>
      </c>
      <c r="J603" s="306" t="s">
        <v>1008</v>
      </c>
      <c r="K603" s="309">
        <v>-5870.97</v>
      </c>
      <c r="L603" s="306" t="s">
        <v>1008</v>
      </c>
      <c r="M603" s="306" t="s">
        <v>2201</v>
      </c>
      <c r="N603" s="306" t="s">
        <v>2201</v>
      </c>
      <c r="O603" s="306" t="s">
        <v>2202</v>
      </c>
      <c r="P603" s="306" t="s">
        <v>222</v>
      </c>
      <c r="Q603" s="306" t="s">
        <v>1013</v>
      </c>
      <c r="R603" s="306" t="s">
        <v>1013</v>
      </c>
      <c r="S603" s="306" t="s">
        <v>1013</v>
      </c>
      <c r="T603" s="306" t="s">
        <v>1013</v>
      </c>
      <c r="U603" s="306" t="s">
        <v>1013</v>
      </c>
      <c r="V603" s="306" t="s">
        <v>1013</v>
      </c>
      <c r="W603" s="306" t="s">
        <v>1013</v>
      </c>
      <c r="X603" s="306" t="s">
        <v>1013</v>
      </c>
      <c r="Y603" s="306" t="s">
        <v>1036</v>
      </c>
      <c r="Z603" s="306" t="s">
        <v>1015</v>
      </c>
      <c r="AA603" s="306" t="s">
        <v>1013</v>
      </c>
    </row>
    <row r="604" spans="1:27">
      <c r="A604" s="306" t="s">
        <v>494</v>
      </c>
      <c r="B604" s="306" t="s">
        <v>1003</v>
      </c>
      <c r="C604" s="306" t="s">
        <v>1004</v>
      </c>
      <c r="D604" s="306" t="s">
        <v>2435</v>
      </c>
      <c r="E604" s="306" t="s">
        <v>2203</v>
      </c>
      <c r="F604" s="306" t="s">
        <v>1007</v>
      </c>
      <c r="G604" s="308">
        <v>46022</v>
      </c>
      <c r="H604" s="308">
        <v>46022</v>
      </c>
      <c r="I604" s="309">
        <v>-5743.87</v>
      </c>
      <c r="J604" s="306" t="s">
        <v>1008</v>
      </c>
      <c r="K604" s="309">
        <v>-5743.87</v>
      </c>
      <c r="L604" s="306" t="s">
        <v>1008</v>
      </c>
      <c r="M604" s="306" t="s">
        <v>2100</v>
      </c>
      <c r="N604" s="306" t="s">
        <v>2100</v>
      </c>
      <c r="O604" s="306" t="s">
        <v>2204</v>
      </c>
      <c r="P604" s="306" t="s">
        <v>222</v>
      </c>
      <c r="Q604" s="306" t="s">
        <v>1013</v>
      </c>
      <c r="R604" s="306" t="s">
        <v>1013</v>
      </c>
      <c r="S604" s="306" t="s">
        <v>1013</v>
      </c>
      <c r="T604" s="306" t="s">
        <v>1013</v>
      </c>
      <c r="U604" s="306" t="s">
        <v>1013</v>
      </c>
      <c r="V604" s="306" t="s">
        <v>1013</v>
      </c>
      <c r="W604" s="306" t="s">
        <v>1013</v>
      </c>
      <c r="X604" s="306" t="s">
        <v>1013</v>
      </c>
      <c r="Y604" s="306" t="s">
        <v>1036</v>
      </c>
      <c r="Z604" s="306" t="s">
        <v>1015</v>
      </c>
      <c r="AA604" s="306" t="s">
        <v>1013</v>
      </c>
    </row>
    <row r="605" spans="1:27">
      <c r="A605" s="306" t="s">
        <v>494</v>
      </c>
      <c r="B605" s="306" t="s">
        <v>1003</v>
      </c>
      <c r="C605" s="306" t="s">
        <v>1004</v>
      </c>
      <c r="D605" s="306" t="s">
        <v>2435</v>
      </c>
      <c r="E605" s="306" t="s">
        <v>2205</v>
      </c>
      <c r="F605" s="306" t="s">
        <v>1007</v>
      </c>
      <c r="G605" s="308">
        <v>46022</v>
      </c>
      <c r="H605" s="308">
        <v>46022</v>
      </c>
      <c r="I605" s="309">
        <v>-638.21</v>
      </c>
      <c r="J605" s="306" t="s">
        <v>1008</v>
      </c>
      <c r="K605" s="309">
        <v>-638.21</v>
      </c>
      <c r="L605" s="306" t="s">
        <v>1008</v>
      </c>
      <c r="M605" s="306" t="s">
        <v>2100</v>
      </c>
      <c r="N605" s="306" t="s">
        <v>2100</v>
      </c>
      <c r="O605" s="306" t="s">
        <v>2206</v>
      </c>
      <c r="P605" s="306" t="s">
        <v>222</v>
      </c>
      <c r="Q605" s="306" t="s">
        <v>1013</v>
      </c>
      <c r="R605" s="306" t="s">
        <v>1013</v>
      </c>
      <c r="S605" s="306" t="s">
        <v>1013</v>
      </c>
      <c r="T605" s="306" t="s">
        <v>1013</v>
      </c>
      <c r="U605" s="306" t="s">
        <v>1013</v>
      </c>
      <c r="V605" s="306" t="s">
        <v>1013</v>
      </c>
      <c r="W605" s="306" t="s">
        <v>1013</v>
      </c>
      <c r="X605" s="306" t="s">
        <v>1013</v>
      </c>
      <c r="Y605" s="306" t="s">
        <v>1036</v>
      </c>
      <c r="Z605" s="306" t="s">
        <v>1015</v>
      </c>
      <c r="AA605" s="306" t="s">
        <v>1013</v>
      </c>
    </row>
    <row r="606" spans="1:27">
      <c r="A606" s="306" t="s">
        <v>494</v>
      </c>
      <c r="B606" s="306" t="s">
        <v>1003</v>
      </c>
      <c r="C606" s="306" t="s">
        <v>1004</v>
      </c>
      <c r="D606" s="306" t="s">
        <v>2435</v>
      </c>
      <c r="E606" s="306" t="s">
        <v>2207</v>
      </c>
      <c r="F606" s="306" t="s">
        <v>1007</v>
      </c>
      <c r="G606" s="308">
        <v>46022</v>
      </c>
      <c r="H606" s="308">
        <v>46022</v>
      </c>
      <c r="I606" s="309">
        <v>-21225.66</v>
      </c>
      <c r="J606" s="306" t="s">
        <v>1008</v>
      </c>
      <c r="K606" s="309">
        <v>-21225.66</v>
      </c>
      <c r="L606" s="306" t="s">
        <v>1008</v>
      </c>
      <c r="M606" s="306" t="s">
        <v>2036</v>
      </c>
      <c r="N606" s="306" t="s">
        <v>2036</v>
      </c>
      <c r="O606" s="306" t="s">
        <v>2208</v>
      </c>
      <c r="P606" s="306" t="s">
        <v>222</v>
      </c>
      <c r="Q606" s="306" t="s">
        <v>1013</v>
      </c>
      <c r="R606" s="306" t="s">
        <v>1013</v>
      </c>
      <c r="S606" s="306" t="s">
        <v>1013</v>
      </c>
      <c r="T606" s="306" t="s">
        <v>1013</v>
      </c>
      <c r="U606" s="306" t="s">
        <v>1013</v>
      </c>
      <c r="V606" s="306" t="s">
        <v>1013</v>
      </c>
      <c r="W606" s="306" t="s">
        <v>1013</v>
      </c>
      <c r="X606" s="306" t="s">
        <v>1013</v>
      </c>
      <c r="Y606" s="306" t="s">
        <v>1036</v>
      </c>
      <c r="Z606" s="306" t="s">
        <v>1015</v>
      </c>
      <c r="AA606" s="306" t="s">
        <v>1013</v>
      </c>
    </row>
    <row r="607" spans="1:27">
      <c r="A607" s="306" t="s">
        <v>494</v>
      </c>
      <c r="B607" s="306" t="s">
        <v>1003</v>
      </c>
      <c r="C607" s="306" t="s">
        <v>1004</v>
      </c>
      <c r="D607" s="306" t="s">
        <v>2435</v>
      </c>
      <c r="E607" s="306" t="s">
        <v>2209</v>
      </c>
      <c r="F607" s="306" t="s">
        <v>1007</v>
      </c>
      <c r="G607" s="308">
        <v>46022</v>
      </c>
      <c r="H607" s="308">
        <v>46022</v>
      </c>
      <c r="I607" s="309">
        <v>-230302.58</v>
      </c>
      <c r="J607" s="306" t="s">
        <v>1008</v>
      </c>
      <c r="K607" s="309">
        <v>-230302.58</v>
      </c>
      <c r="L607" s="306" t="s">
        <v>1008</v>
      </c>
      <c r="M607" s="306" t="s">
        <v>2210</v>
      </c>
      <c r="N607" s="306" t="s">
        <v>2210</v>
      </c>
      <c r="O607" s="306" t="s">
        <v>2211</v>
      </c>
      <c r="P607" s="306" t="s">
        <v>222</v>
      </c>
      <c r="Q607" s="306" t="s">
        <v>1013</v>
      </c>
      <c r="R607" s="306" t="s">
        <v>1013</v>
      </c>
      <c r="S607" s="306" t="s">
        <v>1013</v>
      </c>
      <c r="T607" s="306" t="s">
        <v>1013</v>
      </c>
      <c r="U607" s="306" t="s">
        <v>1013</v>
      </c>
      <c r="V607" s="306" t="s">
        <v>1013</v>
      </c>
      <c r="W607" s="306" t="s">
        <v>1013</v>
      </c>
      <c r="X607" s="306" t="s">
        <v>1013</v>
      </c>
      <c r="Y607" s="306" t="s">
        <v>1036</v>
      </c>
      <c r="Z607" s="306" t="s">
        <v>1015</v>
      </c>
      <c r="AA607" s="306" t="s">
        <v>1013</v>
      </c>
    </row>
    <row r="608" spans="1:27">
      <c r="A608" s="306" t="s">
        <v>494</v>
      </c>
      <c r="B608" s="306" t="s">
        <v>1003</v>
      </c>
      <c r="C608" s="306" t="s">
        <v>1004</v>
      </c>
      <c r="D608" s="306" t="s">
        <v>2435</v>
      </c>
      <c r="E608" s="306" t="s">
        <v>2212</v>
      </c>
      <c r="F608" s="306" t="s">
        <v>1007</v>
      </c>
      <c r="G608" s="308">
        <v>46022</v>
      </c>
      <c r="H608" s="308">
        <v>46022</v>
      </c>
      <c r="I608" s="309">
        <v>-112619.7</v>
      </c>
      <c r="J608" s="306" t="s">
        <v>1008</v>
      </c>
      <c r="K608" s="309">
        <v>-112619.7</v>
      </c>
      <c r="L608" s="306" t="s">
        <v>1008</v>
      </c>
      <c r="M608" s="306" t="s">
        <v>2027</v>
      </c>
      <c r="N608" s="306" t="s">
        <v>2027</v>
      </c>
      <c r="O608" s="306" t="s">
        <v>2213</v>
      </c>
      <c r="P608" s="306" t="s">
        <v>222</v>
      </c>
      <c r="Q608" s="306" t="s">
        <v>1013</v>
      </c>
      <c r="R608" s="306" t="s">
        <v>1013</v>
      </c>
      <c r="S608" s="306" t="s">
        <v>1013</v>
      </c>
      <c r="T608" s="306" t="s">
        <v>1013</v>
      </c>
      <c r="U608" s="306" t="s">
        <v>1013</v>
      </c>
      <c r="V608" s="306" t="s">
        <v>1013</v>
      </c>
      <c r="W608" s="306" t="s">
        <v>1013</v>
      </c>
      <c r="X608" s="306" t="s">
        <v>1013</v>
      </c>
      <c r="Y608" s="306" t="s">
        <v>1036</v>
      </c>
      <c r="Z608" s="306" t="s">
        <v>1015</v>
      </c>
      <c r="AA608" s="306" t="s">
        <v>1013</v>
      </c>
    </row>
    <row r="609" spans="1:27">
      <c r="A609" s="306" t="s">
        <v>494</v>
      </c>
      <c r="B609" s="306" t="s">
        <v>1003</v>
      </c>
      <c r="C609" s="306" t="s">
        <v>1004</v>
      </c>
      <c r="D609" s="306" t="s">
        <v>2435</v>
      </c>
      <c r="E609" s="306" t="s">
        <v>2214</v>
      </c>
      <c r="F609" s="306" t="s">
        <v>1007</v>
      </c>
      <c r="G609" s="308">
        <v>46022</v>
      </c>
      <c r="H609" s="308">
        <v>46022</v>
      </c>
      <c r="I609" s="309">
        <v>44903.55</v>
      </c>
      <c r="J609" s="306" t="s">
        <v>1008</v>
      </c>
      <c r="K609" s="309">
        <v>44903.55</v>
      </c>
      <c r="L609" s="306" t="s">
        <v>1008</v>
      </c>
      <c r="M609" s="306" t="s">
        <v>2036</v>
      </c>
      <c r="N609" s="306" t="s">
        <v>2036</v>
      </c>
      <c r="O609" s="306" t="s">
        <v>2215</v>
      </c>
      <c r="P609" s="306" t="s">
        <v>222</v>
      </c>
      <c r="Q609" s="306" t="s">
        <v>1013</v>
      </c>
      <c r="R609" s="306" t="s">
        <v>1013</v>
      </c>
      <c r="S609" s="306" t="s">
        <v>1013</v>
      </c>
      <c r="T609" s="306" t="s">
        <v>1013</v>
      </c>
      <c r="U609" s="306" t="s">
        <v>1013</v>
      </c>
      <c r="V609" s="306" t="s">
        <v>1013</v>
      </c>
      <c r="W609" s="306" t="s">
        <v>1013</v>
      </c>
      <c r="X609" s="306" t="s">
        <v>1013</v>
      </c>
      <c r="Y609" s="306" t="s">
        <v>1036</v>
      </c>
      <c r="Z609" s="306" t="s">
        <v>1015</v>
      </c>
      <c r="AA609" s="306" t="s">
        <v>1013</v>
      </c>
    </row>
    <row r="610" spans="1:27">
      <c r="A610" s="306" t="s">
        <v>494</v>
      </c>
      <c r="B610" s="306" t="s">
        <v>1003</v>
      </c>
      <c r="C610" s="306" t="s">
        <v>1004</v>
      </c>
      <c r="D610" s="306" t="s">
        <v>2435</v>
      </c>
      <c r="E610" s="306" t="s">
        <v>2216</v>
      </c>
      <c r="F610" s="306" t="s">
        <v>1007</v>
      </c>
      <c r="G610" s="308">
        <v>46022</v>
      </c>
      <c r="H610" s="308">
        <v>46022</v>
      </c>
      <c r="I610" s="309">
        <v>107334.9</v>
      </c>
      <c r="J610" s="306" t="s">
        <v>1008</v>
      </c>
      <c r="K610" s="309">
        <v>107334.9</v>
      </c>
      <c r="L610" s="306" t="s">
        <v>1008</v>
      </c>
      <c r="M610" s="306" t="s">
        <v>2100</v>
      </c>
      <c r="N610" s="306" t="s">
        <v>2100</v>
      </c>
      <c r="O610" s="306" t="s">
        <v>2217</v>
      </c>
      <c r="P610" s="306" t="s">
        <v>222</v>
      </c>
      <c r="Q610" s="306" t="s">
        <v>1013</v>
      </c>
      <c r="R610" s="306" t="s">
        <v>1013</v>
      </c>
      <c r="S610" s="306" t="s">
        <v>1013</v>
      </c>
      <c r="T610" s="306" t="s">
        <v>1013</v>
      </c>
      <c r="U610" s="306" t="s">
        <v>1013</v>
      </c>
      <c r="V610" s="306" t="s">
        <v>1013</v>
      </c>
      <c r="W610" s="306" t="s">
        <v>1013</v>
      </c>
      <c r="X610" s="306" t="s">
        <v>1013</v>
      </c>
      <c r="Y610" s="306" t="s">
        <v>1036</v>
      </c>
      <c r="Z610" s="306" t="s">
        <v>1015</v>
      </c>
      <c r="AA610" s="306" t="s">
        <v>1013</v>
      </c>
    </row>
    <row r="611" spans="1:27">
      <c r="A611" s="306" t="s">
        <v>494</v>
      </c>
      <c r="B611" s="306" t="s">
        <v>1003</v>
      </c>
      <c r="C611" s="306" t="s">
        <v>1004</v>
      </c>
      <c r="D611" s="306" t="s">
        <v>2435</v>
      </c>
      <c r="E611" s="306" t="s">
        <v>2218</v>
      </c>
      <c r="F611" s="306" t="s">
        <v>1007</v>
      </c>
      <c r="G611" s="308">
        <v>46022</v>
      </c>
      <c r="H611" s="308">
        <v>46022</v>
      </c>
      <c r="I611" s="309">
        <v>-1717892.26</v>
      </c>
      <c r="J611" s="306" t="s">
        <v>1008</v>
      </c>
      <c r="K611" s="309">
        <v>-1717892.26</v>
      </c>
      <c r="L611" s="306" t="s">
        <v>1008</v>
      </c>
      <c r="M611" s="306" t="s">
        <v>2100</v>
      </c>
      <c r="N611" s="306" t="s">
        <v>2100</v>
      </c>
      <c r="O611" s="306" t="s">
        <v>1133</v>
      </c>
      <c r="P611" s="306" t="s">
        <v>222</v>
      </c>
      <c r="Q611" s="306" t="s">
        <v>1013</v>
      </c>
      <c r="R611" s="306" t="s">
        <v>1013</v>
      </c>
      <c r="S611" s="306" t="s">
        <v>1013</v>
      </c>
      <c r="T611" s="306" t="s">
        <v>1013</v>
      </c>
      <c r="U611" s="306" t="s">
        <v>1013</v>
      </c>
      <c r="V611" s="306" t="s">
        <v>1013</v>
      </c>
      <c r="W611" s="306" t="s">
        <v>1013</v>
      </c>
      <c r="X611" s="306" t="s">
        <v>1013</v>
      </c>
      <c r="Y611" s="306" t="s">
        <v>1036</v>
      </c>
      <c r="Z611" s="306" t="s">
        <v>1015</v>
      </c>
      <c r="AA611" s="306" t="s">
        <v>1013</v>
      </c>
    </row>
    <row r="612" spans="1:27">
      <c r="A612" s="306" t="s">
        <v>494</v>
      </c>
      <c r="B612" s="306" t="s">
        <v>1003</v>
      </c>
      <c r="C612" s="306" t="s">
        <v>1004</v>
      </c>
      <c r="D612" s="306" t="s">
        <v>2435</v>
      </c>
      <c r="E612" s="306" t="s">
        <v>2219</v>
      </c>
      <c r="F612" s="306" t="s">
        <v>1007</v>
      </c>
      <c r="G612" s="308">
        <v>46022</v>
      </c>
      <c r="H612" s="308">
        <v>46022</v>
      </c>
      <c r="I612" s="309">
        <v>-121025.23</v>
      </c>
      <c r="J612" s="306" t="s">
        <v>1008</v>
      </c>
      <c r="K612" s="309">
        <v>-121025.23</v>
      </c>
      <c r="L612" s="306" t="s">
        <v>1008</v>
      </c>
      <c r="M612" s="306" t="s">
        <v>2027</v>
      </c>
      <c r="N612" s="306" t="s">
        <v>2027</v>
      </c>
      <c r="O612" s="306" t="s">
        <v>1131</v>
      </c>
      <c r="P612" s="306" t="s">
        <v>222</v>
      </c>
      <c r="Q612" s="306" t="s">
        <v>1013</v>
      </c>
      <c r="R612" s="306" t="s">
        <v>1013</v>
      </c>
      <c r="S612" s="306" t="s">
        <v>1013</v>
      </c>
      <c r="T612" s="306" t="s">
        <v>1013</v>
      </c>
      <c r="U612" s="306" t="s">
        <v>1013</v>
      </c>
      <c r="V612" s="306" t="s">
        <v>1013</v>
      </c>
      <c r="W612" s="306" t="s">
        <v>1013</v>
      </c>
      <c r="X612" s="306" t="s">
        <v>1013</v>
      </c>
      <c r="Y612" s="306" t="s">
        <v>1036</v>
      </c>
      <c r="Z612" s="306" t="s">
        <v>1015</v>
      </c>
      <c r="AA612" s="306" t="s">
        <v>1013</v>
      </c>
    </row>
    <row r="613" spans="1:27">
      <c r="A613" s="306" t="s">
        <v>494</v>
      </c>
      <c r="B613" s="306" t="s">
        <v>1003</v>
      </c>
      <c r="C613" s="306" t="s">
        <v>1004</v>
      </c>
      <c r="D613" s="306" t="s">
        <v>2435</v>
      </c>
      <c r="E613" s="306" t="s">
        <v>2220</v>
      </c>
      <c r="F613" s="306" t="s">
        <v>1007</v>
      </c>
      <c r="G613" s="308">
        <v>46022</v>
      </c>
      <c r="H613" s="308">
        <v>46022</v>
      </c>
      <c r="I613" s="309">
        <v>-131821.98000000001</v>
      </c>
      <c r="J613" s="306" t="s">
        <v>1008</v>
      </c>
      <c r="K613" s="309">
        <v>-131821.98000000001</v>
      </c>
      <c r="L613" s="306" t="s">
        <v>1008</v>
      </c>
      <c r="M613" s="306" t="s">
        <v>2036</v>
      </c>
      <c r="N613" s="306" t="s">
        <v>2036</v>
      </c>
      <c r="O613" s="306" t="s">
        <v>1136</v>
      </c>
      <c r="P613" s="306" t="s">
        <v>222</v>
      </c>
      <c r="Q613" s="306" t="s">
        <v>1013</v>
      </c>
      <c r="R613" s="306" t="s">
        <v>1013</v>
      </c>
      <c r="S613" s="306" t="s">
        <v>1013</v>
      </c>
      <c r="T613" s="306" t="s">
        <v>1013</v>
      </c>
      <c r="U613" s="306" t="s">
        <v>1013</v>
      </c>
      <c r="V613" s="306" t="s">
        <v>1013</v>
      </c>
      <c r="W613" s="306" t="s">
        <v>1013</v>
      </c>
      <c r="X613" s="306" t="s">
        <v>1013</v>
      </c>
      <c r="Y613" s="306" t="s">
        <v>1036</v>
      </c>
      <c r="Z613" s="306" t="s">
        <v>1015</v>
      </c>
      <c r="AA613" s="306" t="s">
        <v>1013</v>
      </c>
    </row>
    <row r="614" spans="1:27">
      <c r="A614" s="306" t="s">
        <v>494</v>
      </c>
      <c r="B614" s="306" t="s">
        <v>1003</v>
      </c>
      <c r="C614" s="306" t="s">
        <v>1004</v>
      </c>
      <c r="D614" s="306" t="s">
        <v>2435</v>
      </c>
      <c r="E614" s="306" t="s">
        <v>2221</v>
      </c>
      <c r="F614" s="306" t="s">
        <v>1007</v>
      </c>
      <c r="G614" s="308">
        <v>46022</v>
      </c>
      <c r="H614" s="308">
        <v>46022</v>
      </c>
      <c r="I614" s="309">
        <v>-779371.35</v>
      </c>
      <c r="J614" s="306" t="s">
        <v>1008</v>
      </c>
      <c r="K614" s="309">
        <v>-779371.35</v>
      </c>
      <c r="L614" s="306" t="s">
        <v>1008</v>
      </c>
      <c r="M614" s="306" t="s">
        <v>2222</v>
      </c>
      <c r="N614" s="306" t="s">
        <v>2223</v>
      </c>
      <c r="O614" s="306" t="s">
        <v>1035</v>
      </c>
      <c r="P614" s="306" t="s">
        <v>222</v>
      </c>
      <c r="Q614" s="306" t="s">
        <v>1013</v>
      </c>
      <c r="R614" s="306" t="s">
        <v>1013</v>
      </c>
      <c r="S614" s="306" t="s">
        <v>1013</v>
      </c>
      <c r="T614" s="306" t="s">
        <v>1013</v>
      </c>
      <c r="U614" s="306" t="s">
        <v>1013</v>
      </c>
      <c r="V614" s="306" t="s">
        <v>1013</v>
      </c>
      <c r="W614" s="306" t="s">
        <v>1013</v>
      </c>
      <c r="X614" s="306" t="s">
        <v>1013</v>
      </c>
      <c r="Y614" s="306" t="s">
        <v>1036</v>
      </c>
      <c r="Z614" s="306" t="s">
        <v>1015</v>
      </c>
      <c r="AA614" s="306" t="s">
        <v>1013</v>
      </c>
    </row>
    <row r="615" spans="1:27">
      <c r="A615" s="306" t="s">
        <v>494</v>
      </c>
      <c r="B615" s="306" t="s">
        <v>1003</v>
      </c>
      <c r="C615" s="306" t="s">
        <v>1004</v>
      </c>
      <c r="D615" s="306" t="s">
        <v>2435</v>
      </c>
      <c r="E615" s="306" t="s">
        <v>2224</v>
      </c>
      <c r="F615" s="306" t="s">
        <v>1007</v>
      </c>
      <c r="G615" s="308">
        <v>46022</v>
      </c>
      <c r="H615" s="308">
        <v>46022</v>
      </c>
      <c r="I615" s="309">
        <v>-44855.5</v>
      </c>
      <c r="J615" s="306" t="s">
        <v>1008</v>
      </c>
      <c r="K615" s="309">
        <v>-44855.5</v>
      </c>
      <c r="L615" s="306" t="s">
        <v>1008</v>
      </c>
      <c r="M615" s="306" t="s">
        <v>2225</v>
      </c>
      <c r="N615" s="306" t="s">
        <v>2223</v>
      </c>
      <c r="O615" s="306" t="s">
        <v>1048</v>
      </c>
      <c r="P615" s="306" t="s">
        <v>222</v>
      </c>
      <c r="Q615" s="306" t="s">
        <v>1013</v>
      </c>
      <c r="R615" s="306" t="s">
        <v>1013</v>
      </c>
      <c r="S615" s="306" t="s">
        <v>1013</v>
      </c>
      <c r="T615" s="306" t="s">
        <v>1013</v>
      </c>
      <c r="U615" s="306" t="s">
        <v>1013</v>
      </c>
      <c r="V615" s="306" t="s">
        <v>1013</v>
      </c>
      <c r="W615" s="306" t="s">
        <v>1013</v>
      </c>
      <c r="X615" s="306" t="s">
        <v>1013</v>
      </c>
      <c r="Y615" s="306" t="s">
        <v>1036</v>
      </c>
      <c r="Z615" s="306" t="s">
        <v>1015</v>
      </c>
      <c r="AA615" s="306" t="s">
        <v>1013</v>
      </c>
    </row>
    <row r="616" spans="1:27">
      <c r="A616" s="306" t="s">
        <v>494</v>
      </c>
      <c r="B616" s="306" t="s">
        <v>1003</v>
      </c>
      <c r="C616" s="306" t="s">
        <v>1004</v>
      </c>
      <c r="D616" s="306" t="s">
        <v>2435</v>
      </c>
      <c r="E616" s="306" t="s">
        <v>2226</v>
      </c>
      <c r="F616" s="306" t="s">
        <v>1007</v>
      </c>
      <c r="G616" s="308">
        <v>46022</v>
      </c>
      <c r="H616" s="308">
        <v>46022</v>
      </c>
      <c r="I616" s="309">
        <v>-22427.75</v>
      </c>
      <c r="J616" s="306" t="s">
        <v>1008</v>
      </c>
      <c r="K616" s="309">
        <v>-22427.75</v>
      </c>
      <c r="L616" s="306" t="s">
        <v>1008</v>
      </c>
      <c r="M616" s="306" t="s">
        <v>2225</v>
      </c>
      <c r="N616" s="306" t="s">
        <v>2223</v>
      </c>
      <c r="O616" s="306" t="s">
        <v>1102</v>
      </c>
      <c r="P616" s="306" t="s">
        <v>222</v>
      </c>
      <c r="Q616" s="306" t="s">
        <v>1013</v>
      </c>
      <c r="R616" s="306" t="s">
        <v>1013</v>
      </c>
      <c r="S616" s="306" t="s">
        <v>1013</v>
      </c>
      <c r="T616" s="306" t="s">
        <v>1013</v>
      </c>
      <c r="U616" s="306" t="s">
        <v>1013</v>
      </c>
      <c r="V616" s="306" t="s">
        <v>1013</v>
      </c>
      <c r="W616" s="306" t="s">
        <v>1013</v>
      </c>
      <c r="X616" s="306" t="s">
        <v>1013</v>
      </c>
      <c r="Y616" s="306" t="s">
        <v>1036</v>
      </c>
      <c r="Z616" s="306" t="s">
        <v>1015</v>
      </c>
      <c r="AA616" s="306" t="s">
        <v>1013</v>
      </c>
    </row>
    <row r="617" spans="1:27">
      <c r="A617" s="306" t="s">
        <v>494</v>
      </c>
      <c r="B617" s="306" t="s">
        <v>1003</v>
      </c>
      <c r="C617" s="306" t="s">
        <v>1004</v>
      </c>
      <c r="D617" s="306" t="s">
        <v>2435</v>
      </c>
      <c r="E617" s="306" t="s">
        <v>2227</v>
      </c>
      <c r="F617" s="306" t="s">
        <v>1007</v>
      </c>
      <c r="G617" s="308">
        <v>46022</v>
      </c>
      <c r="H617" s="308">
        <v>46022</v>
      </c>
      <c r="I617" s="309">
        <v>-3697.98</v>
      </c>
      <c r="J617" s="306" t="s">
        <v>1008</v>
      </c>
      <c r="K617" s="309">
        <v>-3697.98</v>
      </c>
      <c r="L617" s="306" t="s">
        <v>1008</v>
      </c>
      <c r="M617" s="306" t="s">
        <v>1168</v>
      </c>
      <c r="N617" s="306" t="s">
        <v>1151</v>
      </c>
      <c r="O617" s="306" t="s">
        <v>2171</v>
      </c>
      <c r="P617" s="306" t="s">
        <v>244</v>
      </c>
      <c r="Q617" s="306" t="s">
        <v>1013</v>
      </c>
      <c r="R617" s="306" t="s">
        <v>1013</v>
      </c>
      <c r="S617" s="306" t="s">
        <v>1013</v>
      </c>
      <c r="T617" s="306" t="s">
        <v>1013</v>
      </c>
      <c r="U617" s="306" t="s">
        <v>1013</v>
      </c>
      <c r="V617" s="306" t="s">
        <v>1013</v>
      </c>
      <c r="W617" s="306" t="s">
        <v>1013</v>
      </c>
      <c r="X617" s="306" t="s">
        <v>1013</v>
      </c>
      <c r="Y617" s="306" t="s">
        <v>1153</v>
      </c>
      <c r="Z617" s="306" t="s">
        <v>1015</v>
      </c>
      <c r="AA617" s="306" t="s">
        <v>1013</v>
      </c>
    </row>
    <row r="618" spans="1:27">
      <c r="A618" s="306" t="s">
        <v>494</v>
      </c>
      <c r="B618" s="306" t="s">
        <v>1003</v>
      </c>
      <c r="C618" s="306" t="s">
        <v>1004</v>
      </c>
      <c r="D618" s="306" t="s">
        <v>2435</v>
      </c>
      <c r="E618" s="306" t="s">
        <v>2228</v>
      </c>
      <c r="F618" s="306" t="s">
        <v>1007</v>
      </c>
      <c r="G618" s="308">
        <v>45991</v>
      </c>
      <c r="H618" s="308">
        <v>46022</v>
      </c>
      <c r="I618" s="309">
        <v>595.14</v>
      </c>
      <c r="J618" s="306" t="s">
        <v>1008</v>
      </c>
      <c r="K618" s="309">
        <v>595.14</v>
      </c>
      <c r="L618" s="306" t="s">
        <v>1008</v>
      </c>
      <c r="M618" s="306" t="s">
        <v>2229</v>
      </c>
      <c r="N618" s="306" t="s">
        <v>2230</v>
      </c>
      <c r="O618" s="306" t="s">
        <v>1643</v>
      </c>
      <c r="P618" s="306" t="s">
        <v>263</v>
      </c>
      <c r="Q618" s="306" t="s">
        <v>1013</v>
      </c>
      <c r="R618" s="306" t="s">
        <v>1013</v>
      </c>
      <c r="S618" s="306" t="s">
        <v>1013</v>
      </c>
      <c r="T618" s="306" t="s">
        <v>1013</v>
      </c>
      <c r="U618" s="306" t="s">
        <v>1013</v>
      </c>
      <c r="V618" s="306" t="s">
        <v>1013</v>
      </c>
      <c r="W618" s="306" t="s">
        <v>1013</v>
      </c>
      <c r="X618" s="306" t="s">
        <v>1013</v>
      </c>
      <c r="Y618" s="306" t="s">
        <v>1537</v>
      </c>
      <c r="Z618" s="306" t="s">
        <v>2231</v>
      </c>
      <c r="AA618" s="306" t="s">
        <v>1013</v>
      </c>
    </row>
    <row r="619" spans="1:27">
      <c r="A619" s="306" t="s">
        <v>494</v>
      </c>
      <c r="B619" s="306" t="s">
        <v>1003</v>
      </c>
      <c r="C619" s="306" t="s">
        <v>1004</v>
      </c>
      <c r="D619" s="306" t="s">
        <v>2435</v>
      </c>
      <c r="E619" s="306" t="s">
        <v>2232</v>
      </c>
      <c r="F619" s="306" t="s">
        <v>1007</v>
      </c>
      <c r="G619" s="308">
        <v>46017</v>
      </c>
      <c r="H619" s="308">
        <v>46022</v>
      </c>
      <c r="I619" s="309">
        <v>1190.29</v>
      </c>
      <c r="J619" s="306" t="s">
        <v>1008</v>
      </c>
      <c r="K619" s="309">
        <v>1190.29</v>
      </c>
      <c r="L619" s="306" t="s">
        <v>1008</v>
      </c>
      <c r="M619" s="306" t="s">
        <v>1642</v>
      </c>
      <c r="N619" s="306" t="s">
        <v>1535</v>
      </c>
      <c r="O619" s="306" t="s">
        <v>1643</v>
      </c>
      <c r="P619" s="306" t="s">
        <v>263</v>
      </c>
      <c r="Q619" s="306" t="s">
        <v>1013</v>
      </c>
      <c r="R619" s="306" t="s">
        <v>1013</v>
      </c>
      <c r="S619" s="306" t="s">
        <v>1013</v>
      </c>
      <c r="T619" s="306" t="s">
        <v>1013</v>
      </c>
      <c r="U619" s="306" t="s">
        <v>1013</v>
      </c>
      <c r="V619" s="306" t="s">
        <v>1013</v>
      </c>
      <c r="W619" s="306" t="s">
        <v>1013</v>
      </c>
      <c r="X619" s="306" t="s">
        <v>1013</v>
      </c>
      <c r="Y619" s="306" t="s">
        <v>1537</v>
      </c>
      <c r="Z619" s="306" t="s">
        <v>2231</v>
      </c>
      <c r="AA619" s="306" t="s">
        <v>1013</v>
      </c>
    </row>
    <row r="620" spans="1:27">
      <c r="A620" s="306" t="s">
        <v>494</v>
      </c>
      <c r="B620" s="306" t="s">
        <v>1003</v>
      </c>
      <c r="C620" s="306" t="s">
        <v>1004</v>
      </c>
      <c r="D620" s="306" t="s">
        <v>2435</v>
      </c>
      <c r="E620" s="306" t="s">
        <v>2233</v>
      </c>
      <c r="F620" s="306" t="s">
        <v>1007</v>
      </c>
      <c r="G620" s="308">
        <v>46017</v>
      </c>
      <c r="H620" s="308">
        <v>46022</v>
      </c>
      <c r="I620" s="309">
        <v>1572.54</v>
      </c>
      <c r="J620" s="306" t="s">
        <v>1008</v>
      </c>
      <c r="K620" s="309">
        <v>1572.54</v>
      </c>
      <c r="L620" s="306" t="s">
        <v>1008</v>
      </c>
      <c r="M620" s="306" t="s">
        <v>1575</v>
      </c>
      <c r="N620" s="306" t="s">
        <v>1535</v>
      </c>
      <c r="O620" s="306" t="s">
        <v>1576</v>
      </c>
      <c r="P620" s="306" t="s">
        <v>263</v>
      </c>
      <c r="Q620" s="306" t="s">
        <v>1013</v>
      </c>
      <c r="R620" s="306" t="s">
        <v>1013</v>
      </c>
      <c r="S620" s="306" t="s">
        <v>1013</v>
      </c>
      <c r="T620" s="306" t="s">
        <v>1013</v>
      </c>
      <c r="U620" s="306" t="s">
        <v>1013</v>
      </c>
      <c r="V620" s="306" t="s">
        <v>1013</v>
      </c>
      <c r="W620" s="306" t="s">
        <v>1013</v>
      </c>
      <c r="X620" s="306" t="s">
        <v>1013</v>
      </c>
      <c r="Y620" s="306" t="s">
        <v>1537</v>
      </c>
      <c r="Z620" s="306" t="s">
        <v>2231</v>
      </c>
      <c r="AA620" s="306" t="s">
        <v>1013</v>
      </c>
    </row>
    <row r="621" spans="1:27">
      <c r="A621" s="306" t="s">
        <v>494</v>
      </c>
      <c r="B621" s="306" t="s">
        <v>1003</v>
      </c>
      <c r="C621" s="306" t="s">
        <v>1004</v>
      </c>
      <c r="D621" s="306" t="s">
        <v>2435</v>
      </c>
      <c r="E621" s="306" t="s">
        <v>2234</v>
      </c>
      <c r="F621" s="306" t="s">
        <v>1007</v>
      </c>
      <c r="G621" s="308">
        <v>46022</v>
      </c>
      <c r="H621" s="308">
        <v>46022</v>
      </c>
      <c r="I621" s="309">
        <v>-824.05</v>
      </c>
      <c r="J621" s="306" t="s">
        <v>1008</v>
      </c>
      <c r="K621" s="309">
        <v>-824.05</v>
      </c>
      <c r="L621" s="306" t="s">
        <v>1008</v>
      </c>
      <c r="M621" s="306" t="s">
        <v>1562</v>
      </c>
      <c r="N621" s="306" t="s">
        <v>1535</v>
      </c>
      <c r="O621" s="306" t="s">
        <v>1643</v>
      </c>
      <c r="P621" s="306" t="s">
        <v>263</v>
      </c>
      <c r="Q621" s="306" t="s">
        <v>1013</v>
      </c>
      <c r="R621" s="306" t="s">
        <v>1013</v>
      </c>
      <c r="S621" s="306" t="s">
        <v>1013</v>
      </c>
      <c r="T621" s="306" t="s">
        <v>1013</v>
      </c>
      <c r="U621" s="306" t="s">
        <v>1013</v>
      </c>
      <c r="V621" s="306" t="s">
        <v>1013</v>
      </c>
      <c r="W621" s="306" t="s">
        <v>1013</v>
      </c>
      <c r="X621" s="306" t="s">
        <v>1013</v>
      </c>
      <c r="Y621" s="306" t="s">
        <v>1537</v>
      </c>
      <c r="Z621" s="306" t="s">
        <v>1015</v>
      </c>
      <c r="AA621" s="306" t="s">
        <v>1013</v>
      </c>
    </row>
    <row r="622" spans="1:27">
      <c r="A622" s="306" t="s">
        <v>494</v>
      </c>
      <c r="B622" s="306" t="s">
        <v>1003</v>
      </c>
      <c r="C622" s="306" t="s">
        <v>1004</v>
      </c>
      <c r="D622" s="306" t="s">
        <v>2435</v>
      </c>
      <c r="E622" s="306" t="s">
        <v>2235</v>
      </c>
      <c r="F622" s="306" t="s">
        <v>1007</v>
      </c>
      <c r="G622" s="308">
        <v>46022</v>
      </c>
      <c r="H622" s="308">
        <v>46022</v>
      </c>
      <c r="I622" s="309">
        <v>-3407.16</v>
      </c>
      <c r="J622" s="306" t="s">
        <v>1008</v>
      </c>
      <c r="K622" s="309">
        <v>-3407.16</v>
      </c>
      <c r="L622" s="306" t="s">
        <v>1008</v>
      </c>
      <c r="M622" s="306" t="s">
        <v>1534</v>
      </c>
      <c r="N622" s="306" t="s">
        <v>1535</v>
      </c>
      <c r="O622" s="306" t="s">
        <v>1576</v>
      </c>
      <c r="P622" s="306" t="s">
        <v>263</v>
      </c>
      <c r="Q622" s="306" t="s">
        <v>1013</v>
      </c>
      <c r="R622" s="306" t="s">
        <v>1013</v>
      </c>
      <c r="S622" s="306" t="s">
        <v>1013</v>
      </c>
      <c r="T622" s="306" t="s">
        <v>1013</v>
      </c>
      <c r="U622" s="306" t="s">
        <v>1013</v>
      </c>
      <c r="V622" s="306" t="s">
        <v>1013</v>
      </c>
      <c r="W622" s="306" t="s">
        <v>1013</v>
      </c>
      <c r="X622" s="306" t="s">
        <v>1013</v>
      </c>
      <c r="Y622" s="306" t="s">
        <v>1537</v>
      </c>
      <c r="Z622" s="306" t="s">
        <v>1015</v>
      </c>
      <c r="AA622" s="306" t="s">
        <v>1013</v>
      </c>
    </row>
    <row r="623" spans="1:27">
      <c r="A623" s="306" t="s">
        <v>494</v>
      </c>
      <c r="B623" s="306" t="s">
        <v>1003</v>
      </c>
      <c r="C623" s="306" t="s">
        <v>1004</v>
      </c>
      <c r="D623" s="306" t="s">
        <v>2435</v>
      </c>
      <c r="E623" s="306" t="s">
        <v>2236</v>
      </c>
      <c r="F623" s="306" t="s">
        <v>1007</v>
      </c>
      <c r="G623" s="308">
        <v>46022</v>
      </c>
      <c r="H623" s="308">
        <v>46022</v>
      </c>
      <c r="I623" s="309">
        <v>-51.94</v>
      </c>
      <c r="J623" s="306" t="s">
        <v>1008</v>
      </c>
      <c r="K623" s="309">
        <v>-51.94</v>
      </c>
      <c r="L623" s="306" t="s">
        <v>1008</v>
      </c>
      <c r="M623" s="306" t="s">
        <v>1553</v>
      </c>
      <c r="N623" s="306" t="s">
        <v>1535</v>
      </c>
      <c r="O623" s="306" t="s">
        <v>2169</v>
      </c>
      <c r="P623" s="306" t="s">
        <v>263</v>
      </c>
      <c r="Q623" s="306" t="s">
        <v>1013</v>
      </c>
      <c r="R623" s="306" t="s">
        <v>1013</v>
      </c>
      <c r="S623" s="306" t="s">
        <v>1013</v>
      </c>
      <c r="T623" s="306" t="s">
        <v>1013</v>
      </c>
      <c r="U623" s="306" t="s">
        <v>1013</v>
      </c>
      <c r="V623" s="306" t="s">
        <v>1013</v>
      </c>
      <c r="W623" s="306" t="s">
        <v>1013</v>
      </c>
      <c r="X623" s="306" t="s">
        <v>1013</v>
      </c>
      <c r="Y623" s="306" t="s">
        <v>1537</v>
      </c>
      <c r="Z623" s="306" t="s">
        <v>1015</v>
      </c>
      <c r="AA623" s="306" t="s">
        <v>1013</v>
      </c>
    </row>
    <row r="624" spans="1:27">
      <c r="A624" s="306" t="s">
        <v>494</v>
      </c>
      <c r="B624" s="306" t="s">
        <v>1003</v>
      </c>
      <c r="C624" s="306" t="s">
        <v>1004</v>
      </c>
      <c r="D624" s="306" t="s">
        <v>2435</v>
      </c>
      <c r="E624" s="306" t="s">
        <v>2237</v>
      </c>
      <c r="F624" s="306" t="s">
        <v>1007</v>
      </c>
      <c r="G624" s="308">
        <v>46022</v>
      </c>
      <c r="H624" s="308">
        <v>46022</v>
      </c>
      <c r="I624" s="309">
        <v>17.829999999999998</v>
      </c>
      <c r="J624" s="306" t="s">
        <v>1008</v>
      </c>
      <c r="K624" s="309">
        <v>17.829999999999998</v>
      </c>
      <c r="L624" s="306" t="s">
        <v>1008</v>
      </c>
      <c r="M624" s="306" t="s">
        <v>1562</v>
      </c>
      <c r="N624" s="306" t="s">
        <v>1535</v>
      </c>
      <c r="O624" s="306" t="s">
        <v>2171</v>
      </c>
      <c r="P624" s="306" t="s">
        <v>263</v>
      </c>
      <c r="Q624" s="306" t="s">
        <v>1013</v>
      </c>
      <c r="R624" s="306" t="s">
        <v>1013</v>
      </c>
      <c r="S624" s="306" t="s">
        <v>1013</v>
      </c>
      <c r="T624" s="306" t="s">
        <v>1013</v>
      </c>
      <c r="U624" s="306" t="s">
        <v>1013</v>
      </c>
      <c r="V624" s="306" t="s">
        <v>1013</v>
      </c>
      <c r="W624" s="306" t="s">
        <v>1013</v>
      </c>
      <c r="X624" s="306" t="s">
        <v>1013</v>
      </c>
      <c r="Y624" s="306" t="s">
        <v>1537</v>
      </c>
      <c r="Z624" s="306" t="s">
        <v>1015</v>
      </c>
      <c r="AA624" s="306" t="s">
        <v>1013</v>
      </c>
    </row>
    <row r="625" spans="1:27">
      <c r="A625" s="306" t="s">
        <v>494</v>
      </c>
      <c r="B625" s="306" t="s">
        <v>1003</v>
      </c>
      <c r="C625" s="306" t="s">
        <v>1004</v>
      </c>
      <c r="D625" s="306" t="s">
        <v>2435</v>
      </c>
      <c r="E625" s="306" t="s">
        <v>2471</v>
      </c>
      <c r="F625" s="306" t="s">
        <v>1007</v>
      </c>
      <c r="G625" s="308">
        <v>46029</v>
      </c>
      <c r="H625" s="308">
        <v>46022</v>
      </c>
      <c r="I625" s="309">
        <v>-44779033.200000003</v>
      </c>
      <c r="J625" s="306" t="s">
        <v>1008</v>
      </c>
      <c r="K625" s="309">
        <v>-44779033.200000003</v>
      </c>
      <c r="L625" s="306" t="s">
        <v>1008</v>
      </c>
      <c r="M625" s="306" t="s">
        <v>1013</v>
      </c>
      <c r="N625" s="306" t="s">
        <v>2472</v>
      </c>
      <c r="O625" s="306" t="s">
        <v>1013</v>
      </c>
      <c r="P625" s="306" t="s">
        <v>1013</v>
      </c>
      <c r="Q625" s="306" t="s">
        <v>1013</v>
      </c>
      <c r="R625" s="306" t="s">
        <v>1013</v>
      </c>
      <c r="S625" s="306" t="s">
        <v>1013</v>
      </c>
      <c r="T625" s="306" t="s">
        <v>1013</v>
      </c>
      <c r="U625" s="306" t="s">
        <v>1013</v>
      </c>
      <c r="V625" s="306" t="s">
        <v>1013</v>
      </c>
      <c r="W625" s="306" t="s">
        <v>1013</v>
      </c>
      <c r="X625" s="306" t="s">
        <v>1013</v>
      </c>
      <c r="Y625" s="306" t="s">
        <v>2240</v>
      </c>
      <c r="Z625" s="306" t="s">
        <v>2241</v>
      </c>
      <c r="AA625" s="306" t="s">
        <v>1013</v>
      </c>
    </row>
    <row r="626" spans="1:27">
      <c r="A626" s="306" t="s">
        <v>494</v>
      </c>
      <c r="B626" s="306" t="s">
        <v>1003</v>
      </c>
      <c r="C626" s="306" t="s">
        <v>1004</v>
      </c>
      <c r="D626" s="306" t="s">
        <v>2435</v>
      </c>
      <c r="E626" s="306" t="s">
        <v>2471</v>
      </c>
      <c r="F626" s="306" t="s">
        <v>1007</v>
      </c>
      <c r="G626" s="308">
        <v>46029</v>
      </c>
      <c r="H626" s="308">
        <v>46022</v>
      </c>
      <c r="I626" s="309">
        <v>-33155588.75</v>
      </c>
      <c r="J626" s="306" t="s">
        <v>1008</v>
      </c>
      <c r="K626" s="309">
        <v>-33155588.75</v>
      </c>
      <c r="L626" s="306" t="s">
        <v>1008</v>
      </c>
      <c r="M626" s="306" t="s">
        <v>1013</v>
      </c>
      <c r="N626" s="306" t="s">
        <v>2472</v>
      </c>
      <c r="O626" s="306" t="s">
        <v>1013</v>
      </c>
      <c r="P626" s="306" t="s">
        <v>1013</v>
      </c>
      <c r="Q626" s="306" t="s">
        <v>1013</v>
      </c>
      <c r="R626" s="306" t="s">
        <v>1013</v>
      </c>
      <c r="S626" s="306" t="s">
        <v>1013</v>
      </c>
      <c r="T626" s="306" t="s">
        <v>1013</v>
      </c>
      <c r="U626" s="306" t="s">
        <v>1013</v>
      </c>
      <c r="V626" s="306" t="s">
        <v>1013</v>
      </c>
      <c r="W626" s="306" t="s">
        <v>1013</v>
      </c>
      <c r="X626" s="306" t="s">
        <v>1013</v>
      </c>
      <c r="Y626" s="306" t="s">
        <v>2244</v>
      </c>
      <c r="Z626" s="306" t="s">
        <v>2241</v>
      </c>
      <c r="AA626" s="306" t="s">
        <v>1013</v>
      </c>
    </row>
    <row r="627" spans="1:27">
      <c r="A627" s="306" t="s">
        <v>494</v>
      </c>
      <c r="B627" s="306" t="s">
        <v>1003</v>
      </c>
      <c r="C627" s="306" t="s">
        <v>1004</v>
      </c>
      <c r="D627" s="306" t="s">
        <v>2435</v>
      </c>
      <c r="E627" s="306" t="s">
        <v>2245</v>
      </c>
      <c r="F627" s="306" t="s">
        <v>1007</v>
      </c>
      <c r="G627" s="308">
        <v>46022</v>
      </c>
      <c r="H627" s="308">
        <v>46022</v>
      </c>
      <c r="I627" s="309">
        <v>-24763.27</v>
      </c>
      <c r="J627" s="306" t="s">
        <v>1008</v>
      </c>
      <c r="K627" s="309">
        <v>-24763.27</v>
      </c>
      <c r="L627" s="306" t="s">
        <v>1008</v>
      </c>
      <c r="M627" s="306" t="s">
        <v>1699</v>
      </c>
      <c r="N627" s="306" t="s">
        <v>1694</v>
      </c>
      <c r="O627" s="306" t="s">
        <v>2167</v>
      </c>
      <c r="P627" s="306" t="s">
        <v>1696</v>
      </c>
      <c r="Q627" s="306" t="s">
        <v>1013</v>
      </c>
      <c r="R627" s="306" t="s">
        <v>1013</v>
      </c>
      <c r="S627" s="306" t="s">
        <v>1013</v>
      </c>
      <c r="T627" s="306" t="s">
        <v>1013</v>
      </c>
      <c r="U627" s="306" t="s">
        <v>1013</v>
      </c>
      <c r="V627" s="306" t="s">
        <v>1013</v>
      </c>
      <c r="W627" s="306" t="s">
        <v>1013</v>
      </c>
      <c r="X627" s="306" t="s">
        <v>1013</v>
      </c>
      <c r="Y627" s="306" t="s">
        <v>1697</v>
      </c>
      <c r="Z627" s="306" t="s">
        <v>1015</v>
      </c>
      <c r="AA627" s="306" t="s">
        <v>1013</v>
      </c>
    </row>
    <row r="628" spans="1:27">
      <c r="A628" s="306" t="s">
        <v>494</v>
      </c>
      <c r="B628" s="306" t="s">
        <v>1003</v>
      </c>
      <c r="C628" s="306" t="s">
        <v>1004</v>
      </c>
      <c r="D628" s="306" t="s">
        <v>2435</v>
      </c>
      <c r="E628" s="306" t="s">
        <v>2246</v>
      </c>
      <c r="F628" s="306" t="s">
        <v>1007</v>
      </c>
      <c r="G628" s="308">
        <v>46022</v>
      </c>
      <c r="H628" s="308">
        <v>46022</v>
      </c>
      <c r="I628" s="309">
        <v>-718640.94</v>
      </c>
      <c r="J628" s="306" t="s">
        <v>1008</v>
      </c>
      <c r="K628" s="309">
        <v>-718640.94</v>
      </c>
      <c r="L628" s="306" t="s">
        <v>1008</v>
      </c>
      <c r="M628" s="306" t="s">
        <v>1693</v>
      </c>
      <c r="N628" s="306" t="s">
        <v>1694</v>
      </c>
      <c r="O628" s="306" t="s">
        <v>2169</v>
      </c>
      <c r="P628" s="306" t="s">
        <v>1696</v>
      </c>
      <c r="Q628" s="306" t="s">
        <v>1013</v>
      </c>
      <c r="R628" s="306" t="s">
        <v>1013</v>
      </c>
      <c r="S628" s="306" t="s">
        <v>1013</v>
      </c>
      <c r="T628" s="306" t="s">
        <v>1013</v>
      </c>
      <c r="U628" s="306" t="s">
        <v>1013</v>
      </c>
      <c r="V628" s="306" t="s">
        <v>1013</v>
      </c>
      <c r="W628" s="306" t="s">
        <v>1013</v>
      </c>
      <c r="X628" s="306" t="s">
        <v>1013</v>
      </c>
      <c r="Y628" s="306" t="s">
        <v>1697</v>
      </c>
      <c r="Z628" s="306" t="s">
        <v>1015</v>
      </c>
      <c r="AA628" s="306" t="s">
        <v>1013</v>
      </c>
    </row>
    <row r="629" spans="1:27">
      <c r="A629" s="306" t="s">
        <v>494</v>
      </c>
      <c r="B629" s="306" t="s">
        <v>1003</v>
      </c>
      <c r="C629" s="306" t="s">
        <v>1004</v>
      </c>
      <c r="D629" s="306" t="s">
        <v>2435</v>
      </c>
      <c r="E629" s="306" t="s">
        <v>2247</v>
      </c>
      <c r="F629" s="306" t="s">
        <v>1007</v>
      </c>
      <c r="G629" s="308">
        <v>46022</v>
      </c>
      <c r="H629" s="308">
        <v>46022</v>
      </c>
      <c r="I629" s="309">
        <v>-336282.93</v>
      </c>
      <c r="J629" s="306" t="s">
        <v>1008</v>
      </c>
      <c r="K629" s="309">
        <v>-336282.93</v>
      </c>
      <c r="L629" s="306" t="s">
        <v>1008</v>
      </c>
      <c r="M629" s="306" t="s">
        <v>1738</v>
      </c>
      <c r="N629" s="306" t="s">
        <v>1694</v>
      </c>
      <c r="O629" s="306" t="s">
        <v>2171</v>
      </c>
      <c r="P629" s="306" t="s">
        <v>1696</v>
      </c>
      <c r="Q629" s="306" t="s">
        <v>1013</v>
      </c>
      <c r="R629" s="306" t="s">
        <v>1013</v>
      </c>
      <c r="S629" s="306" t="s">
        <v>1013</v>
      </c>
      <c r="T629" s="306" t="s">
        <v>1013</v>
      </c>
      <c r="U629" s="306" t="s">
        <v>1013</v>
      </c>
      <c r="V629" s="306" t="s">
        <v>1013</v>
      </c>
      <c r="W629" s="306" t="s">
        <v>1013</v>
      </c>
      <c r="X629" s="306" t="s">
        <v>1013</v>
      </c>
      <c r="Y629" s="306" t="s">
        <v>1697</v>
      </c>
      <c r="Z629" s="306" t="s">
        <v>1015</v>
      </c>
      <c r="AA629" s="306" t="s">
        <v>1013</v>
      </c>
    </row>
    <row r="630" spans="1:27">
      <c r="A630" s="306" t="s">
        <v>494</v>
      </c>
      <c r="B630" s="306" t="s">
        <v>1003</v>
      </c>
      <c r="C630" s="306" t="s">
        <v>1004</v>
      </c>
      <c r="D630" s="306" t="s">
        <v>2435</v>
      </c>
      <c r="E630" s="306" t="s">
        <v>2248</v>
      </c>
      <c r="F630" s="306" t="s">
        <v>1007</v>
      </c>
      <c r="G630" s="308">
        <v>46022</v>
      </c>
      <c r="H630" s="308">
        <v>46022</v>
      </c>
      <c r="I630" s="309">
        <v>-134659.07</v>
      </c>
      <c r="J630" s="306" t="s">
        <v>1008</v>
      </c>
      <c r="K630" s="309">
        <v>-134659.07</v>
      </c>
      <c r="L630" s="306" t="s">
        <v>1008</v>
      </c>
      <c r="M630" s="306" t="s">
        <v>1738</v>
      </c>
      <c r="N630" s="306" t="s">
        <v>1694</v>
      </c>
      <c r="O630" s="306" t="s">
        <v>2249</v>
      </c>
      <c r="P630" s="306" t="s">
        <v>1696</v>
      </c>
      <c r="Q630" s="306" t="s">
        <v>1013</v>
      </c>
      <c r="R630" s="306" t="s">
        <v>1013</v>
      </c>
      <c r="S630" s="306" t="s">
        <v>1013</v>
      </c>
      <c r="T630" s="306" t="s">
        <v>1013</v>
      </c>
      <c r="U630" s="306" t="s">
        <v>1013</v>
      </c>
      <c r="V630" s="306" t="s">
        <v>1013</v>
      </c>
      <c r="W630" s="306" t="s">
        <v>1013</v>
      </c>
      <c r="X630" s="306" t="s">
        <v>1013</v>
      </c>
      <c r="Y630" s="306" t="s">
        <v>1697</v>
      </c>
      <c r="Z630" s="306" t="s">
        <v>1015</v>
      </c>
      <c r="AA630" s="306" t="s">
        <v>1013</v>
      </c>
    </row>
    <row r="631" spans="1:27">
      <c r="A631" s="306" t="s">
        <v>494</v>
      </c>
      <c r="B631" s="306" t="s">
        <v>1003</v>
      </c>
      <c r="C631" s="306" t="s">
        <v>1004</v>
      </c>
      <c r="D631" s="306" t="s">
        <v>2435</v>
      </c>
      <c r="E631" s="306" t="s">
        <v>2250</v>
      </c>
      <c r="F631" s="306" t="s">
        <v>1007</v>
      </c>
      <c r="G631" s="308">
        <v>46022</v>
      </c>
      <c r="H631" s="308">
        <v>46022</v>
      </c>
      <c r="I631" s="309">
        <v>-849787.98</v>
      </c>
      <c r="J631" s="306" t="s">
        <v>1008</v>
      </c>
      <c r="K631" s="309">
        <v>-849787.98</v>
      </c>
      <c r="L631" s="306" t="s">
        <v>1008</v>
      </c>
      <c r="M631" s="306" t="s">
        <v>1738</v>
      </c>
      <c r="N631" s="306" t="s">
        <v>1694</v>
      </c>
      <c r="O631" s="306" t="s">
        <v>2251</v>
      </c>
      <c r="P631" s="306" t="s">
        <v>1696</v>
      </c>
      <c r="Q631" s="306" t="s">
        <v>1013</v>
      </c>
      <c r="R631" s="306" t="s">
        <v>1013</v>
      </c>
      <c r="S631" s="306" t="s">
        <v>1013</v>
      </c>
      <c r="T631" s="306" t="s">
        <v>1013</v>
      </c>
      <c r="U631" s="306" t="s">
        <v>1013</v>
      </c>
      <c r="V631" s="306" t="s">
        <v>1013</v>
      </c>
      <c r="W631" s="306" t="s">
        <v>1013</v>
      </c>
      <c r="X631" s="306" t="s">
        <v>1013</v>
      </c>
      <c r="Y631" s="306" t="s">
        <v>1697</v>
      </c>
      <c r="Z631" s="306" t="s">
        <v>1015</v>
      </c>
      <c r="AA631" s="306" t="s">
        <v>1013</v>
      </c>
    </row>
    <row r="632" spans="1:27">
      <c r="A632" s="306" t="s">
        <v>494</v>
      </c>
      <c r="B632" s="306" t="s">
        <v>1003</v>
      </c>
      <c r="C632" s="306" t="s">
        <v>1004</v>
      </c>
      <c r="D632" s="306" t="s">
        <v>2435</v>
      </c>
      <c r="E632" s="306" t="s">
        <v>2252</v>
      </c>
      <c r="F632" s="306" t="s">
        <v>1007</v>
      </c>
      <c r="G632" s="308">
        <v>46010</v>
      </c>
      <c r="H632" s="308">
        <v>46022</v>
      </c>
      <c r="I632" s="309">
        <v>43056.11</v>
      </c>
      <c r="J632" s="306" t="s">
        <v>1008</v>
      </c>
      <c r="K632" s="309">
        <v>43056.11</v>
      </c>
      <c r="L632" s="306" t="s">
        <v>1008</v>
      </c>
      <c r="M632" s="306" t="s">
        <v>1009</v>
      </c>
      <c r="N632" s="306" t="s">
        <v>1010</v>
      </c>
      <c r="O632" s="306" t="s">
        <v>1011</v>
      </c>
      <c r="P632" s="306" t="s">
        <v>1012</v>
      </c>
      <c r="Q632" s="306" t="s">
        <v>1013</v>
      </c>
      <c r="R632" s="306" t="s">
        <v>1013</v>
      </c>
      <c r="S632" s="306" t="s">
        <v>1013</v>
      </c>
      <c r="T632" s="306" t="s">
        <v>1013</v>
      </c>
      <c r="U632" s="306" t="s">
        <v>1013</v>
      </c>
      <c r="V632" s="306" t="s">
        <v>1013</v>
      </c>
      <c r="W632" s="306" t="s">
        <v>1013</v>
      </c>
      <c r="X632" s="306" t="s">
        <v>1013</v>
      </c>
      <c r="Y632" s="306" t="s">
        <v>1014</v>
      </c>
      <c r="Z632" s="306" t="s">
        <v>1015</v>
      </c>
      <c r="AA632" s="306" t="s">
        <v>1013</v>
      </c>
    </row>
    <row r="633" spans="1:27">
      <c r="A633" s="306" t="s">
        <v>494</v>
      </c>
      <c r="B633" s="306" t="s">
        <v>1003</v>
      </c>
      <c r="C633" s="306" t="s">
        <v>1004</v>
      </c>
      <c r="D633" s="306" t="s">
        <v>2435</v>
      </c>
      <c r="E633" s="306" t="s">
        <v>2253</v>
      </c>
      <c r="F633" s="306" t="s">
        <v>1007</v>
      </c>
      <c r="G633" s="308">
        <v>46010</v>
      </c>
      <c r="H633" s="308">
        <v>46022</v>
      </c>
      <c r="I633" s="309">
        <v>235217.89</v>
      </c>
      <c r="J633" s="306" t="s">
        <v>1008</v>
      </c>
      <c r="K633" s="309">
        <v>235217.89</v>
      </c>
      <c r="L633" s="306" t="s">
        <v>1008</v>
      </c>
      <c r="M633" s="306" t="s">
        <v>1017</v>
      </c>
      <c r="N633" s="306" t="s">
        <v>1010</v>
      </c>
      <c r="O633" s="306" t="s">
        <v>1018</v>
      </c>
      <c r="P633" s="306" t="s">
        <v>1012</v>
      </c>
      <c r="Q633" s="306" t="s">
        <v>1013</v>
      </c>
      <c r="R633" s="306" t="s">
        <v>1013</v>
      </c>
      <c r="S633" s="306" t="s">
        <v>1013</v>
      </c>
      <c r="T633" s="306" t="s">
        <v>1013</v>
      </c>
      <c r="U633" s="306" t="s">
        <v>1013</v>
      </c>
      <c r="V633" s="306" t="s">
        <v>1013</v>
      </c>
      <c r="W633" s="306" t="s">
        <v>1013</v>
      </c>
      <c r="X633" s="306" t="s">
        <v>1013</v>
      </c>
      <c r="Y633" s="306" t="s">
        <v>1014</v>
      </c>
      <c r="Z633" s="306" t="s">
        <v>1015</v>
      </c>
      <c r="AA633" s="306" t="s">
        <v>1013</v>
      </c>
    </row>
    <row r="634" spans="1:27">
      <c r="A634" s="306" t="s">
        <v>494</v>
      </c>
      <c r="B634" s="306" t="s">
        <v>1003</v>
      </c>
      <c r="C634" s="306" t="s">
        <v>1004</v>
      </c>
      <c r="D634" s="306" t="s">
        <v>2435</v>
      </c>
      <c r="E634" s="306" t="s">
        <v>2254</v>
      </c>
      <c r="F634" s="306" t="s">
        <v>1007</v>
      </c>
      <c r="G634" s="308">
        <v>46010</v>
      </c>
      <c r="H634" s="308">
        <v>46022</v>
      </c>
      <c r="I634" s="309">
        <v>2829.48</v>
      </c>
      <c r="J634" s="306" t="s">
        <v>1008</v>
      </c>
      <c r="K634" s="309">
        <v>2829.48</v>
      </c>
      <c r="L634" s="306" t="s">
        <v>1008</v>
      </c>
      <c r="M634" s="306" t="s">
        <v>1021</v>
      </c>
      <c r="N634" s="306" t="s">
        <v>1022</v>
      </c>
      <c r="O634" s="306" t="s">
        <v>1023</v>
      </c>
      <c r="P634" s="306" t="s">
        <v>1012</v>
      </c>
      <c r="Q634" s="306" t="s">
        <v>1013</v>
      </c>
      <c r="R634" s="306" t="s">
        <v>1013</v>
      </c>
      <c r="S634" s="306" t="s">
        <v>1013</v>
      </c>
      <c r="T634" s="306" t="s">
        <v>1013</v>
      </c>
      <c r="U634" s="306" t="s">
        <v>1013</v>
      </c>
      <c r="V634" s="306" t="s">
        <v>1013</v>
      </c>
      <c r="W634" s="306" t="s">
        <v>1013</v>
      </c>
      <c r="X634" s="306" t="s">
        <v>1013</v>
      </c>
      <c r="Y634" s="306" t="s">
        <v>1014</v>
      </c>
      <c r="Z634" s="306" t="s">
        <v>1015</v>
      </c>
      <c r="AA634" s="306" t="s">
        <v>1013</v>
      </c>
    </row>
    <row r="635" spans="1:27">
      <c r="A635" s="306" t="s">
        <v>494</v>
      </c>
      <c r="B635" s="306" t="s">
        <v>1003</v>
      </c>
      <c r="C635" s="306" t="s">
        <v>1004</v>
      </c>
      <c r="D635" s="306" t="s">
        <v>2435</v>
      </c>
      <c r="E635" s="306" t="s">
        <v>2255</v>
      </c>
      <c r="F635" s="306" t="s">
        <v>1007</v>
      </c>
      <c r="G635" s="308">
        <v>46013</v>
      </c>
      <c r="H635" s="308">
        <v>46022</v>
      </c>
      <c r="I635" s="309">
        <v>791090.12</v>
      </c>
      <c r="J635" s="306" t="s">
        <v>1008</v>
      </c>
      <c r="K635" s="309">
        <v>791090.12</v>
      </c>
      <c r="L635" s="306" t="s">
        <v>1008</v>
      </c>
      <c r="M635" s="306" t="s">
        <v>1033</v>
      </c>
      <c r="N635" s="306" t="s">
        <v>1034</v>
      </c>
      <c r="O635" s="306" t="s">
        <v>1035</v>
      </c>
      <c r="P635" s="306" t="s">
        <v>1012</v>
      </c>
      <c r="Q635" s="306" t="s">
        <v>1013</v>
      </c>
      <c r="R635" s="306" t="s">
        <v>1013</v>
      </c>
      <c r="S635" s="306" t="s">
        <v>1013</v>
      </c>
      <c r="T635" s="306" t="s">
        <v>1013</v>
      </c>
      <c r="U635" s="306" t="s">
        <v>1013</v>
      </c>
      <c r="V635" s="306" t="s">
        <v>1013</v>
      </c>
      <c r="W635" s="306" t="s">
        <v>1013</v>
      </c>
      <c r="X635" s="306" t="s">
        <v>1013</v>
      </c>
      <c r="Y635" s="306" t="s">
        <v>1036</v>
      </c>
      <c r="Z635" s="306" t="s">
        <v>1015</v>
      </c>
      <c r="AA635" s="306" t="s">
        <v>1013</v>
      </c>
    </row>
    <row r="636" spans="1:27">
      <c r="A636" s="306" t="s">
        <v>494</v>
      </c>
      <c r="B636" s="306" t="s">
        <v>1003</v>
      </c>
      <c r="C636" s="306" t="s">
        <v>1004</v>
      </c>
      <c r="D636" s="306" t="s">
        <v>2435</v>
      </c>
      <c r="E636" s="306" t="s">
        <v>2256</v>
      </c>
      <c r="F636" s="306" t="s">
        <v>1007</v>
      </c>
      <c r="G636" s="308">
        <v>46013</v>
      </c>
      <c r="H636" s="308">
        <v>46022</v>
      </c>
      <c r="I636" s="309">
        <v>203958</v>
      </c>
      <c r="J636" s="306" t="s">
        <v>1008</v>
      </c>
      <c r="K636" s="309">
        <v>203958</v>
      </c>
      <c r="L636" s="306" t="s">
        <v>1008</v>
      </c>
      <c r="M636" s="306" t="s">
        <v>1033</v>
      </c>
      <c r="N636" s="306" t="s">
        <v>1034</v>
      </c>
      <c r="O636" s="306" t="s">
        <v>1038</v>
      </c>
      <c r="P636" s="306" t="s">
        <v>1012</v>
      </c>
      <c r="Q636" s="306" t="s">
        <v>1013</v>
      </c>
      <c r="R636" s="306" t="s">
        <v>1013</v>
      </c>
      <c r="S636" s="306" t="s">
        <v>1013</v>
      </c>
      <c r="T636" s="306" t="s">
        <v>1013</v>
      </c>
      <c r="U636" s="306" t="s">
        <v>1013</v>
      </c>
      <c r="V636" s="306" t="s">
        <v>1013</v>
      </c>
      <c r="W636" s="306" t="s">
        <v>1013</v>
      </c>
      <c r="X636" s="306" t="s">
        <v>1013</v>
      </c>
      <c r="Y636" s="306" t="s">
        <v>1036</v>
      </c>
      <c r="Z636" s="306" t="s">
        <v>1015</v>
      </c>
      <c r="AA636" s="306" t="s">
        <v>1013</v>
      </c>
    </row>
    <row r="637" spans="1:27">
      <c r="A637" s="306" t="s">
        <v>494</v>
      </c>
      <c r="B637" s="306" t="s">
        <v>1003</v>
      </c>
      <c r="C637" s="306" t="s">
        <v>1004</v>
      </c>
      <c r="D637" s="306" t="s">
        <v>2435</v>
      </c>
      <c r="E637" s="306" t="s">
        <v>2257</v>
      </c>
      <c r="F637" s="306" t="s">
        <v>1007</v>
      </c>
      <c r="G637" s="308">
        <v>46013</v>
      </c>
      <c r="H637" s="308">
        <v>46022</v>
      </c>
      <c r="I637" s="309">
        <v>113798.94</v>
      </c>
      <c r="J637" s="306" t="s">
        <v>1008</v>
      </c>
      <c r="K637" s="309">
        <v>113798.94</v>
      </c>
      <c r="L637" s="306" t="s">
        <v>1008</v>
      </c>
      <c r="M637" s="306" t="s">
        <v>1033</v>
      </c>
      <c r="N637" s="306" t="s">
        <v>1034</v>
      </c>
      <c r="O637" s="306" t="s">
        <v>1040</v>
      </c>
      <c r="P637" s="306" t="s">
        <v>1012</v>
      </c>
      <c r="Q637" s="306" t="s">
        <v>1013</v>
      </c>
      <c r="R637" s="306" t="s">
        <v>1013</v>
      </c>
      <c r="S637" s="306" t="s">
        <v>1013</v>
      </c>
      <c r="T637" s="306" t="s">
        <v>1013</v>
      </c>
      <c r="U637" s="306" t="s">
        <v>1013</v>
      </c>
      <c r="V637" s="306" t="s">
        <v>1013</v>
      </c>
      <c r="W637" s="306" t="s">
        <v>1013</v>
      </c>
      <c r="X637" s="306" t="s">
        <v>1013</v>
      </c>
      <c r="Y637" s="306" t="s">
        <v>1036</v>
      </c>
      <c r="Z637" s="306" t="s">
        <v>1015</v>
      </c>
      <c r="AA637" s="306" t="s">
        <v>1013</v>
      </c>
    </row>
    <row r="638" spans="1:27">
      <c r="A638" s="306" t="s">
        <v>494</v>
      </c>
      <c r="B638" s="306" t="s">
        <v>1003</v>
      </c>
      <c r="C638" s="306" t="s">
        <v>1004</v>
      </c>
      <c r="D638" s="306" t="s">
        <v>2435</v>
      </c>
      <c r="E638" s="306" t="s">
        <v>2258</v>
      </c>
      <c r="F638" s="306" t="s">
        <v>1007</v>
      </c>
      <c r="G638" s="308">
        <v>46013</v>
      </c>
      <c r="H638" s="308">
        <v>46022</v>
      </c>
      <c r="I638" s="309">
        <v>12981.13</v>
      </c>
      <c r="J638" s="306" t="s">
        <v>1008</v>
      </c>
      <c r="K638" s="309">
        <v>12981.13</v>
      </c>
      <c r="L638" s="306" t="s">
        <v>1008</v>
      </c>
      <c r="M638" s="306" t="s">
        <v>1042</v>
      </c>
      <c r="N638" s="306" t="s">
        <v>1043</v>
      </c>
      <c r="O638" s="306" t="s">
        <v>1044</v>
      </c>
      <c r="P638" s="306" t="s">
        <v>1012</v>
      </c>
      <c r="Q638" s="306" t="s">
        <v>1013</v>
      </c>
      <c r="R638" s="306" t="s">
        <v>1013</v>
      </c>
      <c r="S638" s="306" t="s">
        <v>1013</v>
      </c>
      <c r="T638" s="306" t="s">
        <v>1013</v>
      </c>
      <c r="U638" s="306" t="s">
        <v>1013</v>
      </c>
      <c r="V638" s="306" t="s">
        <v>1013</v>
      </c>
      <c r="W638" s="306" t="s">
        <v>1013</v>
      </c>
      <c r="X638" s="306" t="s">
        <v>1013</v>
      </c>
      <c r="Y638" s="306" t="s">
        <v>1036</v>
      </c>
      <c r="Z638" s="306" t="s">
        <v>1015</v>
      </c>
      <c r="AA638" s="306" t="s">
        <v>1013</v>
      </c>
    </row>
    <row r="639" spans="1:27">
      <c r="A639" s="306" t="s">
        <v>494</v>
      </c>
      <c r="B639" s="306" t="s">
        <v>1003</v>
      </c>
      <c r="C639" s="306" t="s">
        <v>1004</v>
      </c>
      <c r="D639" s="306" t="s">
        <v>2435</v>
      </c>
      <c r="E639" s="306" t="s">
        <v>2259</v>
      </c>
      <c r="F639" s="306" t="s">
        <v>1007</v>
      </c>
      <c r="G639" s="308">
        <v>46013</v>
      </c>
      <c r="H639" s="308">
        <v>46022</v>
      </c>
      <c r="I639" s="309">
        <v>290250.01</v>
      </c>
      <c r="J639" s="306" t="s">
        <v>1008</v>
      </c>
      <c r="K639" s="309">
        <v>290250.01</v>
      </c>
      <c r="L639" s="306" t="s">
        <v>1008</v>
      </c>
      <c r="M639" s="306" t="s">
        <v>1046</v>
      </c>
      <c r="N639" s="306" t="s">
        <v>1047</v>
      </c>
      <c r="O639" s="306" t="s">
        <v>1048</v>
      </c>
      <c r="P639" s="306" t="s">
        <v>1012</v>
      </c>
      <c r="Q639" s="306" t="s">
        <v>1013</v>
      </c>
      <c r="R639" s="306" t="s">
        <v>1013</v>
      </c>
      <c r="S639" s="306" t="s">
        <v>1013</v>
      </c>
      <c r="T639" s="306" t="s">
        <v>1013</v>
      </c>
      <c r="U639" s="306" t="s">
        <v>1013</v>
      </c>
      <c r="V639" s="306" t="s">
        <v>1013</v>
      </c>
      <c r="W639" s="306" t="s">
        <v>1013</v>
      </c>
      <c r="X639" s="306" t="s">
        <v>1013</v>
      </c>
      <c r="Y639" s="306" t="s">
        <v>1036</v>
      </c>
      <c r="Z639" s="306" t="s">
        <v>1015</v>
      </c>
      <c r="AA639" s="306" t="s">
        <v>1013</v>
      </c>
    </row>
    <row r="640" spans="1:27">
      <c r="A640" s="306" t="s">
        <v>494</v>
      </c>
      <c r="B640" s="306" t="s">
        <v>1003</v>
      </c>
      <c r="C640" s="306" t="s">
        <v>1004</v>
      </c>
      <c r="D640" s="306" t="s">
        <v>2435</v>
      </c>
      <c r="E640" s="306" t="s">
        <v>2260</v>
      </c>
      <c r="F640" s="306" t="s">
        <v>1007</v>
      </c>
      <c r="G640" s="308">
        <v>46013</v>
      </c>
      <c r="H640" s="308">
        <v>46022</v>
      </c>
      <c r="I640" s="309">
        <v>195415.84</v>
      </c>
      <c r="J640" s="306" t="s">
        <v>1008</v>
      </c>
      <c r="K640" s="309">
        <v>195415.84</v>
      </c>
      <c r="L640" s="306" t="s">
        <v>1008</v>
      </c>
      <c r="M640" s="306" t="s">
        <v>1046</v>
      </c>
      <c r="N640" s="306" t="s">
        <v>1047</v>
      </c>
      <c r="O640" s="306" t="s">
        <v>1050</v>
      </c>
      <c r="P640" s="306" t="s">
        <v>1012</v>
      </c>
      <c r="Q640" s="306" t="s">
        <v>1013</v>
      </c>
      <c r="R640" s="306" t="s">
        <v>1013</v>
      </c>
      <c r="S640" s="306" t="s">
        <v>1013</v>
      </c>
      <c r="T640" s="306" t="s">
        <v>1013</v>
      </c>
      <c r="U640" s="306" t="s">
        <v>1013</v>
      </c>
      <c r="V640" s="306" t="s">
        <v>1013</v>
      </c>
      <c r="W640" s="306" t="s">
        <v>1013</v>
      </c>
      <c r="X640" s="306" t="s">
        <v>1013</v>
      </c>
      <c r="Y640" s="306" t="s">
        <v>1036</v>
      </c>
      <c r="Z640" s="306" t="s">
        <v>1015</v>
      </c>
      <c r="AA640" s="306" t="s">
        <v>1013</v>
      </c>
    </row>
    <row r="641" spans="1:27">
      <c r="A641" s="306" t="s">
        <v>494</v>
      </c>
      <c r="B641" s="306" t="s">
        <v>1003</v>
      </c>
      <c r="C641" s="306" t="s">
        <v>1004</v>
      </c>
      <c r="D641" s="306" t="s">
        <v>2435</v>
      </c>
      <c r="E641" s="306" t="s">
        <v>2261</v>
      </c>
      <c r="F641" s="306" t="s">
        <v>1007</v>
      </c>
      <c r="G641" s="308">
        <v>46013</v>
      </c>
      <c r="H641" s="308">
        <v>46022</v>
      </c>
      <c r="I641" s="309">
        <v>7100.92</v>
      </c>
      <c r="J641" s="306" t="s">
        <v>1008</v>
      </c>
      <c r="K641" s="309">
        <v>7100.92</v>
      </c>
      <c r="L641" s="306" t="s">
        <v>1008</v>
      </c>
      <c r="M641" s="306" t="s">
        <v>1046</v>
      </c>
      <c r="N641" s="306" t="s">
        <v>1047</v>
      </c>
      <c r="O641" s="306" t="s">
        <v>1052</v>
      </c>
      <c r="P641" s="306" t="s">
        <v>1012</v>
      </c>
      <c r="Q641" s="306" t="s">
        <v>1013</v>
      </c>
      <c r="R641" s="306" t="s">
        <v>1013</v>
      </c>
      <c r="S641" s="306" t="s">
        <v>1013</v>
      </c>
      <c r="T641" s="306" t="s">
        <v>1013</v>
      </c>
      <c r="U641" s="306" t="s">
        <v>1013</v>
      </c>
      <c r="V641" s="306" t="s">
        <v>1013</v>
      </c>
      <c r="W641" s="306" t="s">
        <v>1013</v>
      </c>
      <c r="X641" s="306" t="s">
        <v>1013</v>
      </c>
      <c r="Y641" s="306" t="s">
        <v>1036</v>
      </c>
      <c r="Z641" s="306" t="s">
        <v>1015</v>
      </c>
      <c r="AA641" s="306" t="s">
        <v>1013</v>
      </c>
    </row>
    <row r="642" spans="1:27">
      <c r="A642" s="306" t="s">
        <v>494</v>
      </c>
      <c r="B642" s="306" t="s">
        <v>1003</v>
      </c>
      <c r="C642" s="306" t="s">
        <v>1004</v>
      </c>
      <c r="D642" s="306" t="s">
        <v>2435</v>
      </c>
      <c r="E642" s="306" t="s">
        <v>2262</v>
      </c>
      <c r="F642" s="306" t="s">
        <v>1007</v>
      </c>
      <c r="G642" s="308">
        <v>46013</v>
      </c>
      <c r="H642" s="308">
        <v>46022</v>
      </c>
      <c r="I642" s="309">
        <v>16984.36</v>
      </c>
      <c r="J642" s="306" t="s">
        <v>1008</v>
      </c>
      <c r="K642" s="309">
        <v>16984.36</v>
      </c>
      <c r="L642" s="306" t="s">
        <v>1008</v>
      </c>
      <c r="M642" s="306" t="s">
        <v>1033</v>
      </c>
      <c r="N642" s="306" t="s">
        <v>1034</v>
      </c>
      <c r="O642" s="306" t="s">
        <v>1054</v>
      </c>
      <c r="P642" s="306" t="s">
        <v>1012</v>
      </c>
      <c r="Q642" s="306" t="s">
        <v>1013</v>
      </c>
      <c r="R642" s="306" t="s">
        <v>1013</v>
      </c>
      <c r="S642" s="306" t="s">
        <v>1013</v>
      </c>
      <c r="T642" s="306" t="s">
        <v>1013</v>
      </c>
      <c r="U642" s="306" t="s">
        <v>1013</v>
      </c>
      <c r="V642" s="306" t="s">
        <v>1013</v>
      </c>
      <c r="W642" s="306" t="s">
        <v>1013</v>
      </c>
      <c r="X642" s="306" t="s">
        <v>1013</v>
      </c>
      <c r="Y642" s="306" t="s">
        <v>1036</v>
      </c>
      <c r="Z642" s="306" t="s">
        <v>1015</v>
      </c>
      <c r="AA642" s="306" t="s">
        <v>1013</v>
      </c>
    </row>
    <row r="643" spans="1:27">
      <c r="A643" s="306" t="s">
        <v>494</v>
      </c>
      <c r="B643" s="306" t="s">
        <v>1003</v>
      </c>
      <c r="C643" s="306" t="s">
        <v>1004</v>
      </c>
      <c r="D643" s="306" t="s">
        <v>2435</v>
      </c>
      <c r="E643" s="306" t="s">
        <v>2263</v>
      </c>
      <c r="F643" s="306" t="s">
        <v>1007</v>
      </c>
      <c r="G643" s="308">
        <v>46013</v>
      </c>
      <c r="H643" s="308">
        <v>46022</v>
      </c>
      <c r="I643" s="309">
        <v>17752.29</v>
      </c>
      <c r="J643" s="306" t="s">
        <v>1008</v>
      </c>
      <c r="K643" s="309">
        <v>17752.29</v>
      </c>
      <c r="L643" s="306" t="s">
        <v>1008</v>
      </c>
      <c r="M643" s="306" t="s">
        <v>1046</v>
      </c>
      <c r="N643" s="306" t="s">
        <v>1047</v>
      </c>
      <c r="O643" s="306" t="s">
        <v>1056</v>
      </c>
      <c r="P643" s="306" t="s">
        <v>1012</v>
      </c>
      <c r="Q643" s="306" t="s">
        <v>1013</v>
      </c>
      <c r="R643" s="306" t="s">
        <v>1013</v>
      </c>
      <c r="S643" s="306" t="s">
        <v>1013</v>
      </c>
      <c r="T643" s="306" t="s">
        <v>1013</v>
      </c>
      <c r="U643" s="306" t="s">
        <v>1013</v>
      </c>
      <c r="V643" s="306" t="s">
        <v>1013</v>
      </c>
      <c r="W643" s="306" t="s">
        <v>1013</v>
      </c>
      <c r="X643" s="306" t="s">
        <v>1013</v>
      </c>
      <c r="Y643" s="306" t="s">
        <v>1036</v>
      </c>
      <c r="Z643" s="306" t="s">
        <v>1015</v>
      </c>
      <c r="AA643" s="306" t="s">
        <v>1013</v>
      </c>
    </row>
    <row r="644" spans="1:27">
      <c r="A644" s="306" t="s">
        <v>494</v>
      </c>
      <c r="B644" s="306" t="s">
        <v>1003</v>
      </c>
      <c r="C644" s="306" t="s">
        <v>1004</v>
      </c>
      <c r="D644" s="306" t="s">
        <v>2435</v>
      </c>
      <c r="E644" s="306" t="s">
        <v>2264</v>
      </c>
      <c r="F644" s="306" t="s">
        <v>1007</v>
      </c>
      <c r="G644" s="308">
        <v>46013</v>
      </c>
      <c r="H644" s="308">
        <v>46022</v>
      </c>
      <c r="I644" s="309">
        <v>102235.99</v>
      </c>
      <c r="J644" s="306" t="s">
        <v>1008</v>
      </c>
      <c r="K644" s="309">
        <v>102235.99</v>
      </c>
      <c r="L644" s="306" t="s">
        <v>1008</v>
      </c>
      <c r="M644" s="306" t="s">
        <v>1033</v>
      </c>
      <c r="N644" s="306" t="s">
        <v>1034</v>
      </c>
      <c r="O644" s="306" t="s">
        <v>1058</v>
      </c>
      <c r="P644" s="306" t="s">
        <v>1012</v>
      </c>
      <c r="Q644" s="306" t="s">
        <v>1013</v>
      </c>
      <c r="R644" s="306" t="s">
        <v>1013</v>
      </c>
      <c r="S644" s="306" t="s">
        <v>1013</v>
      </c>
      <c r="T644" s="306" t="s">
        <v>1013</v>
      </c>
      <c r="U644" s="306" t="s">
        <v>1013</v>
      </c>
      <c r="V644" s="306" t="s">
        <v>1013</v>
      </c>
      <c r="W644" s="306" t="s">
        <v>1013</v>
      </c>
      <c r="X644" s="306" t="s">
        <v>1013</v>
      </c>
      <c r="Y644" s="306" t="s">
        <v>1036</v>
      </c>
      <c r="Z644" s="306" t="s">
        <v>1015</v>
      </c>
      <c r="AA644" s="306" t="s">
        <v>1013</v>
      </c>
    </row>
    <row r="645" spans="1:27">
      <c r="A645" s="306" t="s">
        <v>494</v>
      </c>
      <c r="B645" s="306" t="s">
        <v>1003</v>
      </c>
      <c r="C645" s="306" t="s">
        <v>1004</v>
      </c>
      <c r="D645" s="306" t="s">
        <v>2435</v>
      </c>
      <c r="E645" s="306" t="s">
        <v>2265</v>
      </c>
      <c r="F645" s="306" t="s">
        <v>1007</v>
      </c>
      <c r="G645" s="308">
        <v>46013</v>
      </c>
      <c r="H645" s="308">
        <v>46022</v>
      </c>
      <c r="I645" s="309">
        <v>7952.91</v>
      </c>
      <c r="J645" s="306" t="s">
        <v>1008</v>
      </c>
      <c r="K645" s="309">
        <v>7952.91</v>
      </c>
      <c r="L645" s="306" t="s">
        <v>1008</v>
      </c>
      <c r="M645" s="306" t="s">
        <v>1042</v>
      </c>
      <c r="N645" s="306" t="s">
        <v>1043</v>
      </c>
      <c r="O645" s="306" t="s">
        <v>1060</v>
      </c>
      <c r="P645" s="306" t="s">
        <v>1012</v>
      </c>
      <c r="Q645" s="306" t="s">
        <v>1013</v>
      </c>
      <c r="R645" s="306" t="s">
        <v>1013</v>
      </c>
      <c r="S645" s="306" t="s">
        <v>1013</v>
      </c>
      <c r="T645" s="306" t="s">
        <v>1013</v>
      </c>
      <c r="U645" s="306" t="s">
        <v>1013</v>
      </c>
      <c r="V645" s="306" t="s">
        <v>1013</v>
      </c>
      <c r="W645" s="306" t="s">
        <v>1013</v>
      </c>
      <c r="X645" s="306" t="s">
        <v>1013</v>
      </c>
      <c r="Y645" s="306" t="s">
        <v>1036</v>
      </c>
      <c r="Z645" s="306" t="s">
        <v>1015</v>
      </c>
      <c r="AA645" s="306" t="s">
        <v>1013</v>
      </c>
    </row>
    <row r="646" spans="1:27">
      <c r="A646" s="306" t="s">
        <v>494</v>
      </c>
      <c r="B646" s="306" t="s">
        <v>1003</v>
      </c>
      <c r="C646" s="306" t="s">
        <v>1004</v>
      </c>
      <c r="D646" s="306" t="s">
        <v>2435</v>
      </c>
      <c r="E646" s="306" t="s">
        <v>2266</v>
      </c>
      <c r="F646" s="306" t="s">
        <v>1007</v>
      </c>
      <c r="G646" s="308">
        <v>46013</v>
      </c>
      <c r="H646" s="308">
        <v>46022</v>
      </c>
      <c r="I646" s="309">
        <v>10141.15</v>
      </c>
      <c r="J646" s="306" t="s">
        <v>1008</v>
      </c>
      <c r="K646" s="309">
        <v>10141.15</v>
      </c>
      <c r="L646" s="306" t="s">
        <v>1008</v>
      </c>
      <c r="M646" s="306" t="s">
        <v>1033</v>
      </c>
      <c r="N646" s="306" t="s">
        <v>1034</v>
      </c>
      <c r="O646" s="306" t="s">
        <v>1062</v>
      </c>
      <c r="P646" s="306" t="s">
        <v>1012</v>
      </c>
      <c r="Q646" s="306" t="s">
        <v>1013</v>
      </c>
      <c r="R646" s="306" t="s">
        <v>1013</v>
      </c>
      <c r="S646" s="306" t="s">
        <v>1013</v>
      </c>
      <c r="T646" s="306" t="s">
        <v>1013</v>
      </c>
      <c r="U646" s="306" t="s">
        <v>1013</v>
      </c>
      <c r="V646" s="306" t="s">
        <v>1013</v>
      </c>
      <c r="W646" s="306" t="s">
        <v>1013</v>
      </c>
      <c r="X646" s="306" t="s">
        <v>1013</v>
      </c>
      <c r="Y646" s="306" t="s">
        <v>1036</v>
      </c>
      <c r="Z646" s="306" t="s">
        <v>1015</v>
      </c>
      <c r="AA646" s="306" t="s">
        <v>1013</v>
      </c>
    </row>
    <row r="647" spans="1:27">
      <c r="A647" s="306" t="s">
        <v>494</v>
      </c>
      <c r="B647" s="306" t="s">
        <v>1003</v>
      </c>
      <c r="C647" s="306" t="s">
        <v>1004</v>
      </c>
      <c r="D647" s="306" t="s">
        <v>2435</v>
      </c>
      <c r="E647" s="306" t="s">
        <v>2267</v>
      </c>
      <c r="F647" s="306" t="s">
        <v>1007</v>
      </c>
      <c r="G647" s="308">
        <v>46013</v>
      </c>
      <c r="H647" s="308">
        <v>46022</v>
      </c>
      <c r="I647" s="309">
        <v>3727.98</v>
      </c>
      <c r="J647" s="306" t="s">
        <v>1008</v>
      </c>
      <c r="K647" s="309">
        <v>3727.98</v>
      </c>
      <c r="L647" s="306" t="s">
        <v>1008</v>
      </c>
      <c r="M647" s="306" t="s">
        <v>1046</v>
      </c>
      <c r="N647" s="306" t="s">
        <v>1047</v>
      </c>
      <c r="O647" s="306" t="s">
        <v>1064</v>
      </c>
      <c r="P647" s="306" t="s">
        <v>1012</v>
      </c>
      <c r="Q647" s="306" t="s">
        <v>1013</v>
      </c>
      <c r="R647" s="306" t="s">
        <v>1013</v>
      </c>
      <c r="S647" s="306" t="s">
        <v>1013</v>
      </c>
      <c r="T647" s="306" t="s">
        <v>1013</v>
      </c>
      <c r="U647" s="306" t="s">
        <v>1013</v>
      </c>
      <c r="V647" s="306" t="s">
        <v>1013</v>
      </c>
      <c r="W647" s="306" t="s">
        <v>1013</v>
      </c>
      <c r="X647" s="306" t="s">
        <v>1013</v>
      </c>
      <c r="Y647" s="306" t="s">
        <v>1036</v>
      </c>
      <c r="Z647" s="306" t="s">
        <v>1015</v>
      </c>
      <c r="AA647" s="306" t="s">
        <v>1013</v>
      </c>
    </row>
    <row r="648" spans="1:27">
      <c r="A648" s="306" t="s">
        <v>494</v>
      </c>
      <c r="B648" s="306" t="s">
        <v>1003</v>
      </c>
      <c r="C648" s="306" t="s">
        <v>1004</v>
      </c>
      <c r="D648" s="306" t="s">
        <v>2435</v>
      </c>
      <c r="E648" s="306" t="s">
        <v>2268</v>
      </c>
      <c r="F648" s="306" t="s">
        <v>1007</v>
      </c>
      <c r="G648" s="308">
        <v>46014</v>
      </c>
      <c r="H648" s="308">
        <v>46022</v>
      </c>
      <c r="I648" s="309">
        <v>25048.54</v>
      </c>
      <c r="J648" s="306" t="s">
        <v>1008</v>
      </c>
      <c r="K648" s="309">
        <v>25048.54</v>
      </c>
      <c r="L648" s="306" t="s">
        <v>1008</v>
      </c>
      <c r="M648" s="306" t="s">
        <v>1046</v>
      </c>
      <c r="N648" s="306" t="s">
        <v>1047</v>
      </c>
      <c r="O648" s="306" t="s">
        <v>1060</v>
      </c>
      <c r="P648" s="306" t="s">
        <v>1012</v>
      </c>
      <c r="Q648" s="306" t="s">
        <v>1013</v>
      </c>
      <c r="R648" s="306" t="s">
        <v>1013</v>
      </c>
      <c r="S648" s="306" t="s">
        <v>1013</v>
      </c>
      <c r="T648" s="306" t="s">
        <v>1013</v>
      </c>
      <c r="U648" s="306" t="s">
        <v>1013</v>
      </c>
      <c r="V648" s="306" t="s">
        <v>1013</v>
      </c>
      <c r="W648" s="306" t="s">
        <v>1013</v>
      </c>
      <c r="X648" s="306" t="s">
        <v>1013</v>
      </c>
      <c r="Y648" s="306" t="s">
        <v>1036</v>
      </c>
      <c r="Z648" s="306" t="s">
        <v>1015</v>
      </c>
      <c r="AA648" s="306" t="s">
        <v>1013</v>
      </c>
    </row>
    <row r="649" spans="1:27">
      <c r="A649" s="306" t="s">
        <v>494</v>
      </c>
      <c r="B649" s="306" t="s">
        <v>1003</v>
      </c>
      <c r="C649" s="306" t="s">
        <v>1004</v>
      </c>
      <c r="D649" s="306" t="s">
        <v>2435</v>
      </c>
      <c r="E649" s="306" t="s">
        <v>2269</v>
      </c>
      <c r="F649" s="306" t="s">
        <v>1007</v>
      </c>
      <c r="G649" s="308">
        <v>46014</v>
      </c>
      <c r="H649" s="308">
        <v>46022</v>
      </c>
      <c r="I649" s="309">
        <v>21830.01</v>
      </c>
      <c r="J649" s="306" t="s">
        <v>1008</v>
      </c>
      <c r="K649" s="309">
        <v>21830.01</v>
      </c>
      <c r="L649" s="306" t="s">
        <v>1008</v>
      </c>
      <c r="M649" s="306" t="s">
        <v>1042</v>
      </c>
      <c r="N649" s="306" t="s">
        <v>1043</v>
      </c>
      <c r="O649" s="306" t="s">
        <v>1093</v>
      </c>
      <c r="P649" s="306" t="s">
        <v>1012</v>
      </c>
      <c r="Q649" s="306" t="s">
        <v>1013</v>
      </c>
      <c r="R649" s="306" t="s">
        <v>1013</v>
      </c>
      <c r="S649" s="306" t="s">
        <v>1013</v>
      </c>
      <c r="T649" s="306" t="s">
        <v>1013</v>
      </c>
      <c r="U649" s="306" t="s">
        <v>1013</v>
      </c>
      <c r="V649" s="306" t="s">
        <v>1013</v>
      </c>
      <c r="W649" s="306" t="s">
        <v>1013</v>
      </c>
      <c r="X649" s="306" t="s">
        <v>1013</v>
      </c>
      <c r="Y649" s="306" t="s">
        <v>1036</v>
      </c>
      <c r="Z649" s="306" t="s">
        <v>1015</v>
      </c>
      <c r="AA649" s="306" t="s">
        <v>1013</v>
      </c>
    </row>
    <row r="650" spans="1:27">
      <c r="A650" s="306" t="s">
        <v>494</v>
      </c>
      <c r="B650" s="306" t="s">
        <v>1003</v>
      </c>
      <c r="C650" s="306" t="s">
        <v>1004</v>
      </c>
      <c r="D650" s="306" t="s">
        <v>2435</v>
      </c>
      <c r="E650" s="306" t="s">
        <v>2270</v>
      </c>
      <c r="F650" s="306" t="s">
        <v>1007</v>
      </c>
      <c r="G650" s="308">
        <v>46022</v>
      </c>
      <c r="H650" s="308">
        <v>46022</v>
      </c>
      <c r="I650" s="309">
        <v>4708.5</v>
      </c>
      <c r="J650" s="306" t="s">
        <v>1008</v>
      </c>
      <c r="K650" s="309">
        <v>4708.5</v>
      </c>
      <c r="L650" s="306" t="s">
        <v>1008</v>
      </c>
      <c r="M650" s="306" t="s">
        <v>2115</v>
      </c>
      <c r="N650" s="306" t="s">
        <v>2116</v>
      </c>
      <c r="O650" s="306" t="s">
        <v>1129</v>
      </c>
      <c r="P650" s="306" t="s">
        <v>1012</v>
      </c>
      <c r="Q650" s="306" t="s">
        <v>1013</v>
      </c>
      <c r="R650" s="306" t="s">
        <v>1013</v>
      </c>
      <c r="S650" s="306" t="s">
        <v>1013</v>
      </c>
      <c r="T650" s="306" t="s">
        <v>1013</v>
      </c>
      <c r="U650" s="306" t="s">
        <v>1013</v>
      </c>
      <c r="V650" s="306" t="s">
        <v>1013</v>
      </c>
      <c r="W650" s="306" t="s">
        <v>1013</v>
      </c>
      <c r="X650" s="306" t="s">
        <v>1013</v>
      </c>
      <c r="Y650" s="306" t="s">
        <v>2101</v>
      </c>
      <c r="Z650" s="306" t="s">
        <v>1015</v>
      </c>
      <c r="AA650" s="306" t="s">
        <v>1013</v>
      </c>
    </row>
    <row r="651" spans="1:27">
      <c r="A651" s="306" t="s">
        <v>494</v>
      </c>
      <c r="B651" s="306" t="s">
        <v>1003</v>
      </c>
      <c r="C651" s="306" t="s">
        <v>1004</v>
      </c>
      <c r="D651" s="306" t="s">
        <v>2435</v>
      </c>
      <c r="E651" s="306" t="s">
        <v>2271</v>
      </c>
      <c r="F651" s="306" t="s">
        <v>1007</v>
      </c>
      <c r="G651" s="308">
        <v>46022</v>
      </c>
      <c r="H651" s="308">
        <v>46022</v>
      </c>
      <c r="I651" s="309">
        <v>6450</v>
      </c>
      <c r="J651" s="306" t="s">
        <v>1008</v>
      </c>
      <c r="K651" s="309">
        <v>6450</v>
      </c>
      <c r="L651" s="306" t="s">
        <v>1008</v>
      </c>
      <c r="M651" s="306" t="s">
        <v>2115</v>
      </c>
      <c r="N651" s="306" t="s">
        <v>2116</v>
      </c>
      <c r="O651" s="306" t="s">
        <v>2103</v>
      </c>
      <c r="P651" s="306" t="s">
        <v>1012</v>
      </c>
      <c r="Q651" s="306" t="s">
        <v>1013</v>
      </c>
      <c r="R651" s="306" t="s">
        <v>1013</v>
      </c>
      <c r="S651" s="306" t="s">
        <v>1013</v>
      </c>
      <c r="T651" s="306" t="s">
        <v>1013</v>
      </c>
      <c r="U651" s="306" t="s">
        <v>1013</v>
      </c>
      <c r="V651" s="306" t="s">
        <v>1013</v>
      </c>
      <c r="W651" s="306" t="s">
        <v>1013</v>
      </c>
      <c r="X651" s="306" t="s">
        <v>1013</v>
      </c>
      <c r="Y651" s="306" t="s">
        <v>2101</v>
      </c>
      <c r="Z651" s="306" t="s">
        <v>1015</v>
      </c>
      <c r="AA651" s="306" t="s">
        <v>1013</v>
      </c>
    </row>
    <row r="652" spans="1:27">
      <c r="A652" s="306" t="s">
        <v>494</v>
      </c>
      <c r="B652" s="306" t="s">
        <v>1003</v>
      </c>
      <c r="C652" s="306" t="s">
        <v>1004</v>
      </c>
      <c r="D652" s="306" t="s">
        <v>2435</v>
      </c>
      <c r="E652" s="306" t="s">
        <v>2272</v>
      </c>
      <c r="F652" s="306" t="s">
        <v>1007</v>
      </c>
      <c r="G652" s="308">
        <v>46022</v>
      </c>
      <c r="H652" s="308">
        <v>46022</v>
      </c>
      <c r="I652" s="309">
        <v>221484.4</v>
      </c>
      <c r="J652" s="306" t="s">
        <v>1008</v>
      </c>
      <c r="K652" s="309">
        <v>221484.4</v>
      </c>
      <c r="L652" s="306" t="s">
        <v>1008</v>
      </c>
      <c r="M652" s="306" t="s">
        <v>2115</v>
      </c>
      <c r="N652" s="306" t="s">
        <v>2116</v>
      </c>
      <c r="O652" s="306" t="s">
        <v>2105</v>
      </c>
      <c r="P652" s="306" t="s">
        <v>1012</v>
      </c>
      <c r="Q652" s="306" t="s">
        <v>1013</v>
      </c>
      <c r="R652" s="306" t="s">
        <v>1013</v>
      </c>
      <c r="S652" s="306" t="s">
        <v>1013</v>
      </c>
      <c r="T652" s="306" t="s">
        <v>1013</v>
      </c>
      <c r="U652" s="306" t="s">
        <v>1013</v>
      </c>
      <c r="V652" s="306" t="s">
        <v>1013</v>
      </c>
      <c r="W652" s="306" t="s">
        <v>1013</v>
      </c>
      <c r="X652" s="306" t="s">
        <v>1013</v>
      </c>
      <c r="Y652" s="306" t="s">
        <v>2101</v>
      </c>
      <c r="Z652" s="306" t="s">
        <v>1015</v>
      </c>
      <c r="AA652" s="306" t="s">
        <v>1013</v>
      </c>
    </row>
    <row r="653" spans="1:27">
      <c r="A653" s="306" t="s">
        <v>494</v>
      </c>
      <c r="B653" s="306" t="s">
        <v>1003</v>
      </c>
      <c r="C653" s="306" t="s">
        <v>1004</v>
      </c>
      <c r="D653" s="306" t="s">
        <v>2435</v>
      </c>
      <c r="E653" s="306" t="s">
        <v>2273</v>
      </c>
      <c r="F653" s="306" t="s">
        <v>1007</v>
      </c>
      <c r="G653" s="308">
        <v>46022</v>
      </c>
      <c r="H653" s="308">
        <v>46022</v>
      </c>
      <c r="I653" s="309">
        <v>1935</v>
      </c>
      <c r="J653" s="306" t="s">
        <v>1008</v>
      </c>
      <c r="K653" s="309">
        <v>1935</v>
      </c>
      <c r="L653" s="306" t="s">
        <v>1008</v>
      </c>
      <c r="M653" s="306" t="s">
        <v>2115</v>
      </c>
      <c r="N653" s="306" t="s">
        <v>2116</v>
      </c>
      <c r="O653" s="306" t="s">
        <v>2107</v>
      </c>
      <c r="P653" s="306" t="s">
        <v>1012</v>
      </c>
      <c r="Q653" s="306" t="s">
        <v>1013</v>
      </c>
      <c r="R653" s="306" t="s">
        <v>1013</v>
      </c>
      <c r="S653" s="306" t="s">
        <v>1013</v>
      </c>
      <c r="T653" s="306" t="s">
        <v>1013</v>
      </c>
      <c r="U653" s="306" t="s">
        <v>1013</v>
      </c>
      <c r="V653" s="306" t="s">
        <v>1013</v>
      </c>
      <c r="W653" s="306" t="s">
        <v>1013</v>
      </c>
      <c r="X653" s="306" t="s">
        <v>1013</v>
      </c>
      <c r="Y653" s="306" t="s">
        <v>2101</v>
      </c>
      <c r="Z653" s="306" t="s">
        <v>1015</v>
      </c>
      <c r="AA653" s="306" t="s">
        <v>1013</v>
      </c>
    </row>
    <row r="654" spans="1:27">
      <c r="A654" s="306" t="s">
        <v>494</v>
      </c>
      <c r="B654" s="306" t="s">
        <v>1003</v>
      </c>
      <c r="C654" s="306" t="s">
        <v>1004</v>
      </c>
      <c r="D654" s="306" t="s">
        <v>2435</v>
      </c>
      <c r="E654" s="306" t="s">
        <v>2274</v>
      </c>
      <c r="F654" s="306" t="s">
        <v>1007</v>
      </c>
      <c r="G654" s="308">
        <v>46022</v>
      </c>
      <c r="H654" s="308">
        <v>46022</v>
      </c>
      <c r="I654" s="309">
        <v>1935</v>
      </c>
      <c r="J654" s="306" t="s">
        <v>1008</v>
      </c>
      <c r="K654" s="309">
        <v>1935</v>
      </c>
      <c r="L654" s="306" t="s">
        <v>1008</v>
      </c>
      <c r="M654" s="306" t="s">
        <v>2115</v>
      </c>
      <c r="N654" s="306" t="s">
        <v>2116</v>
      </c>
      <c r="O654" s="306" t="s">
        <v>2109</v>
      </c>
      <c r="P654" s="306" t="s">
        <v>1012</v>
      </c>
      <c r="Q654" s="306" t="s">
        <v>1013</v>
      </c>
      <c r="R654" s="306" t="s">
        <v>1013</v>
      </c>
      <c r="S654" s="306" t="s">
        <v>1013</v>
      </c>
      <c r="T654" s="306" t="s">
        <v>1013</v>
      </c>
      <c r="U654" s="306" t="s">
        <v>1013</v>
      </c>
      <c r="V654" s="306" t="s">
        <v>1013</v>
      </c>
      <c r="W654" s="306" t="s">
        <v>1013</v>
      </c>
      <c r="X654" s="306" t="s">
        <v>1013</v>
      </c>
      <c r="Y654" s="306" t="s">
        <v>2101</v>
      </c>
      <c r="Z654" s="306" t="s">
        <v>1015</v>
      </c>
      <c r="AA654" s="306" t="s">
        <v>1013</v>
      </c>
    </row>
    <row r="655" spans="1:27">
      <c r="A655" s="306" t="s">
        <v>494</v>
      </c>
      <c r="B655" s="306" t="s">
        <v>1003</v>
      </c>
      <c r="C655" s="306" t="s">
        <v>1004</v>
      </c>
      <c r="D655" s="306" t="s">
        <v>2435</v>
      </c>
      <c r="E655" s="306" t="s">
        <v>2275</v>
      </c>
      <c r="F655" s="306" t="s">
        <v>1007</v>
      </c>
      <c r="G655" s="308">
        <v>46022</v>
      </c>
      <c r="H655" s="308">
        <v>46022</v>
      </c>
      <c r="I655" s="309">
        <v>10575.13</v>
      </c>
      <c r="J655" s="306" t="s">
        <v>1008</v>
      </c>
      <c r="K655" s="309">
        <v>10575.13</v>
      </c>
      <c r="L655" s="306" t="s">
        <v>1008</v>
      </c>
      <c r="M655" s="306" t="s">
        <v>2115</v>
      </c>
      <c r="N655" s="306" t="s">
        <v>2116</v>
      </c>
      <c r="O655" s="306" t="s">
        <v>2111</v>
      </c>
      <c r="P655" s="306" t="s">
        <v>1012</v>
      </c>
      <c r="Q655" s="306" t="s">
        <v>1013</v>
      </c>
      <c r="R655" s="306" t="s">
        <v>1013</v>
      </c>
      <c r="S655" s="306" t="s">
        <v>1013</v>
      </c>
      <c r="T655" s="306" t="s">
        <v>1013</v>
      </c>
      <c r="U655" s="306" t="s">
        <v>1013</v>
      </c>
      <c r="V655" s="306" t="s">
        <v>1013</v>
      </c>
      <c r="W655" s="306" t="s">
        <v>1013</v>
      </c>
      <c r="X655" s="306" t="s">
        <v>1013</v>
      </c>
      <c r="Y655" s="306" t="s">
        <v>2101</v>
      </c>
      <c r="Z655" s="306" t="s">
        <v>1015</v>
      </c>
      <c r="AA655" s="306" t="s">
        <v>1013</v>
      </c>
    </row>
    <row r="656" spans="1:27">
      <c r="A656" s="306" t="s">
        <v>494</v>
      </c>
      <c r="B656" s="306" t="s">
        <v>1003</v>
      </c>
      <c r="C656" s="306" t="s">
        <v>1004</v>
      </c>
      <c r="D656" s="306" t="s">
        <v>2435</v>
      </c>
      <c r="E656" s="306" t="s">
        <v>2276</v>
      </c>
      <c r="F656" s="306" t="s">
        <v>1007</v>
      </c>
      <c r="G656" s="308">
        <v>46022</v>
      </c>
      <c r="H656" s="308">
        <v>46022</v>
      </c>
      <c r="I656" s="309">
        <v>7724.07</v>
      </c>
      <c r="J656" s="306" t="s">
        <v>1008</v>
      </c>
      <c r="K656" s="309">
        <v>7724.07</v>
      </c>
      <c r="L656" s="306" t="s">
        <v>1008</v>
      </c>
      <c r="M656" s="306" t="s">
        <v>2115</v>
      </c>
      <c r="N656" s="306" t="s">
        <v>2116</v>
      </c>
      <c r="O656" s="306" t="s">
        <v>2113</v>
      </c>
      <c r="P656" s="306" t="s">
        <v>1012</v>
      </c>
      <c r="Q656" s="306" t="s">
        <v>1013</v>
      </c>
      <c r="R656" s="306" t="s">
        <v>1013</v>
      </c>
      <c r="S656" s="306" t="s">
        <v>1013</v>
      </c>
      <c r="T656" s="306" t="s">
        <v>1013</v>
      </c>
      <c r="U656" s="306" t="s">
        <v>1013</v>
      </c>
      <c r="V656" s="306" t="s">
        <v>1013</v>
      </c>
      <c r="W656" s="306" t="s">
        <v>1013</v>
      </c>
      <c r="X656" s="306" t="s">
        <v>1013</v>
      </c>
      <c r="Y656" s="306" t="s">
        <v>2101</v>
      </c>
      <c r="Z656" s="306" t="s">
        <v>1015</v>
      </c>
      <c r="AA656" s="306" t="s">
        <v>1013</v>
      </c>
    </row>
    <row r="657" spans="1:27">
      <c r="A657" s="306" t="s">
        <v>494</v>
      </c>
      <c r="B657" s="306" t="s">
        <v>1003</v>
      </c>
      <c r="C657" s="306" t="s">
        <v>1004</v>
      </c>
      <c r="D657" s="306" t="s">
        <v>2435</v>
      </c>
      <c r="E657" s="306" t="s">
        <v>2277</v>
      </c>
      <c r="F657" s="306" t="s">
        <v>1007</v>
      </c>
      <c r="G657" s="308">
        <v>46022</v>
      </c>
      <c r="H657" s="308">
        <v>46022</v>
      </c>
      <c r="I657" s="309">
        <v>-4708.5</v>
      </c>
      <c r="J657" s="306" t="s">
        <v>1008</v>
      </c>
      <c r="K657" s="309">
        <v>-4708.5</v>
      </c>
      <c r="L657" s="306" t="s">
        <v>1008</v>
      </c>
      <c r="M657" s="306" t="s">
        <v>2116</v>
      </c>
      <c r="N657" s="306" t="s">
        <v>2116</v>
      </c>
      <c r="O657" s="306" t="s">
        <v>1129</v>
      </c>
      <c r="P657" s="306" t="s">
        <v>1026</v>
      </c>
      <c r="Q657" s="306" t="s">
        <v>1013</v>
      </c>
      <c r="R657" s="306" t="s">
        <v>1013</v>
      </c>
      <c r="S657" s="306" t="s">
        <v>1013</v>
      </c>
      <c r="T657" s="306" t="s">
        <v>1013</v>
      </c>
      <c r="U657" s="306" t="s">
        <v>1013</v>
      </c>
      <c r="V657" s="306" t="s">
        <v>1013</v>
      </c>
      <c r="W657" s="306" t="s">
        <v>1013</v>
      </c>
      <c r="X657" s="306" t="s">
        <v>1013</v>
      </c>
      <c r="Y657" s="306" t="s">
        <v>2101</v>
      </c>
      <c r="Z657" s="306" t="s">
        <v>1015</v>
      </c>
      <c r="AA657" s="306" t="s">
        <v>1013</v>
      </c>
    </row>
    <row r="658" spans="1:27">
      <c r="A658" s="306" t="s">
        <v>494</v>
      </c>
      <c r="B658" s="306" t="s">
        <v>1003</v>
      </c>
      <c r="C658" s="306" t="s">
        <v>1004</v>
      </c>
      <c r="D658" s="306" t="s">
        <v>2435</v>
      </c>
      <c r="E658" s="306" t="s">
        <v>2278</v>
      </c>
      <c r="F658" s="306" t="s">
        <v>1007</v>
      </c>
      <c r="G658" s="308">
        <v>46022</v>
      </c>
      <c r="H658" s="308">
        <v>46022</v>
      </c>
      <c r="I658" s="309">
        <v>-6450</v>
      </c>
      <c r="J658" s="306" t="s">
        <v>1008</v>
      </c>
      <c r="K658" s="309">
        <v>-6450</v>
      </c>
      <c r="L658" s="306" t="s">
        <v>1008</v>
      </c>
      <c r="M658" s="306" t="s">
        <v>2116</v>
      </c>
      <c r="N658" s="306" t="s">
        <v>2116</v>
      </c>
      <c r="O658" s="306" t="s">
        <v>2103</v>
      </c>
      <c r="P658" s="306" t="s">
        <v>1026</v>
      </c>
      <c r="Q658" s="306" t="s">
        <v>1013</v>
      </c>
      <c r="R658" s="306" t="s">
        <v>1013</v>
      </c>
      <c r="S658" s="306" t="s">
        <v>1013</v>
      </c>
      <c r="T658" s="306" t="s">
        <v>1013</v>
      </c>
      <c r="U658" s="306" t="s">
        <v>1013</v>
      </c>
      <c r="V658" s="306" t="s">
        <v>1013</v>
      </c>
      <c r="W658" s="306" t="s">
        <v>1013</v>
      </c>
      <c r="X658" s="306" t="s">
        <v>1013</v>
      </c>
      <c r="Y658" s="306" t="s">
        <v>2101</v>
      </c>
      <c r="Z658" s="306" t="s">
        <v>1015</v>
      </c>
      <c r="AA658" s="306" t="s">
        <v>1013</v>
      </c>
    </row>
    <row r="659" spans="1:27">
      <c r="A659" s="306" t="s">
        <v>494</v>
      </c>
      <c r="B659" s="306" t="s">
        <v>1003</v>
      </c>
      <c r="C659" s="306" t="s">
        <v>1004</v>
      </c>
      <c r="D659" s="306" t="s">
        <v>2435</v>
      </c>
      <c r="E659" s="306" t="s">
        <v>2279</v>
      </c>
      <c r="F659" s="306" t="s">
        <v>1007</v>
      </c>
      <c r="G659" s="308">
        <v>46022</v>
      </c>
      <c r="H659" s="308">
        <v>46022</v>
      </c>
      <c r="I659" s="309">
        <v>-221484.4</v>
      </c>
      <c r="J659" s="306" t="s">
        <v>1008</v>
      </c>
      <c r="K659" s="309">
        <v>-221484.4</v>
      </c>
      <c r="L659" s="306" t="s">
        <v>1008</v>
      </c>
      <c r="M659" s="306" t="s">
        <v>2116</v>
      </c>
      <c r="N659" s="306" t="s">
        <v>2116</v>
      </c>
      <c r="O659" s="306" t="s">
        <v>2105</v>
      </c>
      <c r="P659" s="306" t="s">
        <v>1026</v>
      </c>
      <c r="Q659" s="306" t="s">
        <v>1013</v>
      </c>
      <c r="R659" s="306" t="s">
        <v>1013</v>
      </c>
      <c r="S659" s="306" t="s">
        <v>1013</v>
      </c>
      <c r="T659" s="306" t="s">
        <v>1013</v>
      </c>
      <c r="U659" s="306" t="s">
        <v>1013</v>
      </c>
      <c r="V659" s="306" t="s">
        <v>1013</v>
      </c>
      <c r="W659" s="306" t="s">
        <v>1013</v>
      </c>
      <c r="X659" s="306" t="s">
        <v>1013</v>
      </c>
      <c r="Y659" s="306" t="s">
        <v>2101</v>
      </c>
      <c r="Z659" s="306" t="s">
        <v>1015</v>
      </c>
      <c r="AA659" s="306" t="s">
        <v>1013</v>
      </c>
    </row>
    <row r="660" spans="1:27">
      <c r="A660" s="306" t="s">
        <v>494</v>
      </c>
      <c r="B660" s="306" t="s">
        <v>1003</v>
      </c>
      <c r="C660" s="306" t="s">
        <v>1004</v>
      </c>
      <c r="D660" s="306" t="s">
        <v>2435</v>
      </c>
      <c r="E660" s="306" t="s">
        <v>2280</v>
      </c>
      <c r="F660" s="306" t="s">
        <v>1007</v>
      </c>
      <c r="G660" s="308">
        <v>46022</v>
      </c>
      <c r="H660" s="308">
        <v>46022</v>
      </c>
      <c r="I660" s="309">
        <v>-1935</v>
      </c>
      <c r="J660" s="306" t="s">
        <v>1008</v>
      </c>
      <c r="K660" s="309">
        <v>-1935</v>
      </c>
      <c r="L660" s="306" t="s">
        <v>1008</v>
      </c>
      <c r="M660" s="306" t="s">
        <v>2116</v>
      </c>
      <c r="N660" s="306" t="s">
        <v>2116</v>
      </c>
      <c r="O660" s="306" t="s">
        <v>2107</v>
      </c>
      <c r="P660" s="306" t="s">
        <v>1026</v>
      </c>
      <c r="Q660" s="306" t="s">
        <v>1013</v>
      </c>
      <c r="R660" s="306" t="s">
        <v>1013</v>
      </c>
      <c r="S660" s="306" t="s">
        <v>1013</v>
      </c>
      <c r="T660" s="306" t="s">
        <v>1013</v>
      </c>
      <c r="U660" s="306" t="s">
        <v>1013</v>
      </c>
      <c r="V660" s="306" t="s">
        <v>1013</v>
      </c>
      <c r="W660" s="306" t="s">
        <v>1013</v>
      </c>
      <c r="X660" s="306" t="s">
        <v>1013</v>
      </c>
      <c r="Y660" s="306" t="s">
        <v>2101</v>
      </c>
      <c r="Z660" s="306" t="s">
        <v>1015</v>
      </c>
      <c r="AA660" s="306" t="s">
        <v>1013</v>
      </c>
    </row>
    <row r="661" spans="1:27">
      <c r="A661" s="306" t="s">
        <v>494</v>
      </c>
      <c r="B661" s="306" t="s">
        <v>1003</v>
      </c>
      <c r="C661" s="306" t="s">
        <v>1004</v>
      </c>
      <c r="D661" s="306" t="s">
        <v>2435</v>
      </c>
      <c r="E661" s="306" t="s">
        <v>2281</v>
      </c>
      <c r="F661" s="306" t="s">
        <v>1007</v>
      </c>
      <c r="G661" s="308">
        <v>46022</v>
      </c>
      <c r="H661" s="308">
        <v>46022</v>
      </c>
      <c r="I661" s="309">
        <v>-1935</v>
      </c>
      <c r="J661" s="306" t="s">
        <v>1008</v>
      </c>
      <c r="K661" s="309">
        <v>-1935</v>
      </c>
      <c r="L661" s="306" t="s">
        <v>1008</v>
      </c>
      <c r="M661" s="306" t="s">
        <v>2116</v>
      </c>
      <c r="N661" s="306" t="s">
        <v>2116</v>
      </c>
      <c r="O661" s="306" t="s">
        <v>2109</v>
      </c>
      <c r="P661" s="306" t="s">
        <v>1026</v>
      </c>
      <c r="Q661" s="306" t="s">
        <v>1013</v>
      </c>
      <c r="R661" s="306" t="s">
        <v>1013</v>
      </c>
      <c r="S661" s="306" t="s">
        <v>1013</v>
      </c>
      <c r="T661" s="306" t="s">
        <v>1013</v>
      </c>
      <c r="U661" s="306" t="s">
        <v>1013</v>
      </c>
      <c r="V661" s="306" t="s">
        <v>1013</v>
      </c>
      <c r="W661" s="306" t="s">
        <v>1013</v>
      </c>
      <c r="X661" s="306" t="s">
        <v>1013</v>
      </c>
      <c r="Y661" s="306" t="s">
        <v>2101</v>
      </c>
      <c r="Z661" s="306" t="s">
        <v>1015</v>
      </c>
      <c r="AA661" s="306" t="s">
        <v>1013</v>
      </c>
    </row>
    <row r="662" spans="1:27">
      <c r="A662" s="306" t="s">
        <v>494</v>
      </c>
      <c r="B662" s="306" t="s">
        <v>1003</v>
      </c>
      <c r="C662" s="306" t="s">
        <v>1004</v>
      </c>
      <c r="D662" s="306" t="s">
        <v>2435</v>
      </c>
      <c r="E662" s="306" t="s">
        <v>2282</v>
      </c>
      <c r="F662" s="306" t="s">
        <v>1007</v>
      </c>
      <c r="G662" s="308">
        <v>46022</v>
      </c>
      <c r="H662" s="308">
        <v>46022</v>
      </c>
      <c r="I662" s="309">
        <v>-10575.13</v>
      </c>
      <c r="J662" s="306" t="s">
        <v>1008</v>
      </c>
      <c r="K662" s="309">
        <v>-10575.13</v>
      </c>
      <c r="L662" s="306" t="s">
        <v>1008</v>
      </c>
      <c r="M662" s="306" t="s">
        <v>2116</v>
      </c>
      <c r="N662" s="306" t="s">
        <v>2116</v>
      </c>
      <c r="O662" s="306" t="s">
        <v>2111</v>
      </c>
      <c r="P662" s="306" t="s">
        <v>1026</v>
      </c>
      <c r="Q662" s="306" t="s">
        <v>1013</v>
      </c>
      <c r="R662" s="306" t="s">
        <v>1013</v>
      </c>
      <c r="S662" s="306" t="s">
        <v>1013</v>
      </c>
      <c r="T662" s="306" t="s">
        <v>1013</v>
      </c>
      <c r="U662" s="306" t="s">
        <v>1013</v>
      </c>
      <c r="V662" s="306" t="s">
        <v>1013</v>
      </c>
      <c r="W662" s="306" t="s">
        <v>1013</v>
      </c>
      <c r="X662" s="306" t="s">
        <v>1013</v>
      </c>
      <c r="Y662" s="306" t="s">
        <v>2101</v>
      </c>
      <c r="Z662" s="306" t="s">
        <v>1015</v>
      </c>
      <c r="AA662" s="306" t="s">
        <v>1013</v>
      </c>
    </row>
    <row r="663" spans="1:27">
      <c r="A663" s="306" t="s">
        <v>494</v>
      </c>
      <c r="B663" s="306" t="s">
        <v>1003</v>
      </c>
      <c r="C663" s="306" t="s">
        <v>1004</v>
      </c>
      <c r="D663" s="306" t="s">
        <v>2435</v>
      </c>
      <c r="E663" s="306" t="s">
        <v>2283</v>
      </c>
      <c r="F663" s="306" t="s">
        <v>1007</v>
      </c>
      <c r="G663" s="308">
        <v>46022</v>
      </c>
      <c r="H663" s="308">
        <v>46022</v>
      </c>
      <c r="I663" s="309">
        <v>-7724.07</v>
      </c>
      <c r="J663" s="306" t="s">
        <v>1008</v>
      </c>
      <c r="K663" s="309">
        <v>-7724.07</v>
      </c>
      <c r="L663" s="306" t="s">
        <v>1008</v>
      </c>
      <c r="M663" s="306" t="s">
        <v>2116</v>
      </c>
      <c r="N663" s="306" t="s">
        <v>2116</v>
      </c>
      <c r="O663" s="306" t="s">
        <v>2113</v>
      </c>
      <c r="P663" s="306" t="s">
        <v>1026</v>
      </c>
      <c r="Q663" s="306" t="s">
        <v>1013</v>
      </c>
      <c r="R663" s="306" t="s">
        <v>1013</v>
      </c>
      <c r="S663" s="306" t="s">
        <v>1013</v>
      </c>
      <c r="T663" s="306" t="s">
        <v>1013</v>
      </c>
      <c r="U663" s="306" t="s">
        <v>1013</v>
      </c>
      <c r="V663" s="306" t="s">
        <v>1013</v>
      </c>
      <c r="W663" s="306" t="s">
        <v>1013</v>
      </c>
      <c r="X663" s="306" t="s">
        <v>1013</v>
      </c>
      <c r="Y663" s="306" t="s">
        <v>2101</v>
      </c>
      <c r="Z663" s="306" t="s">
        <v>1015</v>
      </c>
      <c r="AA663" s="306" t="s">
        <v>1013</v>
      </c>
    </row>
    <row r="664" spans="1:27">
      <c r="A664" s="306" t="s">
        <v>494</v>
      </c>
      <c r="B664" s="306" t="s">
        <v>1003</v>
      </c>
      <c r="C664" s="306" t="s">
        <v>1004</v>
      </c>
      <c r="D664" s="306" t="s">
        <v>2435</v>
      </c>
      <c r="E664" s="306" t="s">
        <v>2284</v>
      </c>
      <c r="F664" s="306" t="s">
        <v>1007</v>
      </c>
      <c r="G664" s="308">
        <v>46022</v>
      </c>
      <c r="H664" s="308">
        <v>46022</v>
      </c>
      <c r="I664" s="309">
        <v>-10890880.050000001</v>
      </c>
      <c r="J664" s="306" t="s">
        <v>1008</v>
      </c>
      <c r="K664" s="309">
        <v>-10890880.050000001</v>
      </c>
      <c r="L664" s="306" t="s">
        <v>1008</v>
      </c>
      <c r="M664" s="306" t="s">
        <v>2285</v>
      </c>
      <c r="N664" s="306" t="s">
        <v>1151</v>
      </c>
      <c r="O664" s="306" t="s">
        <v>2182</v>
      </c>
      <c r="P664" s="306" t="s">
        <v>244</v>
      </c>
      <c r="Q664" s="306" t="s">
        <v>1013</v>
      </c>
      <c r="R664" s="306" t="s">
        <v>1013</v>
      </c>
      <c r="S664" s="306" t="s">
        <v>1013</v>
      </c>
      <c r="T664" s="306" t="s">
        <v>1013</v>
      </c>
      <c r="U664" s="306" t="s">
        <v>1013</v>
      </c>
      <c r="V664" s="306" t="s">
        <v>1013</v>
      </c>
      <c r="W664" s="306" t="s">
        <v>1013</v>
      </c>
      <c r="X664" s="306" t="s">
        <v>1013</v>
      </c>
      <c r="Y664" s="306" t="s">
        <v>1153</v>
      </c>
      <c r="Z664" s="306" t="s">
        <v>1015</v>
      </c>
      <c r="AA664" s="306" t="s">
        <v>1013</v>
      </c>
    </row>
    <row r="665" spans="1:27">
      <c r="A665" s="306" t="s">
        <v>494</v>
      </c>
      <c r="B665" s="306" t="s">
        <v>1003</v>
      </c>
      <c r="C665" s="306" t="s">
        <v>1004</v>
      </c>
      <c r="D665" s="306" t="s">
        <v>2435</v>
      </c>
      <c r="E665" s="306" t="s">
        <v>2287</v>
      </c>
      <c r="F665" s="306" t="s">
        <v>1007</v>
      </c>
      <c r="G665" s="308">
        <v>46022</v>
      </c>
      <c r="H665" s="308">
        <v>46022</v>
      </c>
      <c r="I665" s="309">
        <v>-21233.33</v>
      </c>
      <c r="J665" s="306" t="s">
        <v>1008</v>
      </c>
      <c r="K665" s="309">
        <v>-21233.33</v>
      </c>
      <c r="L665" s="306" t="s">
        <v>1008</v>
      </c>
      <c r="M665" s="306" t="s">
        <v>2288</v>
      </c>
      <c r="N665" s="306" t="s">
        <v>2289</v>
      </c>
      <c r="O665" s="306" t="s">
        <v>2290</v>
      </c>
      <c r="P665" s="306" t="s">
        <v>1013</v>
      </c>
      <c r="Q665" s="306" t="s">
        <v>1013</v>
      </c>
      <c r="R665" s="306" t="s">
        <v>1013</v>
      </c>
      <c r="S665" s="306" t="s">
        <v>1013</v>
      </c>
      <c r="T665" s="306" t="s">
        <v>1013</v>
      </c>
      <c r="U665" s="306" t="s">
        <v>1013</v>
      </c>
      <c r="V665" s="306" t="s">
        <v>1013</v>
      </c>
      <c r="W665" s="306" t="s">
        <v>1013</v>
      </c>
      <c r="X665" s="306" t="s">
        <v>1013</v>
      </c>
      <c r="Y665" s="306" t="s">
        <v>2291</v>
      </c>
      <c r="Z665" s="306" t="s">
        <v>1015</v>
      </c>
      <c r="AA665" s="306" t="s">
        <v>1013</v>
      </c>
    </row>
    <row r="666" spans="1:27">
      <c r="A666" s="306" t="s">
        <v>494</v>
      </c>
      <c r="B666" s="306" t="s">
        <v>1003</v>
      </c>
      <c r="C666" s="306" t="s">
        <v>1004</v>
      </c>
      <c r="D666" s="306" t="s">
        <v>2435</v>
      </c>
      <c r="E666" s="306" t="s">
        <v>2292</v>
      </c>
      <c r="F666" s="306" t="s">
        <v>1007</v>
      </c>
      <c r="G666" s="308">
        <v>46022</v>
      </c>
      <c r="H666" s="308">
        <v>46022</v>
      </c>
      <c r="I666" s="309">
        <v>-13237.34</v>
      </c>
      <c r="J666" s="306" t="s">
        <v>1008</v>
      </c>
      <c r="K666" s="309">
        <v>-13237.34</v>
      </c>
      <c r="L666" s="306" t="s">
        <v>1008</v>
      </c>
      <c r="M666" s="306" t="s">
        <v>2293</v>
      </c>
      <c r="N666" s="306" t="s">
        <v>2294</v>
      </c>
      <c r="O666" s="306" t="s">
        <v>2295</v>
      </c>
      <c r="P666" s="306" t="s">
        <v>1013</v>
      </c>
      <c r="Q666" s="306" t="s">
        <v>1013</v>
      </c>
      <c r="R666" s="306" t="s">
        <v>1013</v>
      </c>
      <c r="S666" s="306" t="s">
        <v>1013</v>
      </c>
      <c r="T666" s="306" t="s">
        <v>1013</v>
      </c>
      <c r="U666" s="306" t="s">
        <v>1013</v>
      </c>
      <c r="V666" s="306" t="s">
        <v>1013</v>
      </c>
      <c r="W666" s="306" t="s">
        <v>1013</v>
      </c>
      <c r="X666" s="306" t="s">
        <v>1013</v>
      </c>
      <c r="Y666" s="306" t="s">
        <v>2296</v>
      </c>
      <c r="Z666" s="306" t="s">
        <v>1015</v>
      </c>
      <c r="AA666" s="306" t="s">
        <v>1013</v>
      </c>
    </row>
    <row r="667" spans="1:27">
      <c r="A667" s="306" t="s">
        <v>494</v>
      </c>
      <c r="B667" s="306" t="s">
        <v>1003</v>
      </c>
      <c r="C667" s="306" t="s">
        <v>1004</v>
      </c>
      <c r="D667" s="306" t="s">
        <v>2435</v>
      </c>
      <c r="E667" s="306" t="s">
        <v>2297</v>
      </c>
      <c r="F667" s="306" t="s">
        <v>1007</v>
      </c>
      <c r="G667" s="308">
        <v>46022</v>
      </c>
      <c r="H667" s="308">
        <v>46022</v>
      </c>
      <c r="I667" s="309">
        <v>-4559.75</v>
      </c>
      <c r="J667" s="306" t="s">
        <v>1008</v>
      </c>
      <c r="K667" s="309">
        <v>-4559.75</v>
      </c>
      <c r="L667" s="306" t="s">
        <v>1008</v>
      </c>
      <c r="M667" s="306" t="s">
        <v>2298</v>
      </c>
      <c r="N667" s="306" t="s">
        <v>2299</v>
      </c>
      <c r="O667" s="306" t="s">
        <v>2300</v>
      </c>
      <c r="P667" s="306" t="s">
        <v>1013</v>
      </c>
      <c r="Q667" s="306" t="s">
        <v>1013</v>
      </c>
      <c r="R667" s="306" t="s">
        <v>1013</v>
      </c>
      <c r="S667" s="306" t="s">
        <v>1013</v>
      </c>
      <c r="T667" s="306" t="s">
        <v>1013</v>
      </c>
      <c r="U667" s="306" t="s">
        <v>1013</v>
      </c>
      <c r="V667" s="306" t="s">
        <v>1013</v>
      </c>
      <c r="W667" s="306" t="s">
        <v>1013</v>
      </c>
      <c r="X667" s="306" t="s">
        <v>1013</v>
      </c>
      <c r="Y667" s="306" t="s">
        <v>2301</v>
      </c>
      <c r="Z667" s="306" t="s">
        <v>1015</v>
      </c>
      <c r="AA667" s="306" t="s">
        <v>1013</v>
      </c>
    </row>
    <row r="668" spans="1:27">
      <c r="A668" s="306" t="s">
        <v>494</v>
      </c>
      <c r="B668" s="306" t="s">
        <v>1003</v>
      </c>
      <c r="C668" s="306" t="s">
        <v>1004</v>
      </c>
      <c r="D668" s="306" t="s">
        <v>2435</v>
      </c>
      <c r="E668" s="306" t="s">
        <v>2302</v>
      </c>
      <c r="F668" s="306" t="s">
        <v>1007</v>
      </c>
      <c r="G668" s="308">
        <v>46022</v>
      </c>
      <c r="H668" s="308">
        <v>46022</v>
      </c>
      <c r="I668" s="309">
        <v>-6469.92</v>
      </c>
      <c r="J668" s="306" t="s">
        <v>1008</v>
      </c>
      <c r="K668" s="309">
        <v>-6469.92</v>
      </c>
      <c r="L668" s="306" t="s">
        <v>1008</v>
      </c>
      <c r="M668" s="306" t="s">
        <v>2303</v>
      </c>
      <c r="N668" s="306" t="s">
        <v>2304</v>
      </c>
      <c r="O668" s="306" t="s">
        <v>2305</v>
      </c>
      <c r="P668" s="306" t="s">
        <v>1013</v>
      </c>
      <c r="Q668" s="306" t="s">
        <v>1013</v>
      </c>
      <c r="R668" s="306" t="s">
        <v>1013</v>
      </c>
      <c r="S668" s="306" t="s">
        <v>1013</v>
      </c>
      <c r="T668" s="306" t="s">
        <v>1013</v>
      </c>
      <c r="U668" s="306" t="s">
        <v>1013</v>
      </c>
      <c r="V668" s="306" t="s">
        <v>1013</v>
      </c>
      <c r="W668" s="306" t="s">
        <v>1013</v>
      </c>
      <c r="X668" s="306" t="s">
        <v>1013</v>
      </c>
      <c r="Y668" s="306" t="s">
        <v>2306</v>
      </c>
      <c r="Z668" s="306" t="s">
        <v>1015</v>
      </c>
      <c r="AA668" s="306" t="s">
        <v>1013</v>
      </c>
    </row>
    <row r="669" spans="1:27">
      <c r="A669" s="306" t="s">
        <v>494</v>
      </c>
      <c r="B669" s="306" t="s">
        <v>1003</v>
      </c>
      <c r="C669" s="306" t="s">
        <v>1004</v>
      </c>
      <c r="D669" s="306" t="s">
        <v>2435</v>
      </c>
      <c r="E669" s="306" t="s">
        <v>2307</v>
      </c>
      <c r="F669" s="306" t="s">
        <v>1007</v>
      </c>
      <c r="G669" s="308">
        <v>46022</v>
      </c>
      <c r="H669" s="308">
        <v>46022</v>
      </c>
      <c r="I669" s="309">
        <v>-1423.9</v>
      </c>
      <c r="J669" s="306" t="s">
        <v>1008</v>
      </c>
      <c r="K669" s="309">
        <v>-1423.9</v>
      </c>
      <c r="L669" s="306" t="s">
        <v>1008</v>
      </c>
      <c r="M669" s="306" t="s">
        <v>2308</v>
      </c>
      <c r="N669" s="306" t="s">
        <v>2304</v>
      </c>
      <c r="O669" s="306" t="s">
        <v>2305</v>
      </c>
      <c r="P669" s="306" t="s">
        <v>1013</v>
      </c>
      <c r="Q669" s="306" t="s">
        <v>1013</v>
      </c>
      <c r="R669" s="306" t="s">
        <v>1013</v>
      </c>
      <c r="S669" s="306" t="s">
        <v>1013</v>
      </c>
      <c r="T669" s="306" t="s">
        <v>1013</v>
      </c>
      <c r="U669" s="306" t="s">
        <v>1013</v>
      </c>
      <c r="V669" s="306" t="s">
        <v>1013</v>
      </c>
      <c r="W669" s="306" t="s">
        <v>1013</v>
      </c>
      <c r="X669" s="306" t="s">
        <v>1013</v>
      </c>
      <c r="Y669" s="306" t="s">
        <v>2306</v>
      </c>
      <c r="Z669" s="306" t="s">
        <v>1015</v>
      </c>
      <c r="AA669" s="306" t="s">
        <v>1013</v>
      </c>
    </row>
    <row r="670" spans="1:27">
      <c r="A670" s="306" t="s">
        <v>494</v>
      </c>
      <c r="B670" s="306" t="s">
        <v>1003</v>
      </c>
      <c r="C670" s="306" t="s">
        <v>1004</v>
      </c>
      <c r="D670" s="306" t="s">
        <v>2435</v>
      </c>
      <c r="E670" s="306" t="s">
        <v>2309</v>
      </c>
      <c r="F670" s="306" t="s">
        <v>1007</v>
      </c>
      <c r="G670" s="308">
        <v>46022</v>
      </c>
      <c r="H670" s="308">
        <v>46022</v>
      </c>
      <c r="I670" s="309">
        <v>-43307.83</v>
      </c>
      <c r="J670" s="306" t="s">
        <v>1008</v>
      </c>
      <c r="K670" s="309">
        <v>-43307.83</v>
      </c>
      <c r="L670" s="306" t="s">
        <v>1008</v>
      </c>
      <c r="M670" s="306" t="s">
        <v>2310</v>
      </c>
      <c r="N670" s="306" t="s">
        <v>2311</v>
      </c>
      <c r="O670" s="306" t="s">
        <v>2312</v>
      </c>
      <c r="P670" s="306" t="s">
        <v>1013</v>
      </c>
      <c r="Q670" s="306" t="s">
        <v>1013</v>
      </c>
      <c r="R670" s="306" t="s">
        <v>1013</v>
      </c>
      <c r="S670" s="306" t="s">
        <v>1013</v>
      </c>
      <c r="T670" s="306" t="s">
        <v>1013</v>
      </c>
      <c r="U670" s="306" t="s">
        <v>1013</v>
      </c>
      <c r="V670" s="306" t="s">
        <v>1013</v>
      </c>
      <c r="W670" s="306" t="s">
        <v>1013</v>
      </c>
      <c r="X670" s="306" t="s">
        <v>1013</v>
      </c>
      <c r="Y670" s="306" t="s">
        <v>2313</v>
      </c>
      <c r="Z670" s="306" t="s">
        <v>1015</v>
      </c>
      <c r="AA670" s="306" t="s">
        <v>1013</v>
      </c>
    </row>
    <row r="671" spans="1:27">
      <c r="A671" s="306" t="s">
        <v>494</v>
      </c>
      <c r="B671" s="306" t="s">
        <v>1003</v>
      </c>
      <c r="C671" s="306" t="s">
        <v>1004</v>
      </c>
      <c r="D671" s="306" t="s">
        <v>2435</v>
      </c>
      <c r="E671" s="306" t="s">
        <v>2314</v>
      </c>
      <c r="F671" s="306" t="s">
        <v>1007</v>
      </c>
      <c r="G671" s="308">
        <v>46022</v>
      </c>
      <c r="H671" s="308">
        <v>46022</v>
      </c>
      <c r="I671" s="309">
        <v>-45135.8</v>
      </c>
      <c r="J671" s="306" t="s">
        <v>1008</v>
      </c>
      <c r="K671" s="309">
        <v>-45135.8</v>
      </c>
      <c r="L671" s="306" t="s">
        <v>1008</v>
      </c>
      <c r="M671" s="306" t="s">
        <v>2315</v>
      </c>
      <c r="N671" s="306" t="s">
        <v>2316</v>
      </c>
      <c r="O671" s="306" t="s">
        <v>2317</v>
      </c>
      <c r="P671" s="306" t="s">
        <v>1013</v>
      </c>
      <c r="Q671" s="306" t="s">
        <v>1013</v>
      </c>
      <c r="R671" s="306" t="s">
        <v>1013</v>
      </c>
      <c r="S671" s="306" t="s">
        <v>1013</v>
      </c>
      <c r="T671" s="306" t="s">
        <v>1013</v>
      </c>
      <c r="U671" s="306" t="s">
        <v>1013</v>
      </c>
      <c r="V671" s="306" t="s">
        <v>1013</v>
      </c>
      <c r="W671" s="306" t="s">
        <v>1013</v>
      </c>
      <c r="X671" s="306" t="s">
        <v>1013</v>
      </c>
      <c r="Y671" s="306" t="s">
        <v>2318</v>
      </c>
      <c r="Z671" s="306" t="s">
        <v>1015</v>
      </c>
      <c r="AA671" s="306" t="s">
        <v>1013</v>
      </c>
    </row>
    <row r="672" spans="1:27">
      <c r="A672" s="306" t="s">
        <v>494</v>
      </c>
      <c r="B672" s="306" t="s">
        <v>1003</v>
      </c>
      <c r="C672" s="306" t="s">
        <v>1004</v>
      </c>
      <c r="D672" s="306" t="s">
        <v>2435</v>
      </c>
      <c r="E672" s="306" t="s">
        <v>2319</v>
      </c>
      <c r="F672" s="306" t="s">
        <v>1007</v>
      </c>
      <c r="G672" s="308">
        <v>46022</v>
      </c>
      <c r="H672" s="308">
        <v>46022</v>
      </c>
      <c r="I672" s="309">
        <v>-19933.330000000002</v>
      </c>
      <c r="J672" s="306" t="s">
        <v>1008</v>
      </c>
      <c r="K672" s="309">
        <v>-19933.330000000002</v>
      </c>
      <c r="L672" s="306" t="s">
        <v>1008</v>
      </c>
      <c r="M672" s="306" t="s">
        <v>2320</v>
      </c>
      <c r="N672" s="306" t="s">
        <v>2321</v>
      </c>
      <c r="O672" s="306" t="s">
        <v>2322</v>
      </c>
      <c r="P672" s="306" t="s">
        <v>1013</v>
      </c>
      <c r="Q672" s="306" t="s">
        <v>1013</v>
      </c>
      <c r="R672" s="306" t="s">
        <v>1013</v>
      </c>
      <c r="S672" s="306" t="s">
        <v>1013</v>
      </c>
      <c r="T672" s="306" t="s">
        <v>1013</v>
      </c>
      <c r="U672" s="306" t="s">
        <v>1013</v>
      </c>
      <c r="V672" s="306" t="s">
        <v>1013</v>
      </c>
      <c r="W672" s="306" t="s">
        <v>1013</v>
      </c>
      <c r="X672" s="306" t="s">
        <v>1013</v>
      </c>
      <c r="Y672" s="306" t="s">
        <v>2323</v>
      </c>
      <c r="Z672" s="306" t="s">
        <v>1015</v>
      </c>
      <c r="AA672" s="306" t="s">
        <v>1013</v>
      </c>
    </row>
    <row r="673" spans="1:27">
      <c r="A673" s="306" t="s">
        <v>494</v>
      </c>
      <c r="B673" s="306" t="s">
        <v>1003</v>
      </c>
      <c r="C673" s="306" t="s">
        <v>1004</v>
      </c>
      <c r="D673" s="306" t="s">
        <v>2435</v>
      </c>
      <c r="E673" s="306" t="s">
        <v>2324</v>
      </c>
      <c r="F673" s="306" t="s">
        <v>1007</v>
      </c>
      <c r="G673" s="308">
        <v>46022</v>
      </c>
      <c r="H673" s="308">
        <v>46022</v>
      </c>
      <c r="I673" s="309">
        <v>-11001.79</v>
      </c>
      <c r="J673" s="306" t="s">
        <v>1008</v>
      </c>
      <c r="K673" s="309">
        <v>-11001.79</v>
      </c>
      <c r="L673" s="306" t="s">
        <v>1008</v>
      </c>
      <c r="M673" s="306" t="s">
        <v>2325</v>
      </c>
      <c r="N673" s="306" t="s">
        <v>2326</v>
      </c>
      <c r="O673" s="306" t="s">
        <v>2327</v>
      </c>
      <c r="P673" s="306" t="s">
        <v>1013</v>
      </c>
      <c r="Q673" s="306" t="s">
        <v>1013</v>
      </c>
      <c r="R673" s="306" t="s">
        <v>1013</v>
      </c>
      <c r="S673" s="306" t="s">
        <v>1013</v>
      </c>
      <c r="T673" s="306" t="s">
        <v>1013</v>
      </c>
      <c r="U673" s="306" t="s">
        <v>1013</v>
      </c>
      <c r="V673" s="306" t="s">
        <v>1013</v>
      </c>
      <c r="W673" s="306" t="s">
        <v>1013</v>
      </c>
      <c r="X673" s="306" t="s">
        <v>1013</v>
      </c>
      <c r="Y673" s="306" t="s">
        <v>2328</v>
      </c>
      <c r="Z673" s="306" t="s">
        <v>1015</v>
      </c>
      <c r="AA673" s="306" t="s">
        <v>1013</v>
      </c>
    </row>
    <row r="674" spans="1:27">
      <c r="A674" s="306" t="s">
        <v>494</v>
      </c>
      <c r="B674" s="306" t="s">
        <v>1003</v>
      </c>
      <c r="C674" s="306" t="s">
        <v>1004</v>
      </c>
      <c r="D674" s="306" t="s">
        <v>2435</v>
      </c>
      <c r="E674" s="306" t="s">
        <v>2329</v>
      </c>
      <c r="F674" s="306" t="s">
        <v>1007</v>
      </c>
      <c r="G674" s="308">
        <v>46022</v>
      </c>
      <c r="H674" s="308">
        <v>46022</v>
      </c>
      <c r="I674" s="309">
        <v>-5791.23</v>
      </c>
      <c r="J674" s="306" t="s">
        <v>1008</v>
      </c>
      <c r="K674" s="309">
        <v>-5791.23</v>
      </c>
      <c r="L674" s="306" t="s">
        <v>1008</v>
      </c>
      <c r="M674" s="306" t="s">
        <v>2330</v>
      </c>
      <c r="N674" s="306" t="s">
        <v>2331</v>
      </c>
      <c r="O674" s="306" t="s">
        <v>2332</v>
      </c>
      <c r="P674" s="306" t="s">
        <v>1013</v>
      </c>
      <c r="Q674" s="306" t="s">
        <v>1013</v>
      </c>
      <c r="R674" s="306" t="s">
        <v>1013</v>
      </c>
      <c r="S674" s="306" t="s">
        <v>1013</v>
      </c>
      <c r="T674" s="306" t="s">
        <v>1013</v>
      </c>
      <c r="U674" s="306" t="s">
        <v>1013</v>
      </c>
      <c r="V674" s="306" t="s">
        <v>1013</v>
      </c>
      <c r="W674" s="306" t="s">
        <v>1013</v>
      </c>
      <c r="X674" s="306" t="s">
        <v>1013</v>
      </c>
      <c r="Y674" s="306" t="s">
        <v>2333</v>
      </c>
      <c r="Z674" s="306" t="s">
        <v>1015</v>
      </c>
      <c r="AA674" s="306" t="s">
        <v>1013</v>
      </c>
    </row>
    <row r="675" spans="1:27">
      <c r="A675" s="306" t="s">
        <v>494</v>
      </c>
      <c r="B675" s="306" t="s">
        <v>1003</v>
      </c>
      <c r="C675" s="306" t="s">
        <v>1004</v>
      </c>
      <c r="D675" s="306" t="s">
        <v>2435</v>
      </c>
      <c r="E675" s="306" t="s">
        <v>2334</v>
      </c>
      <c r="F675" s="306" t="s">
        <v>1007</v>
      </c>
      <c r="G675" s="308">
        <v>46022</v>
      </c>
      <c r="H675" s="308">
        <v>46022</v>
      </c>
      <c r="I675" s="309">
        <v>-42490.35</v>
      </c>
      <c r="J675" s="306" t="s">
        <v>1008</v>
      </c>
      <c r="K675" s="309">
        <v>-42490.35</v>
      </c>
      <c r="L675" s="306" t="s">
        <v>1008</v>
      </c>
      <c r="M675" s="306" t="s">
        <v>1949</v>
      </c>
      <c r="N675" s="306" t="s">
        <v>2335</v>
      </c>
      <c r="O675" s="306" t="s">
        <v>2336</v>
      </c>
      <c r="P675" s="306" t="s">
        <v>280</v>
      </c>
      <c r="Q675" s="306" t="s">
        <v>1013</v>
      </c>
      <c r="R675" s="306" t="s">
        <v>1013</v>
      </c>
      <c r="S675" s="306" t="s">
        <v>1013</v>
      </c>
      <c r="T675" s="306" t="s">
        <v>1013</v>
      </c>
      <c r="U675" s="306" t="s">
        <v>1013</v>
      </c>
      <c r="V675" s="306" t="s">
        <v>1013</v>
      </c>
      <c r="W675" s="306" t="s">
        <v>1013</v>
      </c>
      <c r="X675" s="306" t="s">
        <v>1013</v>
      </c>
      <c r="Y675" s="306" t="s">
        <v>2337</v>
      </c>
      <c r="Z675" s="306" t="s">
        <v>1015</v>
      </c>
      <c r="AA675" s="306" t="s">
        <v>1013</v>
      </c>
    </row>
    <row r="676" spans="1:27">
      <c r="A676" s="306" t="s">
        <v>494</v>
      </c>
      <c r="B676" s="306" t="s">
        <v>1003</v>
      </c>
      <c r="C676" s="306" t="s">
        <v>1004</v>
      </c>
      <c r="D676" s="306" t="s">
        <v>2435</v>
      </c>
      <c r="E676" s="306" t="s">
        <v>2338</v>
      </c>
      <c r="F676" s="306" t="s">
        <v>1007</v>
      </c>
      <c r="G676" s="308">
        <v>46022</v>
      </c>
      <c r="H676" s="308">
        <v>46022</v>
      </c>
      <c r="I676" s="309">
        <v>42490.35</v>
      </c>
      <c r="J676" s="306" t="s">
        <v>1008</v>
      </c>
      <c r="K676" s="309">
        <v>42490.35</v>
      </c>
      <c r="L676" s="306" t="s">
        <v>1008</v>
      </c>
      <c r="M676" s="306" t="s">
        <v>1949</v>
      </c>
      <c r="N676" s="306" t="s">
        <v>2335</v>
      </c>
      <c r="O676" s="306" t="s">
        <v>2336</v>
      </c>
      <c r="P676" s="306" t="s">
        <v>280</v>
      </c>
      <c r="Q676" s="306" t="s">
        <v>1013</v>
      </c>
      <c r="R676" s="306" t="s">
        <v>1013</v>
      </c>
      <c r="S676" s="306" t="s">
        <v>1013</v>
      </c>
      <c r="T676" s="306" t="s">
        <v>1013</v>
      </c>
      <c r="U676" s="306" t="s">
        <v>1013</v>
      </c>
      <c r="V676" s="306" t="s">
        <v>1013</v>
      </c>
      <c r="W676" s="306" t="s">
        <v>1013</v>
      </c>
      <c r="X676" s="306" t="s">
        <v>1013</v>
      </c>
      <c r="Y676" s="306" t="s">
        <v>2337</v>
      </c>
      <c r="Z676" s="306" t="s">
        <v>1015</v>
      </c>
      <c r="AA676" s="306" t="s">
        <v>1013</v>
      </c>
    </row>
    <row r="677" spans="1:27">
      <c r="A677" s="306" t="s">
        <v>494</v>
      </c>
      <c r="B677" s="306" t="s">
        <v>1003</v>
      </c>
      <c r="C677" s="306" t="s">
        <v>1004</v>
      </c>
      <c r="D677" s="306" t="s">
        <v>2435</v>
      </c>
      <c r="E677" s="306" t="s">
        <v>2339</v>
      </c>
      <c r="F677" s="306" t="s">
        <v>1007</v>
      </c>
      <c r="G677" s="308">
        <v>46022</v>
      </c>
      <c r="H677" s="308">
        <v>46022</v>
      </c>
      <c r="I677" s="309">
        <v>-42490.35</v>
      </c>
      <c r="J677" s="306" t="s">
        <v>1008</v>
      </c>
      <c r="K677" s="309">
        <v>-42490.35</v>
      </c>
      <c r="L677" s="306" t="s">
        <v>1008</v>
      </c>
      <c r="M677" s="306" t="s">
        <v>2335</v>
      </c>
      <c r="N677" s="306" t="s">
        <v>2335</v>
      </c>
      <c r="O677" s="306" t="s">
        <v>2336</v>
      </c>
      <c r="P677" s="306" t="s">
        <v>280</v>
      </c>
      <c r="Q677" s="306" t="s">
        <v>1013</v>
      </c>
      <c r="R677" s="306" t="s">
        <v>1013</v>
      </c>
      <c r="S677" s="306" t="s">
        <v>1013</v>
      </c>
      <c r="T677" s="306" t="s">
        <v>1013</v>
      </c>
      <c r="U677" s="306" t="s">
        <v>1013</v>
      </c>
      <c r="V677" s="306" t="s">
        <v>1013</v>
      </c>
      <c r="W677" s="306" t="s">
        <v>1013</v>
      </c>
      <c r="X677" s="306" t="s">
        <v>1013</v>
      </c>
      <c r="Y677" s="306" t="s">
        <v>2337</v>
      </c>
      <c r="Z677" s="306" t="s">
        <v>1015</v>
      </c>
      <c r="AA677" s="306" t="s">
        <v>1013</v>
      </c>
    </row>
    <row r="678" spans="1:27">
      <c r="A678" s="306" t="s">
        <v>494</v>
      </c>
      <c r="B678" s="306" t="s">
        <v>1003</v>
      </c>
      <c r="C678" s="306" t="s">
        <v>1004</v>
      </c>
      <c r="D678" s="306" t="s">
        <v>2435</v>
      </c>
      <c r="E678" s="306" t="s">
        <v>2340</v>
      </c>
      <c r="F678" s="306" t="s">
        <v>1007</v>
      </c>
      <c r="G678" s="308">
        <v>46022</v>
      </c>
      <c r="H678" s="308">
        <v>46022</v>
      </c>
      <c r="I678" s="309">
        <v>-73477.55</v>
      </c>
      <c r="J678" s="306" t="s">
        <v>1008</v>
      </c>
      <c r="K678" s="309">
        <v>-73477.55</v>
      </c>
      <c r="L678" s="306" t="s">
        <v>1008</v>
      </c>
      <c r="M678" s="306" t="s">
        <v>1410</v>
      </c>
      <c r="N678" s="306" t="s">
        <v>1403</v>
      </c>
      <c r="O678" s="306" t="s">
        <v>2341</v>
      </c>
      <c r="P678" s="306" t="s">
        <v>1405</v>
      </c>
      <c r="Q678" s="306" t="s">
        <v>1013</v>
      </c>
      <c r="R678" s="306" t="s">
        <v>1013</v>
      </c>
      <c r="S678" s="306" t="s">
        <v>1013</v>
      </c>
      <c r="T678" s="306" t="s">
        <v>1013</v>
      </c>
      <c r="U678" s="306" t="s">
        <v>1013</v>
      </c>
      <c r="V678" s="306" t="s">
        <v>1013</v>
      </c>
      <c r="W678" s="306" t="s">
        <v>1013</v>
      </c>
      <c r="X678" s="306" t="s">
        <v>1013</v>
      </c>
      <c r="Y678" s="306" t="s">
        <v>1406</v>
      </c>
      <c r="Z678" s="306" t="s">
        <v>1015</v>
      </c>
      <c r="AA678" s="306" t="s">
        <v>1013</v>
      </c>
    </row>
    <row r="679" spans="1:27">
      <c r="A679" s="306" t="s">
        <v>494</v>
      </c>
      <c r="B679" s="306" t="s">
        <v>1003</v>
      </c>
      <c r="C679" s="306" t="s">
        <v>1004</v>
      </c>
      <c r="D679" s="306" t="s">
        <v>2435</v>
      </c>
      <c r="E679" s="306" t="s">
        <v>2342</v>
      </c>
      <c r="F679" s="306" t="s">
        <v>1007</v>
      </c>
      <c r="G679" s="308">
        <v>46022</v>
      </c>
      <c r="H679" s="308">
        <v>46022</v>
      </c>
      <c r="I679" s="309">
        <v>-211582.57</v>
      </c>
      <c r="J679" s="306" t="s">
        <v>1008</v>
      </c>
      <c r="K679" s="309">
        <v>-211582.57</v>
      </c>
      <c r="L679" s="306" t="s">
        <v>1008</v>
      </c>
      <c r="M679" s="306" t="s">
        <v>1402</v>
      </c>
      <c r="N679" s="306" t="s">
        <v>1403</v>
      </c>
      <c r="O679" s="306" t="s">
        <v>2343</v>
      </c>
      <c r="P679" s="306" t="s">
        <v>1405</v>
      </c>
      <c r="Q679" s="306" t="s">
        <v>1013</v>
      </c>
      <c r="R679" s="306" t="s">
        <v>1013</v>
      </c>
      <c r="S679" s="306" t="s">
        <v>1013</v>
      </c>
      <c r="T679" s="306" t="s">
        <v>1013</v>
      </c>
      <c r="U679" s="306" t="s">
        <v>1013</v>
      </c>
      <c r="V679" s="306" t="s">
        <v>1013</v>
      </c>
      <c r="W679" s="306" t="s">
        <v>1013</v>
      </c>
      <c r="X679" s="306" t="s">
        <v>1013</v>
      </c>
      <c r="Y679" s="306" t="s">
        <v>1406</v>
      </c>
      <c r="Z679" s="306" t="s">
        <v>1015</v>
      </c>
      <c r="AA679" s="306" t="s">
        <v>1013</v>
      </c>
    </row>
    <row r="680" spans="1:27">
      <c r="A680" s="306" t="s">
        <v>494</v>
      </c>
      <c r="B680" s="306" t="s">
        <v>1003</v>
      </c>
      <c r="C680" s="306" t="s">
        <v>1004</v>
      </c>
      <c r="D680" s="306" t="s">
        <v>2435</v>
      </c>
      <c r="E680" s="306" t="s">
        <v>2344</v>
      </c>
      <c r="F680" s="306" t="s">
        <v>1007</v>
      </c>
      <c r="G680" s="308">
        <v>46022</v>
      </c>
      <c r="H680" s="308">
        <v>46022</v>
      </c>
      <c r="I680" s="309">
        <v>-3152.01</v>
      </c>
      <c r="J680" s="306" t="s">
        <v>1008</v>
      </c>
      <c r="K680" s="309">
        <v>-3152.01</v>
      </c>
      <c r="L680" s="306" t="s">
        <v>1008</v>
      </c>
      <c r="M680" s="306" t="s">
        <v>1410</v>
      </c>
      <c r="N680" s="306" t="s">
        <v>1403</v>
      </c>
      <c r="O680" s="306" t="s">
        <v>2345</v>
      </c>
      <c r="P680" s="306" t="s">
        <v>1405</v>
      </c>
      <c r="Q680" s="306" t="s">
        <v>1013</v>
      </c>
      <c r="R680" s="306" t="s">
        <v>1013</v>
      </c>
      <c r="S680" s="306" t="s">
        <v>1013</v>
      </c>
      <c r="T680" s="306" t="s">
        <v>1013</v>
      </c>
      <c r="U680" s="306" t="s">
        <v>1013</v>
      </c>
      <c r="V680" s="306" t="s">
        <v>1013</v>
      </c>
      <c r="W680" s="306" t="s">
        <v>1013</v>
      </c>
      <c r="X680" s="306" t="s">
        <v>1013</v>
      </c>
      <c r="Y680" s="306" t="s">
        <v>1406</v>
      </c>
      <c r="Z680" s="306" t="s">
        <v>1015</v>
      </c>
      <c r="AA680" s="306" t="s">
        <v>1013</v>
      </c>
    </row>
    <row r="681" spans="1:27">
      <c r="A681" s="306" t="s">
        <v>494</v>
      </c>
      <c r="B681" s="306" t="s">
        <v>1003</v>
      </c>
      <c r="C681" s="306" t="s">
        <v>1004</v>
      </c>
      <c r="D681" s="306" t="s">
        <v>2435</v>
      </c>
      <c r="E681" s="306" t="s">
        <v>2346</v>
      </c>
      <c r="F681" s="306" t="s">
        <v>1007</v>
      </c>
      <c r="G681" s="308">
        <v>46022</v>
      </c>
      <c r="H681" s="308">
        <v>46022</v>
      </c>
      <c r="I681" s="309">
        <v>-9735.1200000000008</v>
      </c>
      <c r="J681" s="306" t="s">
        <v>1008</v>
      </c>
      <c r="K681" s="309">
        <v>-9735.1200000000008</v>
      </c>
      <c r="L681" s="306" t="s">
        <v>1008</v>
      </c>
      <c r="M681" s="306" t="s">
        <v>1402</v>
      </c>
      <c r="N681" s="306" t="s">
        <v>1403</v>
      </c>
      <c r="O681" s="306" t="s">
        <v>2347</v>
      </c>
      <c r="P681" s="306" t="s">
        <v>1405</v>
      </c>
      <c r="Q681" s="306" t="s">
        <v>1013</v>
      </c>
      <c r="R681" s="306" t="s">
        <v>1013</v>
      </c>
      <c r="S681" s="306" t="s">
        <v>1013</v>
      </c>
      <c r="T681" s="306" t="s">
        <v>1013</v>
      </c>
      <c r="U681" s="306" t="s">
        <v>1013</v>
      </c>
      <c r="V681" s="306" t="s">
        <v>1013</v>
      </c>
      <c r="W681" s="306" t="s">
        <v>1013</v>
      </c>
      <c r="X681" s="306" t="s">
        <v>1013</v>
      </c>
      <c r="Y681" s="306" t="s">
        <v>1406</v>
      </c>
      <c r="Z681" s="306" t="s">
        <v>1015</v>
      </c>
      <c r="AA681" s="306" t="s">
        <v>1013</v>
      </c>
    </row>
    <row r="682" spans="1:27">
      <c r="A682" s="306" t="s">
        <v>494</v>
      </c>
      <c r="B682" s="306" t="s">
        <v>1003</v>
      </c>
      <c r="C682" s="306" t="s">
        <v>1004</v>
      </c>
      <c r="D682" s="306" t="s">
        <v>2435</v>
      </c>
      <c r="E682" s="306" t="s">
        <v>2348</v>
      </c>
      <c r="F682" s="306" t="s">
        <v>1007</v>
      </c>
      <c r="G682" s="308">
        <v>46022</v>
      </c>
      <c r="H682" s="308">
        <v>46022</v>
      </c>
      <c r="I682" s="309">
        <v>-24795.11</v>
      </c>
      <c r="J682" s="306" t="s">
        <v>1008</v>
      </c>
      <c r="K682" s="309">
        <v>-24795.11</v>
      </c>
      <c r="L682" s="306" t="s">
        <v>1008</v>
      </c>
      <c r="M682" s="306" t="s">
        <v>1410</v>
      </c>
      <c r="N682" s="306" t="s">
        <v>1403</v>
      </c>
      <c r="O682" s="306" t="s">
        <v>2349</v>
      </c>
      <c r="P682" s="306" t="s">
        <v>1405</v>
      </c>
      <c r="Q682" s="306" t="s">
        <v>1013</v>
      </c>
      <c r="R682" s="306" t="s">
        <v>1013</v>
      </c>
      <c r="S682" s="306" t="s">
        <v>1013</v>
      </c>
      <c r="T682" s="306" t="s">
        <v>1013</v>
      </c>
      <c r="U682" s="306" t="s">
        <v>1013</v>
      </c>
      <c r="V682" s="306" t="s">
        <v>1013</v>
      </c>
      <c r="W682" s="306" t="s">
        <v>1013</v>
      </c>
      <c r="X682" s="306" t="s">
        <v>1013</v>
      </c>
      <c r="Y682" s="306" t="s">
        <v>1406</v>
      </c>
      <c r="Z682" s="306" t="s">
        <v>1015</v>
      </c>
      <c r="AA682" s="306" t="s">
        <v>1013</v>
      </c>
    </row>
    <row r="683" spans="1:27">
      <c r="A683" s="306" t="s">
        <v>494</v>
      </c>
      <c r="B683" s="306" t="s">
        <v>1003</v>
      </c>
      <c r="C683" s="306" t="s">
        <v>1004</v>
      </c>
      <c r="D683" s="306" t="s">
        <v>2435</v>
      </c>
      <c r="E683" s="306" t="s">
        <v>2350</v>
      </c>
      <c r="F683" s="306" t="s">
        <v>1007</v>
      </c>
      <c r="G683" s="308">
        <v>46022</v>
      </c>
      <c r="H683" s="308">
        <v>46022</v>
      </c>
      <c r="I683" s="309">
        <v>-753281.81</v>
      </c>
      <c r="J683" s="306" t="s">
        <v>1008</v>
      </c>
      <c r="K683" s="309">
        <v>-753281.81</v>
      </c>
      <c r="L683" s="306" t="s">
        <v>1008</v>
      </c>
      <c r="M683" s="306" t="s">
        <v>1421</v>
      </c>
      <c r="N683" s="306" t="s">
        <v>1403</v>
      </c>
      <c r="O683" s="306" t="s">
        <v>2351</v>
      </c>
      <c r="P683" s="306" t="s">
        <v>1405</v>
      </c>
      <c r="Q683" s="306" t="s">
        <v>1013</v>
      </c>
      <c r="R683" s="306" t="s">
        <v>1013</v>
      </c>
      <c r="S683" s="306" t="s">
        <v>1013</v>
      </c>
      <c r="T683" s="306" t="s">
        <v>1013</v>
      </c>
      <c r="U683" s="306" t="s">
        <v>1013</v>
      </c>
      <c r="V683" s="306" t="s">
        <v>1013</v>
      </c>
      <c r="W683" s="306" t="s">
        <v>1013</v>
      </c>
      <c r="X683" s="306" t="s">
        <v>1013</v>
      </c>
      <c r="Y683" s="306" t="s">
        <v>1406</v>
      </c>
      <c r="Z683" s="306" t="s">
        <v>1015</v>
      </c>
      <c r="AA683" s="306" t="s">
        <v>1013</v>
      </c>
    </row>
    <row r="684" spans="1:27">
      <c r="A684" s="306" t="s">
        <v>494</v>
      </c>
      <c r="B684" s="306" t="s">
        <v>1003</v>
      </c>
      <c r="C684" s="306" t="s">
        <v>1004</v>
      </c>
      <c r="D684" s="306" t="s">
        <v>2435</v>
      </c>
      <c r="E684" s="306" t="s">
        <v>2352</v>
      </c>
      <c r="F684" s="306" t="s">
        <v>1007</v>
      </c>
      <c r="G684" s="308">
        <v>46022</v>
      </c>
      <c r="H684" s="308">
        <v>46022</v>
      </c>
      <c r="I684" s="309">
        <v>-686709.93</v>
      </c>
      <c r="J684" s="306" t="s">
        <v>1008</v>
      </c>
      <c r="K684" s="309">
        <v>-686709.93</v>
      </c>
      <c r="L684" s="306" t="s">
        <v>1008</v>
      </c>
      <c r="M684" s="306" t="s">
        <v>1402</v>
      </c>
      <c r="N684" s="306" t="s">
        <v>1403</v>
      </c>
      <c r="O684" s="306" t="s">
        <v>2353</v>
      </c>
      <c r="P684" s="306" t="s">
        <v>1405</v>
      </c>
      <c r="Q684" s="306" t="s">
        <v>1013</v>
      </c>
      <c r="R684" s="306" t="s">
        <v>1013</v>
      </c>
      <c r="S684" s="306" t="s">
        <v>1013</v>
      </c>
      <c r="T684" s="306" t="s">
        <v>1013</v>
      </c>
      <c r="U684" s="306" t="s">
        <v>1013</v>
      </c>
      <c r="V684" s="306" t="s">
        <v>1013</v>
      </c>
      <c r="W684" s="306" t="s">
        <v>1013</v>
      </c>
      <c r="X684" s="306" t="s">
        <v>1013</v>
      </c>
      <c r="Y684" s="306" t="s">
        <v>1406</v>
      </c>
      <c r="Z684" s="306" t="s">
        <v>1015</v>
      </c>
      <c r="AA684" s="306" t="s">
        <v>1013</v>
      </c>
    </row>
    <row r="685" spans="1:27">
      <c r="A685" s="306" t="s">
        <v>494</v>
      </c>
      <c r="B685" s="306" t="s">
        <v>1003</v>
      </c>
      <c r="C685" s="306" t="s">
        <v>1004</v>
      </c>
      <c r="D685" s="306" t="s">
        <v>2435</v>
      </c>
      <c r="E685" s="306" t="s">
        <v>2354</v>
      </c>
      <c r="F685" s="306" t="s">
        <v>1007</v>
      </c>
      <c r="G685" s="308">
        <v>46022</v>
      </c>
      <c r="H685" s="308">
        <v>46022</v>
      </c>
      <c r="I685" s="309">
        <v>-888801.41</v>
      </c>
      <c r="J685" s="306" t="s">
        <v>1008</v>
      </c>
      <c r="K685" s="309">
        <v>-888801.41</v>
      </c>
      <c r="L685" s="306" t="s">
        <v>1008</v>
      </c>
      <c r="M685" s="306" t="s">
        <v>1421</v>
      </c>
      <c r="N685" s="306" t="s">
        <v>1403</v>
      </c>
      <c r="O685" s="306" t="s">
        <v>2355</v>
      </c>
      <c r="P685" s="306" t="s">
        <v>1405</v>
      </c>
      <c r="Q685" s="306" t="s">
        <v>1013</v>
      </c>
      <c r="R685" s="306" t="s">
        <v>1013</v>
      </c>
      <c r="S685" s="306" t="s">
        <v>1013</v>
      </c>
      <c r="T685" s="306" t="s">
        <v>1013</v>
      </c>
      <c r="U685" s="306" t="s">
        <v>1013</v>
      </c>
      <c r="V685" s="306" t="s">
        <v>1013</v>
      </c>
      <c r="W685" s="306" t="s">
        <v>1013</v>
      </c>
      <c r="X685" s="306" t="s">
        <v>1013</v>
      </c>
      <c r="Y685" s="306" t="s">
        <v>1406</v>
      </c>
      <c r="Z685" s="306" t="s">
        <v>1015</v>
      </c>
      <c r="AA685" s="306" t="s">
        <v>1013</v>
      </c>
    </row>
    <row r="686" spans="1:27">
      <c r="A686" s="306" t="s">
        <v>494</v>
      </c>
      <c r="B686" s="306" t="s">
        <v>1003</v>
      </c>
      <c r="C686" s="306" t="s">
        <v>1004</v>
      </c>
      <c r="D686" s="306" t="s">
        <v>2435</v>
      </c>
      <c r="E686" s="306" t="s">
        <v>2356</v>
      </c>
      <c r="F686" s="306" t="s">
        <v>1007</v>
      </c>
      <c r="G686" s="308">
        <v>46022</v>
      </c>
      <c r="H686" s="308">
        <v>46022</v>
      </c>
      <c r="I686" s="309">
        <v>2266462.13</v>
      </c>
      <c r="J686" s="306" t="s">
        <v>1008</v>
      </c>
      <c r="K686" s="309">
        <v>2266462.13</v>
      </c>
      <c r="L686" s="306" t="s">
        <v>1008</v>
      </c>
      <c r="M686" s="306" t="s">
        <v>1402</v>
      </c>
      <c r="N686" s="306" t="s">
        <v>1403</v>
      </c>
      <c r="O686" s="306" t="s">
        <v>1413</v>
      </c>
      <c r="P686" s="306" t="s">
        <v>1405</v>
      </c>
      <c r="Q686" s="306" t="s">
        <v>1013</v>
      </c>
      <c r="R686" s="306" t="s">
        <v>1013</v>
      </c>
      <c r="S686" s="306" t="s">
        <v>1013</v>
      </c>
      <c r="T686" s="306" t="s">
        <v>1013</v>
      </c>
      <c r="U686" s="306" t="s">
        <v>1013</v>
      </c>
      <c r="V686" s="306" t="s">
        <v>1013</v>
      </c>
      <c r="W686" s="306" t="s">
        <v>1013</v>
      </c>
      <c r="X686" s="306" t="s">
        <v>1013</v>
      </c>
      <c r="Y686" s="306" t="s">
        <v>1406</v>
      </c>
      <c r="Z686" s="306" t="s">
        <v>1015</v>
      </c>
      <c r="AA686" s="306" t="s">
        <v>1013</v>
      </c>
    </row>
    <row r="687" spans="1:27">
      <c r="A687" s="306" t="s">
        <v>494</v>
      </c>
      <c r="B687" s="306" t="s">
        <v>1003</v>
      </c>
      <c r="C687" s="306" t="s">
        <v>1004</v>
      </c>
      <c r="D687" s="306" t="s">
        <v>2435</v>
      </c>
      <c r="E687" s="306" t="s">
        <v>2357</v>
      </c>
      <c r="F687" s="306" t="s">
        <v>1007</v>
      </c>
      <c r="G687" s="308">
        <v>46022</v>
      </c>
      <c r="H687" s="308">
        <v>46022</v>
      </c>
      <c r="I687" s="309">
        <v>1193701.3500000001</v>
      </c>
      <c r="J687" s="306" t="s">
        <v>1008</v>
      </c>
      <c r="K687" s="309">
        <v>1193701.3500000001</v>
      </c>
      <c r="L687" s="306" t="s">
        <v>1008</v>
      </c>
      <c r="M687" s="306" t="s">
        <v>1410</v>
      </c>
      <c r="N687" s="306" t="s">
        <v>1403</v>
      </c>
      <c r="O687" s="306" t="s">
        <v>1415</v>
      </c>
      <c r="P687" s="306" t="s">
        <v>1405</v>
      </c>
      <c r="Q687" s="306" t="s">
        <v>1013</v>
      </c>
      <c r="R687" s="306" t="s">
        <v>1013</v>
      </c>
      <c r="S687" s="306" t="s">
        <v>1013</v>
      </c>
      <c r="T687" s="306" t="s">
        <v>1013</v>
      </c>
      <c r="U687" s="306" t="s">
        <v>1013</v>
      </c>
      <c r="V687" s="306" t="s">
        <v>1013</v>
      </c>
      <c r="W687" s="306" t="s">
        <v>1013</v>
      </c>
      <c r="X687" s="306" t="s">
        <v>1013</v>
      </c>
      <c r="Y687" s="306" t="s">
        <v>1406</v>
      </c>
      <c r="Z687" s="306" t="s">
        <v>1015</v>
      </c>
      <c r="AA687" s="306" t="s">
        <v>1013</v>
      </c>
    </row>
    <row r="688" spans="1:27">
      <c r="A688" s="306" t="s">
        <v>494</v>
      </c>
      <c r="B688" s="306" t="s">
        <v>1003</v>
      </c>
      <c r="C688" s="306" t="s">
        <v>1004</v>
      </c>
      <c r="D688" s="306" t="s">
        <v>2435</v>
      </c>
      <c r="E688" s="306" t="s">
        <v>2358</v>
      </c>
      <c r="F688" s="306" t="s">
        <v>1007</v>
      </c>
      <c r="G688" s="308">
        <v>46022</v>
      </c>
      <c r="H688" s="308">
        <v>46022</v>
      </c>
      <c r="I688" s="309">
        <v>871300.41</v>
      </c>
      <c r="J688" s="306" t="s">
        <v>1008</v>
      </c>
      <c r="K688" s="309">
        <v>871300.41</v>
      </c>
      <c r="L688" s="306" t="s">
        <v>1008</v>
      </c>
      <c r="M688" s="306" t="s">
        <v>1410</v>
      </c>
      <c r="N688" s="306" t="s">
        <v>1403</v>
      </c>
      <c r="O688" s="306" t="s">
        <v>1473</v>
      </c>
      <c r="P688" s="306" t="s">
        <v>1405</v>
      </c>
      <c r="Q688" s="306" t="s">
        <v>1013</v>
      </c>
      <c r="R688" s="306" t="s">
        <v>1013</v>
      </c>
      <c r="S688" s="306" t="s">
        <v>1013</v>
      </c>
      <c r="T688" s="306" t="s">
        <v>1013</v>
      </c>
      <c r="U688" s="306" t="s">
        <v>1013</v>
      </c>
      <c r="V688" s="306" t="s">
        <v>1013</v>
      </c>
      <c r="W688" s="306" t="s">
        <v>1013</v>
      </c>
      <c r="X688" s="306" t="s">
        <v>1013</v>
      </c>
      <c r="Y688" s="306" t="s">
        <v>1406</v>
      </c>
      <c r="Z688" s="306" t="s">
        <v>1015</v>
      </c>
      <c r="AA688" s="306" t="s">
        <v>1013</v>
      </c>
    </row>
    <row r="689" spans="1:27">
      <c r="A689" s="306" t="s">
        <v>494</v>
      </c>
      <c r="B689" s="306" t="s">
        <v>1003</v>
      </c>
      <c r="C689" s="306" t="s">
        <v>1004</v>
      </c>
      <c r="D689" s="306" t="s">
        <v>2435</v>
      </c>
      <c r="E689" s="306" t="s">
        <v>2359</v>
      </c>
      <c r="F689" s="306" t="s">
        <v>1007</v>
      </c>
      <c r="G689" s="308">
        <v>46022</v>
      </c>
      <c r="H689" s="308">
        <v>46022</v>
      </c>
      <c r="I689" s="309">
        <v>-105840707.95999999</v>
      </c>
      <c r="J689" s="306" t="s">
        <v>1008</v>
      </c>
      <c r="K689" s="309">
        <v>-105840707.95999999</v>
      </c>
      <c r="L689" s="306" t="s">
        <v>1008</v>
      </c>
      <c r="M689" s="306" t="s">
        <v>1410</v>
      </c>
      <c r="N689" s="306" t="s">
        <v>1403</v>
      </c>
      <c r="O689" s="306" t="s">
        <v>1249</v>
      </c>
      <c r="P689" s="306" t="s">
        <v>1405</v>
      </c>
      <c r="Q689" s="306" t="s">
        <v>1013</v>
      </c>
      <c r="R689" s="306" t="s">
        <v>1013</v>
      </c>
      <c r="S689" s="306" t="s">
        <v>1013</v>
      </c>
      <c r="T689" s="306" t="s">
        <v>1013</v>
      </c>
      <c r="U689" s="306" t="s">
        <v>1013</v>
      </c>
      <c r="V689" s="306" t="s">
        <v>1013</v>
      </c>
      <c r="W689" s="306" t="s">
        <v>1013</v>
      </c>
      <c r="X689" s="306" t="s">
        <v>1013</v>
      </c>
      <c r="Y689" s="306" t="s">
        <v>1406</v>
      </c>
      <c r="Z689" s="306" t="s">
        <v>1015</v>
      </c>
      <c r="AA689" s="306" t="s">
        <v>1013</v>
      </c>
    </row>
    <row r="690" spans="1:27">
      <c r="A690" s="306" t="s">
        <v>494</v>
      </c>
      <c r="B690" s="306" t="s">
        <v>1003</v>
      </c>
      <c r="C690" s="306" t="s">
        <v>1004</v>
      </c>
      <c r="D690" s="306" t="s">
        <v>2435</v>
      </c>
      <c r="E690" s="306" t="s">
        <v>2360</v>
      </c>
      <c r="F690" s="306" t="s">
        <v>1007</v>
      </c>
      <c r="G690" s="308">
        <v>46022</v>
      </c>
      <c r="H690" s="308">
        <v>46022</v>
      </c>
      <c r="I690" s="309">
        <v>-18196384.84</v>
      </c>
      <c r="J690" s="306" t="s">
        <v>1008</v>
      </c>
      <c r="K690" s="309">
        <v>-18196384.84</v>
      </c>
      <c r="L690" s="306" t="s">
        <v>1008</v>
      </c>
      <c r="M690" s="306" t="s">
        <v>1135</v>
      </c>
      <c r="N690" s="306" t="s">
        <v>1135</v>
      </c>
      <c r="O690" s="306" t="s">
        <v>2361</v>
      </c>
      <c r="P690" s="306" t="s">
        <v>212</v>
      </c>
      <c r="Q690" s="306" t="s">
        <v>1013</v>
      </c>
      <c r="R690" s="306" t="s">
        <v>1013</v>
      </c>
      <c r="S690" s="306" t="s">
        <v>1013</v>
      </c>
      <c r="T690" s="306" t="s">
        <v>1013</v>
      </c>
      <c r="U690" s="306" t="s">
        <v>1013</v>
      </c>
      <c r="V690" s="306" t="s">
        <v>1013</v>
      </c>
      <c r="W690" s="306" t="s">
        <v>1013</v>
      </c>
      <c r="X690" s="306" t="s">
        <v>1013</v>
      </c>
      <c r="Y690" s="306" t="s">
        <v>1112</v>
      </c>
      <c r="Z690" s="306" t="s">
        <v>1015</v>
      </c>
      <c r="AA690" s="306" t="s">
        <v>1013</v>
      </c>
    </row>
    <row r="691" spans="1:27">
      <c r="A691" s="306" t="s">
        <v>494</v>
      </c>
      <c r="B691" s="306" t="s">
        <v>1003</v>
      </c>
      <c r="C691" s="306" t="s">
        <v>1004</v>
      </c>
      <c r="D691" s="306" t="s">
        <v>2435</v>
      </c>
      <c r="E691" s="306" t="s">
        <v>2362</v>
      </c>
      <c r="F691" s="306" t="s">
        <v>1007</v>
      </c>
      <c r="G691" s="308">
        <v>46022</v>
      </c>
      <c r="H691" s="308">
        <v>46022</v>
      </c>
      <c r="I691" s="309">
        <v>-6150</v>
      </c>
      <c r="J691" s="306" t="s">
        <v>1008</v>
      </c>
      <c r="K691" s="309">
        <v>-6150</v>
      </c>
      <c r="L691" s="306" t="s">
        <v>1008</v>
      </c>
      <c r="M691" s="306" t="s">
        <v>1114</v>
      </c>
      <c r="N691" s="306" t="s">
        <v>1114</v>
      </c>
      <c r="O691" s="306" t="s">
        <v>2363</v>
      </c>
      <c r="P691" s="306" t="s">
        <v>212</v>
      </c>
      <c r="Q691" s="306" t="s">
        <v>1013</v>
      </c>
      <c r="R691" s="306" t="s">
        <v>1013</v>
      </c>
      <c r="S691" s="306" t="s">
        <v>1013</v>
      </c>
      <c r="T691" s="306" t="s">
        <v>1013</v>
      </c>
      <c r="U691" s="306" t="s">
        <v>1013</v>
      </c>
      <c r="V691" s="306" t="s">
        <v>1013</v>
      </c>
      <c r="W691" s="306" t="s">
        <v>1013</v>
      </c>
      <c r="X691" s="306" t="s">
        <v>1013</v>
      </c>
      <c r="Y691" s="306" t="s">
        <v>1112</v>
      </c>
      <c r="Z691" s="306" t="s">
        <v>1015</v>
      </c>
      <c r="AA691" s="306" t="s">
        <v>1013</v>
      </c>
    </row>
    <row r="692" spans="1:27">
      <c r="A692" s="306" t="s">
        <v>494</v>
      </c>
      <c r="B692" s="306" t="s">
        <v>1003</v>
      </c>
      <c r="C692" s="306" t="s">
        <v>1004</v>
      </c>
      <c r="D692" s="306" t="s">
        <v>2435</v>
      </c>
      <c r="E692" s="306" t="s">
        <v>2364</v>
      </c>
      <c r="F692" s="306" t="s">
        <v>1007</v>
      </c>
      <c r="G692" s="308">
        <v>46022</v>
      </c>
      <c r="H692" s="308">
        <v>46022</v>
      </c>
      <c r="I692" s="309">
        <v>-153750</v>
      </c>
      <c r="J692" s="306" t="s">
        <v>1008</v>
      </c>
      <c r="K692" s="309">
        <v>-153750</v>
      </c>
      <c r="L692" s="306" t="s">
        <v>1008</v>
      </c>
      <c r="M692" s="306" t="s">
        <v>1114</v>
      </c>
      <c r="N692" s="306" t="s">
        <v>1114</v>
      </c>
      <c r="O692" s="306" t="s">
        <v>2365</v>
      </c>
      <c r="P692" s="306" t="s">
        <v>212</v>
      </c>
      <c r="Q692" s="306" t="s">
        <v>1013</v>
      </c>
      <c r="R692" s="306" t="s">
        <v>1013</v>
      </c>
      <c r="S692" s="306" t="s">
        <v>1013</v>
      </c>
      <c r="T692" s="306" t="s">
        <v>1013</v>
      </c>
      <c r="U692" s="306" t="s">
        <v>1013</v>
      </c>
      <c r="V692" s="306" t="s">
        <v>1013</v>
      </c>
      <c r="W692" s="306" t="s">
        <v>1013</v>
      </c>
      <c r="X692" s="306" t="s">
        <v>1013</v>
      </c>
      <c r="Y692" s="306" t="s">
        <v>1112</v>
      </c>
      <c r="Z692" s="306" t="s">
        <v>1015</v>
      </c>
      <c r="AA692" s="306" t="s">
        <v>1013</v>
      </c>
    </row>
    <row r="693" spans="1:27">
      <c r="A693" s="306" t="s">
        <v>494</v>
      </c>
      <c r="B693" s="306" t="s">
        <v>1003</v>
      </c>
      <c r="C693" s="306" t="s">
        <v>1004</v>
      </c>
      <c r="D693" s="306" t="s">
        <v>2435</v>
      </c>
      <c r="E693" s="306" t="s">
        <v>2366</v>
      </c>
      <c r="F693" s="306" t="s">
        <v>1007</v>
      </c>
      <c r="G693" s="308">
        <v>46022</v>
      </c>
      <c r="H693" s="308">
        <v>46022</v>
      </c>
      <c r="I693" s="309">
        <v>-12300</v>
      </c>
      <c r="J693" s="306" t="s">
        <v>1008</v>
      </c>
      <c r="K693" s="309">
        <v>-12300</v>
      </c>
      <c r="L693" s="306" t="s">
        <v>1008</v>
      </c>
      <c r="M693" s="306" t="s">
        <v>1114</v>
      </c>
      <c r="N693" s="306" t="s">
        <v>1114</v>
      </c>
      <c r="O693" s="306" t="s">
        <v>2367</v>
      </c>
      <c r="P693" s="306" t="s">
        <v>212</v>
      </c>
      <c r="Q693" s="306" t="s">
        <v>1013</v>
      </c>
      <c r="R693" s="306" t="s">
        <v>1013</v>
      </c>
      <c r="S693" s="306" t="s">
        <v>1013</v>
      </c>
      <c r="T693" s="306" t="s">
        <v>1013</v>
      </c>
      <c r="U693" s="306" t="s">
        <v>1013</v>
      </c>
      <c r="V693" s="306" t="s">
        <v>1013</v>
      </c>
      <c r="W693" s="306" t="s">
        <v>1013</v>
      </c>
      <c r="X693" s="306" t="s">
        <v>1013</v>
      </c>
      <c r="Y693" s="306" t="s">
        <v>1112</v>
      </c>
      <c r="Z693" s="306" t="s">
        <v>1015</v>
      </c>
      <c r="AA693" s="306" t="s">
        <v>1013</v>
      </c>
    </row>
    <row r="694" spans="1:27">
      <c r="A694" s="306" t="s">
        <v>494</v>
      </c>
      <c r="B694" s="306" t="s">
        <v>1003</v>
      </c>
      <c r="C694" s="306" t="s">
        <v>1004</v>
      </c>
      <c r="D694" s="306" t="s">
        <v>2435</v>
      </c>
      <c r="E694" s="306" t="s">
        <v>2368</v>
      </c>
      <c r="F694" s="306" t="s">
        <v>1007</v>
      </c>
      <c r="G694" s="308">
        <v>46022</v>
      </c>
      <c r="H694" s="308">
        <v>46022</v>
      </c>
      <c r="I694" s="309">
        <v>1659873.09</v>
      </c>
      <c r="J694" s="306" t="s">
        <v>1008</v>
      </c>
      <c r="K694" s="309">
        <v>1659873.09</v>
      </c>
      <c r="L694" s="306" t="s">
        <v>1008</v>
      </c>
      <c r="M694" s="306" t="s">
        <v>1135</v>
      </c>
      <c r="N694" s="306" t="s">
        <v>1135</v>
      </c>
      <c r="O694" s="306" t="s">
        <v>1330</v>
      </c>
      <c r="P694" s="306" t="s">
        <v>212</v>
      </c>
      <c r="Q694" s="306" t="s">
        <v>1013</v>
      </c>
      <c r="R694" s="306" t="s">
        <v>1013</v>
      </c>
      <c r="S694" s="306" t="s">
        <v>1013</v>
      </c>
      <c r="T694" s="306" t="s">
        <v>1013</v>
      </c>
      <c r="U694" s="306" t="s">
        <v>1013</v>
      </c>
      <c r="V694" s="306" t="s">
        <v>1013</v>
      </c>
      <c r="W694" s="306" t="s">
        <v>1013</v>
      </c>
      <c r="X694" s="306" t="s">
        <v>1013</v>
      </c>
      <c r="Y694" s="306" t="s">
        <v>1112</v>
      </c>
      <c r="Z694" s="306" t="s">
        <v>1015</v>
      </c>
      <c r="AA694" s="306" t="s">
        <v>1013</v>
      </c>
    </row>
    <row r="695" spans="1:27">
      <c r="A695" s="306" t="s">
        <v>494</v>
      </c>
      <c r="B695" s="306" t="s">
        <v>1003</v>
      </c>
      <c r="C695" s="306" t="s">
        <v>1004</v>
      </c>
      <c r="D695" s="306" t="s">
        <v>2435</v>
      </c>
      <c r="E695" s="306" t="s">
        <v>2369</v>
      </c>
      <c r="F695" s="306" t="s">
        <v>1007</v>
      </c>
      <c r="G695" s="308">
        <v>46022</v>
      </c>
      <c r="H695" s="308">
        <v>46022</v>
      </c>
      <c r="I695" s="309">
        <v>-794648.43</v>
      </c>
      <c r="J695" s="306" t="s">
        <v>1008</v>
      </c>
      <c r="K695" s="309">
        <v>-794648.43</v>
      </c>
      <c r="L695" s="306" t="s">
        <v>1008</v>
      </c>
      <c r="M695" s="306" t="s">
        <v>1135</v>
      </c>
      <c r="N695" s="306" t="s">
        <v>1135</v>
      </c>
      <c r="O695" s="306" t="s">
        <v>2370</v>
      </c>
      <c r="P695" s="306" t="s">
        <v>212</v>
      </c>
      <c r="Q695" s="306" t="s">
        <v>1013</v>
      </c>
      <c r="R695" s="306" t="s">
        <v>1013</v>
      </c>
      <c r="S695" s="306" t="s">
        <v>1013</v>
      </c>
      <c r="T695" s="306" t="s">
        <v>1013</v>
      </c>
      <c r="U695" s="306" t="s">
        <v>1013</v>
      </c>
      <c r="V695" s="306" t="s">
        <v>1013</v>
      </c>
      <c r="W695" s="306" t="s">
        <v>1013</v>
      </c>
      <c r="X695" s="306" t="s">
        <v>1013</v>
      </c>
      <c r="Y695" s="306" t="s">
        <v>1112</v>
      </c>
      <c r="Z695" s="306" t="s">
        <v>1015</v>
      </c>
      <c r="AA695" s="306" t="s">
        <v>1013</v>
      </c>
    </row>
    <row r="696" spans="1:27">
      <c r="A696" s="306" t="s">
        <v>494</v>
      </c>
      <c r="B696" s="306" t="s">
        <v>1003</v>
      </c>
      <c r="C696" s="306" t="s">
        <v>1004</v>
      </c>
      <c r="D696" s="306" t="s">
        <v>2435</v>
      </c>
      <c r="E696" s="306" t="s">
        <v>2371</v>
      </c>
      <c r="F696" s="306" t="s">
        <v>1007</v>
      </c>
      <c r="G696" s="308">
        <v>46022</v>
      </c>
      <c r="H696" s="308">
        <v>46022</v>
      </c>
      <c r="I696" s="309">
        <v>-145022.07999999999</v>
      </c>
      <c r="J696" s="306" t="s">
        <v>1008</v>
      </c>
      <c r="K696" s="309">
        <v>-145022.07999999999</v>
      </c>
      <c r="L696" s="306" t="s">
        <v>1008</v>
      </c>
      <c r="M696" s="306" t="s">
        <v>1135</v>
      </c>
      <c r="N696" s="306" t="s">
        <v>1135</v>
      </c>
      <c r="O696" s="306" t="s">
        <v>1378</v>
      </c>
      <c r="P696" s="306" t="s">
        <v>212</v>
      </c>
      <c r="Q696" s="306" t="s">
        <v>1013</v>
      </c>
      <c r="R696" s="306" t="s">
        <v>1013</v>
      </c>
      <c r="S696" s="306" t="s">
        <v>1013</v>
      </c>
      <c r="T696" s="306" t="s">
        <v>1013</v>
      </c>
      <c r="U696" s="306" t="s">
        <v>1013</v>
      </c>
      <c r="V696" s="306" t="s">
        <v>1013</v>
      </c>
      <c r="W696" s="306" t="s">
        <v>1013</v>
      </c>
      <c r="X696" s="306" t="s">
        <v>1013</v>
      </c>
      <c r="Y696" s="306" t="s">
        <v>1112</v>
      </c>
      <c r="Z696" s="306" t="s">
        <v>1015</v>
      </c>
      <c r="AA696" s="306" t="s">
        <v>1013</v>
      </c>
    </row>
    <row r="697" spans="1:27">
      <c r="A697" s="306" t="s">
        <v>494</v>
      </c>
      <c r="B697" s="306" t="s">
        <v>1003</v>
      </c>
      <c r="C697" s="306" t="s">
        <v>1004</v>
      </c>
      <c r="D697" s="306" t="s">
        <v>2435</v>
      </c>
      <c r="E697" s="306" t="s">
        <v>2372</v>
      </c>
      <c r="F697" s="306" t="s">
        <v>1007</v>
      </c>
      <c r="G697" s="308">
        <v>46022</v>
      </c>
      <c r="H697" s="308">
        <v>46022</v>
      </c>
      <c r="I697" s="309">
        <v>-3899329.84</v>
      </c>
      <c r="J697" s="306" t="s">
        <v>1008</v>
      </c>
      <c r="K697" s="309">
        <v>-3899329.84</v>
      </c>
      <c r="L697" s="306" t="s">
        <v>1008</v>
      </c>
      <c r="M697" s="306" t="s">
        <v>1693</v>
      </c>
      <c r="N697" s="306" t="s">
        <v>1694</v>
      </c>
      <c r="O697" s="306" t="s">
        <v>2182</v>
      </c>
      <c r="P697" s="306" t="s">
        <v>1696</v>
      </c>
      <c r="Q697" s="306" t="s">
        <v>1013</v>
      </c>
      <c r="R697" s="306" t="s">
        <v>1013</v>
      </c>
      <c r="S697" s="306" t="s">
        <v>1013</v>
      </c>
      <c r="T697" s="306" t="s">
        <v>1013</v>
      </c>
      <c r="U697" s="306" t="s">
        <v>1013</v>
      </c>
      <c r="V697" s="306" t="s">
        <v>1013</v>
      </c>
      <c r="W697" s="306" t="s">
        <v>1013</v>
      </c>
      <c r="X697" s="306" t="s">
        <v>1013</v>
      </c>
      <c r="Y697" s="306" t="s">
        <v>1697</v>
      </c>
      <c r="Z697" s="306" t="s">
        <v>1015</v>
      </c>
      <c r="AA697" s="306" t="s">
        <v>1013</v>
      </c>
    </row>
    <row r="698" spans="1:27">
      <c r="A698" s="306" t="s">
        <v>494</v>
      </c>
      <c r="B698" s="306" t="s">
        <v>1003</v>
      </c>
      <c r="C698" s="306" t="s">
        <v>1004</v>
      </c>
      <c r="D698" s="306" t="s">
        <v>2435</v>
      </c>
      <c r="E698" s="306" t="s">
        <v>2373</v>
      </c>
      <c r="F698" s="306" t="s">
        <v>1007</v>
      </c>
      <c r="G698" s="308">
        <v>46022</v>
      </c>
      <c r="H698" s="308">
        <v>46022</v>
      </c>
      <c r="I698" s="309">
        <v>-17646.22</v>
      </c>
      <c r="J698" s="306" t="s">
        <v>1008</v>
      </c>
      <c r="K698" s="309">
        <v>-17646.22</v>
      </c>
      <c r="L698" s="306" t="s">
        <v>1008</v>
      </c>
      <c r="M698" s="306" t="s">
        <v>2374</v>
      </c>
      <c r="N698" s="306" t="s">
        <v>2374</v>
      </c>
      <c r="O698" s="306" t="s">
        <v>2375</v>
      </c>
      <c r="P698" s="306" t="s">
        <v>696</v>
      </c>
      <c r="Q698" s="306" t="s">
        <v>1013</v>
      </c>
      <c r="R698" s="306" t="s">
        <v>1013</v>
      </c>
      <c r="S698" s="306" t="s">
        <v>1013</v>
      </c>
      <c r="T698" s="306" t="s">
        <v>1013</v>
      </c>
      <c r="U698" s="306" t="s">
        <v>1013</v>
      </c>
      <c r="V698" s="306" t="s">
        <v>1013</v>
      </c>
      <c r="W698" s="306" t="s">
        <v>1013</v>
      </c>
      <c r="X698" s="306" t="s">
        <v>1013</v>
      </c>
      <c r="Y698" s="306" t="s">
        <v>2376</v>
      </c>
      <c r="Z698" s="306" t="s">
        <v>1015</v>
      </c>
      <c r="AA698" s="306" t="s">
        <v>1013</v>
      </c>
    </row>
    <row r="699" spans="1:27">
      <c r="A699" s="306" t="s">
        <v>494</v>
      </c>
      <c r="B699" s="306" t="s">
        <v>1003</v>
      </c>
      <c r="C699" s="306" t="s">
        <v>1004</v>
      </c>
      <c r="D699" s="306" t="s">
        <v>2435</v>
      </c>
      <c r="E699" s="306" t="s">
        <v>2377</v>
      </c>
      <c r="F699" s="306" t="s">
        <v>1007</v>
      </c>
      <c r="G699" s="308">
        <v>46022</v>
      </c>
      <c r="H699" s="308">
        <v>46022</v>
      </c>
      <c r="I699" s="309">
        <v>-10019.42</v>
      </c>
      <c r="J699" s="306" t="s">
        <v>1008</v>
      </c>
      <c r="K699" s="309">
        <v>-10019.42</v>
      </c>
      <c r="L699" s="306" t="s">
        <v>1008</v>
      </c>
      <c r="M699" s="306" t="s">
        <v>2374</v>
      </c>
      <c r="N699" s="306" t="s">
        <v>2374</v>
      </c>
      <c r="O699" s="306" t="s">
        <v>2378</v>
      </c>
      <c r="P699" s="306" t="s">
        <v>696</v>
      </c>
      <c r="Q699" s="306" t="s">
        <v>1013</v>
      </c>
      <c r="R699" s="306" t="s">
        <v>1013</v>
      </c>
      <c r="S699" s="306" t="s">
        <v>1013</v>
      </c>
      <c r="T699" s="306" t="s">
        <v>1013</v>
      </c>
      <c r="U699" s="306" t="s">
        <v>1013</v>
      </c>
      <c r="V699" s="306" t="s">
        <v>1013</v>
      </c>
      <c r="W699" s="306" t="s">
        <v>1013</v>
      </c>
      <c r="X699" s="306" t="s">
        <v>1013</v>
      </c>
      <c r="Y699" s="306" t="s">
        <v>2376</v>
      </c>
      <c r="Z699" s="306" t="s">
        <v>1015</v>
      </c>
      <c r="AA699" s="306" t="s">
        <v>1013</v>
      </c>
    </row>
    <row r="700" spans="1:27">
      <c r="A700" s="306" t="s">
        <v>494</v>
      </c>
      <c r="B700" s="306" t="s">
        <v>1003</v>
      </c>
      <c r="C700" s="306" t="s">
        <v>1004</v>
      </c>
      <c r="D700" s="306" t="s">
        <v>2435</v>
      </c>
      <c r="E700" s="306" t="s">
        <v>2379</v>
      </c>
      <c r="F700" s="306" t="s">
        <v>1007</v>
      </c>
      <c r="G700" s="308">
        <v>46022</v>
      </c>
      <c r="H700" s="308">
        <v>46022</v>
      </c>
      <c r="I700" s="309">
        <v>-109587.38</v>
      </c>
      <c r="J700" s="306" t="s">
        <v>1008</v>
      </c>
      <c r="K700" s="309">
        <v>-109587.38</v>
      </c>
      <c r="L700" s="306" t="s">
        <v>1008</v>
      </c>
      <c r="M700" s="306" t="s">
        <v>2380</v>
      </c>
      <c r="N700" s="306" t="s">
        <v>2380</v>
      </c>
      <c r="O700" s="306" t="s">
        <v>2381</v>
      </c>
      <c r="P700" s="306" t="s">
        <v>696</v>
      </c>
      <c r="Q700" s="306" t="s">
        <v>1013</v>
      </c>
      <c r="R700" s="306" t="s">
        <v>1013</v>
      </c>
      <c r="S700" s="306" t="s">
        <v>1013</v>
      </c>
      <c r="T700" s="306" t="s">
        <v>1013</v>
      </c>
      <c r="U700" s="306" t="s">
        <v>1013</v>
      </c>
      <c r="V700" s="306" t="s">
        <v>1013</v>
      </c>
      <c r="W700" s="306" t="s">
        <v>1013</v>
      </c>
      <c r="X700" s="306" t="s">
        <v>1013</v>
      </c>
      <c r="Y700" s="306" t="s">
        <v>2376</v>
      </c>
      <c r="Z700" s="306" t="s">
        <v>1015</v>
      </c>
      <c r="AA700" s="306" t="s">
        <v>1013</v>
      </c>
    </row>
    <row r="701" spans="1:27">
      <c r="A701" s="306" t="s">
        <v>494</v>
      </c>
      <c r="B701" s="306" t="s">
        <v>1003</v>
      </c>
      <c r="C701" s="306" t="s">
        <v>1004</v>
      </c>
      <c r="D701" s="306" t="s">
        <v>2435</v>
      </c>
      <c r="E701" s="306" t="s">
        <v>2382</v>
      </c>
      <c r="F701" s="306" t="s">
        <v>1007</v>
      </c>
      <c r="G701" s="308">
        <v>46022</v>
      </c>
      <c r="H701" s="308">
        <v>46022</v>
      </c>
      <c r="I701" s="309">
        <v>-92666.97</v>
      </c>
      <c r="J701" s="306" t="s">
        <v>1008</v>
      </c>
      <c r="K701" s="309">
        <v>-92666.97</v>
      </c>
      <c r="L701" s="306" t="s">
        <v>1008</v>
      </c>
      <c r="M701" s="306" t="s">
        <v>2380</v>
      </c>
      <c r="N701" s="306" t="s">
        <v>2380</v>
      </c>
      <c r="O701" s="306" t="s">
        <v>2383</v>
      </c>
      <c r="P701" s="306" t="s">
        <v>696</v>
      </c>
      <c r="Q701" s="306" t="s">
        <v>1013</v>
      </c>
      <c r="R701" s="306" t="s">
        <v>1013</v>
      </c>
      <c r="S701" s="306" t="s">
        <v>1013</v>
      </c>
      <c r="T701" s="306" t="s">
        <v>1013</v>
      </c>
      <c r="U701" s="306" t="s">
        <v>1013</v>
      </c>
      <c r="V701" s="306" t="s">
        <v>1013</v>
      </c>
      <c r="W701" s="306" t="s">
        <v>1013</v>
      </c>
      <c r="X701" s="306" t="s">
        <v>1013</v>
      </c>
      <c r="Y701" s="306" t="s">
        <v>1014</v>
      </c>
      <c r="Z701" s="306" t="s">
        <v>1015</v>
      </c>
      <c r="AA701" s="306" t="s">
        <v>1013</v>
      </c>
    </row>
    <row r="702" spans="1:27">
      <c r="A702" s="306" t="s">
        <v>494</v>
      </c>
      <c r="B702" s="306" t="s">
        <v>1003</v>
      </c>
      <c r="C702" s="306" t="s">
        <v>1004</v>
      </c>
      <c r="D702" s="306" t="s">
        <v>2435</v>
      </c>
      <c r="E702" s="306" t="s">
        <v>2384</v>
      </c>
      <c r="F702" s="306" t="s">
        <v>1007</v>
      </c>
      <c r="G702" s="308">
        <v>46022</v>
      </c>
      <c r="H702" s="308">
        <v>46022</v>
      </c>
      <c r="I702" s="309">
        <v>-10344.34</v>
      </c>
      <c r="J702" s="306" t="s">
        <v>1008</v>
      </c>
      <c r="K702" s="309">
        <v>-10344.34</v>
      </c>
      <c r="L702" s="306" t="s">
        <v>1008</v>
      </c>
      <c r="M702" s="306" t="s">
        <v>2374</v>
      </c>
      <c r="N702" s="306" t="s">
        <v>2374</v>
      </c>
      <c r="O702" s="306" t="s">
        <v>2385</v>
      </c>
      <c r="P702" s="306" t="s">
        <v>696</v>
      </c>
      <c r="Q702" s="306" t="s">
        <v>1013</v>
      </c>
      <c r="R702" s="306" t="s">
        <v>1013</v>
      </c>
      <c r="S702" s="306" t="s">
        <v>1013</v>
      </c>
      <c r="T702" s="306" t="s">
        <v>1013</v>
      </c>
      <c r="U702" s="306" t="s">
        <v>1013</v>
      </c>
      <c r="V702" s="306" t="s">
        <v>1013</v>
      </c>
      <c r="W702" s="306" t="s">
        <v>1013</v>
      </c>
      <c r="X702" s="306" t="s">
        <v>1013</v>
      </c>
      <c r="Y702" s="306" t="s">
        <v>1014</v>
      </c>
      <c r="Z702" s="306" t="s">
        <v>1015</v>
      </c>
      <c r="AA702" s="306" t="s">
        <v>1013</v>
      </c>
    </row>
    <row r="703" spans="1:27">
      <c r="A703" s="306" t="s">
        <v>494</v>
      </c>
      <c r="B703" s="306" t="s">
        <v>1003</v>
      </c>
      <c r="C703" s="306" t="s">
        <v>1004</v>
      </c>
      <c r="D703" s="306" t="s">
        <v>2435</v>
      </c>
      <c r="E703" s="306" t="s">
        <v>2386</v>
      </c>
      <c r="F703" s="306" t="s">
        <v>1007</v>
      </c>
      <c r="G703" s="308">
        <v>46022</v>
      </c>
      <c r="H703" s="308">
        <v>46022</v>
      </c>
      <c r="I703" s="309">
        <v>-186399.08</v>
      </c>
      <c r="J703" s="306" t="s">
        <v>1008</v>
      </c>
      <c r="K703" s="309">
        <v>-186399.08</v>
      </c>
      <c r="L703" s="306" t="s">
        <v>1008</v>
      </c>
      <c r="M703" s="306" t="s">
        <v>2380</v>
      </c>
      <c r="N703" s="306" t="s">
        <v>2380</v>
      </c>
      <c r="O703" s="306" t="s">
        <v>2387</v>
      </c>
      <c r="P703" s="306" t="s">
        <v>696</v>
      </c>
      <c r="Q703" s="306" t="s">
        <v>1013</v>
      </c>
      <c r="R703" s="306" t="s">
        <v>1013</v>
      </c>
      <c r="S703" s="306" t="s">
        <v>1013</v>
      </c>
      <c r="T703" s="306" t="s">
        <v>1013</v>
      </c>
      <c r="U703" s="306" t="s">
        <v>1013</v>
      </c>
      <c r="V703" s="306" t="s">
        <v>1013</v>
      </c>
      <c r="W703" s="306" t="s">
        <v>1013</v>
      </c>
      <c r="X703" s="306" t="s">
        <v>1013</v>
      </c>
      <c r="Y703" s="306" t="s">
        <v>1014</v>
      </c>
      <c r="Z703" s="306" t="s">
        <v>1015</v>
      </c>
      <c r="AA703" s="306" t="s">
        <v>1013</v>
      </c>
    </row>
    <row r="704" spans="1:27">
      <c r="A704" s="306" t="s">
        <v>494</v>
      </c>
      <c r="B704" s="306" t="s">
        <v>1003</v>
      </c>
      <c r="C704" s="306" t="s">
        <v>1004</v>
      </c>
      <c r="D704" s="306" t="s">
        <v>2435</v>
      </c>
      <c r="E704" s="306" t="s">
        <v>2388</v>
      </c>
      <c r="F704" s="306" t="s">
        <v>1007</v>
      </c>
      <c r="G704" s="308">
        <v>46022</v>
      </c>
      <c r="H704" s="308">
        <v>46022</v>
      </c>
      <c r="I704" s="309">
        <v>-284075.06</v>
      </c>
      <c r="J704" s="306" t="s">
        <v>1008</v>
      </c>
      <c r="K704" s="309">
        <v>-284075.06</v>
      </c>
      <c r="L704" s="306" t="s">
        <v>1008</v>
      </c>
      <c r="M704" s="306" t="s">
        <v>2380</v>
      </c>
      <c r="N704" s="306" t="s">
        <v>2380</v>
      </c>
      <c r="O704" s="306" t="s">
        <v>2389</v>
      </c>
      <c r="P704" s="306" t="s">
        <v>696</v>
      </c>
      <c r="Q704" s="306" t="s">
        <v>1013</v>
      </c>
      <c r="R704" s="306" t="s">
        <v>1013</v>
      </c>
      <c r="S704" s="306" t="s">
        <v>1013</v>
      </c>
      <c r="T704" s="306" t="s">
        <v>1013</v>
      </c>
      <c r="U704" s="306" t="s">
        <v>1013</v>
      </c>
      <c r="V704" s="306" t="s">
        <v>1013</v>
      </c>
      <c r="W704" s="306" t="s">
        <v>1013</v>
      </c>
      <c r="X704" s="306" t="s">
        <v>1013</v>
      </c>
      <c r="Y704" s="306" t="s">
        <v>1014</v>
      </c>
      <c r="Z704" s="306" t="s">
        <v>1015</v>
      </c>
      <c r="AA704" s="306" t="s">
        <v>1013</v>
      </c>
    </row>
    <row r="705" spans="1:27">
      <c r="A705" s="306" t="s">
        <v>494</v>
      </c>
      <c r="B705" s="306" t="s">
        <v>1003</v>
      </c>
      <c r="C705" s="306" t="s">
        <v>1004</v>
      </c>
      <c r="D705" s="306" t="s">
        <v>2435</v>
      </c>
      <c r="E705" s="306" t="s">
        <v>2390</v>
      </c>
      <c r="F705" s="306" t="s">
        <v>1007</v>
      </c>
      <c r="G705" s="308">
        <v>46022</v>
      </c>
      <c r="H705" s="308">
        <v>46022</v>
      </c>
      <c r="I705" s="309">
        <v>-23113.49</v>
      </c>
      <c r="J705" s="306" t="s">
        <v>1008</v>
      </c>
      <c r="K705" s="309">
        <v>-23113.49</v>
      </c>
      <c r="L705" s="306" t="s">
        <v>1008</v>
      </c>
      <c r="M705" s="306" t="s">
        <v>2380</v>
      </c>
      <c r="N705" s="306" t="s">
        <v>2380</v>
      </c>
      <c r="O705" s="306" t="s">
        <v>2391</v>
      </c>
      <c r="P705" s="306" t="s">
        <v>696</v>
      </c>
      <c r="Q705" s="306" t="s">
        <v>1013</v>
      </c>
      <c r="R705" s="306" t="s">
        <v>1013</v>
      </c>
      <c r="S705" s="306" t="s">
        <v>1013</v>
      </c>
      <c r="T705" s="306" t="s">
        <v>1013</v>
      </c>
      <c r="U705" s="306" t="s">
        <v>1013</v>
      </c>
      <c r="V705" s="306" t="s">
        <v>1013</v>
      </c>
      <c r="W705" s="306" t="s">
        <v>1013</v>
      </c>
      <c r="X705" s="306" t="s">
        <v>1013</v>
      </c>
      <c r="Y705" s="306" t="s">
        <v>1014</v>
      </c>
      <c r="Z705" s="306" t="s">
        <v>1015</v>
      </c>
      <c r="AA705" s="306" t="s">
        <v>1013</v>
      </c>
    </row>
    <row r="706" spans="1:27">
      <c r="A706" s="306" t="s">
        <v>494</v>
      </c>
      <c r="B706" s="306" t="s">
        <v>1003</v>
      </c>
      <c r="C706" s="306" t="s">
        <v>1004</v>
      </c>
      <c r="D706" s="306" t="s">
        <v>2435</v>
      </c>
      <c r="E706" s="306" t="s">
        <v>2392</v>
      </c>
      <c r="F706" s="306" t="s">
        <v>1007</v>
      </c>
      <c r="G706" s="308">
        <v>46022</v>
      </c>
      <c r="H706" s="308">
        <v>46022</v>
      </c>
      <c r="I706" s="309">
        <v>-4906.5600000000004</v>
      </c>
      <c r="J706" s="306" t="s">
        <v>1008</v>
      </c>
      <c r="K706" s="309">
        <v>-4906.5600000000004</v>
      </c>
      <c r="L706" s="306" t="s">
        <v>1008</v>
      </c>
      <c r="M706" s="306" t="s">
        <v>2374</v>
      </c>
      <c r="N706" s="306" t="s">
        <v>2374</v>
      </c>
      <c r="O706" s="306" t="s">
        <v>2393</v>
      </c>
      <c r="P706" s="306" t="s">
        <v>696</v>
      </c>
      <c r="Q706" s="306" t="s">
        <v>1013</v>
      </c>
      <c r="R706" s="306" t="s">
        <v>1013</v>
      </c>
      <c r="S706" s="306" t="s">
        <v>1013</v>
      </c>
      <c r="T706" s="306" t="s">
        <v>1013</v>
      </c>
      <c r="U706" s="306" t="s">
        <v>1013</v>
      </c>
      <c r="V706" s="306" t="s">
        <v>1013</v>
      </c>
      <c r="W706" s="306" t="s">
        <v>1013</v>
      </c>
      <c r="X706" s="306" t="s">
        <v>1013</v>
      </c>
      <c r="Y706" s="306" t="s">
        <v>1014</v>
      </c>
      <c r="Z706" s="306" t="s">
        <v>1015</v>
      </c>
      <c r="AA706" s="306" t="s">
        <v>1013</v>
      </c>
    </row>
    <row r="707" spans="1:27">
      <c r="A707" s="306" t="s">
        <v>494</v>
      </c>
      <c r="B707" s="306" t="s">
        <v>1003</v>
      </c>
      <c r="C707" s="306" t="s">
        <v>1004</v>
      </c>
      <c r="D707" s="306" t="s">
        <v>2435</v>
      </c>
      <c r="E707" s="306" t="s">
        <v>2394</v>
      </c>
      <c r="F707" s="306" t="s">
        <v>1007</v>
      </c>
      <c r="G707" s="308">
        <v>46022</v>
      </c>
      <c r="H707" s="308">
        <v>46022</v>
      </c>
      <c r="I707" s="309">
        <v>-467.49</v>
      </c>
      <c r="J707" s="306" t="s">
        <v>1008</v>
      </c>
      <c r="K707" s="309">
        <v>-467.49</v>
      </c>
      <c r="L707" s="306" t="s">
        <v>1008</v>
      </c>
      <c r="M707" s="306" t="s">
        <v>2374</v>
      </c>
      <c r="N707" s="306" t="s">
        <v>2374</v>
      </c>
      <c r="O707" s="306" t="s">
        <v>2395</v>
      </c>
      <c r="P707" s="306" t="s">
        <v>696</v>
      </c>
      <c r="Q707" s="306" t="s">
        <v>1013</v>
      </c>
      <c r="R707" s="306" t="s">
        <v>1013</v>
      </c>
      <c r="S707" s="306" t="s">
        <v>1013</v>
      </c>
      <c r="T707" s="306" t="s">
        <v>1013</v>
      </c>
      <c r="U707" s="306" t="s">
        <v>1013</v>
      </c>
      <c r="V707" s="306" t="s">
        <v>1013</v>
      </c>
      <c r="W707" s="306" t="s">
        <v>1013</v>
      </c>
      <c r="X707" s="306" t="s">
        <v>1013</v>
      </c>
      <c r="Y707" s="306" t="s">
        <v>1014</v>
      </c>
      <c r="Z707" s="306" t="s">
        <v>1015</v>
      </c>
      <c r="AA707" s="306" t="s">
        <v>1013</v>
      </c>
    </row>
    <row r="708" spans="1:27">
      <c r="A708" s="306" t="s">
        <v>494</v>
      </c>
      <c r="B708" s="306" t="s">
        <v>1003</v>
      </c>
      <c r="C708" s="306" t="s">
        <v>1004</v>
      </c>
      <c r="D708" s="306" t="s">
        <v>2435</v>
      </c>
      <c r="E708" s="306" t="s">
        <v>2396</v>
      </c>
      <c r="F708" s="306" t="s">
        <v>1007</v>
      </c>
      <c r="G708" s="308">
        <v>46022</v>
      </c>
      <c r="H708" s="308">
        <v>46022</v>
      </c>
      <c r="I708" s="309">
        <v>-7633.49</v>
      </c>
      <c r="J708" s="306" t="s">
        <v>1008</v>
      </c>
      <c r="K708" s="309">
        <v>-7633.49</v>
      </c>
      <c r="L708" s="306" t="s">
        <v>1008</v>
      </c>
      <c r="M708" s="306" t="s">
        <v>2380</v>
      </c>
      <c r="N708" s="306" t="s">
        <v>2380</v>
      </c>
      <c r="O708" s="306" t="s">
        <v>2397</v>
      </c>
      <c r="P708" s="306" t="s">
        <v>696</v>
      </c>
      <c r="Q708" s="306" t="s">
        <v>1013</v>
      </c>
      <c r="R708" s="306" t="s">
        <v>1013</v>
      </c>
      <c r="S708" s="306" t="s">
        <v>1013</v>
      </c>
      <c r="T708" s="306" t="s">
        <v>1013</v>
      </c>
      <c r="U708" s="306" t="s">
        <v>1013</v>
      </c>
      <c r="V708" s="306" t="s">
        <v>1013</v>
      </c>
      <c r="W708" s="306" t="s">
        <v>1013</v>
      </c>
      <c r="X708" s="306" t="s">
        <v>1013</v>
      </c>
      <c r="Y708" s="306" t="s">
        <v>1014</v>
      </c>
      <c r="Z708" s="306" t="s">
        <v>1015</v>
      </c>
      <c r="AA708" s="306" t="s">
        <v>1013</v>
      </c>
    </row>
    <row r="709" spans="1:27">
      <c r="A709" s="306" t="s">
        <v>494</v>
      </c>
      <c r="B709" s="306" t="s">
        <v>1003</v>
      </c>
      <c r="C709" s="306" t="s">
        <v>1004</v>
      </c>
      <c r="D709" s="306" t="s">
        <v>2435</v>
      </c>
      <c r="E709" s="306" t="s">
        <v>2398</v>
      </c>
      <c r="F709" s="306" t="s">
        <v>1007</v>
      </c>
      <c r="G709" s="308">
        <v>46022</v>
      </c>
      <c r="H709" s="308">
        <v>46022</v>
      </c>
      <c r="I709" s="309">
        <v>-261846.33</v>
      </c>
      <c r="J709" s="306" t="s">
        <v>1008</v>
      </c>
      <c r="K709" s="309">
        <v>-261846.33</v>
      </c>
      <c r="L709" s="306" t="s">
        <v>1008</v>
      </c>
      <c r="M709" s="306" t="s">
        <v>2380</v>
      </c>
      <c r="N709" s="306" t="s">
        <v>2380</v>
      </c>
      <c r="O709" s="306" t="s">
        <v>2399</v>
      </c>
      <c r="P709" s="306" t="s">
        <v>696</v>
      </c>
      <c r="Q709" s="306" t="s">
        <v>1013</v>
      </c>
      <c r="R709" s="306" t="s">
        <v>1013</v>
      </c>
      <c r="S709" s="306" t="s">
        <v>1013</v>
      </c>
      <c r="T709" s="306" t="s">
        <v>1013</v>
      </c>
      <c r="U709" s="306" t="s">
        <v>1013</v>
      </c>
      <c r="V709" s="306" t="s">
        <v>1013</v>
      </c>
      <c r="W709" s="306" t="s">
        <v>1013</v>
      </c>
      <c r="X709" s="306" t="s">
        <v>1013</v>
      </c>
      <c r="Y709" s="306" t="s">
        <v>1014</v>
      </c>
      <c r="Z709" s="306" t="s">
        <v>1015</v>
      </c>
      <c r="AA709" s="306" t="s">
        <v>1013</v>
      </c>
    </row>
    <row r="710" spans="1:27">
      <c r="A710" s="306" t="s">
        <v>494</v>
      </c>
      <c r="B710" s="306" t="s">
        <v>1003</v>
      </c>
      <c r="C710" s="306" t="s">
        <v>1004</v>
      </c>
      <c r="D710" s="306" t="s">
        <v>2435</v>
      </c>
      <c r="E710" s="306" t="s">
        <v>2400</v>
      </c>
      <c r="F710" s="306" t="s">
        <v>1007</v>
      </c>
      <c r="G710" s="308">
        <v>46022</v>
      </c>
      <c r="H710" s="308">
        <v>46022</v>
      </c>
      <c r="I710" s="309">
        <v>-8751.14</v>
      </c>
      <c r="J710" s="306" t="s">
        <v>1008</v>
      </c>
      <c r="K710" s="309">
        <v>-8751.14</v>
      </c>
      <c r="L710" s="306" t="s">
        <v>1008</v>
      </c>
      <c r="M710" s="306" t="s">
        <v>2380</v>
      </c>
      <c r="N710" s="306" t="s">
        <v>2380</v>
      </c>
      <c r="O710" s="306" t="s">
        <v>2401</v>
      </c>
      <c r="P710" s="306" t="s">
        <v>696</v>
      </c>
      <c r="Q710" s="306" t="s">
        <v>1013</v>
      </c>
      <c r="R710" s="306" t="s">
        <v>1013</v>
      </c>
      <c r="S710" s="306" t="s">
        <v>1013</v>
      </c>
      <c r="T710" s="306" t="s">
        <v>1013</v>
      </c>
      <c r="U710" s="306" t="s">
        <v>1013</v>
      </c>
      <c r="V710" s="306" t="s">
        <v>1013</v>
      </c>
      <c r="W710" s="306" t="s">
        <v>1013</v>
      </c>
      <c r="X710" s="306" t="s">
        <v>1013</v>
      </c>
      <c r="Y710" s="306" t="s">
        <v>1014</v>
      </c>
      <c r="Z710" s="306" t="s">
        <v>1015</v>
      </c>
      <c r="AA710" s="306" t="s">
        <v>1013</v>
      </c>
    </row>
    <row r="711" spans="1:27">
      <c r="A711" s="306" t="s">
        <v>494</v>
      </c>
      <c r="B711" s="306" t="s">
        <v>1003</v>
      </c>
      <c r="C711" s="306" t="s">
        <v>1004</v>
      </c>
      <c r="D711" s="306" t="s">
        <v>2435</v>
      </c>
      <c r="E711" s="306" t="s">
        <v>2402</v>
      </c>
      <c r="F711" s="306" t="s">
        <v>1007</v>
      </c>
      <c r="G711" s="308">
        <v>46022</v>
      </c>
      <c r="H711" s="308">
        <v>46022</v>
      </c>
      <c r="I711" s="309">
        <v>-7229.86</v>
      </c>
      <c r="J711" s="306" t="s">
        <v>1008</v>
      </c>
      <c r="K711" s="309">
        <v>-7229.86</v>
      </c>
      <c r="L711" s="306" t="s">
        <v>1008</v>
      </c>
      <c r="M711" s="306" t="s">
        <v>2374</v>
      </c>
      <c r="N711" s="306" t="s">
        <v>2374</v>
      </c>
      <c r="O711" s="306" t="s">
        <v>2403</v>
      </c>
      <c r="P711" s="306" t="s">
        <v>696</v>
      </c>
      <c r="Q711" s="306" t="s">
        <v>1013</v>
      </c>
      <c r="R711" s="306" t="s">
        <v>1013</v>
      </c>
      <c r="S711" s="306" t="s">
        <v>1013</v>
      </c>
      <c r="T711" s="306" t="s">
        <v>1013</v>
      </c>
      <c r="U711" s="306" t="s">
        <v>1013</v>
      </c>
      <c r="V711" s="306" t="s">
        <v>1013</v>
      </c>
      <c r="W711" s="306" t="s">
        <v>1013</v>
      </c>
      <c r="X711" s="306" t="s">
        <v>1013</v>
      </c>
      <c r="Y711" s="306" t="s">
        <v>1014</v>
      </c>
      <c r="Z711" s="306" t="s">
        <v>1015</v>
      </c>
      <c r="AA711" s="306" t="s">
        <v>1013</v>
      </c>
    </row>
    <row r="712" spans="1:27">
      <c r="A712" s="306" t="s">
        <v>494</v>
      </c>
      <c r="B712" s="306" t="s">
        <v>1003</v>
      </c>
      <c r="C712" s="306" t="s">
        <v>1004</v>
      </c>
      <c r="D712" s="306" t="s">
        <v>2435</v>
      </c>
      <c r="E712" s="306" t="s">
        <v>2404</v>
      </c>
      <c r="F712" s="306" t="s">
        <v>1007</v>
      </c>
      <c r="G712" s="308">
        <v>46022</v>
      </c>
      <c r="H712" s="308">
        <v>46022</v>
      </c>
      <c r="I712" s="309">
        <v>-17646.22</v>
      </c>
      <c r="J712" s="306" t="s">
        <v>1008</v>
      </c>
      <c r="K712" s="309">
        <v>-17646.22</v>
      </c>
      <c r="L712" s="306" t="s">
        <v>1008</v>
      </c>
      <c r="M712" s="306" t="s">
        <v>2374</v>
      </c>
      <c r="N712" s="306" t="s">
        <v>2374</v>
      </c>
      <c r="O712" s="306" t="s">
        <v>2375</v>
      </c>
      <c r="P712" s="306" t="s">
        <v>1026</v>
      </c>
      <c r="Q712" s="306" t="s">
        <v>1013</v>
      </c>
      <c r="R712" s="306" t="s">
        <v>1013</v>
      </c>
      <c r="S712" s="306" t="s">
        <v>1013</v>
      </c>
      <c r="T712" s="306" t="s">
        <v>1013</v>
      </c>
      <c r="U712" s="306" t="s">
        <v>1013</v>
      </c>
      <c r="V712" s="306" t="s">
        <v>1013</v>
      </c>
      <c r="W712" s="306" t="s">
        <v>1013</v>
      </c>
      <c r="X712" s="306" t="s">
        <v>1013</v>
      </c>
      <c r="Y712" s="306" t="s">
        <v>2376</v>
      </c>
      <c r="Z712" s="306" t="s">
        <v>1015</v>
      </c>
      <c r="AA712" s="306" t="s">
        <v>1013</v>
      </c>
    </row>
    <row r="713" spans="1:27">
      <c r="A713" s="306" t="s">
        <v>494</v>
      </c>
      <c r="B713" s="306" t="s">
        <v>1003</v>
      </c>
      <c r="C713" s="306" t="s">
        <v>1004</v>
      </c>
      <c r="D713" s="306" t="s">
        <v>2435</v>
      </c>
      <c r="E713" s="306" t="s">
        <v>2405</v>
      </c>
      <c r="F713" s="306" t="s">
        <v>1007</v>
      </c>
      <c r="G713" s="308">
        <v>46022</v>
      </c>
      <c r="H713" s="308">
        <v>46022</v>
      </c>
      <c r="I713" s="309">
        <v>-10019.42</v>
      </c>
      <c r="J713" s="306" t="s">
        <v>1008</v>
      </c>
      <c r="K713" s="309">
        <v>-10019.42</v>
      </c>
      <c r="L713" s="306" t="s">
        <v>1008</v>
      </c>
      <c r="M713" s="306" t="s">
        <v>2374</v>
      </c>
      <c r="N713" s="306" t="s">
        <v>2374</v>
      </c>
      <c r="O713" s="306" t="s">
        <v>2378</v>
      </c>
      <c r="P713" s="306" t="s">
        <v>1026</v>
      </c>
      <c r="Q713" s="306" t="s">
        <v>1013</v>
      </c>
      <c r="R713" s="306" t="s">
        <v>1013</v>
      </c>
      <c r="S713" s="306" t="s">
        <v>1013</v>
      </c>
      <c r="T713" s="306" t="s">
        <v>1013</v>
      </c>
      <c r="U713" s="306" t="s">
        <v>1013</v>
      </c>
      <c r="V713" s="306" t="s">
        <v>1013</v>
      </c>
      <c r="W713" s="306" t="s">
        <v>1013</v>
      </c>
      <c r="X713" s="306" t="s">
        <v>1013</v>
      </c>
      <c r="Y713" s="306" t="s">
        <v>2376</v>
      </c>
      <c r="Z713" s="306" t="s">
        <v>1015</v>
      </c>
      <c r="AA713" s="306" t="s">
        <v>1013</v>
      </c>
    </row>
    <row r="714" spans="1:27">
      <c r="A714" s="306" t="s">
        <v>494</v>
      </c>
      <c r="B714" s="306" t="s">
        <v>1003</v>
      </c>
      <c r="C714" s="306" t="s">
        <v>1004</v>
      </c>
      <c r="D714" s="306" t="s">
        <v>2435</v>
      </c>
      <c r="E714" s="306" t="s">
        <v>2406</v>
      </c>
      <c r="F714" s="306" t="s">
        <v>1007</v>
      </c>
      <c r="G714" s="308">
        <v>46022</v>
      </c>
      <c r="H714" s="308">
        <v>46022</v>
      </c>
      <c r="I714" s="309">
        <v>-109587.37</v>
      </c>
      <c r="J714" s="306" t="s">
        <v>1008</v>
      </c>
      <c r="K714" s="309">
        <v>-109587.37</v>
      </c>
      <c r="L714" s="306" t="s">
        <v>1008</v>
      </c>
      <c r="M714" s="306" t="s">
        <v>2380</v>
      </c>
      <c r="N714" s="306" t="s">
        <v>2380</v>
      </c>
      <c r="O714" s="306" t="s">
        <v>2381</v>
      </c>
      <c r="P714" s="306" t="s">
        <v>1026</v>
      </c>
      <c r="Q714" s="306" t="s">
        <v>1013</v>
      </c>
      <c r="R714" s="306" t="s">
        <v>1013</v>
      </c>
      <c r="S714" s="306" t="s">
        <v>1013</v>
      </c>
      <c r="T714" s="306" t="s">
        <v>1013</v>
      </c>
      <c r="U714" s="306" t="s">
        <v>1013</v>
      </c>
      <c r="V714" s="306" t="s">
        <v>1013</v>
      </c>
      <c r="W714" s="306" t="s">
        <v>1013</v>
      </c>
      <c r="X714" s="306" t="s">
        <v>1013</v>
      </c>
      <c r="Y714" s="306" t="s">
        <v>2376</v>
      </c>
      <c r="Z714" s="306" t="s">
        <v>1015</v>
      </c>
      <c r="AA714" s="306" t="s">
        <v>1013</v>
      </c>
    </row>
    <row r="715" spans="1:27">
      <c r="A715" s="306" t="s">
        <v>494</v>
      </c>
      <c r="B715" s="306" t="s">
        <v>1003</v>
      </c>
      <c r="C715" s="306" t="s">
        <v>1004</v>
      </c>
      <c r="D715" s="306" t="s">
        <v>2435</v>
      </c>
      <c r="E715" s="306" t="s">
        <v>2407</v>
      </c>
      <c r="F715" s="306" t="s">
        <v>1007</v>
      </c>
      <c r="G715" s="308">
        <v>46022</v>
      </c>
      <c r="H715" s="308">
        <v>46022</v>
      </c>
      <c r="I715" s="309">
        <v>-46333.49</v>
      </c>
      <c r="J715" s="306" t="s">
        <v>1008</v>
      </c>
      <c r="K715" s="309">
        <v>-46333.49</v>
      </c>
      <c r="L715" s="306" t="s">
        <v>1008</v>
      </c>
      <c r="M715" s="306" t="s">
        <v>2380</v>
      </c>
      <c r="N715" s="306" t="s">
        <v>2380</v>
      </c>
      <c r="O715" s="306" t="s">
        <v>2383</v>
      </c>
      <c r="P715" s="306" t="s">
        <v>1026</v>
      </c>
      <c r="Q715" s="306" t="s">
        <v>1013</v>
      </c>
      <c r="R715" s="306" t="s">
        <v>1013</v>
      </c>
      <c r="S715" s="306" t="s">
        <v>1013</v>
      </c>
      <c r="T715" s="306" t="s">
        <v>1013</v>
      </c>
      <c r="U715" s="306" t="s">
        <v>1013</v>
      </c>
      <c r="V715" s="306" t="s">
        <v>1013</v>
      </c>
      <c r="W715" s="306" t="s">
        <v>1013</v>
      </c>
      <c r="X715" s="306" t="s">
        <v>1013</v>
      </c>
      <c r="Y715" s="306" t="s">
        <v>1014</v>
      </c>
      <c r="Z715" s="306" t="s">
        <v>1015</v>
      </c>
      <c r="AA715" s="306" t="s">
        <v>1013</v>
      </c>
    </row>
    <row r="716" spans="1:27">
      <c r="A716" s="306" t="s">
        <v>494</v>
      </c>
      <c r="B716" s="306" t="s">
        <v>1003</v>
      </c>
      <c r="C716" s="306" t="s">
        <v>1004</v>
      </c>
      <c r="D716" s="306" t="s">
        <v>2435</v>
      </c>
      <c r="E716" s="306" t="s">
        <v>2408</v>
      </c>
      <c r="F716" s="306" t="s">
        <v>1007</v>
      </c>
      <c r="G716" s="308">
        <v>46022</v>
      </c>
      <c r="H716" s="308">
        <v>46022</v>
      </c>
      <c r="I716" s="309">
        <v>-55486.06</v>
      </c>
      <c r="J716" s="306" t="s">
        <v>1008</v>
      </c>
      <c r="K716" s="309">
        <v>-55486.06</v>
      </c>
      <c r="L716" s="306" t="s">
        <v>1008</v>
      </c>
      <c r="M716" s="306" t="s">
        <v>2380</v>
      </c>
      <c r="N716" s="306" t="s">
        <v>2380</v>
      </c>
      <c r="O716" s="306" t="s">
        <v>2409</v>
      </c>
      <c r="P716" s="306" t="s">
        <v>700</v>
      </c>
      <c r="Q716" s="306" t="s">
        <v>1013</v>
      </c>
      <c r="R716" s="306" t="s">
        <v>1013</v>
      </c>
      <c r="S716" s="306" t="s">
        <v>1013</v>
      </c>
      <c r="T716" s="306" t="s">
        <v>1013</v>
      </c>
      <c r="U716" s="306" t="s">
        <v>1013</v>
      </c>
      <c r="V716" s="306" t="s">
        <v>1013</v>
      </c>
      <c r="W716" s="306" t="s">
        <v>1013</v>
      </c>
      <c r="X716" s="306" t="s">
        <v>1013</v>
      </c>
      <c r="Y716" s="306" t="s">
        <v>2376</v>
      </c>
      <c r="Z716" s="306" t="s">
        <v>1015</v>
      </c>
      <c r="AA716" s="306" t="s">
        <v>1013</v>
      </c>
    </row>
    <row r="717" spans="1:27">
      <c r="A717" s="306" t="s">
        <v>494</v>
      </c>
      <c r="B717" s="306" t="s">
        <v>1003</v>
      </c>
      <c r="C717" s="306" t="s">
        <v>1004</v>
      </c>
      <c r="D717" s="306" t="s">
        <v>2435</v>
      </c>
      <c r="E717" s="306" t="s">
        <v>2410</v>
      </c>
      <c r="F717" s="306" t="s">
        <v>1007</v>
      </c>
      <c r="G717" s="308">
        <v>46022</v>
      </c>
      <c r="H717" s="308">
        <v>46022</v>
      </c>
      <c r="I717" s="309">
        <v>-94394.19</v>
      </c>
      <c r="J717" s="306" t="s">
        <v>1008</v>
      </c>
      <c r="K717" s="309">
        <v>-94394.19</v>
      </c>
      <c r="L717" s="306" t="s">
        <v>1008</v>
      </c>
      <c r="M717" s="306" t="s">
        <v>2380</v>
      </c>
      <c r="N717" s="306" t="s">
        <v>2380</v>
      </c>
      <c r="O717" s="306" t="s">
        <v>2411</v>
      </c>
      <c r="P717" s="306" t="s">
        <v>700</v>
      </c>
      <c r="Q717" s="306" t="s">
        <v>1013</v>
      </c>
      <c r="R717" s="306" t="s">
        <v>1013</v>
      </c>
      <c r="S717" s="306" t="s">
        <v>1013</v>
      </c>
      <c r="T717" s="306" t="s">
        <v>1013</v>
      </c>
      <c r="U717" s="306" t="s">
        <v>1013</v>
      </c>
      <c r="V717" s="306" t="s">
        <v>1013</v>
      </c>
      <c r="W717" s="306" t="s">
        <v>1013</v>
      </c>
      <c r="X717" s="306" t="s">
        <v>1013</v>
      </c>
      <c r="Y717" s="306" t="s">
        <v>2376</v>
      </c>
      <c r="Z717" s="306" t="s">
        <v>1015</v>
      </c>
      <c r="AA717" s="306" t="s">
        <v>1013</v>
      </c>
    </row>
    <row r="718" spans="1:27">
      <c r="A718" s="306" t="s">
        <v>494</v>
      </c>
      <c r="B718" s="306" t="s">
        <v>1003</v>
      </c>
      <c r="C718" s="306" t="s">
        <v>1004</v>
      </c>
      <c r="D718" s="306" t="s">
        <v>2435</v>
      </c>
      <c r="E718" s="306" t="s">
        <v>2412</v>
      </c>
      <c r="F718" s="306" t="s">
        <v>1007</v>
      </c>
      <c r="G718" s="308">
        <v>46022</v>
      </c>
      <c r="H718" s="308">
        <v>46022</v>
      </c>
      <c r="I718" s="309">
        <v>-17646.22</v>
      </c>
      <c r="J718" s="306" t="s">
        <v>1008</v>
      </c>
      <c r="K718" s="309">
        <v>-17646.22</v>
      </c>
      <c r="L718" s="306" t="s">
        <v>1008</v>
      </c>
      <c r="M718" s="306" t="s">
        <v>2374</v>
      </c>
      <c r="N718" s="306" t="s">
        <v>2374</v>
      </c>
      <c r="O718" s="306" t="s">
        <v>2375</v>
      </c>
      <c r="P718" s="306" t="s">
        <v>700</v>
      </c>
      <c r="Q718" s="306" t="s">
        <v>1013</v>
      </c>
      <c r="R718" s="306" t="s">
        <v>1013</v>
      </c>
      <c r="S718" s="306" t="s">
        <v>1013</v>
      </c>
      <c r="T718" s="306" t="s">
        <v>1013</v>
      </c>
      <c r="U718" s="306" t="s">
        <v>1013</v>
      </c>
      <c r="V718" s="306" t="s">
        <v>1013</v>
      </c>
      <c r="W718" s="306" t="s">
        <v>1013</v>
      </c>
      <c r="X718" s="306" t="s">
        <v>1013</v>
      </c>
      <c r="Y718" s="306" t="s">
        <v>2376</v>
      </c>
      <c r="Z718" s="306" t="s">
        <v>1015</v>
      </c>
      <c r="AA718" s="306" t="s">
        <v>1013</v>
      </c>
    </row>
    <row r="719" spans="1:27">
      <c r="A719" s="306" t="s">
        <v>494</v>
      </c>
      <c r="B719" s="306" t="s">
        <v>1003</v>
      </c>
      <c r="C719" s="306" t="s">
        <v>1004</v>
      </c>
      <c r="D719" s="306" t="s">
        <v>2435</v>
      </c>
      <c r="E719" s="306" t="s">
        <v>2413</v>
      </c>
      <c r="F719" s="306" t="s">
        <v>1007</v>
      </c>
      <c r="G719" s="308">
        <v>46022</v>
      </c>
      <c r="H719" s="308">
        <v>46022</v>
      </c>
      <c r="I719" s="309">
        <v>-10019.42</v>
      </c>
      <c r="J719" s="306" t="s">
        <v>1008</v>
      </c>
      <c r="K719" s="309">
        <v>-10019.42</v>
      </c>
      <c r="L719" s="306" t="s">
        <v>1008</v>
      </c>
      <c r="M719" s="306" t="s">
        <v>2374</v>
      </c>
      <c r="N719" s="306" t="s">
        <v>2374</v>
      </c>
      <c r="O719" s="306" t="s">
        <v>2378</v>
      </c>
      <c r="P719" s="306" t="s">
        <v>700</v>
      </c>
      <c r="Q719" s="306" t="s">
        <v>1013</v>
      </c>
      <c r="R719" s="306" t="s">
        <v>1013</v>
      </c>
      <c r="S719" s="306" t="s">
        <v>1013</v>
      </c>
      <c r="T719" s="306" t="s">
        <v>1013</v>
      </c>
      <c r="U719" s="306" t="s">
        <v>1013</v>
      </c>
      <c r="V719" s="306" t="s">
        <v>1013</v>
      </c>
      <c r="W719" s="306" t="s">
        <v>1013</v>
      </c>
      <c r="X719" s="306" t="s">
        <v>1013</v>
      </c>
      <c r="Y719" s="306" t="s">
        <v>2376</v>
      </c>
      <c r="Z719" s="306" t="s">
        <v>1015</v>
      </c>
      <c r="AA719" s="306" t="s">
        <v>1013</v>
      </c>
    </row>
    <row r="720" spans="1:27">
      <c r="A720" s="306" t="s">
        <v>494</v>
      </c>
      <c r="B720" s="306" t="s">
        <v>1003</v>
      </c>
      <c r="C720" s="306" t="s">
        <v>1004</v>
      </c>
      <c r="D720" s="306" t="s">
        <v>2435</v>
      </c>
      <c r="E720" s="306" t="s">
        <v>2414</v>
      </c>
      <c r="F720" s="306" t="s">
        <v>1007</v>
      </c>
      <c r="G720" s="308">
        <v>46022</v>
      </c>
      <c r="H720" s="308">
        <v>46022</v>
      </c>
      <c r="I720" s="309">
        <v>-109587.38</v>
      </c>
      <c r="J720" s="306" t="s">
        <v>1008</v>
      </c>
      <c r="K720" s="309">
        <v>-109587.38</v>
      </c>
      <c r="L720" s="306" t="s">
        <v>1008</v>
      </c>
      <c r="M720" s="306" t="s">
        <v>2380</v>
      </c>
      <c r="N720" s="306" t="s">
        <v>2380</v>
      </c>
      <c r="O720" s="306" t="s">
        <v>2381</v>
      </c>
      <c r="P720" s="306" t="s">
        <v>700</v>
      </c>
      <c r="Q720" s="306" t="s">
        <v>1013</v>
      </c>
      <c r="R720" s="306" t="s">
        <v>1013</v>
      </c>
      <c r="S720" s="306" t="s">
        <v>1013</v>
      </c>
      <c r="T720" s="306" t="s">
        <v>1013</v>
      </c>
      <c r="U720" s="306" t="s">
        <v>1013</v>
      </c>
      <c r="V720" s="306" t="s">
        <v>1013</v>
      </c>
      <c r="W720" s="306" t="s">
        <v>1013</v>
      </c>
      <c r="X720" s="306" t="s">
        <v>1013</v>
      </c>
      <c r="Y720" s="306" t="s">
        <v>2376</v>
      </c>
      <c r="Z720" s="306" t="s">
        <v>1015</v>
      </c>
      <c r="AA720" s="306" t="s">
        <v>1013</v>
      </c>
    </row>
    <row r="721" spans="1:27">
      <c r="A721" s="306" t="s">
        <v>494</v>
      </c>
      <c r="B721" s="306" t="s">
        <v>1003</v>
      </c>
      <c r="C721" s="306" t="s">
        <v>1004</v>
      </c>
      <c r="D721" s="306" t="s">
        <v>2435</v>
      </c>
      <c r="E721" s="306" t="s">
        <v>2415</v>
      </c>
      <c r="F721" s="306" t="s">
        <v>1007</v>
      </c>
      <c r="G721" s="308">
        <v>46022</v>
      </c>
      <c r="H721" s="308">
        <v>46022</v>
      </c>
      <c r="I721" s="309">
        <v>-327529.82</v>
      </c>
      <c r="J721" s="306" t="s">
        <v>1008</v>
      </c>
      <c r="K721" s="309">
        <v>-327529.82</v>
      </c>
      <c r="L721" s="306" t="s">
        <v>1008</v>
      </c>
      <c r="M721" s="306" t="s">
        <v>2380</v>
      </c>
      <c r="N721" s="306" t="s">
        <v>2380</v>
      </c>
      <c r="O721" s="306" t="s">
        <v>2416</v>
      </c>
      <c r="P721" s="306" t="s">
        <v>700</v>
      </c>
      <c r="Q721" s="306" t="s">
        <v>1013</v>
      </c>
      <c r="R721" s="306" t="s">
        <v>1013</v>
      </c>
      <c r="S721" s="306" t="s">
        <v>1013</v>
      </c>
      <c r="T721" s="306" t="s">
        <v>1013</v>
      </c>
      <c r="U721" s="306" t="s">
        <v>1013</v>
      </c>
      <c r="V721" s="306" t="s">
        <v>1013</v>
      </c>
      <c r="W721" s="306" t="s">
        <v>1013</v>
      </c>
      <c r="X721" s="306" t="s">
        <v>1013</v>
      </c>
      <c r="Y721" s="306" t="s">
        <v>1014</v>
      </c>
      <c r="Z721" s="306" t="s">
        <v>1015</v>
      </c>
      <c r="AA721" s="306" t="s">
        <v>1013</v>
      </c>
    </row>
    <row r="722" spans="1:27">
      <c r="A722" s="306" t="s">
        <v>494</v>
      </c>
      <c r="B722" s="306" t="s">
        <v>1003</v>
      </c>
      <c r="C722" s="306" t="s">
        <v>1004</v>
      </c>
      <c r="D722" s="306" t="s">
        <v>2435</v>
      </c>
      <c r="E722" s="306" t="s">
        <v>2417</v>
      </c>
      <c r="F722" s="306" t="s">
        <v>1007</v>
      </c>
      <c r="G722" s="308">
        <v>46022</v>
      </c>
      <c r="H722" s="308">
        <v>46022</v>
      </c>
      <c r="I722" s="309">
        <v>-2829.48</v>
      </c>
      <c r="J722" s="306" t="s">
        <v>1008</v>
      </c>
      <c r="K722" s="309">
        <v>-2829.48</v>
      </c>
      <c r="L722" s="306" t="s">
        <v>1008</v>
      </c>
      <c r="M722" s="306" t="s">
        <v>2374</v>
      </c>
      <c r="N722" s="306" t="s">
        <v>2374</v>
      </c>
      <c r="O722" s="306" t="s">
        <v>1023</v>
      </c>
      <c r="P722" s="306" t="s">
        <v>700</v>
      </c>
      <c r="Q722" s="306" t="s">
        <v>1013</v>
      </c>
      <c r="R722" s="306" t="s">
        <v>1013</v>
      </c>
      <c r="S722" s="306" t="s">
        <v>1013</v>
      </c>
      <c r="T722" s="306" t="s">
        <v>1013</v>
      </c>
      <c r="U722" s="306" t="s">
        <v>1013</v>
      </c>
      <c r="V722" s="306" t="s">
        <v>1013</v>
      </c>
      <c r="W722" s="306" t="s">
        <v>1013</v>
      </c>
      <c r="X722" s="306" t="s">
        <v>1013</v>
      </c>
      <c r="Y722" s="306" t="s">
        <v>1014</v>
      </c>
      <c r="Z722" s="306" t="s">
        <v>1015</v>
      </c>
      <c r="AA722" s="306" t="s">
        <v>1013</v>
      </c>
    </row>
    <row r="723" spans="1:27">
      <c r="A723" s="306" t="s">
        <v>494</v>
      </c>
      <c r="B723" s="306" t="s">
        <v>1003</v>
      </c>
      <c r="C723" s="306" t="s">
        <v>1004</v>
      </c>
      <c r="D723" s="306" t="s">
        <v>2435</v>
      </c>
      <c r="E723" s="306" t="s">
        <v>2418</v>
      </c>
      <c r="F723" s="306" t="s">
        <v>1007</v>
      </c>
      <c r="G723" s="308">
        <v>46022</v>
      </c>
      <c r="H723" s="308">
        <v>46022</v>
      </c>
      <c r="I723" s="309">
        <v>-24639.119999999999</v>
      </c>
      <c r="J723" s="306" t="s">
        <v>1008</v>
      </c>
      <c r="K723" s="309">
        <v>-24639.119999999999</v>
      </c>
      <c r="L723" s="306" t="s">
        <v>1008</v>
      </c>
      <c r="M723" s="306" t="s">
        <v>2419</v>
      </c>
      <c r="N723" s="306" t="s">
        <v>2419</v>
      </c>
      <c r="O723" s="306" t="s">
        <v>1822</v>
      </c>
      <c r="P723" s="306" t="s">
        <v>696</v>
      </c>
      <c r="Q723" s="306" t="s">
        <v>1013</v>
      </c>
      <c r="R723" s="306" t="s">
        <v>1013</v>
      </c>
      <c r="S723" s="306" t="s">
        <v>1013</v>
      </c>
      <c r="T723" s="306" t="s">
        <v>1013</v>
      </c>
      <c r="U723" s="306" t="s">
        <v>1013</v>
      </c>
      <c r="V723" s="306" t="s">
        <v>1013</v>
      </c>
      <c r="W723" s="306" t="s">
        <v>1013</v>
      </c>
      <c r="X723" s="306" t="s">
        <v>1013</v>
      </c>
      <c r="Y723" s="306" t="s">
        <v>2420</v>
      </c>
      <c r="Z723" s="306" t="s">
        <v>1015</v>
      </c>
      <c r="AA723" s="306" t="s">
        <v>1013</v>
      </c>
    </row>
    <row r="724" spans="1:27">
      <c r="A724" s="306" t="s">
        <v>494</v>
      </c>
      <c r="B724" s="306" t="s">
        <v>1003</v>
      </c>
      <c r="C724" s="306" t="s">
        <v>1004</v>
      </c>
      <c r="D724" s="306" t="s">
        <v>2435</v>
      </c>
      <c r="E724" s="306" t="s">
        <v>2421</v>
      </c>
      <c r="F724" s="306" t="s">
        <v>1007</v>
      </c>
      <c r="G724" s="308">
        <v>46022</v>
      </c>
      <c r="H724" s="308">
        <v>46022</v>
      </c>
      <c r="I724" s="309">
        <v>-1360.86</v>
      </c>
      <c r="J724" s="306" t="s">
        <v>1008</v>
      </c>
      <c r="K724" s="309">
        <v>-1360.86</v>
      </c>
      <c r="L724" s="306" t="s">
        <v>1008</v>
      </c>
      <c r="M724" s="306" t="s">
        <v>2419</v>
      </c>
      <c r="N724" s="306" t="s">
        <v>2419</v>
      </c>
      <c r="O724" s="306" t="s">
        <v>1129</v>
      </c>
      <c r="P724" s="306" t="s">
        <v>696</v>
      </c>
      <c r="Q724" s="306" t="s">
        <v>1013</v>
      </c>
      <c r="R724" s="306" t="s">
        <v>1013</v>
      </c>
      <c r="S724" s="306" t="s">
        <v>1013</v>
      </c>
      <c r="T724" s="306" t="s">
        <v>1013</v>
      </c>
      <c r="U724" s="306" t="s">
        <v>1013</v>
      </c>
      <c r="V724" s="306" t="s">
        <v>1013</v>
      </c>
      <c r="W724" s="306" t="s">
        <v>1013</v>
      </c>
      <c r="X724" s="306" t="s">
        <v>1013</v>
      </c>
      <c r="Y724" s="306" t="s">
        <v>2420</v>
      </c>
      <c r="Z724" s="306" t="s">
        <v>1015</v>
      </c>
      <c r="AA724" s="306" t="s">
        <v>1013</v>
      </c>
    </row>
    <row r="725" spans="1:27">
      <c r="A725" s="306" t="s">
        <v>494</v>
      </c>
      <c r="B725" s="306" t="s">
        <v>1003</v>
      </c>
      <c r="C725" s="306" t="s">
        <v>1004</v>
      </c>
      <c r="D725" s="306" t="s">
        <v>2435</v>
      </c>
      <c r="E725" s="306" t="s">
        <v>2422</v>
      </c>
      <c r="F725" s="306" t="s">
        <v>1007</v>
      </c>
      <c r="G725" s="308">
        <v>46022</v>
      </c>
      <c r="H725" s="308">
        <v>46022</v>
      </c>
      <c r="I725" s="309">
        <v>-78188.679999999993</v>
      </c>
      <c r="J725" s="306" t="s">
        <v>1008</v>
      </c>
      <c r="K725" s="309">
        <v>-78188.679999999993</v>
      </c>
      <c r="L725" s="306" t="s">
        <v>1008</v>
      </c>
      <c r="M725" s="306" t="s">
        <v>2419</v>
      </c>
      <c r="N725" s="306" t="s">
        <v>2419</v>
      </c>
      <c r="O725" s="306" t="s">
        <v>2423</v>
      </c>
      <c r="P725" s="306" t="s">
        <v>696</v>
      </c>
      <c r="Q725" s="306" t="s">
        <v>1013</v>
      </c>
      <c r="R725" s="306" t="s">
        <v>1013</v>
      </c>
      <c r="S725" s="306" t="s">
        <v>1013</v>
      </c>
      <c r="T725" s="306" t="s">
        <v>1013</v>
      </c>
      <c r="U725" s="306" t="s">
        <v>1013</v>
      </c>
      <c r="V725" s="306" t="s">
        <v>1013</v>
      </c>
      <c r="W725" s="306" t="s">
        <v>1013</v>
      </c>
      <c r="X725" s="306" t="s">
        <v>1013</v>
      </c>
      <c r="Y725" s="306" t="s">
        <v>2420</v>
      </c>
      <c r="Z725" s="306" t="s">
        <v>1015</v>
      </c>
      <c r="AA725" s="306" t="s">
        <v>1013</v>
      </c>
    </row>
    <row r="726" spans="1:27">
      <c r="A726" s="306" t="s">
        <v>494</v>
      </c>
      <c r="B726" s="306" t="s">
        <v>1003</v>
      </c>
      <c r="C726" s="306" t="s">
        <v>1004</v>
      </c>
      <c r="D726" s="306" t="s">
        <v>2435</v>
      </c>
      <c r="E726" s="306" t="s">
        <v>2424</v>
      </c>
      <c r="F726" s="306" t="s">
        <v>1007</v>
      </c>
      <c r="G726" s="308">
        <v>46022</v>
      </c>
      <c r="H726" s="308">
        <v>46022</v>
      </c>
      <c r="I726" s="309">
        <v>-477927.5</v>
      </c>
      <c r="J726" s="306" t="s">
        <v>1008</v>
      </c>
      <c r="K726" s="309">
        <v>-477927.5</v>
      </c>
      <c r="L726" s="306" t="s">
        <v>1008</v>
      </c>
      <c r="M726" s="306" t="s">
        <v>1110</v>
      </c>
      <c r="N726" s="306" t="s">
        <v>1110</v>
      </c>
      <c r="O726" s="306" t="s">
        <v>2182</v>
      </c>
      <c r="P726" s="306" t="s">
        <v>212</v>
      </c>
      <c r="Q726" s="306" t="s">
        <v>1013</v>
      </c>
      <c r="R726" s="306" t="s">
        <v>1013</v>
      </c>
      <c r="S726" s="306" t="s">
        <v>1013</v>
      </c>
      <c r="T726" s="306" t="s">
        <v>1013</v>
      </c>
      <c r="U726" s="306" t="s">
        <v>1013</v>
      </c>
      <c r="V726" s="306" t="s">
        <v>1013</v>
      </c>
      <c r="W726" s="306" t="s">
        <v>1013</v>
      </c>
      <c r="X726" s="306" t="s">
        <v>1013</v>
      </c>
      <c r="Y726" s="306" t="s">
        <v>1112</v>
      </c>
      <c r="Z726" s="306" t="s">
        <v>1015</v>
      </c>
      <c r="AA726" s="306" t="s">
        <v>1013</v>
      </c>
    </row>
    <row r="727" spans="1:27">
      <c r="A727" s="306" t="s">
        <v>494</v>
      </c>
      <c r="B727" s="306" t="s">
        <v>1003</v>
      </c>
      <c r="C727" s="306" t="s">
        <v>1004</v>
      </c>
      <c r="D727" s="306" t="s">
        <v>2435</v>
      </c>
      <c r="E727" s="306" t="s">
        <v>2473</v>
      </c>
      <c r="F727" s="306" t="s">
        <v>1007</v>
      </c>
      <c r="G727" s="308">
        <v>46022</v>
      </c>
      <c r="H727" s="308">
        <v>46022</v>
      </c>
      <c r="I727" s="309">
        <v>-410691.69</v>
      </c>
      <c r="J727" s="306" t="s">
        <v>1008</v>
      </c>
      <c r="K727" s="309">
        <v>-410691.69</v>
      </c>
      <c r="L727" s="306" t="s">
        <v>1008</v>
      </c>
      <c r="M727" s="306" t="s">
        <v>2474</v>
      </c>
      <c r="N727" s="306" t="s">
        <v>2475</v>
      </c>
      <c r="O727" s="306" t="s">
        <v>1013</v>
      </c>
      <c r="P727" s="306" t="s">
        <v>1013</v>
      </c>
      <c r="Q727" s="306" t="s">
        <v>1013</v>
      </c>
      <c r="R727" s="306" t="s">
        <v>1013</v>
      </c>
      <c r="S727" s="306" t="s">
        <v>1013</v>
      </c>
      <c r="T727" s="306" t="s">
        <v>1013</v>
      </c>
      <c r="U727" s="306" t="s">
        <v>1013</v>
      </c>
      <c r="V727" s="306" t="s">
        <v>1013</v>
      </c>
      <c r="W727" s="306" t="s">
        <v>1013</v>
      </c>
      <c r="X727" s="306" t="s">
        <v>1013</v>
      </c>
      <c r="Y727" s="306" t="s">
        <v>2438</v>
      </c>
      <c r="Z727" s="306" t="s">
        <v>2428</v>
      </c>
      <c r="AA727" s="306" t="s">
        <v>1013</v>
      </c>
    </row>
    <row r="728" spans="1:27">
      <c r="A728" s="306" t="s">
        <v>494</v>
      </c>
      <c r="B728" s="306" t="s">
        <v>1003</v>
      </c>
      <c r="C728" s="306" t="s">
        <v>1004</v>
      </c>
      <c r="D728" s="306" t="s">
        <v>2435</v>
      </c>
      <c r="E728" s="306" t="s">
        <v>2473</v>
      </c>
      <c r="F728" s="306" t="s">
        <v>1007</v>
      </c>
      <c r="G728" s="308">
        <v>46022</v>
      </c>
      <c r="H728" s="308">
        <v>46022</v>
      </c>
      <c r="I728" s="309">
        <v>-18626838.010000002</v>
      </c>
      <c r="J728" s="306" t="s">
        <v>1008</v>
      </c>
      <c r="K728" s="309">
        <v>-18626838.010000002</v>
      </c>
      <c r="L728" s="306" t="s">
        <v>1008</v>
      </c>
      <c r="M728" s="306" t="s">
        <v>2474</v>
      </c>
      <c r="N728" s="306" t="s">
        <v>2475</v>
      </c>
      <c r="O728" s="306" t="s">
        <v>1013</v>
      </c>
      <c r="P728" s="306" t="s">
        <v>1013</v>
      </c>
      <c r="Q728" s="306" t="s">
        <v>1013</v>
      </c>
      <c r="R728" s="306" t="s">
        <v>1013</v>
      </c>
      <c r="S728" s="306" t="s">
        <v>1013</v>
      </c>
      <c r="T728" s="306" t="s">
        <v>1013</v>
      </c>
      <c r="U728" s="306" t="s">
        <v>1013</v>
      </c>
      <c r="V728" s="306" t="s">
        <v>1013</v>
      </c>
      <c r="W728" s="306" t="s">
        <v>1013</v>
      </c>
      <c r="X728" s="306" t="s">
        <v>1013</v>
      </c>
      <c r="Y728" s="306" t="s">
        <v>2439</v>
      </c>
      <c r="Z728" s="306" t="s">
        <v>2428</v>
      </c>
      <c r="AA728" s="306" t="s">
        <v>1013</v>
      </c>
    </row>
    <row r="729" spans="1:27">
      <c r="A729" s="306" t="s">
        <v>494</v>
      </c>
      <c r="B729" s="306" t="s">
        <v>1003</v>
      </c>
      <c r="C729" s="306" t="s">
        <v>1004</v>
      </c>
      <c r="D729" s="306" t="s">
        <v>2435</v>
      </c>
      <c r="E729" s="306" t="s">
        <v>2473</v>
      </c>
      <c r="F729" s="306" t="s">
        <v>1007</v>
      </c>
      <c r="G729" s="308">
        <v>46022</v>
      </c>
      <c r="H729" s="308">
        <v>46022</v>
      </c>
      <c r="I729" s="309">
        <v>-0.03</v>
      </c>
      <c r="J729" s="306" t="s">
        <v>1008</v>
      </c>
      <c r="K729" s="309">
        <v>-0.03</v>
      </c>
      <c r="L729" s="306" t="s">
        <v>1008</v>
      </c>
      <c r="M729" s="306" t="s">
        <v>2474</v>
      </c>
      <c r="N729" s="306" t="s">
        <v>2475</v>
      </c>
      <c r="O729" s="306" t="s">
        <v>1013</v>
      </c>
      <c r="P729" s="306" t="s">
        <v>1013</v>
      </c>
      <c r="Q729" s="306" t="s">
        <v>1013</v>
      </c>
      <c r="R729" s="306" t="s">
        <v>1013</v>
      </c>
      <c r="S729" s="306" t="s">
        <v>1013</v>
      </c>
      <c r="T729" s="306" t="s">
        <v>1013</v>
      </c>
      <c r="U729" s="306" t="s">
        <v>1013</v>
      </c>
      <c r="V729" s="306" t="s">
        <v>1013</v>
      </c>
      <c r="W729" s="306" t="s">
        <v>1013</v>
      </c>
      <c r="X729" s="306" t="s">
        <v>1013</v>
      </c>
      <c r="Y729" s="306" t="s">
        <v>2440</v>
      </c>
      <c r="Z729" s="306" t="s">
        <v>2428</v>
      </c>
      <c r="AA729" s="306" t="s">
        <v>1013</v>
      </c>
    </row>
    <row r="730" spans="1:27">
      <c r="A730" s="306" t="s">
        <v>494</v>
      </c>
      <c r="B730" s="306" t="s">
        <v>1003</v>
      </c>
      <c r="C730" s="306" t="s">
        <v>1004</v>
      </c>
      <c r="D730" s="306" t="s">
        <v>2435</v>
      </c>
      <c r="E730" s="306" t="s">
        <v>2476</v>
      </c>
      <c r="F730" s="306" t="s">
        <v>1007</v>
      </c>
      <c r="G730" s="308">
        <v>46022</v>
      </c>
      <c r="H730" s="308">
        <v>46022</v>
      </c>
      <c r="I730" s="309">
        <v>-3316656.41</v>
      </c>
      <c r="J730" s="306" t="s">
        <v>1008</v>
      </c>
      <c r="K730" s="309">
        <v>-3316656.41</v>
      </c>
      <c r="L730" s="306" t="s">
        <v>1008</v>
      </c>
      <c r="M730" s="306" t="s">
        <v>2474</v>
      </c>
      <c r="N730" s="306" t="s">
        <v>2477</v>
      </c>
      <c r="O730" s="306" t="s">
        <v>1013</v>
      </c>
      <c r="P730" s="306" t="s">
        <v>1013</v>
      </c>
      <c r="Q730" s="306" t="s">
        <v>1013</v>
      </c>
      <c r="R730" s="306" t="s">
        <v>1013</v>
      </c>
      <c r="S730" s="306" t="s">
        <v>1013</v>
      </c>
      <c r="T730" s="306" t="s">
        <v>1013</v>
      </c>
      <c r="U730" s="306" t="s">
        <v>1013</v>
      </c>
      <c r="V730" s="306" t="s">
        <v>1013</v>
      </c>
      <c r="W730" s="306" t="s">
        <v>1013</v>
      </c>
      <c r="X730" s="306" t="s">
        <v>1013</v>
      </c>
      <c r="Y730" s="306" t="s">
        <v>2446</v>
      </c>
      <c r="Z730" s="306" t="s">
        <v>2428</v>
      </c>
      <c r="AA730" s="306" t="s">
        <v>1013</v>
      </c>
    </row>
    <row r="731" spans="1:27">
      <c r="A731" s="306" t="s">
        <v>494</v>
      </c>
      <c r="B731" s="306" t="s">
        <v>1003</v>
      </c>
      <c r="C731" s="306" t="s">
        <v>1004</v>
      </c>
      <c r="D731" s="306" t="s">
        <v>2435</v>
      </c>
      <c r="E731" s="306" t="s">
        <v>2476</v>
      </c>
      <c r="F731" s="306" t="s">
        <v>1007</v>
      </c>
      <c r="G731" s="308">
        <v>46022</v>
      </c>
      <c r="H731" s="308">
        <v>46022</v>
      </c>
      <c r="I731" s="309">
        <v>-3688190.09</v>
      </c>
      <c r="J731" s="306" t="s">
        <v>1008</v>
      </c>
      <c r="K731" s="309">
        <v>-3688190.09</v>
      </c>
      <c r="L731" s="306" t="s">
        <v>1008</v>
      </c>
      <c r="M731" s="306" t="s">
        <v>2474</v>
      </c>
      <c r="N731" s="306" t="s">
        <v>2477</v>
      </c>
      <c r="O731" s="306" t="s">
        <v>1013</v>
      </c>
      <c r="P731" s="306" t="s">
        <v>1013</v>
      </c>
      <c r="Q731" s="306" t="s">
        <v>1013</v>
      </c>
      <c r="R731" s="306" t="s">
        <v>1013</v>
      </c>
      <c r="S731" s="306" t="s">
        <v>1013</v>
      </c>
      <c r="T731" s="306" t="s">
        <v>1013</v>
      </c>
      <c r="U731" s="306" t="s">
        <v>1013</v>
      </c>
      <c r="V731" s="306" t="s">
        <v>1013</v>
      </c>
      <c r="W731" s="306" t="s">
        <v>1013</v>
      </c>
      <c r="X731" s="306" t="s">
        <v>1013</v>
      </c>
      <c r="Y731" s="306" t="s">
        <v>2427</v>
      </c>
      <c r="Z731" s="306" t="s">
        <v>2428</v>
      </c>
      <c r="AA731" s="306" t="s">
        <v>1013</v>
      </c>
    </row>
    <row r="732" spans="1:27">
      <c r="A732" s="306" t="s">
        <v>494</v>
      </c>
      <c r="B732" s="306" t="s">
        <v>1003</v>
      </c>
      <c r="C732" s="306" t="s">
        <v>1004</v>
      </c>
      <c r="D732" s="306" t="s">
        <v>2435</v>
      </c>
      <c r="E732" s="306" t="s">
        <v>2476</v>
      </c>
      <c r="F732" s="306" t="s">
        <v>1007</v>
      </c>
      <c r="G732" s="308">
        <v>46022</v>
      </c>
      <c r="H732" s="308">
        <v>46022</v>
      </c>
      <c r="I732" s="309">
        <v>-35894453.049999997</v>
      </c>
      <c r="J732" s="306" t="s">
        <v>1008</v>
      </c>
      <c r="K732" s="309">
        <v>-35894453.049999997</v>
      </c>
      <c r="L732" s="306" t="s">
        <v>1008</v>
      </c>
      <c r="M732" s="306" t="s">
        <v>2474</v>
      </c>
      <c r="N732" s="306" t="s">
        <v>2477</v>
      </c>
      <c r="O732" s="306" t="s">
        <v>1013</v>
      </c>
      <c r="P732" s="306" t="s">
        <v>1013</v>
      </c>
      <c r="Q732" s="306" t="s">
        <v>1013</v>
      </c>
      <c r="R732" s="306" t="s">
        <v>1013</v>
      </c>
      <c r="S732" s="306" t="s">
        <v>1013</v>
      </c>
      <c r="T732" s="306" t="s">
        <v>1013</v>
      </c>
      <c r="U732" s="306" t="s">
        <v>1013</v>
      </c>
      <c r="V732" s="306" t="s">
        <v>1013</v>
      </c>
      <c r="W732" s="306" t="s">
        <v>1013</v>
      </c>
      <c r="X732" s="306" t="s">
        <v>1013</v>
      </c>
      <c r="Y732" s="306" t="s">
        <v>2447</v>
      </c>
      <c r="Z732" s="306" t="s">
        <v>2428</v>
      </c>
      <c r="AA732" s="306" t="s">
        <v>1013</v>
      </c>
    </row>
    <row r="733" spans="1:27">
      <c r="A733" s="306" t="s">
        <v>494</v>
      </c>
      <c r="B733" s="306" t="s">
        <v>1003</v>
      </c>
      <c r="C733" s="306" t="s">
        <v>1004</v>
      </c>
      <c r="D733" s="306" t="s">
        <v>2435</v>
      </c>
      <c r="E733" s="306" t="s">
        <v>2478</v>
      </c>
      <c r="F733" s="306" t="s">
        <v>1007</v>
      </c>
      <c r="G733" s="308">
        <v>46022</v>
      </c>
      <c r="H733" s="308">
        <v>46022</v>
      </c>
      <c r="I733" s="309">
        <v>-17893023.440000001</v>
      </c>
      <c r="J733" s="306" t="s">
        <v>1008</v>
      </c>
      <c r="K733" s="309">
        <v>-17893023.440000001</v>
      </c>
      <c r="L733" s="306" t="s">
        <v>1008</v>
      </c>
      <c r="M733" s="306" t="s">
        <v>2474</v>
      </c>
      <c r="N733" s="306" t="s">
        <v>2479</v>
      </c>
      <c r="O733" s="306" t="s">
        <v>1013</v>
      </c>
      <c r="P733" s="306" t="s">
        <v>1013</v>
      </c>
      <c r="Q733" s="306" t="s">
        <v>1013</v>
      </c>
      <c r="R733" s="306" t="s">
        <v>1013</v>
      </c>
      <c r="S733" s="306" t="s">
        <v>1013</v>
      </c>
      <c r="T733" s="306" t="s">
        <v>1013</v>
      </c>
      <c r="U733" s="306" t="s">
        <v>1013</v>
      </c>
      <c r="V733" s="306" t="s">
        <v>1013</v>
      </c>
      <c r="W733" s="306" t="s">
        <v>1013</v>
      </c>
      <c r="X733" s="306" t="s">
        <v>1013</v>
      </c>
      <c r="Y733" s="306" t="s">
        <v>2431</v>
      </c>
      <c r="Z733" s="306" t="s">
        <v>2428</v>
      </c>
      <c r="AA733" s="306" t="s">
        <v>1013</v>
      </c>
    </row>
    <row r="734" spans="1:27">
      <c r="A734" s="306" t="s">
        <v>494</v>
      </c>
      <c r="B734" s="306" t="s">
        <v>1003</v>
      </c>
      <c r="C734" s="306" t="s">
        <v>1004</v>
      </c>
      <c r="D734" s="306" t="s">
        <v>2435</v>
      </c>
      <c r="E734" s="306" t="s">
        <v>2478</v>
      </c>
      <c r="F734" s="306" t="s">
        <v>1007</v>
      </c>
      <c r="G734" s="308">
        <v>46022</v>
      </c>
      <c r="H734" s="308">
        <v>46022</v>
      </c>
      <c r="I734" s="309">
        <v>-1481540.83</v>
      </c>
      <c r="J734" s="306" t="s">
        <v>1008</v>
      </c>
      <c r="K734" s="309">
        <v>-1481540.83</v>
      </c>
      <c r="L734" s="306" t="s">
        <v>1008</v>
      </c>
      <c r="M734" s="306" t="s">
        <v>2474</v>
      </c>
      <c r="N734" s="306" t="s">
        <v>2479</v>
      </c>
      <c r="O734" s="306" t="s">
        <v>1013</v>
      </c>
      <c r="P734" s="306" t="s">
        <v>1013</v>
      </c>
      <c r="Q734" s="306" t="s">
        <v>1013</v>
      </c>
      <c r="R734" s="306" t="s">
        <v>1013</v>
      </c>
      <c r="S734" s="306" t="s">
        <v>1013</v>
      </c>
      <c r="T734" s="306" t="s">
        <v>1013</v>
      </c>
      <c r="U734" s="306" t="s">
        <v>1013</v>
      </c>
      <c r="V734" s="306" t="s">
        <v>1013</v>
      </c>
      <c r="W734" s="306" t="s">
        <v>1013</v>
      </c>
      <c r="X734" s="306" t="s">
        <v>1013</v>
      </c>
      <c r="Y734" s="306" t="s">
        <v>2434</v>
      </c>
      <c r="Z734" s="306" t="s">
        <v>2428</v>
      </c>
      <c r="AA734" s="306" t="s">
        <v>1013</v>
      </c>
    </row>
    <row r="735" spans="1:27">
      <c r="A735" s="306" t="s">
        <v>494</v>
      </c>
      <c r="B735" s="306" t="s">
        <v>1003</v>
      </c>
      <c r="C735" s="306" t="s">
        <v>1004</v>
      </c>
      <c r="D735" s="306" t="s">
        <v>2435</v>
      </c>
      <c r="E735" s="306" t="s">
        <v>2478</v>
      </c>
      <c r="F735" s="306" t="s">
        <v>1007</v>
      </c>
      <c r="G735" s="308">
        <v>46022</v>
      </c>
      <c r="H735" s="308">
        <v>46022</v>
      </c>
      <c r="I735" s="309">
        <v>-11908599.560000001</v>
      </c>
      <c r="J735" s="306" t="s">
        <v>1008</v>
      </c>
      <c r="K735" s="309">
        <v>-11908599.560000001</v>
      </c>
      <c r="L735" s="306" t="s">
        <v>1008</v>
      </c>
      <c r="M735" s="306" t="s">
        <v>2474</v>
      </c>
      <c r="N735" s="306" t="s">
        <v>2479</v>
      </c>
      <c r="O735" s="306" t="s">
        <v>1013</v>
      </c>
      <c r="P735" s="306" t="s">
        <v>1013</v>
      </c>
      <c r="Q735" s="306" t="s">
        <v>1013</v>
      </c>
      <c r="R735" s="306" t="s">
        <v>1013</v>
      </c>
      <c r="S735" s="306" t="s">
        <v>1013</v>
      </c>
      <c r="T735" s="306" t="s">
        <v>1013</v>
      </c>
      <c r="U735" s="306" t="s">
        <v>1013</v>
      </c>
      <c r="V735" s="306" t="s">
        <v>1013</v>
      </c>
      <c r="W735" s="306" t="s">
        <v>1013</v>
      </c>
      <c r="X735" s="306" t="s">
        <v>1013</v>
      </c>
      <c r="Y735" s="306" t="s">
        <v>2443</v>
      </c>
      <c r="Z735" s="306" t="s">
        <v>2428</v>
      </c>
      <c r="AA735" s="306" t="s">
        <v>1013</v>
      </c>
    </row>
    <row r="737" spans="11:11">
      <c r="K737" s="310">
        <f>SUM(K2:K735)</f>
        <v>-465175790.87</v>
      </c>
    </row>
  </sheetData>
  <autoFilter ref="A1:S735" xr:uid="{00000000-0009-0000-0000-000009000000}">
    <filterColumn colId="7">
      <filters>
        <filter val="丰宁二期-风电_12月确认建安收入"/>
      </filters>
    </filterColumn>
  </autoFilter>
  <phoneticPr fontId="8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98"/>
  <sheetViews>
    <sheetView zoomScale="70" zoomScaleNormal="70" workbookViewId="0">
      <selection sqref="A1:XFD1"/>
    </sheetView>
  </sheetViews>
  <sheetFormatPr defaultColWidth="7.875" defaultRowHeight="12.75"/>
  <cols>
    <col min="1" max="1" width="7.875" style="306"/>
    <col min="2" max="2" width="5" style="306" customWidth="1"/>
    <col min="3" max="3" width="8.5" style="306" customWidth="1"/>
    <col min="4" max="5" width="10.375" style="306" customWidth="1"/>
    <col min="6" max="6" width="7.875" style="306"/>
    <col min="7" max="8" width="9.625" style="306" customWidth="1"/>
    <col min="9" max="9" width="13.125" style="306" customWidth="1"/>
    <col min="10" max="10" width="5.125" style="306" customWidth="1"/>
    <col min="11" max="11" width="13.375" style="306" customWidth="1"/>
    <col min="12" max="12" width="7.875" style="306"/>
    <col min="13" max="13" width="71.25" style="306" customWidth="1"/>
    <col min="14" max="14" width="40.75" style="306" customWidth="1"/>
    <col min="15" max="15" width="29.875" style="306" customWidth="1"/>
    <col min="16" max="16" width="7.875" style="306"/>
    <col min="17" max="17" width="4.75" style="306" customWidth="1"/>
    <col min="18" max="18" width="6.375" style="306" customWidth="1"/>
    <col min="19" max="19" width="7.875" style="306"/>
    <col min="20" max="20" width="9.125" style="306" customWidth="1"/>
    <col min="21" max="21" width="16.875" style="306" customWidth="1"/>
    <col min="22" max="23" width="7.875" style="306"/>
    <col min="24" max="24" width="9.375" style="306" customWidth="1"/>
    <col min="25" max="25" width="16.875" style="306" customWidth="1"/>
    <col min="26" max="26" width="13.75" style="306" customWidth="1"/>
    <col min="27" max="27" width="11.5" style="306" customWidth="1"/>
    <col min="28" max="16384" width="7.875" style="306"/>
  </cols>
  <sheetData>
    <row r="1" spans="1:27">
      <c r="A1" s="307" t="s">
        <v>976</v>
      </c>
      <c r="B1" s="307" t="s">
        <v>977</v>
      </c>
      <c r="C1" s="307" t="s">
        <v>978</v>
      </c>
      <c r="D1" s="307" t="s">
        <v>979</v>
      </c>
      <c r="E1" s="307" t="s">
        <v>980</v>
      </c>
      <c r="F1" s="307" t="s">
        <v>981</v>
      </c>
      <c r="G1" s="307" t="s">
        <v>982</v>
      </c>
      <c r="H1" s="307" t="s">
        <v>983</v>
      </c>
      <c r="I1" s="307" t="s">
        <v>984</v>
      </c>
      <c r="J1" s="307" t="s">
        <v>985</v>
      </c>
      <c r="K1" s="307" t="s">
        <v>986</v>
      </c>
      <c r="L1" s="307" t="s">
        <v>987</v>
      </c>
      <c r="M1" s="307" t="s">
        <v>988</v>
      </c>
      <c r="N1" s="307" t="s">
        <v>989</v>
      </c>
      <c r="O1" s="307" t="s">
        <v>990</v>
      </c>
      <c r="P1" s="307" t="s">
        <v>991</v>
      </c>
      <c r="Q1" s="307" t="s">
        <v>992</v>
      </c>
      <c r="R1" s="307" t="s">
        <v>993</v>
      </c>
      <c r="S1" s="307" t="s">
        <v>994</v>
      </c>
      <c r="T1" s="307" t="s">
        <v>995</v>
      </c>
      <c r="U1" s="307" t="s">
        <v>996</v>
      </c>
      <c r="V1" s="307" t="s">
        <v>997</v>
      </c>
      <c r="W1" s="307" t="s">
        <v>998</v>
      </c>
      <c r="X1" s="307" t="s">
        <v>999</v>
      </c>
      <c r="Y1" s="307" t="s">
        <v>1000</v>
      </c>
      <c r="Z1" s="307" t="s">
        <v>1001</v>
      </c>
      <c r="AA1" s="307" t="s">
        <v>1002</v>
      </c>
    </row>
    <row r="2" spans="1:27">
      <c r="A2" s="306" t="s">
        <v>494</v>
      </c>
      <c r="B2" s="306" t="s">
        <v>1003</v>
      </c>
      <c r="C2" s="306" t="s">
        <v>1004</v>
      </c>
      <c r="D2" s="306" t="s">
        <v>2480</v>
      </c>
      <c r="E2" s="306" t="s">
        <v>2481</v>
      </c>
      <c r="F2" s="306" t="s">
        <v>2482</v>
      </c>
      <c r="G2" s="308">
        <v>45990</v>
      </c>
      <c r="H2" s="308">
        <v>45992</v>
      </c>
      <c r="I2" s="309">
        <v>404396.68</v>
      </c>
      <c r="J2" s="306" t="s">
        <v>1008</v>
      </c>
      <c r="K2" s="309">
        <v>404396.68</v>
      </c>
      <c r="L2" s="306" t="s">
        <v>1008</v>
      </c>
      <c r="M2" s="306" t="s">
        <v>2483</v>
      </c>
      <c r="N2" s="306" t="s">
        <v>2483</v>
      </c>
      <c r="O2" s="306" t="s">
        <v>1013</v>
      </c>
      <c r="P2" s="306" t="s">
        <v>1013</v>
      </c>
      <c r="Q2" s="306" t="s">
        <v>1013</v>
      </c>
      <c r="R2" s="306" t="s">
        <v>1013</v>
      </c>
      <c r="S2" s="306" t="s">
        <v>1013</v>
      </c>
      <c r="T2" s="306" t="s">
        <v>1013</v>
      </c>
      <c r="U2" s="306" t="s">
        <v>2484</v>
      </c>
      <c r="V2" s="306" t="s">
        <v>1013</v>
      </c>
      <c r="W2" s="306" t="s">
        <v>1013</v>
      </c>
      <c r="X2" s="306" t="s">
        <v>1013</v>
      </c>
      <c r="Y2" s="306" t="s">
        <v>2484</v>
      </c>
      <c r="Z2" s="306" t="s">
        <v>2456</v>
      </c>
      <c r="AA2" s="306" t="s">
        <v>1013</v>
      </c>
    </row>
    <row r="3" spans="1:27">
      <c r="A3" s="306" t="s">
        <v>494</v>
      </c>
      <c r="B3" s="306" t="s">
        <v>1003</v>
      </c>
      <c r="C3" s="306" t="s">
        <v>1004</v>
      </c>
      <c r="D3" s="306" t="s">
        <v>2480</v>
      </c>
      <c r="E3" s="306" t="s">
        <v>2485</v>
      </c>
      <c r="F3" s="306" t="s">
        <v>2486</v>
      </c>
      <c r="G3" s="308">
        <v>45992</v>
      </c>
      <c r="H3" s="308">
        <v>45992</v>
      </c>
      <c r="I3" s="309">
        <v>11320.75</v>
      </c>
      <c r="J3" s="306" t="s">
        <v>1008</v>
      </c>
      <c r="K3" s="309">
        <v>11320.75</v>
      </c>
      <c r="L3" s="306" t="s">
        <v>1008</v>
      </c>
      <c r="M3" s="306" t="s">
        <v>2487</v>
      </c>
      <c r="N3" s="306" t="s">
        <v>2488</v>
      </c>
      <c r="O3" s="306" t="s">
        <v>1013</v>
      </c>
      <c r="P3" s="306" t="s">
        <v>1013</v>
      </c>
      <c r="Q3" s="306" t="s">
        <v>1013</v>
      </c>
      <c r="R3" s="306" t="s">
        <v>1013</v>
      </c>
      <c r="S3" s="306" t="s">
        <v>1013</v>
      </c>
      <c r="T3" s="306" t="s">
        <v>1013</v>
      </c>
      <c r="U3" s="306" t="s">
        <v>2489</v>
      </c>
      <c r="V3" s="306" t="s">
        <v>1013</v>
      </c>
      <c r="W3" s="306" t="s">
        <v>1013</v>
      </c>
      <c r="X3" s="306" t="s">
        <v>1013</v>
      </c>
      <c r="Y3" s="306" t="s">
        <v>2490</v>
      </c>
      <c r="Z3" s="306" t="s">
        <v>2456</v>
      </c>
      <c r="AA3" s="306" t="s">
        <v>1013</v>
      </c>
    </row>
    <row r="4" spans="1:27">
      <c r="A4" s="306" t="s">
        <v>494</v>
      </c>
      <c r="B4" s="306" t="s">
        <v>1003</v>
      </c>
      <c r="C4" s="306" t="s">
        <v>1004</v>
      </c>
      <c r="D4" s="306" t="s">
        <v>2480</v>
      </c>
      <c r="E4" s="306" t="s">
        <v>2491</v>
      </c>
      <c r="F4" s="306" t="s">
        <v>2486</v>
      </c>
      <c r="G4" s="308">
        <v>45992</v>
      </c>
      <c r="H4" s="308">
        <v>45992</v>
      </c>
      <c r="I4" s="309">
        <v>33962.26</v>
      </c>
      <c r="J4" s="306" t="s">
        <v>1008</v>
      </c>
      <c r="K4" s="309">
        <v>33962.26</v>
      </c>
      <c r="L4" s="306" t="s">
        <v>1008</v>
      </c>
      <c r="M4" s="306" t="s">
        <v>2492</v>
      </c>
      <c r="N4" s="306" t="s">
        <v>2493</v>
      </c>
      <c r="O4" s="306" t="s">
        <v>1013</v>
      </c>
      <c r="P4" s="306" t="s">
        <v>1013</v>
      </c>
      <c r="Q4" s="306" t="s">
        <v>1013</v>
      </c>
      <c r="R4" s="306" t="s">
        <v>1013</v>
      </c>
      <c r="S4" s="306" t="s">
        <v>1013</v>
      </c>
      <c r="T4" s="306" t="s">
        <v>1013</v>
      </c>
      <c r="U4" s="306" t="s">
        <v>2494</v>
      </c>
      <c r="V4" s="306" t="s">
        <v>1013</v>
      </c>
      <c r="W4" s="306" t="s">
        <v>1013</v>
      </c>
      <c r="X4" s="306" t="s">
        <v>1013</v>
      </c>
      <c r="Y4" s="306" t="s">
        <v>2490</v>
      </c>
      <c r="Z4" s="306" t="s">
        <v>2456</v>
      </c>
      <c r="AA4" s="306" t="s">
        <v>1013</v>
      </c>
    </row>
    <row r="5" spans="1:27">
      <c r="A5" s="306" t="s">
        <v>494</v>
      </c>
      <c r="B5" s="306" t="s">
        <v>1003</v>
      </c>
      <c r="C5" s="306" t="s">
        <v>1004</v>
      </c>
      <c r="D5" s="306" t="s">
        <v>2480</v>
      </c>
      <c r="E5" s="306" t="s">
        <v>2495</v>
      </c>
      <c r="F5" s="306" t="s">
        <v>2486</v>
      </c>
      <c r="G5" s="308">
        <v>45992</v>
      </c>
      <c r="H5" s="308">
        <v>45992</v>
      </c>
      <c r="I5" s="309">
        <v>10313.620000000001</v>
      </c>
      <c r="J5" s="306" t="s">
        <v>1008</v>
      </c>
      <c r="K5" s="309">
        <v>10313.620000000001</v>
      </c>
      <c r="L5" s="306" t="s">
        <v>1008</v>
      </c>
      <c r="M5" s="306" t="s">
        <v>2496</v>
      </c>
      <c r="N5" s="306" t="s">
        <v>2497</v>
      </c>
      <c r="O5" s="306" t="s">
        <v>1013</v>
      </c>
      <c r="P5" s="306" t="s">
        <v>1013</v>
      </c>
      <c r="Q5" s="306" t="s">
        <v>1013</v>
      </c>
      <c r="R5" s="306" t="s">
        <v>1013</v>
      </c>
      <c r="S5" s="306" t="s">
        <v>1013</v>
      </c>
      <c r="T5" s="306" t="s">
        <v>1013</v>
      </c>
      <c r="U5" s="306" t="s">
        <v>2498</v>
      </c>
      <c r="V5" s="306" t="s">
        <v>1013</v>
      </c>
      <c r="W5" s="306" t="s">
        <v>1013</v>
      </c>
      <c r="X5" s="306" t="s">
        <v>1013</v>
      </c>
      <c r="Y5" s="306" t="s">
        <v>2499</v>
      </c>
      <c r="Z5" s="306" t="s">
        <v>2456</v>
      </c>
      <c r="AA5" s="306" t="s">
        <v>1013</v>
      </c>
    </row>
    <row r="6" spans="1:27">
      <c r="A6" s="306" t="s">
        <v>494</v>
      </c>
      <c r="B6" s="306" t="s">
        <v>1003</v>
      </c>
      <c r="C6" s="306" t="s">
        <v>1004</v>
      </c>
      <c r="D6" s="306" t="s">
        <v>2480</v>
      </c>
      <c r="E6" s="306" t="s">
        <v>2500</v>
      </c>
      <c r="F6" s="306" t="s">
        <v>2486</v>
      </c>
      <c r="G6" s="308">
        <v>45992</v>
      </c>
      <c r="H6" s="308">
        <v>45992</v>
      </c>
      <c r="I6" s="309">
        <v>330.69</v>
      </c>
      <c r="J6" s="306" t="s">
        <v>1008</v>
      </c>
      <c r="K6" s="309">
        <v>330.69</v>
      </c>
      <c r="L6" s="306" t="s">
        <v>1008</v>
      </c>
      <c r="M6" s="306" t="s">
        <v>2501</v>
      </c>
      <c r="N6" s="306" t="s">
        <v>2502</v>
      </c>
      <c r="O6" s="306" t="s">
        <v>1013</v>
      </c>
      <c r="P6" s="306" t="s">
        <v>1013</v>
      </c>
      <c r="Q6" s="306" t="s">
        <v>1013</v>
      </c>
      <c r="R6" s="306" t="s">
        <v>1013</v>
      </c>
      <c r="S6" s="306" t="s">
        <v>1013</v>
      </c>
      <c r="T6" s="306" t="s">
        <v>1013</v>
      </c>
      <c r="U6" s="306" t="s">
        <v>2503</v>
      </c>
      <c r="V6" s="306" t="s">
        <v>1013</v>
      </c>
      <c r="W6" s="306" t="s">
        <v>1013</v>
      </c>
      <c r="X6" s="306" t="s">
        <v>1013</v>
      </c>
      <c r="Y6" s="306" t="s">
        <v>2504</v>
      </c>
      <c r="Z6" s="306" t="s">
        <v>2456</v>
      </c>
      <c r="AA6" s="306" t="s">
        <v>1013</v>
      </c>
    </row>
    <row r="7" spans="1:27">
      <c r="A7" s="306" t="s">
        <v>494</v>
      </c>
      <c r="B7" s="306" t="s">
        <v>1003</v>
      </c>
      <c r="C7" s="306" t="s">
        <v>1004</v>
      </c>
      <c r="D7" s="306" t="s">
        <v>2480</v>
      </c>
      <c r="E7" s="306" t="s">
        <v>2505</v>
      </c>
      <c r="F7" s="306" t="s">
        <v>2486</v>
      </c>
      <c r="G7" s="308">
        <v>45993</v>
      </c>
      <c r="H7" s="308">
        <v>45993</v>
      </c>
      <c r="I7" s="309">
        <v>18.55</v>
      </c>
      <c r="J7" s="306" t="s">
        <v>1008</v>
      </c>
      <c r="K7" s="309">
        <v>18.55</v>
      </c>
      <c r="L7" s="306" t="s">
        <v>1008</v>
      </c>
      <c r="M7" s="306" t="s">
        <v>2506</v>
      </c>
      <c r="N7" s="306" t="s">
        <v>2507</v>
      </c>
      <c r="O7" s="306" t="s">
        <v>1013</v>
      </c>
      <c r="P7" s="306" t="s">
        <v>1013</v>
      </c>
      <c r="Q7" s="306" t="s">
        <v>1013</v>
      </c>
      <c r="R7" s="306" t="s">
        <v>1013</v>
      </c>
      <c r="S7" s="306" t="s">
        <v>1013</v>
      </c>
      <c r="T7" s="306" t="s">
        <v>1013</v>
      </c>
      <c r="U7" s="306" t="s">
        <v>2508</v>
      </c>
      <c r="V7" s="306" t="s">
        <v>1013</v>
      </c>
      <c r="W7" s="306" t="s">
        <v>1013</v>
      </c>
      <c r="X7" s="306" t="s">
        <v>1013</v>
      </c>
      <c r="Y7" s="306" t="s">
        <v>2509</v>
      </c>
      <c r="Z7" s="306" t="s">
        <v>2456</v>
      </c>
      <c r="AA7" s="306" t="s">
        <v>1013</v>
      </c>
    </row>
    <row r="8" spans="1:27">
      <c r="A8" s="306" t="s">
        <v>494</v>
      </c>
      <c r="B8" s="306" t="s">
        <v>1003</v>
      </c>
      <c r="C8" s="306" t="s">
        <v>1004</v>
      </c>
      <c r="D8" s="306" t="s">
        <v>2480</v>
      </c>
      <c r="E8" s="306" t="s">
        <v>2505</v>
      </c>
      <c r="F8" s="306" t="s">
        <v>2486</v>
      </c>
      <c r="G8" s="308">
        <v>45993</v>
      </c>
      <c r="H8" s="308">
        <v>45993</v>
      </c>
      <c r="I8" s="309">
        <v>4.08</v>
      </c>
      <c r="J8" s="306" t="s">
        <v>1008</v>
      </c>
      <c r="K8" s="309">
        <v>4.08</v>
      </c>
      <c r="L8" s="306" t="s">
        <v>1008</v>
      </c>
      <c r="M8" s="306" t="s">
        <v>2506</v>
      </c>
      <c r="N8" s="306" t="s">
        <v>2507</v>
      </c>
      <c r="O8" s="306" t="s">
        <v>1013</v>
      </c>
      <c r="P8" s="306" t="s">
        <v>1013</v>
      </c>
      <c r="Q8" s="306" t="s">
        <v>1013</v>
      </c>
      <c r="R8" s="306" t="s">
        <v>1013</v>
      </c>
      <c r="S8" s="306" t="s">
        <v>1013</v>
      </c>
      <c r="T8" s="306" t="s">
        <v>1013</v>
      </c>
      <c r="U8" s="306" t="s">
        <v>2508</v>
      </c>
      <c r="V8" s="306" t="s">
        <v>1013</v>
      </c>
      <c r="W8" s="306" t="s">
        <v>1013</v>
      </c>
      <c r="X8" s="306" t="s">
        <v>1013</v>
      </c>
      <c r="Y8" s="306" t="s">
        <v>2509</v>
      </c>
      <c r="Z8" s="306" t="s">
        <v>2456</v>
      </c>
      <c r="AA8" s="306" t="s">
        <v>1013</v>
      </c>
    </row>
    <row r="9" spans="1:27">
      <c r="A9" s="306" t="s">
        <v>494</v>
      </c>
      <c r="B9" s="306" t="s">
        <v>1003</v>
      </c>
      <c r="C9" s="306" t="s">
        <v>1004</v>
      </c>
      <c r="D9" s="306" t="s">
        <v>2480</v>
      </c>
      <c r="E9" s="306" t="s">
        <v>2510</v>
      </c>
      <c r="F9" s="306" t="s">
        <v>2486</v>
      </c>
      <c r="G9" s="308">
        <v>45993</v>
      </c>
      <c r="H9" s="308">
        <v>45993</v>
      </c>
      <c r="I9" s="309">
        <v>115.04</v>
      </c>
      <c r="J9" s="306" t="s">
        <v>1008</v>
      </c>
      <c r="K9" s="309">
        <v>115.04</v>
      </c>
      <c r="L9" s="306" t="s">
        <v>1008</v>
      </c>
      <c r="M9" s="306" t="s">
        <v>2511</v>
      </c>
      <c r="N9" s="306" t="s">
        <v>2512</v>
      </c>
      <c r="O9" s="306" t="s">
        <v>1013</v>
      </c>
      <c r="P9" s="306" t="s">
        <v>1013</v>
      </c>
      <c r="Q9" s="306" t="s">
        <v>1013</v>
      </c>
      <c r="R9" s="306" t="s">
        <v>1013</v>
      </c>
      <c r="S9" s="306" t="s">
        <v>1013</v>
      </c>
      <c r="T9" s="306" t="s">
        <v>1013</v>
      </c>
      <c r="U9" s="306" t="s">
        <v>2513</v>
      </c>
      <c r="V9" s="306" t="s">
        <v>1013</v>
      </c>
      <c r="W9" s="306" t="s">
        <v>1013</v>
      </c>
      <c r="X9" s="306" t="s">
        <v>1013</v>
      </c>
      <c r="Y9" s="306" t="s">
        <v>1112</v>
      </c>
      <c r="Z9" s="306" t="s">
        <v>2456</v>
      </c>
      <c r="AA9" s="306" t="s">
        <v>1013</v>
      </c>
    </row>
    <row r="10" spans="1:27">
      <c r="A10" s="306" t="s">
        <v>494</v>
      </c>
      <c r="B10" s="306" t="s">
        <v>1003</v>
      </c>
      <c r="C10" s="306" t="s">
        <v>1004</v>
      </c>
      <c r="D10" s="306" t="s">
        <v>2480</v>
      </c>
      <c r="E10" s="306" t="s">
        <v>2510</v>
      </c>
      <c r="F10" s="306" t="s">
        <v>2486</v>
      </c>
      <c r="G10" s="308">
        <v>45993</v>
      </c>
      <c r="H10" s="308">
        <v>45993</v>
      </c>
      <c r="I10" s="309">
        <v>10.25</v>
      </c>
      <c r="J10" s="306" t="s">
        <v>1008</v>
      </c>
      <c r="K10" s="309">
        <v>10.25</v>
      </c>
      <c r="L10" s="306" t="s">
        <v>1008</v>
      </c>
      <c r="M10" s="306" t="s">
        <v>2511</v>
      </c>
      <c r="N10" s="306" t="s">
        <v>2512</v>
      </c>
      <c r="O10" s="306" t="s">
        <v>1013</v>
      </c>
      <c r="P10" s="306" t="s">
        <v>1013</v>
      </c>
      <c r="Q10" s="306" t="s">
        <v>1013</v>
      </c>
      <c r="R10" s="306" t="s">
        <v>1013</v>
      </c>
      <c r="S10" s="306" t="s">
        <v>1013</v>
      </c>
      <c r="T10" s="306" t="s">
        <v>1013</v>
      </c>
      <c r="U10" s="306" t="s">
        <v>2513</v>
      </c>
      <c r="V10" s="306" t="s">
        <v>1013</v>
      </c>
      <c r="W10" s="306" t="s">
        <v>1013</v>
      </c>
      <c r="X10" s="306" t="s">
        <v>1013</v>
      </c>
      <c r="Y10" s="306" t="s">
        <v>1112</v>
      </c>
      <c r="Z10" s="306" t="s">
        <v>2456</v>
      </c>
      <c r="AA10" s="306" t="s">
        <v>1013</v>
      </c>
    </row>
    <row r="11" spans="1:27">
      <c r="A11" s="306" t="s">
        <v>494</v>
      </c>
      <c r="B11" s="306" t="s">
        <v>1003</v>
      </c>
      <c r="C11" s="306" t="s">
        <v>1004</v>
      </c>
      <c r="D11" s="306" t="s">
        <v>2480</v>
      </c>
      <c r="E11" s="306" t="s">
        <v>2514</v>
      </c>
      <c r="F11" s="306" t="s">
        <v>2486</v>
      </c>
      <c r="G11" s="308">
        <v>45993</v>
      </c>
      <c r="H11" s="308">
        <v>45993</v>
      </c>
      <c r="I11" s="309">
        <v>3250.49</v>
      </c>
      <c r="J11" s="306" t="s">
        <v>1008</v>
      </c>
      <c r="K11" s="309">
        <v>3250.49</v>
      </c>
      <c r="L11" s="306" t="s">
        <v>1008</v>
      </c>
      <c r="M11" s="306" t="s">
        <v>2515</v>
      </c>
      <c r="N11" s="306" t="s">
        <v>2516</v>
      </c>
      <c r="O11" s="306" t="s">
        <v>1013</v>
      </c>
      <c r="P11" s="306" t="s">
        <v>1013</v>
      </c>
      <c r="Q11" s="306" t="s">
        <v>1013</v>
      </c>
      <c r="R11" s="306" t="s">
        <v>1013</v>
      </c>
      <c r="S11" s="306" t="s">
        <v>1013</v>
      </c>
      <c r="T11" s="306" t="s">
        <v>1013</v>
      </c>
      <c r="U11" s="306" t="s">
        <v>2517</v>
      </c>
      <c r="V11" s="306" t="s">
        <v>1013</v>
      </c>
      <c r="W11" s="306" t="s">
        <v>1013</v>
      </c>
      <c r="X11" s="306" t="s">
        <v>1013</v>
      </c>
      <c r="Y11" s="306" t="s">
        <v>1153</v>
      </c>
      <c r="Z11" s="306" t="s">
        <v>2456</v>
      </c>
      <c r="AA11" s="306" t="s">
        <v>1013</v>
      </c>
    </row>
    <row r="12" spans="1:27">
      <c r="A12" s="306" t="s">
        <v>494</v>
      </c>
      <c r="B12" s="306" t="s">
        <v>1003</v>
      </c>
      <c r="C12" s="306" t="s">
        <v>1004</v>
      </c>
      <c r="D12" s="306" t="s">
        <v>2480</v>
      </c>
      <c r="E12" s="306" t="s">
        <v>2518</v>
      </c>
      <c r="F12" s="306" t="s">
        <v>2486</v>
      </c>
      <c r="G12" s="308">
        <v>45993</v>
      </c>
      <c r="H12" s="308">
        <v>45993</v>
      </c>
      <c r="I12" s="309">
        <v>2708.74</v>
      </c>
      <c r="J12" s="306" t="s">
        <v>1008</v>
      </c>
      <c r="K12" s="309">
        <v>2708.74</v>
      </c>
      <c r="L12" s="306" t="s">
        <v>1008</v>
      </c>
      <c r="M12" s="306" t="s">
        <v>2519</v>
      </c>
      <c r="N12" s="306" t="s">
        <v>2520</v>
      </c>
      <c r="O12" s="306" t="s">
        <v>1013</v>
      </c>
      <c r="P12" s="306" t="s">
        <v>1013</v>
      </c>
      <c r="Q12" s="306" t="s">
        <v>1013</v>
      </c>
      <c r="R12" s="306" t="s">
        <v>1013</v>
      </c>
      <c r="S12" s="306" t="s">
        <v>1013</v>
      </c>
      <c r="T12" s="306" t="s">
        <v>1013</v>
      </c>
      <c r="U12" s="306" t="s">
        <v>2521</v>
      </c>
      <c r="V12" s="306" t="s">
        <v>1013</v>
      </c>
      <c r="W12" s="306" t="s">
        <v>1013</v>
      </c>
      <c r="X12" s="306" t="s">
        <v>1013</v>
      </c>
      <c r="Y12" s="306" t="s">
        <v>1153</v>
      </c>
      <c r="Z12" s="306" t="s">
        <v>2456</v>
      </c>
      <c r="AA12" s="306" t="s">
        <v>1013</v>
      </c>
    </row>
    <row r="13" spans="1:27">
      <c r="A13" s="306" t="s">
        <v>494</v>
      </c>
      <c r="B13" s="306" t="s">
        <v>1003</v>
      </c>
      <c r="C13" s="306" t="s">
        <v>1004</v>
      </c>
      <c r="D13" s="306" t="s">
        <v>2480</v>
      </c>
      <c r="E13" s="306" t="s">
        <v>2522</v>
      </c>
      <c r="F13" s="306" t="s">
        <v>2486</v>
      </c>
      <c r="G13" s="308">
        <v>45993</v>
      </c>
      <c r="H13" s="308">
        <v>45993</v>
      </c>
      <c r="I13" s="309">
        <v>3532.2</v>
      </c>
      <c r="J13" s="306" t="s">
        <v>1008</v>
      </c>
      <c r="K13" s="309">
        <v>3532.2</v>
      </c>
      <c r="L13" s="306" t="s">
        <v>1008</v>
      </c>
      <c r="M13" s="306" t="s">
        <v>2523</v>
      </c>
      <c r="N13" s="306" t="s">
        <v>2524</v>
      </c>
      <c r="O13" s="306" t="s">
        <v>1013</v>
      </c>
      <c r="P13" s="306" t="s">
        <v>1013</v>
      </c>
      <c r="Q13" s="306" t="s">
        <v>1013</v>
      </c>
      <c r="R13" s="306" t="s">
        <v>1013</v>
      </c>
      <c r="S13" s="306" t="s">
        <v>1013</v>
      </c>
      <c r="T13" s="306" t="s">
        <v>1013</v>
      </c>
      <c r="U13" s="306" t="s">
        <v>2525</v>
      </c>
      <c r="V13" s="306" t="s">
        <v>1013</v>
      </c>
      <c r="W13" s="306" t="s">
        <v>1013</v>
      </c>
      <c r="X13" s="306" t="s">
        <v>1013</v>
      </c>
      <c r="Y13" s="306" t="s">
        <v>1153</v>
      </c>
      <c r="Z13" s="306" t="s">
        <v>2456</v>
      </c>
      <c r="AA13" s="306" t="s">
        <v>1013</v>
      </c>
    </row>
    <row r="14" spans="1:27">
      <c r="A14" s="306" t="s">
        <v>494</v>
      </c>
      <c r="B14" s="306" t="s">
        <v>1003</v>
      </c>
      <c r="C14" s="306" t="s">
        <v>1004</v>
      </c>
      <c r="D14" s="306" t="s">
        <v>2480</v>
      </c>
      <c r="E14" s="306" t="s">
        <v>2526</v>
      </c>
      <c r="F14" s="306" t="s">
        <v>2486</v>
      </c>
      <c r="G14" s="308">
        <v>45994</v>
      </c>
      <c r="H14" s="308">
        <v>45994</v>
      </c>
      <c r="I14" s="309">
        <v>234397.88</v>
      </c>
      <c r="J14" s="306" t="s">
        <v>1008</v>
      </c>
      <c r="K14" s="309">
        <v>234397.88</v>
      </c>
      <c r="L14" s="306" t="s">
        <v>1008</v>
      </c>
      <c r="M14" s="306" t="s">
        <v>2527</v>
      </c>
      <c r="N14" s="306" t="s">
        <v>2528</v>
      </c>
      <c r="O14" s="306" t="s">
        <v>1013</v>
      </c>
      <c r="P14" s="306" t="s">
        <v>1013</v>
      </c>
      <c r="Q14" s="306" t="s">
        <v>1013</v>
      </c>
      <c r="R14" s="306" t="s">
        <v>1013</v>
      </c>
      <c r="S14" s="306" t="s">
        <v>1013</v>
      </c>
      <c r="T14" s="306" t="s">
        <v>1013</v>
      </c>
      <c r="U14" s="306" t="s">
        <v>2529</v>
      </c>
      <c r="V14" s="306" t="s">
        <v>1013</v>
      </c>
      <c r="W14" s="306" t="s">
        <v>1013</v>
      </c>
      <c r="X14" s="306" t="s">
        <v>1013</v>
      </c>
      <c r="Y14" s="306" t="s">
        <v>2509</v>
      </c>
      <c r="Z14" s="306" t="s">
        <v>2456</v>
      </c>
      <c r="AA14" s="306" t="s">
        <v>1013</v>
      </c>
    </row>
    <row r="15" spans="1:27">
      <c r="A15" s="306" t="s">
        <v>494</v>
      </c>
      <c r="B15" s="306" t="s">
        <v>1003</v>
      </c>
      <c r="C15" s="306" t="s">
        <v>1004</v>
      </c>
      <c r="D15" s="306" t="s">
        <v>2480</v>
      </c>
      <c r="E15" s="306" t="s">
        <v>2530</v>
      </c>
      <c r="F15" s="306" t="s">
        <v>2482</v>
      </c>
      <c r="G15" s="308">
        <v>45993</v>
      </c>
      <c r="H15" s="308">
        <v>45995</v>
      </c>
      <c r="I15" s="309">
        <v>580.63</v>
      </c>
      <c r="J15" s="306" t="s">
        <v>1008</v>
      </c>
      <c r="K15" s="309">
        <v>580.63</v>
      </c>
      <c r="L15" s="306" t="s">
        <v>1008</v>
      </c>
      <c r="M15" s="306" t="s">
        <v>2531</v>
      </c>
      <c r="N15" s="306" t="s">
        <v>2531</v>
      </c>
      <c r="O15" s="306" t="s">
        <v>1013</v>
      </c>
      <c r="P15" s="306" t="s">
        <v>1013</v>
      </c>
      <c r="Q15" s="306" t="s">
        <v>1013</v>
      </c>
      <c r="R15" s="306" t="s">
        <v>1013</v>
      </c>
      <c r="S15" s="306" t="s">
        <v>1013</v>
      </c>
      <c r="T15" s="306" t="s">
        <v>1013</v>
      </c>
      <c r="U15" s="306" t="s">
        <v>2532</v>
      </c>
      <c r="V15" s="306" t="s">
        <v>1013</v>
      </c>
      <c r="W15" s="306" t="s">
        <v>1013</v>
      </c>
      <c r="X15" s="306" t="s">
        <v>1013</v>
      </c>
      <c r="Y15" s="306" t="s">
        <v>2532</v>
      </c>
      <c r="Z15" s="306" t="s">
        <v>2456</v>
      </c>
      <c r="AA15" s="306" t="s">
        <v>1013</v>
      </c>
    </row>
    <row r="16" spans="1:27">
      <c r="A16" s="306" t="s">
        <v>494</v>
      </c>
      <c r="B16" s="306" t="s">
        <v>1003</v>
      </c>
      <c r="C16" s="306" t="s">
        <v>1004</v>
      </c>
      <c r="D16" s="306" t="s">
        <v>2480</v>
      </c>
      <c r="E16" s="306" t="s">
        <v>2533</v>
      </c>
      <c r="F16" s="306" t="s">
        <v>2482</v>
      </c>
      <c r="G16" s="308">
        <v>45993</v>
      </c>
      <c r="H16" s="308">
        <v>45995</v>
      </c>
      <c r="I16" s="309">
        <v>580.63</v>
      </c>
      <c r="J16" s="306" t="s">
        <v>1008</v>
      </c>
      <c r="K16" s="309">
        <v>580.63</v>
      </c>
      <c r="L16" s="306" t="s">
        <v>1008</v>
      </c>
      <c r="M16" s="306" t="s">
        <v>2534</v>
      </c>
      <c r="N16" s="306" t="s">
        <v>2534</v>
      </c>
      <c r="O16" s="306" t="s">
        <v>1013</v>
      </c>
      <c r="P16" s="306" t="s">
        <v>1013</v>
      </c>
      <c r="Q16" s="306" t="s">
        <v>1013</v>
      </c>
      <c r="R16" s="306" t="s">
        <v>1013</v>
      </c>
      <c r="S16" s="306" t="s">
        <v>1013</v>
      </c>
      <c r="T16" s="306" t="s">
        <v>1013</v>
      </c>
      <c r="U16" s="306" t="s">
        <v>2535</v>
      </c>
      <c r="V16" s="306" t="s">
        <v>1013</v>
      </c>
      <c r="W16" s="306" t="s">
        <v>1013</v>
      </c>
      <c r="X16" s="306" t="s">
        <v>1013</v>
      </c>
      <c r="Y16" s="306" t="s">
        <v>2535</v>
      </c>
      <c r="Z16" s="306" t="s">
        <v>2456</v>
      </c>
      <c r="AA16" s="306" t="s">
        <v>1013</v>
      </c>
    </row>
    <row r="17" spans="1:27">
      <c r="A17" s="306" t="s">
        <v>494</v>
      </c>
      <c r="B17" s="306" t="s">
        <v>1003</v>
      </c>
      <c r="C17" s="306" t="s">
        <v>1004</v>
      </c>
      <c r="D17" s="306" t="s">
        <v>2480</v>
      </c>
      <c r="E17" s="306" t="s">
        <v>2536</v>
      </c>
      <c r="F17" s="306" t="s">
        <v>2486</v>
      </c>
      <c r="G17" s="308">
        <v>45995</v>
      </c>
      <c r="H17" s="308">
        <v>45995</v>
      </c>
      <c r="I17" s="309">
        <v>9.6</v>
      </c>
      <c r="J17" s="306" t="s">
        <v>1008</v>
      </c>
      <c r="K17" s="309">
        <v>9.6</v>
      </c>
      <c r="L17" s="306" t="s">
        <v>1008</v>
      </c>
      <c r="M17" s="306" t="s">
        <v>2537</v>
      </c>
      <c r="N17" s="306" t="s">
        <v>2538</v>
      </c>
      <c r="O17" s="306" t="s">
        <v>1013</v>
      </c>
      <c r="P17" s="306" t="s">
        <v>1013</v>
      </c>
      <c r="Q17" s="306" t="s">
        <v>1013</v>
      </c>
      <c r="R17" s="306" t="s">
        <v>1013</v>
      </c>
      <c r="S17" s="306" t="s">
        <v>1013</v>
      </c>
      <c r="T17" s="306" t="s">
        <v>1013</v>
      </c>
      <c r="U17" s="306" t="s">
        <v>2539</v>
      </c>
      <c r="V17" s="306" t="s">
        <v>1013</v>
      </c>
      <c r="W17" s="306" t="s">
        <v>1013</v>
      </c>
      <c r="X17" s="306" t="s">
        <v>1013</v>
      </c>
      <c r="Y17" s="306" t="s">
        <v>2540</v>
      </c>
      <c r="Z17" s="306" t="s">
        <v>2456</v>
      </c>
      <c r="AA17" s="306" t="s">
        <v>1013</v>
      </c>
    </row>
    <row r="18" spans="1:27">
      <c r="A18" s="306" t="s">
        <v>494</v>
      </c>
      <c r="B18" s="306" t="s">
        <v>1003</v>
      </c>
      <c r="C18" s="306" t="s">
        <v>1004</v>
      </c>
      <c r="D18" s="306" t="s">
        <v>2480</v>
      </c>
      <c r="E18" s="306" t="s">
        <v>2541</v>
      </c>
      <c r="F18" s="306" t="s">
        <v>2482</v>
      </c>
      <c r="G18" s="308">
        <v>45995</v>
      </c>
      <c r="H18" s="308">
        <v>45995</v>
      </c>
      <c r="I18" s="309">
        <v>10841.38</v>
      </c>
      <c r="J18" s="306" t="s">
        <v>1008</v>
      </c>
      <c r="K18" s="309">
        <v>10841.38</v>
      </c>
      <c r="L18" s="306" t="s">
        <v>1008</v>
      </c>
      <c r="M18" s="306" t="s">
        <v>2542</v>
      </c>
      <c r="N18" s="306" t="s">
        <v>2543</v>
      </c>
      <c r="O18" s="306" t="s">
        <v>2295</v>
      </c>
      <c r="P18" s="306" t="s">
        <v>696</v>
      </c>
      <c r="Q18" s="306" t="s">
        <v>1013</v>
      </c>
      <c r="R18" s="306" t="s">
        <v>1013</v>
      </c>
      <c r="S18" s="306" t="s">
        <v>1013</v>
      </c>
      <c r="T18" s="306" t="s">
        <v>1013</v>
      </c>
      <c r="U18" s="306" t="s">
        <v>2544</v>
      </c>
      <c r="V18" s="306" t="s">
        <v>1013</v>
      </c>
      <c r="W18" s="306" t="s">
        <v>1013</v>
      </c>
      <c r="X18" s="306" t="s">
        <v>1013</v>
      </c>
      <c r="Y18" s="306" t="s">
        <v>2545</v>
      </c>
      <c r="Z18" s="306" t="s">
        <v>1015</v>
      </c>
      <c r="AA18" s="306" t="s">
        <v>1013</v>
      </c>
    </row>
    <row r="19" spans="1:27">
      <c r="A19" s="306" t="s">
        <v>494</v>
      </c>
      <c r="B19" s="306" t="s">
        <v>1003</v>
      </c>
      <c r="C19" s="306" t="s">
        <v>1004</v>
      </c>
      <c r="D19" s="306" t="s">
        <v>2480</v>
      </c>
      <c r="E19" s="306" t="s">
        <v>2546</v>
      </c>
      <c r="F19" s="306" t="s">
        <v>2482</v>
      </c>
      <c r="G19" s="308">
        <v>45995</v>
      </c>
      <c r="H19" s="308">
        <v>45995</v>
      </c>
      <c r="I19" s="309">
        <v>12203.39</v>
      </c>
      <c r="J19" s="306" t="s">
        <v>1008</v>
      </c>
      <c r="K19" s="309">
        <v>12203.39</v>
      </c>
      <c r="L19" s="306" t="s">
        <v>1008</v>
      </c>
      <c r="M19" s="306" t="s">
        <v>2547</v>
      </c>
      <c r="N19" s="306" t="s">
        <v>2548</v>
      </c>
      <c r="O19" s="306" t="s">
        <v>2300</v>
      </c>
      <c r="P19" s="306" t="s">
        <v>696</v>
      </c>
      <c r="Q19" s="306" t="s">
        <v>1013</v>
      </c>
      <c r="R19" s="306" t="s">
        <v>1013</v>
      </c>
      <c r="S19" s="306" t="s">
        <v>1013</v>
      </c>
      <c r="T19" s="306" t="s">
        <v>1013</v>
      </c>
      <c r="U19" s="306" t="s">
        <v>2549</v>
      </c>
      <c r="V19" s="306" t="s">
        <v>1013</v>
      </c>
      <c r="W19" s="306" t="s">
        <v>1013</v>
      </c>
      <c r="X19" s="306" t="s">
        <v>1013</v>
      </c>
      <c r="Y19" s="306" t="s">
        <v>2301</v>
      </c>
      <c r="Z19" s="306" t="s">
        <v>1015</v>
      </c>
      <c r="AA19" s="306" t="s">
        <v>1013</v>
      </c>
    </row>
    <row r="20" spans="1:27">
      <c r="A20" s="306" t="s">
        <v>494</v>
      </c>
      <c r="B20" s="306" t="s">
        <v>1003</v>
      </c>
      <c r="C20" s="306" t="s">
        <v>1004</v>
      </c>
      <c r="D20" s="306" t="s">
        <v>2480</v>
      </c>
      <c r="E20" s="306" t="s">
        <v>2550</v>
      </c>
      <c r="F20" s="306" t="s">
        <v>1007</v>
      </c>
      <c r="G20" s="308">
        <v>45991</v>
      </c>
      <c r="H20" s="308">
        <v>45996</v>
      </c>
      <c r="I20" s="309">
        <v>1747.57</v>
      </c>
      <c r="J20" s="306" t="s">
        <v>1008</v>
      </c>
      <c r="K20" s="309">
        <v>1747.57</v>
      </c>
      <c r="L20" s="306" t="s">
        <v>1008</v>
      </c>
      <c r="M20" s="306" t="s">
        <v>2551</v>
      </c>
      <c r="N20" s="306" t="s">
        <v>2552</v>
      </c>
      <c r="O20" s="306" t="s">
        <v>1013</v>
      </c>
      <c r="P20" s="306" t="s">
        <v>1013</v>
      </c>
      <c r="Q20" s="306" t="s">
        <v>1013</v>
      </c>
      <c r="R20" s="306" t="s">
        <v>1013</v>
      </c>
      <c r="S20" s="306" t="s">
        <v>1013</v>
      </c>
      <c r="T20" s="306" t="s">
        <v>1013</v>
      </c>
      <c r="U20" s="306" t="s">
        <v>2553</v>
      </c>
      <c r="V20" s="306" t="s">
        <v>1013</v>
      </c>
      <c r="W20" s="306" t="s">
        <v>1013</v>
      </c>
      <c r="X20" s="306" t="s">
        <v>1013</v>
      </c>
      <c r="Y20" s="306" t="s">
        <v>2553</v>
      </c>
      <c r="Z20" s="306" t="s">
        <v>2554</v>
      </c>
      <c r="AA20" s="306" t="s">
        <v>1013</v>
      </c>
    </row>
    <row r="21" spans="1:27">
      <c r="A21" s="306" t="s">
        <v>494</v>
      </c>
      <c r="B21" s="306" t="s">
        <v>1003</v>
      </c>
      <c r="C21" s="306" t="s">
        <v>1004</v>
      </c>
      <c r="D21" s="306" t="s">
        <v>2480</v>
      </c>
      <c r="E21" s="306" t="s">
        <v>2555</v>
      </c>
      <c r="F21" s="306" t="s">
        <v>1007</v>
      </c>
      <c r="G21" s="308">
        <v>45996</v>
      </c>
      <c r="H21" s="308">
        <v>45996</v>
      </c>
      <c r="I21" s="309">
        <v>1747.57</v>
      </c>
      <c r="J21" s="306" t="s">
        <v>1008</v>
      </c>
      <c r="K21" s="309">
        <v>1747.57</v>
      </c>
      <c r="L21" s="306" t="s">
        <v>1008</v>
      </c>
      <c r="M21" s="306" t="s">
        <v>2556</v>
      </c>
      <c r="N21" s="306" t="s">
        <v>2557</v>
      </c>
      <c r="O21" s="306" t="s">
        <v>2558</v>
      </c>
      <c r="P21" s="306" t="s">
        <v>1013</v>
      </c>
      <c r="Q21" s="306" t="s">
        <v>1013</v>
      </c>
      <c r="R21" s="306" t="s">
        <v>1013</v>
      </c>
      <c r="S21" s="306" t="s">
        <v>1013</v>
      </c>
      <c r="T21" s="306" t="s">
        <v>1013</v>
      </c>
      <c r="U21" s="306" t="s">
        <v>2553</v>
      </c>
      <c r="V21" s="306" t="s">
        <v>1013</v>
      </c>
      <c r="W21" s="306" t="s">
        <v>1013</v>
      </c>
      <c r="X21" s="306" t="s">
        <v>1013</v>
      </c>
      <c r="Y21" s="306" t="s">
        <v>2553</v>
      </c>
      <c r="Z21" s="306" t="s">
        <v>2456</v>
      </c>
      <c r="AA21" s="306" t="s">
        <v>1013</v>
      </c>
    </row>
    <row r="22" spans="1:27">
      <c r="A22" s="306" t="s">
        <v>494</v>
      </c>
      <c r="B22" s="306" t="s">
        <v>1003</v>
      </c>
      <c r="C22" s="306" t="s">
        <v>1004</v>
      </c>
      <c r="D22" s="306" t="s">
        <v>2480</v>
      </c>
      <c r="E22" s="306" t="s">
        <v>2555</v>
      </c>
      <c r="F22" s="306" t="s">
        <v>1007</v>
      </c>
      <c r="G22" s="308">
        <v>45996</v>
      </c>
      <c r="H22" s="308">
        <v>45996</v>
      </c>
      <c r="I22" s="309">
        <v>-1747.57</v>
      </c>
      <c r="J22" s="306" t="s">
        <v>1008</v>
      </c>
      <c r="K22" s="309">
        <v>-1747.57</v>
      </c>
      <c r="L22" s="306" t="s">
        <v>1008</v>
      </c>
      <c r="M22" s="306" t="s">
        <v>2559</v>
      </c>
      <c r="N22" s="306" t="s">
        <v>2557</v>
      </c>
      <c r="O22" s="306" t="s">
        <v>2558</v>
      </c>
      <c r="P22" s="306" t="s">
        <v>1013</v>
      </c>
      <c r="Q22" s="306" t="s">
        <v>1013</v>
      </c>
      <c r="R22" s="306" t="s">
        <v>1013</v>
      </c>
      <c r="S22" s="306" t="s">
        <v>1013</v>
      </c>
      <c r="T22" s="306" t="s">
        <v>1013</v>
      </c>
      <c r="U22" s="306" t="s">
        <v>2553</v>
      </c>
      <c r="V22" s="306" t="s">
        <v>1013</v>
      </c>
      <c r="W22" s="306" t="s">
        <v>1013</v>
      </c>
      <c r="X22" s="306" t="s">
        <v>1013</v>
      </c>
      <c r="Y22" s="306" t="s">
        <v>2553</v>
      </c>
      <c r="Z22" s="306" t="s">
        <v>2456</v>
      </c>
      <c r="AA22" s="306" t="s">
        <v>1013</v>
      </c>
    </row>
    <row r="23" spans="1:27">
      <c r="A23" s="306" t="s">
        <v>494</v>
      </c>
      <c r="B23" s="306" t="s">
        <v>1003</v>
      </c>
      <c r="C23" s="306" t="s">
        <v>1004</v>
      </c>
      <c r="D23" s="306" t="s">
        <v>2480</v>
      </c>
      <c r="E23" s="306" t="s">
        <v>2560</v>
      </c>
      <c r="F23" s="306" t="s">
        <v>2482</v>
      </c>
      <c r="G23" s="308">
        <v>45994</v>
      </c>
      <c r="H23" s="308">
        <v>45996</v>
      </c>
      <c r="I23" s="309">
        <v>671714.51</v>
      </c>
      <c r="J23" s="306" t="s">
        <v>1008</v>
      </c>
      <c r="K23" s="309">
        <v>671714.51</v>
      </c>
      <c r="L23" s="306" t="s">
        <v>1008</v>
      </c>
      <c r="M23" s="306" t="s">
        <v>2561</v>
      </c>
      <c r="N23" s="306" t="s">
        <v>2561</v>
      </c>
      <c r="O23" s="306" t="s">
        <v>1013</v>
      </c>
      <c r="P23" s="306" t="s">
        <v>1013</v>
      </c>
      <c r="Q23" s="306" t="s">
        <v>1013</v>
      </c>
      <c r="R23" s="306" t="s">
        <v>1013</v>
      </c>
      <c r="S23" s="306" t="s">
        <v>1013</v>
      </c>
      <c r="T23" s="306" t="s">
        <v>1013</v>
      </c>
      <c r="U23" s="306" t="s">
        <v>2562</v>
      </c>
      <c r="V23" s="306" t="s">
        <v>1013</v>
      </c>
      <c r="W23" s="306" t="s">
        <v>1013</v>
      </c>
      <c r="X23" s="306" t="s">
        <v>1013</v>
      </c>
      <c r="Y23" s="306" t="s">
        <v>2562</v>
      </c>
      <c r="Z23" s="306" t="s">
        <v>2456</v>
      </c>
      <c r="AA23" s="306" t="s">
        <v>1013</v>
      </c>
    </row>
    <row r="24" spans="1:27">
      <c r="A24" s="306" t="s">
        <v>494</v>
      </c>
      <c r="B24" s="306" t="s">
        <v>1003</v>
      </c>
      <c r="C24" s="306" t="s">
        <v>1004</v>
      </c>
      <c r="D24" s="306" t="s">
        <v>2480</v>
      </c>
      <c r="E24" s="306" t="s">
        <v>2563</v>
      </c>
      <c r="F24" s="306" t="s">
        <v>2482</v>
      </c>
      <c r="G24" s="308">
        <v>45994</v>
      </c>
      <c r="H24" s="308">
        <v>45996</v>
      </c>
      <c r="I24" s="309">
        <v>566998.61</v>
      </c>
      <c r="J24" s="306" t="s">
        <v>1008</v>
      </c>
      <c r="K24" s="309">
        <v>566998.61</v>
      </c>
      <c r="L24" s="306" t="s">
        <v>1008</v>
      </c>
      <c r="M24" s="306" t="s">
        <v>2564</v>
      </c>
      <c r="N24" s="306" t="s">
        <v>2564</v>
      </c>
      <c r="O24" s="306" t="s">
        <v>1013</v>
      </c>
      <c r="P24" s="306" t="s">
        <v>1013</v>
      </c>
      <c r="Q24" s="306" t="s">
        <v>1013</v>
      </c>
      <c r="R24" s="306" t="s">
        <v>1013</v>
      </c>
      <c r="S24" s="306" t="s">
        <v>1013</v>
      </c>
      <c r="T24" s="306" t="s">
        <v>1013</v>
      </c>
      <c r="U24" s="306" t="s">
        <v>2565</v>
      </c>
      <c r="V24" s="306" t="s">
        <v>1013</v>
      </c>
      <c r="W24" s="306" t="s">
        <v>1013</v>
      </c>
      <c r="X24" s="306" t="s">
        <v>1013</v>
      </c>
      <c r="Y24" s="306" t="s">
        <v>2565</v>
      </c>
      <c r="Z24" s="306" t="s">
        <v>2456</v>
      </c>
      <c r="AA24" s="306" t="s">
        <v>1013</v>
      </c>
    </row>
    <row r="25" spans="1:27">
      <c r="A25" s="306" t="s">
        <v>494</v>
      </c>
      <c r="B25" s="306" t="s">
        <v>1003</v>
      </c>
      <c r="C25" s="306" t="s">
        <v>1004</v>
      </c>
      <c r="D25" s="306" t="s">
        <v>2480</v>
      </c>
      <c r="E25" s="306" t="s">
        <v>2566</v>
      </c>
      <c r="F25" s="306" t="s">
        <v>2482</v>
      </c>
      <c r="G25" s="308">
        <v>45993</v>
      </c>
      <c r="H25" s="308">
        <v>45996</v>
      </c>
      <c r="I25" s="309">
        <v>10377.36</v>
      </c>
      <c r="J25" s="306" t="s">
        <v>1008</v>
      </c>
      <c r="K25" s="309">
        <v>10377.36</v>
      </c>
      <c r="L25" s="306" t="s">
        <v>1008</v>
      </c>
      <c r="M25" s="306" t="s">
        <v>2567</v>
      </c>
      <c r="N25" s="306" t="s">
        <v>2567</v>
      </c>
      <c r="O25" s="306" t="s">
        <v>1013</v>
      </c>
      <c r="P25" s="306" t="s">
        <v>1013</v>
      </c>
      <c r="Q25" s="306" t="s">
        <v>1013</v>
      </c>
      <c r="R25" s="306" t="s">
        <v>1013</v>
      </c>
      <c r="S25" s="306" t="s">
        <v>1013</v>
      </c>
      <c r="T25" s="306" t="s">
        <v>1013</v>
      </c>
      <c r="U25" s="306" t="s">
        <v>2568</v>
      </c>
      <c r="V25" s="306" t="s">
        <v>1013</v>
      </c>
      <c r="W25" s="306" t="s">
        <v>1013</v>
      </c>
      <c r="X25" s="306" t="s">
        <v>1013</v>
      </c>
      <c r="Y25" s="306" t="s">
        <v>2568</v>
      </c>
      <c r="Z25" s="306" t="s">
        <v>2456</v>
      </c>
      <c r="AA25" s="306" t="s">
        <v>1013</v>
      </c>
    </row>
    <row r="26" spans="1:27">
      <c r="A26" s="306" t="s">
        <v>494</v>
      </c>
      <c r="B26" s="306" t="s">
        <v>1003</v>
      </c>
      <c r="C26" s="306" t="s">
        <v>1004</v>
      </c>
      <c r="D26" s="306" t="s">
        <v>2480</v>
      </c>
      <c r="E26" s="306" t="s">
        <v>2569</v>
      </c>
      <c r="F26" s="306" t="s">
        <v>2482</v>
      </c>
      <c r="G26" s="308">
        <v>45993</v>
      </c>
      <c r="H26" s="308">
        <v>45996</v>
      </c>
      <c r="I26" s="309">
        <v>4327.67</v>
      </c>
      <c r="J26" s="306" t="s">
        <v>1008</v>
      </c>
      <c r="K26" s="309">
        <v>4327.67</v>
      </c>
      <c r="L26" s="306" t="s">
        <v>1008</v>
      </c>
      <c r="M26" s="306" t="s">
        <v>2570</v>
      </c>
      <c r="N26" s="306" t="s">
        <v>2570</v>
      </c>
      <c r="O26" s="306" t="s">
        <v>1013</v>
      </c>
      <c r="P26" s="306" t="s">
        <v>1013</v>
      </c>
      <c r="Q26" s="306" t="s">
        <v>1013</v>
      </c>
      <c r="R26" s="306" t="s">
        <v>1013</v>
      </c>
      <c r="S26" s="306" t="s">
        <v>1013</v>
      </c>
      <c r="T26" s="306" t="s">
        <v>1013</v>
      </c>
      <c r="U26" s="306" t="s">
        <v>2571</v>
      </c>
      <c r="V26" s="306" t="s">
        <v>1013</v>
      </c>
      <c r="W26" s="306" t="s">
        <v>1013</v>
      </c>
      <c r="X26" s="306" t="s">
        <v>1013</v>
      </c>
      <c r="Y26" s="306" t="s">
        <v>2571</v>
      </c>
      <c r="Z26" s="306" t="s">
        <v>2456</v>
      </c>
      <c r="AA26" s="306" t="s">
        <v>1013</v>
      </c>
    </row>
    <row r="27" spans="1:27">
      <c r="A27" s="306" t="s">
        <v>494</v>
      </c>
      <c r="B27" s="306" t="s">
        <v>1003</v>
      </c>
      <c r="C27" s="306" t="s">
        <v>1004</v>
      </c>
      <c r="D27" s="306" t="s">
        <v>2480</v>
      </c>
      <c r="E27" s="306" t="s">
        <v>2572</v>
      </c>
      <c r="F27" s="306" t="s">
        <v>2482</v>
      </c>
      <c r="G27" s="308">
        <v>45993</v>
      </c>
      <c r="H27" s="308">
        <v>45996</v>
      </c>
      <c r="I27" s="309">
        <v>5735.22</v>
      </c>
      <c r="J27" s="306" t="s">
        <v>1008</v>
      </c>
      <c r="K27" s="309">
        <v>5735.22</v>
      </c>
      <c r="L27" s="306" t="s">
        <v>1008</v>
      </c>
      <c r="M27" s="306" t="s">
        <v>2573</v>
      </c>
      <c r="N27" s="306" t="s">
        <v>2573</v>
      </c>
      <c r="O27" s="306" t="s">
        <v>1013</v>
      </c>
      <c r="P27" s="306" t="s">
        <v>1013</v>
      </c>
      <c r="Q27" s="306" t="s">
        <v>1013</v>
      </c>
      <c r="R27" s="306" t="s">
        <v>1013</v>
      </c>
      <c r="S27" s="306" t="s">
        <v>1013</v>
      </c>
      <c r="T27" s="306" t="s">
        <v>1013</v>
      </c>
      <c r="U27" s="306" t="s">
        <v>2574</v>
      </c>
      <c r="V27" s="306" t="s">
        <v>1013</v>
      </c>
      <c r="W27" s="306" t="s">
        <v>1013</v>
      </c>
      <c r="X27" s="306" t="s">
        <v>1013</v>
      </c>
      <c r="Y27" s="306" t="s">
        <v>2574</v>
      </c>
      <c r="Z27" s="306" t="s">
        <v>2456</v>
      </c>
      <c r="AA27" s="306" t="s">
        <v>1013</v>
      </c>
    </row>
    <row r="28" spans="1:27">
      <c r="A28" s="306" t="s">
        <v>494</v>
      </c>
      <c r="B28" s="306" t="s">
        <v>1003</v>
      </c>
      <c r="C28" s="306" t="s">
        <v>1004</v>
      </c>
      <c r="D28" s="306" t="s">
        <v>2480</v>
      </c>
      <c r="E28" s="306" t="s">
        <v>2575</v>
      </c>
      <c r="F28" s="306" t="s">
        <v>2482</v>
      </c>
      <c r="G28" s="308">
        <v>45993</v>
      </c>
      <c r="H28" s="308">
        <v>45996</v>
      </c>
      <c r="I28" s="309">
        <v>25132.080000000002</v>
      </c>
      <c r="J28" s="306" t="s">
        <v>1008</v>
      </c>
      <c r="K28" s="309">
        <v>25132.080000000002</v>
      </c>
      <c r="L28" s="306" t="s">
        <v>1008</v>
      </c>
      <c r="M28" s="306" t="s">
        <v>2576</v>
      </c>
      <c r="N28" s="306" t="s">
        <v>2576</v>
      </c>
      <c r="O28" s="306" t="s">
        <v>1013</v>
      </c>
      <c r="P28" s="306" t="s">
        <v>1013</v>
      </c>
      <c r="Q28" s="306" t="s">
        <v>1013</v>
      </c>
      <c r="R28" s="306" t="s">
        <v>1013</v>
      </c>
      <c r="S28" s="306" t="s">
        <v>1013</v>
      </c>
      <c r="T28" s="306" t="s">
        <v>1013</v>
      </c>
      <c r="U28" s="306" t="s">
        <v>2577</v>
      </c>
      <c r="V28" s="306" t="s">
        <v>1013</v>
      </c>
      <c r="W28" s="306" t="s">
        <v>1013</v>
      </c>
      <c r="X28" s="306" t="s">
        <v>1013</v>
      </c>
      <c r="Y28" s="306" t="s">
        <v>2577</v>
      </c>
      <c r="Z28" s="306" t="s">
        <v>2456</v>
      </c>
      <c r="AA28" s="306" t="s">
        <v>1013</v>
      </c>
    </row>
    <row r="29" spans="1:27">
      <c r="A29" s="306" t="s">
        <v>494</v>
      </c>
      <c r="B29" s="306" t="s">
        <v>1003</v>
      </c>
      <c r="C29" s="306" t="s">
        <v>1004</v>
      </c>
      <c r="D29" s="306" t="s">
        <v>2480</v>
      </c>
      <c r="E29" s="306" t="s">
        <v>2578</v>
      </c>
      <c r="F29" s="306" t="s">
        <v>2482</v>
      </c>
      <c r="G29" s="308">
        <v>45993</v>
      </c>
      <c r="H29" s="308">
        <v>45996</v>
      </c>
      <c r="I29" s="309">
        <v>509314.53</v>
      </c>
      <c r="J29" s="306" t="s">
        <v>1008</v>
      </c>
      <c r="K29" s="309">
        <v>509314.53</v>
      </c>
      <c r="L29" s="306" t="s">
        <v>1008</v>
      </c>
      <c r="M29" s="306" t="s">
        <v>2579</v>
      </c>
      <c r="N29" s="306" t="s">
        <v>2579</v>
      </c>
      <c r="O29" s="306" t="s">
        <v>1013</v>
      </c>
      <c r="P29" s="306" t="s">
        <v>1013</v>
      </c>
      <c r="Q29" s="306" t="s">
        <v>1013</v>
      </c>
      <c r="R29" s="306" t="s">
        <v>1013</v>
      </c>
      <c r="S29" s="306" t="s">
        <v>1013</v>
      </c>
      <c r="T29" s="306" t="s">
        <v>1013</v>
      </c>
      <c r="U29" s="306" t="s">
        <v>2580</v>
      </c>
      <c r="V29" s="306" t="s">
        <v>1013</v>
      </c>
      <c r="W29" s="306" t="s">
        <v>1013</v>
      </c>
      <c r="X29" s="306" t="s">
        <v>1013</v>
      </c>
      <c r="Y29" s="306" t="s">
        <v>2580</v>
      </c>
      <c r="Z29" s="306" t="s">
        <v>2456</v>
      </c>
      <c r="AA29" s="306" t="s">
        <v>1013</v>
      </c>
    </row>
    <row r="30" spans="1:27">
      <c r="A30" s="306" t="s">
        <v>494</v>
      </c>
      <c r="B30" s="306" t="s">
        <v>1003</v>
      </c>
      <c r="C30" s="306" t="s">
        <v>1004</v>
      </c>
      <c r="D30" s="306" t="s">
        <v>2480</v>
      </c>
      <c r="E30" s="306" t="s">
        <v>2581</v>
      </c>
      <c r="F30" s="306" t="s">
        <v>2482</v>
      </c>
      <c r="G30" s="308">
        <v>45994</v>
      </c>
      <c r="H30" s="308">
        <v>45996</v>
      </c>
      <c r="I30" s="309">
        <v>69383.19</v>
      </c>
      <c r="J30" s="306" t="s">
        <v>1008</v>
      </c>
      <c r="K30" s="309">
        <v>69383.19</v>
      </c>
      <c r="L30" s="306" t="s">
        <v>1008</v>
      </c>
      <c r="M30" s="306" t="s">
        <v>2582</v>
      </c>
      <c r="N30" s="306" t="s">
        <v>2582</v>
      </c>
      <c r="O30" s="306" t="s">
        <v>1013</v>
      </c>
      <c r="P30" s="306" t="s">
        <v>1013</v>
      </c>
      <c r="Q30" s="306" t="s">
        <v>1013</v>
      </c>
      <c r="R30" s="306" t="s">
        <v>1013</v>
      </c>
      <c r="S30" s="306" t="s">
        <v>1013</v>
      </c>
      <c r="T30" s="306" t="s">
        <v>1013</v>
      </c>
      <c r="U30" s="306" t="s">
        <v>2583</v>
      </c>
      <c r="V30" s="306" t="s">
        <v>1013</v>
      </c>
      <c r="W30" s="306" t="s">
        <v>1013</v>
      </c>
      <c r="X30" s="306" t="s">
        <v>1013</v>
      </c>
      <c r="Y30" s="306" t="s">
        <v>2583</v>
      </c>
      <c r="Z30" s="306" t="s">
        <v>2456</v>
      </c>
      <c r="AA30" s="306" t="s">
        <v>1013</v>
      </c>
    </row>
    <row r="31" spans="1:27">
      <c r="A31" s="306" t="s">
        <v>494</v>
      </c>
      <c r="B31" s="306" t="s">
        <v>1003</v>
      </c>
      <c r="C31" s="306" t="s">
        <v>1004</v>
      </c>
      <c r="D31" s="306" t="s">
        <v>2480</v>
      </c>
      <c r="E31" s="306" t="s">
        <v>2584</v>
      </c>
      <c r="F31" s="306" t="s">
        <v>2482</v>
      </c>
      <c r="G31" s="308">
        <v>45995</v>
      </c>
      <c r="H31" s="308">
        <v>45996</v>
      </c>
      <c r="I31" s="309">
        <v>18565.79</v>
      </c>
      <c r="J31" s="306" t="s">
        <v>1008</v>
      </c>
      <c r="K31" s="309">
        <v>18565.79</v>
      </c>
      <c r="L31" s="306" t="s">
        <v>1008</v>
      </c>
      <c r="M31" s="306" t="s">
        <v>2585</v>
      </c>
      <c r="N31" s="306" t="s">
        <v>2585</v>
      </c>
      <c r="O31" s="306" t="s">
        <v>1013</v>
      </c>
      <c r="P31" s="306" t="s">
        <v>1013</v>
      </c>
      <c r="Q31" s="306" t="s">
        <v>1013</v>
      </c>
      <c r="R31" s="306" t="s">
        <v>1013</v>
      </c>
      <c r="S31" s="306" t="s">
        <v>1013</v>
      </c>
      <c r="T31" s="306" t="s">
        <v>1013</v>
      </c>
      <c r="U31" s="306" t="s">
        <v>2586</v>
      </c>
      <c r="V31" s="306" t="s">
        <v>1013</v>
      </c>
      <c r="W31" s="306" t="s">
        <v>1013</v>
      </c>
      <c r="X31" s="306" t="s">
        <v>1013</v>
      </c>
      <c r="Y31" s="306" t="s">
        <v>2586</v>
      </c>
      <c r="Z31" s="306" t="s">
        <v>2456</v>
      </c>
      <c r="AA31" s="306" t="s">
        <v>1013</v>
      </c>
    </row>
    <row r="32" spans="1:27">
      <c r="A32" s="306" t="s">
        <v>494</v>
      </c>
      <c r="B32" s="306" t="s">
        <v>1003</v>
      </c>
      <c r="C32" s="306" t="s">
        <v>1004</v>
      </c>
      <c r="D32" s="306" t="s">
        <v>2480</v>
      </c>
      <c r="E32" s="306" t="s">
        <v>2587</v>
      </c>
      <c r="F32" s="306" t="s">
        <v>2482</v>
      </c>
      <c r="G32" s="308">
        <v>45995</v>
      </c>
      <c r="H32" s="308">
        <v>45996</v>
      </c>
      <c r="I32" s="309">
        <v>9956.44</v>
      </c>
      <c r="J32" s="306" t="s">
        <v>1008</v>
      </c>
      <c r="K32" s="309">
        <v>9956.44</v>
      </c>
      <c r="L32" s="306" t="s">
        <v>1008</v>
      </c>
      <c r="M32" s="306" t="s">
        <v>2588</v>
      </c>
      <c r="N32" s="306" t="s">
        <v>2588</v>
      </c>
      <c r="O32" s="306" t="s">
        <v>1013</v>
      </c>
      <c r="P32" s="306" t="s">
        <v>1013</v>
      </c>
      <c r="Q32" s="306" t="s">
        <v>1013</v>
      </c>
      <c r="R32" s="306" t="s">
        <v>1013</v>
      </c>
      <c r="S32" s="306" t="s">
        <v>1013</v>
      </c>
      <c r="T32" s="306" t="s">
        <v>1013</v>
      </c>
      <c r="U32" s="306" t="s">
        <v>2589</v>
      </c>
      <c r="V32" s="306" t="s">
        <v>1013</v>
      </c>
      <c r="W32" s="306" t="s">
        <v>1013</v>
      </c>
      <c r="X32" s="306" t="s">
        <v>1013</v>
      </c>
      <c r="Y32" s="306" t="s">
        <v>2589</v>
      </c>
      <c r="Z32" s="306" t="s">
        <v>2456</v>
      </c>
      <c r="AA32" s="306" t="s">
        <v>1013</v>
      </c>
    </row>
    <row r="33" spans="1:27">
      <c r="A33" s="306" t="s">
        <v>494</v>
      </c>
      <c r="B33" s="306" t="s">
        <v>1003</v>
      </c>
      <c r="C33" s="306" t="s">
        <v>1004</v>
      </c>
      <c r="D33" s="306" t="s">
        <v>2480</v>
      </c>
      <c r="E33" s="306" t="s">
        <v>2590</v>
      </c>
      <c r="F33" s="306" t="s">
        <v>2482</v>
      </c>
      <c r="G33" s="308">
        <v>45996</v>
      </c>
      <c r="H33" s="308">
        <v>45996</v>
      </c>
      <c r="I33" s="309">
        <v>407017.99</v>
      </c>
      <c r="J33" s="306" t="s">
        <v>1008</v>
      </c>
      <c r="K33" s="309">
        <v>407017.99</v>
      </c>
      <c r="L33" s="306" t="s">
        <v>1008</v>
      </c>
      <c r="M33" s="306" t="s">
        <v>2591</v>
      </c>
      <c r="N33" s="306" t="s">
        <v>2591</v>
      </c>
      <c r="O33" s="306" t="s">
        <v>1013</v>
      </c>
      <c r="P33" s="306" t="s">
        <v>1013</v>
      </c>
      <c r="Q33" s="306" t="s">
        <v>1013</v>
      </c>
      <c r="R33" s="306" t="s">
        <v>1013</v>
      </c>
      <c r="S33" s="306" t="s">
        <v>1013</v>
      </c>
      <c r="T33" s="306" t="s">
        <v>1013</v>
      </c>
      <c r="U33" s="306" t="s">
        <v>2592</v>
      </c>
      <c r="V33" s="306" t="s">
        <v>1013</v>
      </c>
      <c r="W33" s="306" t="s">
        <v>1013</v>
      </c>
      <c r="X33" s="306" t="s">
        <v>1013</v>
      </c>
      <c r="Y33" s="306" t="s">
        <v>2592</v>
      </c>
      <c r="Z33" s="306" t="s">
        <v>2456</v>
      </c>
      <c r="AA33" s="306" t="s">
        <v>1013</v>
      </c>
    </row>
    <row r="34" spans="1:27">
      <c r="A34" s="306" t="s">
        <v>494</v>
      </c>
      <c r="B34" s="306" t="s">
        <v>1003</v>
      </c>
      <c r="C34" s="306" t="s">
        <v>1004</v>
      </c>
      <c r="D34" s="306" t="s">
        <v>2480</v>
      </c>
      <c r="E34" s="306" t="s">
        <v>2593</v>
      </c>
      <c r="F34" s="306" t="s">
        <v>2482</v>
      </c>
      <c r="G34" s="308">
        <v>45996</v>
      </c>
      <c r="H34" s="308">
        <v>45996</v>
      </c>
      <c r="I34" s="309">
        <v>320341.81</v>
      </c>
      <c r="J34" s="306" t="s">
        <v>1008</v>
      </c>
      <c r="K34" s="309">
        <v>320341.81</v>
      </c>
      <c r="L34" s="306" t="s">
        <v>1008</v>
      </c>
      <c r="M34" s="306" t="s">
        <v>2594</v>
      </c>
      <c r="N34" s="306" t="s">
        <v>2594</v>
      </c>
      <c r="O34" s="306" t="s">
        <v>1013</v>
      </c>
      <c r="P34" s="306" t="s">
        <v>1013</v>
      </c>
      <c r="Q34" s="306" t="s">
        <v>1013</v>
      </c>
      <c r="R34" s="306" t="s">
        <v>1013</v>
      </c>
      <c r="S34" s="306" t="s">
        <v>1013</v>
      </c>
      <c r="T34" s="306" t="s">
        <v>1013</v>
      </c>
      <c r="U34" s="306" t="s">
        <v>2595</v>
      </c>
      <c r="V34" s="306" t="s">
        <v>1013</v>
      </c>
      <c r="W34" s="306" t="s">
        <v>1013</v>
      </c>
      <c r="X34" s="306" t="s">
        <v>1013</v>
      </c>
      <c r="Y34" s="306" t="s">
        <v>2595</v>
      </c>
      <c r="Z34" s="306" t="s">
        <v>2456</v>
      </c>
      <c r="AA34" s="306" t="s">
        <v>1013</v>
      </c>
    </row>
    <row r="35" spans="1:27">
      <c r="A35" s="306" t="s">
        <v>494</v>
      </c>
      <c r="B35" s="306" t="s">
        <v>1003</v>
      </c>
      <c r="C35" s="306" t="s">
        <v>1004</v>
      </c>
      <c r="D35" s="306" t="s">
        <v>2480</v>
      </c>
      <c r="E35" s="306" t="s">
        <v>2596</v>
      </c>
      <c r="F35" s="306" t="s">
        <v>2482</v>
      </c>
      <c r="G35" s="308">
        <v>45996</v>
      </c>
      <c r="H35" s="308">
        <v>45996</v>
      </c>
      <c r="I35" s="309">
        <v>1094.3399999999999</v>
      </c>
      <c r="J35" s="306" t="s">
        <v>1008</v>
      </c>
      <c r="K35" s="309">
        <v>1094.3399999999999</v>
      </c>
      <c r="L35" s="306" t="s">
        <v>1008</v>
      </c>
      <c r="M35" s="306" t="s">
        <v>2597</v>
      </c>
      <c r="N35" s="306" t="s">
        <v>2598</v>
      </c>
      <c r="O35" s="306" t="s">
        <v>2300</v>
      </c>
      <c r="P35" s="306" t="s">
        <v>696</v>
      </c>
      <c r="Q35" s="306" t="s">
        <v>1013</v>
      </c>
      <c r="R35" s="306" t="s">
        <v>1013</v>
      </c>
      <c r="S35" s="306" t="s">
        <v>1013</v>
      </c>
      <c r="T35" s="306" t="s">
        <v>1013</v>
      </c>
      <c r="U35" s="306" t="s">
        <v>2599</v>
      </c>
      <c r="V35" s="306" t="s">
        <v>1013</v>
      </c>
      <c r="W35" s="306" t="s">
        <v>1013</v>
      </c>
      <c r="X35" s="306" t="s">
        <v>1013</v>
      </c>
      <c r="Y35" s="306" t="s">
        <v>2301</v>
      </c>
      <c r="Z35" s="306" t="s">
        <v>1015</v>
      </c>
      <c r="AA35" s="306" t="s">
        <v>1013</v>
      </c>
    </row>
    <row r="36" spans="1:27">
      <c r="A36" s="306" t="s">
        <v>494</v>
      </c>
      <c r="B36" s="306" t="s">
        <v>1003</v>
      </c>
      <c r="C36" s="306" t="s">
        <v>1004</v>
      </c>
      <c r="D36" s="306" t="s">
        <v>2480</v>
      </c>
      <c r="E36" s="306" t="s">
        <v>2600</v>
      </c>
      <c r="F36" s="306" t="s">
        <v>1007</v>
      </c>
      <c r="G36" s="308">
        <v>45999</v>
      </c>
      <c r="H36" s="308">
        <v>45999</v>
      </c>
      <c r="I36" s="309">
        <v>67.62</v>
      </c>
      <c r="J36" s="306" t="s">
        <v>1008</v>
      </c>
      <c r="K36" s="309">
        <v>67.62</v>
      </c>
      <c r="L36" s="306" t="s">
        <v>1008</v>
      </c>
      <c r="M36" s="306" t="s">
        <v>2601</v>
      </c>
      <c r="N36" s="306" t="s">
        <v>2602</v>
      </c>
      <c r="O36" s="306" t="s">
        <v>2603</v>
      </c>
      <c r="P36" s="306" t="s">
        <v>1013</v>
      </c>
      <c r="Q36" s="306" t="s">
        <v>1013</v>
      </c>
      <c r="R36" s="306" t="s">
        <v>1013</v>
      </c>
      <c r="S36" s="306" t="s">
        <v>1013</v>
      </c>
      <c r="T36" s="306" t="s">
        <v>1013</v>
      </c>
      <c r="U36" s="306" t="s">
        <v>2604</v>
      </c>
      <c r="V36" s="306" t="s">
        <v>1013</v>
      </c>
      <c r="W36" s="306" t="s">
        <v>1013</v>
      </c>
      <c r="X36" s="306" t="s">
        <v>1013</v>
      </c>
      <c r="Y36" s="306" t="s">
        <v>2604</v>
      </c>
      <c r="Z36" s="306" t="s">
        <v>2456</v>
      </c>
      <c r="AA36" s="306" t="s">
        <v>1013</v>
      </c>
    </row>
    <row r="37" spans="1:27">
      <c r="A37" s="306" t="s">
        <v>494</v>
      </c>
      <c r="B37" s="306" t="s">
        <v>1003</v>
      </c>
      <c r="C37" s="306" t="s">
        <v>1004</v>
      </c>
      <c r="D37" s="306" t="s">
        <v>2480</v>
      </c>
      <c r="E37" s="306" t="s">
        <v>2605</v>
      </c>
      <c r="F37" s="306" t="s">
        <v>1007</v>
      </c>
      <c r="G37" s="308">
        <v>45999</v>
      </c>
      <c r="H37" s="308">
        <v>45999</v>
      </c>
      <c r="I37" s="309">
        <v>8146.26</v>
      </c>
      <c r="J37" s="306" t="s">
        <v>1008</v>
      </c>
      <c r="K37" s="309">
        <v>8146.26</v>
      </c>
      <c r="L37" s="306" t="s">
        <v>1008</v>
      </c>
      <c r="M37" s="306" t="s">
        <v>2606</v>
      </c>
      <c r="N37" s="306" t="s">
        <v>2607</v>
      </c>
      <c r="O37" s="306" t="s">
        <v>2608</v>
      </c>
      <c r="P37" s="306" t="s">
        <v>1013</v>
      </c>
      <c r="Q37" s="306" t="s">
        <v>1013</v>
      </c>
      <c r="R37" s="306" t="s">
        <v>1013</v>
      </c>
      <c r="S37" s="306" t="s">
        <v>1013</v>
      </c>
      <c r="T37" s="306" t="s">
        <v>1013</v>
      </c>
      <c r="U37" s="306" t="s">
        <v>2604</v>
      </c>
      <c r="V37" s="306" t="s">
        <v>1013</v>
      </c>
      <c r="W37" s="306" t="s">
        <v>1013</v>
      </c>
      <c r="X37" s="306" t="s">
        <v>1013</v>
      </c>
      <c r="Y37" s="306" t="s">
        <v>2604</v>
      </c>
      <c r="Z37" s="306" t="s">
        <v>2456</v>
      </c>
      <c r="AA37" s="306" t="s">
        <v>1013</v>
      </c>
    </row>
    <row r="38" spans="1:27">
      <c r="A38" s="306" t="s">
        <v>494</v>
      </c>
      <c r="B38" s="306" t="s">
        <v>1003</v>
      </c>
      <c r="C38" s="306" t="s">
        <v>1004</v>
      </c>
      <c r="D38" s="306" t="s">
        <v>2480</v>
      </c>
      <c r="E38" s="306" t="s">
        <v>2609</v>
      </c>
      <c r="F38" s="306" t="s">
        <v>1007</v>
      </c>
      <c r="G38" s="308">
        <v>45999</v>
      </c>
      <c r="H38" s="308">
        <v>45999</v>
      </c>
      <c r="I38" s="309">
        <v>5668.6</v>
      </c>
      <c r="J38" s="306" t="s">
        <v>1008</v>
      </c>
      <c r="K38" s="309">
        <v>5668.6</v>
      </c>
      <c r="L38" s="306" t="s">
        <v>1008</v>
      </c>
      <c r="M38" s="306" t="s">
        <v>2610</v>
      </c>
      <c r="N38" s="306" t="s">
        <v>2611</v>
      </c>
      <c r="O38" s="306" t="s">
        <v>2612</v>
      </c>
      <c r="P38" s="306" t="s">
        <v>1013</v>
      </c>
      <c r="Q38" s="306" t="s">
        <v>1013</v>
      </c>
      <c r="R38" s="306" t="s">
        <v>1013</v>
      </c>
      <c r="S38" s="306" t="s">
        <v>1013</v>
      </c>
      <c r="T38" s="306" t="s">
        <v>1013</v>
      </c>
      <c r="U38" s="306" t="s">
        <v>2604</v>
      </c>
      <c r="V38" s="306" t="s">
        <v>1013</v>
      </c>
      <c r="W38" s="306" t="s">
        <v>1013</v>
      </c>
      <c r="X38" s="306" t="s">
        <v>1013</v>
      </c>
      <c r="Y38" s="306" t="s">
        <v>2604</v>
      </c>
      <c r="Z38" s="306" t="s">
        <v>2456</v>
      </c>
      <c r="AA38" s="306" t="s">
        <v>1013</v>
      </c>
    </row>
    <row r="39" spans="1:27">
      <c r="A39" s="306" t="s">
        <v>494</v>
      </c>
      <c r="B39" s="306" t="s">
        <v>1003</v>
      </c>
      <c r="C39" s="306" t="s">
        <v>1004</v>
      </c>
      <c r="D39" s="306" t="s">
        <v>2480</v>
      </c>
      <c r="E39" s="306" t="s">
        <v>2613</v>
      </c>
      <c r="F39" s="306" t="s">
        <v>1007</v>
      </c>
      <c r="G39" s="308">
        <v>45999</v>
      </c>
      <c r="H39" s="308">
        <v>45999</v>
      </c>
      <c r="I39" s="309">
        <v>68678.320000000007</v>
      </c>
      <c r="J39" s="306" t="s">
        <v>1008</v>
      </c>
      <c r="K39" s="309">
        <v>68678.320000000007</v>
      </c>
      <c r="L39" s="306" t="s">
        <v>1008</v>
      </c>
      <c r="M39" s="306" t="s">
        <v>2614</v>
      </c>
      <c r="N39" s="306" t="s">
        <v>2615</v>
      </c>
      <c r="O39" s="306" t="s">
        <v>2028</v>
      </c>
      <c r="P39" s="306" t="s">
        <v>1013</v>
      </c>
      <c r="Q39" s="306" t="s">
        <v>1013</v>
      </c>
      <c r="R39" s="306" t="s">
        <v>1013</v>
      </c>
      <c r="S39" s="306" t="s">
        <v>1013</v>
      </c>
      <c r="T39" s="306" t="s">
        <v>1013</v>
      </c>
      <c r="U39" s="306" t="s">
        <v>2604</v>
      </c>
      <c r="V39" s="306" t="s">
        <v>1013</v>
      </c>
      <c r="W39" s="306" t="s">
        <v>1013</v>
      </c>
      <c r="X39" s="306" t="s">
        <v>1013</v>
      </c>
      <c r="Y39" s="306" t="s">
        <v>2604</v>
      </c>
      <c r="Z39" s="306" t="s">
        <v>2456</v>
      </c>
      <c r="AA39" s="306" t="s">
        <v>1013</v>
      </c>
    </row>
    <row r="40" spans="1:27">
      <c r="A40" s="306" t="s">
        <v>494</v>
      </c>
      <c r="B40" s="306" t="s">
        <v>1003</v>
      </c>
      <c r="C40" s="306" t="s">
        <v>1004</v>
      </c>
      <c r="D40" s="306" t="s">
        <v>2480</v>
      </c>
      <c r="E40" s="306" t="s">
        <v>2616</v>
      </c>
      <c r="F40" s="306" t="s">
        <v>1007</v>
      </c>
      <c r="G40" s="308">
        <v>45999</v>
      </c>
      <c r="H40" s="308">
        <v>45999</v>
      </c>
      <c r="I40" s="309">
        <v>2119.73</v>
      </c>
      <c r="J40" s="306" t="s">
        <v>1008</v>
      </c>
      <c r="K40" s="309">
        <v>2119.73</v>
      </c>
      <c r="L40" s="306" t="s">
        <v>1008</v>
      </c>
      <c r="M40" s="306" t="s">
        <v>2617</v>
      </c>
      <c r="N40" s="306" t="s">
        <v>2618</v>
      </c>
      <c r="O40" s="306" t="s">
        <v>1050</v>
      </c>
      <c r="P40" s="306" t="s">
        <v>1013</v>
      </c>
      <c r="Q40" s="306" t="s">
        <v>1013</v>
      </c>
      <c r="R40" s="306" t="s">
        <v>1013</v>
      </c>
      <c r="S40" s="306" t="s">
        <v>1013</v>
      </c>
      <c r="T40" s="306" t="s">
        <v>1013</v>
      </c>
      <c r="U40" s="306" t="s">
        <v>2604</v>
      </c>
      <c r="V40" s="306" t="s">
        <v>1013</v>
      </c>
      <c r="W40" s="306" t="s">
        <v>1013</v>
      </c>
      <c r="X40" s="306" t="s">
        <v>1013</v>
      </c>
      <c r="Y40" s="306" t="s">
        <v>2604</v>
      </c>
      <c r="Z40" s="306" t="s">
        <v>2456</v>
      </c>
      <c r="AA40" s="306" t="s">
        <v>1013</v>
      </c>
    </row>
    <row r="41" spans="1:27">
      <c r="A41" s="306" t="s">
        <v>494</v>
      </c>
      <c r="B41" s="306" t="s">
        <v>1003</v>
      </c>
      <c r="C41" s="306" t="s">
        <v>1004</v>
      </c>
      <c r="D41" s="306" t="s">
        <v>2480</v>
      </c>
      <c r="E41" s="306" t="s">
        <v>2619</v>
      </c>
      <c r="F41" s="306" t="s">
        <v>2482</v>
      </c>
      <c r="G41" s="308">
        <v>45996</v>
      </c>
      <c r="H41" s="308">
        <v>45999</v>
      </c>
      <c r="I41" s="309">
        <v>88194.08</v>
      </c>
      <c r="J41" s="306" t="s">
        <v>1008</v>
      </c>
      <c r="K41" s="309">
        <v>88194.08</v>
      </c>
      <c r="L41" s="306" t="s">
        <v>1008</v>
      </c>
      <c r="M41" s="306" t="s">
        <v>2620</v>
      </c>
      <c r="N41" s="306" t="s">
        <v>2620</v>
      </c>
      <c r="O41" s="306" t="s">
        <v>1013</v>
      </c>
      <c r="P41" s="306" t="s">
        <v>1013</v>
      </c>
      <c r="Q41" s="306" t="s">
        <v>1013</v>
      </c>
      <c r="R41" s="306" t="s">
        <v>1013</v>
      </c>
      <c r="S41" s="306" t="s">
        <v>1013</v>
      </c>
      <c r="T41" s="306" t="s">
        <v>1013</v>
      </c>
      <c r="U41" s="306" t="s">
        <v>2621</v>
      </c>
      <c r="V41" s="306" t="s">
        <v>1013</v>
      </c>
      <c r="W41" s="306" t="s">
        <v>1013</v>
      </c>
      <c r="X41" s="306" t="s">
        <v>1013</v>
      </c>
      <c r="Y41" s="306" t="s">
        <v>2621</v>
      </c>
      <c r="Z41" s="306" t="s">
        <v>2456</v>
      </c>
      <c r="AA41" s="306" t="s">
        <v>1013</v>
      </c>
    </row>
    <row r="42" spans="1:27">
      <c r="A42" s="306" t="s">
        <v>494</v>
      </c>
      <c r="B42" s="306" t="s">
        <v>1003</v>
      </c>
      <c r="C42" s="306" t="s">
        <v>1004</v>
      </c>
      <c r="D42" s="306" t="s">
        <v>2480</v>
      </c>
      <c r="E42" s="306" t="s">
        <v>2622</v>
      </c>
      <c r="F42" s="306" t="s">
        <v>2482</v>
      </c>
      <c r="G42" s="308">
        <v>45999</v>
      </c>
      <c r="H42" s="308">
        <v>45999</v>
      </c>
      <c r="I42" s="309">
        <v>197987.69</v>
      </c>
      <c r="J42" s="306" t="s">
        <v>1008</v>
      </c>
      <c r="K42" s="309">
        <v>197987.69</v>
      </c>
      <c r="L42" s="306" t="s">
        <v>1008</v>
      </c>
      <c r="M42" s="306" t="s">
        <v>2623</v>
      </c>
      <c r="N42" s="306" t="s">
        <v>2623</v>
      </c>
      <c r="O42" s="306" t="s">
        <v>1013</v>
      </c>
      <c r="P42" s="306" t="s">
        <v>1013</v>
      </c>
      <c r="Q42" s="306" t="s">
        <v>1013</v>
      </c>
      <c r="R42" s="306" t="s">
        <v>1013</v>
      </c>
      <c r="S42" s="306" t="s">
        <v>1013</v>
      </c>
      <c r="T42" s="306" t="s">
        <v>1013</v>
      </c>
      <c r="U42" s="306" t="s">
        <v>2624</v>
      </c>
      <c r="V42" s="306" t="s">
        <v>1013</v>
      </c>
      <c r="W42" s="306" t="s">
        <v>1013</v>
      </c>
      <c r="X42" s="306" t="s">
        <v>1013</v>
      </c>
      <c r="Y42" s="306" t="s">
        <v>2624</v>
      </c>
      <c r="Z42" s="306" t="s">
        <v>2456</v>
      </c>
      <c r="AA42" s="306" t="s">
        <v>1013</v>
      </c>
    </row>
    <row r="43" spans="1:27">
      <c r="A43" s="306" t="s">
        <v>494</v>
      </c>
      <c r="B43" s="306" t="s">
        <v>1003</v>
      </c>
      <c r="C43" s="306" t="s">
        <v>1004</v>
      </c>
      <c r="D43" s="306" t="s">
        <v>2480</v>
      </c>
      <c r="E43" s="306" t="s">
        <v>2625</v>
      </c>
      <c r="F43" s="306" t="s">
        <v>2486</v>
      </c>
      <c r="G43" s="308">
        <v>45999</v>
      </c>
      <c r="H43" s="308">
        <v>45999</v>
      </c>
      <c r="I43" s="309">
        <v>2912.62</v>
      </c>
      <c r="J43" s="306" t="s">
        <v>1008</v>
      </c>
      <c r="K43" s="309">
        <v>2912.62</v>
      </c>
      <c r="L43" s="306" t="s">
        <v>1008</v>
      </c>
      <c r="M43" s="306" t="s">
        <v>2626</v>
      </c>
      <c r="N43" s="306" t="s">
        <v>2627</v>
      </c>
      <c r="O43" s="306" t="s">
        <v>1013</v>
      </c>
      <c r="P43" s="306" t="s">
        <v>1013</v>
      </c>
      <c r="Q43" s="306" t="s">
        <v>1013</v>
      </c>
      <c r="R43" s="306" t="s">
        <v>1013</v>
      </c>
      <c r="S43" s="306" t="s">
        <v>1013</v>
      </c>
      <c r="T43" s="306" t="s">
        <v>1013</v>
      </c>
      <c r="U43" s="306" t="s">
        <v>2628</v>
      </c>
      <c r="V43" s="306" t="s">
        <v>1013</v>
      </c>
      <c r="W43" s="306" t="s">
        <v>1013</v>
      </c>
      <c r="X43" s="306" t="s">
        <v>1013</v>
      </c>
      <c r="Y43" s="306" t="s">
        <v>1537</v>
      </c>
      <c r="Z43" s="306" t="s">
        <v>2456</v>
      </c>
      <c r="AA43" s="306" t="s">
        <v>1013</v>
      </c>
    </row>
    <row r="44" spans="1:27">
      <c r="A44" s="306" t="s">
        <v>494</v>
      </c>
      <c r="B44" s="306" t="s">
        <v>1003</v>
      </c>
      <c r="C44" s="306" t="s">
        <v>1004</v>
      </c>
      <c r="D44" s="306" t="s">
        <v>2480</v>
      </c>
      <c r="E44" s="306" t="s">
        <v>2629</v>
      </c>
      <c r="F44" s="306" t="s">
        <v>2486</v>
      </c>
      <c r="G44" s="308">
        <v>45999</v>
      </c>
      <c r="H44" s="308">
        <v>45999</v>
      </c>
      <c r="I44" s="309">
        <v>1470.3</v>
      </c>
      <c r="J44" s="306" t="s">
        <v>1008</v>
      </c>
      <c r="K44" s="309">
        <v>1470.3</v>
      </c>
      <c r="L44" s="306" t="s">
        <v>1008</v>
      </c>
      <c r="M44" s="306" t="s">
        <v>2630</v>
      </c>
      <c r="N44" s="306" t="s">
        <v>2631</v>
      </c>
      <c r="O44" s="306" t="s">
        <v>1013</v>
      </c>
      <c r="P44" s="306" t="s">
        <v>1013</v>
      </c>
      <c r="Q44" s="306" t="s">
        <v>1013</v>
      </c>
      <c r="R44" s="306" t="s">
        <v>1013</v>
      </c>
      <c r="S44" s="306" t="s">
        <v>1013</v>
      </c>
      <c r="T44" s="306" t="s">
        <v>1013</v>
      </c>
      <c r="U44" s="306" t="s">
        <v>2632</v>
      </c>
      <c r="V44" s="306" t="s">
        <v>1013</v>
      </c>
      <c r="W44" s="306" t="s">
        <v>1013</v>
      </c>
      <c r="X44" s="306" t="s">
        <v>1013</v>
      </c>
      <c r="Y44" s="306" t="s">
        <v>1036</v>
      </c>
      <c r="Z44" s="306" t="s">
        <v>2456</v>
      </c>
      <c r="AA44" s="306" t="s">
        <v>1013</v>
      </c>
    </row>
    <row r="45" spans="1:27">
      <c r="A45" s="306" t="s">
        <v>494</v>
      </c>
      <c r="B45" s="306" t="s">
        <v>1003</v>
      </c>
      <c r="C45" s="306" t="s">
        <v>1004</v>
      </c>
      <c r="D45" s="306" t="s">
        <v>2480</v>
      </c>
      <c r="E45" s="306" t="s">
        <v>2633</v>
      </c>
      <c r="F45" s="306" t="s">
        <v>2486</v>
      </c>
      <c r="G45" s="308">
        <v>45999</v>
      </c>
      <c r="H45" s="308">
        <v>45999</v>
      </c>
      <c r="I45" s="309">
        <v>14655.96</v>
      </c>
      <c r="J45" s="306" t="s">
        <v>1008</v>
      </c>
      <c r="K45" s="309">
        <v>14655.96</v>
      </c>
      <c r="L45" s="306" t="s">
        <v>1008</v>
      </c>
      <c r="M45" s="306" t="s">
        <v>2634</v>
      </c>
      <c r="N45" s="306" t="s">
        <v>2635</v>
      </c>
      <c r="O45" s="306" t="s">
        <v>1013</v>
      </c>
      <c r="P45" s="306" t="s">
        <v>1013</v>
      </c>
      <c r="Q45" s="306" t="s">
        <v>1013</v>
      </c>
      <c r="R45" s="306" t="s">
        <v>1013</v>
      </c>
      <c r="S45" s="306" t="s">
        <v>1013</v>
      </c>
      <c r="T45" s="306" t="s">
        <v>1013</v>
      </c>
      <c r="U45" s="306" t="s">
        <v>2636</v>
      </c>
      <c r="V45" s="306" t="s">
        <v>1013</v>
      </c>
      <c r="W45" s="306" t="s">
        <v>1013</v>
      </c>
      <c r="X45" s="306" t="s">
        <v>1013</v>
      </c>
      <c r="Y45" s="306" t="s">
        <v>2637</v>
      </c>
      <c r="Z45" s="306" t="s">
        <v>2456</v>
      </c>
      <c r="AA45" s="306" t="s">
        <v>1013</v>
      </c>
    </row>
    <row r="46" spans="1:27">
      <c r="A46" s="306" t="s">
        <v>494</v>
      </c>
      <c r="B46" s="306" t="s">
        <v>1003</v>
      </c>
      <c r="C46" s="306" t="s">
        <v>1004</v>
      </c>
      <c r="D46" s="306" t="s">
        <v>2480</v>
      </c>
      <c r="E46" s="306" t="s">
        <v>2638</v>
      </c>
      <c r="F46" s="306" t="s">
        <v>2486</v>
      </c>
      <c r="G46" s="308">
        <v>45999</v>
      </c>
      <c r="H46" s="308">
        <v>45999</v>
      </c>
      <c r="I46" s="309">
        <v>897.09</v>
      </c>
      <c r="J46" s="306" t="s">
        <v>1008</v>
      </c>
      <c r="K46" s="309">
        <v>897.09</v>
      </c>
      <c r="L46" s="306" t="s">
        <v>1008</v>
      </c>
      <c r="M46" s="306" t="s">
        <v>2639</v>
      </c>
      <c r="N46" s="306" t="s">
        <v>2640</v>
      </c>
      <c r="O46" s="306" t="s">
        <v>1013</v>
      </c>
      <c r="P46" s="306" t="s">
        <v>1013</v>
      </c>
      <c r="Q46" s="306" t="s">
        <v>1013</v>
      </c>
      <c r="R46" s="306" t="s">
        <v>1013</v>
      </c>
      <c r="S46" s="306" t="s">
        <v>1013</v>
      </c>
      <c r="T46" s="306" t="s">
        <v>1013</v>
      </c>
      <c r="U46" s="306" t="s">
        <v>2641</v>
      </c>
      <c r="V46" s="306" t="s">
        <v>1013</v>
      </c>
      <c r="W46" s="306" t="s">
        <v>1013</v>
      </c>
      <c r="X46" s="306" t="s">
        <v>1013</v>
      </c>
      <c r="Y46" s="306" t="s">
        <v>2642</v>
      </c>
      <c r="Z46" s="306" t="s">
        <v>2456</v>
      </c>
      <c r="AA46" s="306" t="s">
        <v>1013</v>
      </c>
    </row>
    <row r="47" spans="1:27">
      <c r="A47" s="306" t="s">
        <v>494</v>
      </c>
      <c r="B47" s="306" t="s">
        <v>1003</v>
      </c>
      <c r="C47" s="306" t="s">
        <v>1004</v>
      </c>
      <c r="D47" s="306" t="s">
        <v>2480</v>
      </c>
      <c r="E47" s="306" t="s">
        <v>2643</v>
      </c>
      <c r="F47" s="306" t="s">
        <v>2482</v>
      </c>
      <c r="G47" s="308">
        <v>45999</v>
      </c>
      <c r="H47" s="308">
        <v>45999</v>
      </c>
      <c r="I47" s="309">
        <v>184872.08</v>
      </c>
      <c r="J47" s="306" t="s">
        <v>1008</v>
      </c>
      <c r="K47" s="309">
        <v>184872.08</v>
      </c>
      <c r="L47" s="306" t="s">
        <v>1008</v>
      </c>
      <c r="M47" s="306" t="s">
        <v>2644</v>
      </c>
      <c r="N47" s="306" t="s">
        <v>2644</v>
      </c>
      <c r="O47" s="306" t="s">
        <v>1013</v>
      </c>
      <c r="P47" s="306" t="s">
        <v>1013</v>
      </c>
      <c r="Q47" s="306" t="s">
        <v>1013</v>
      </c>
      <c r="R47" s="306" t="s">
        <v>1013</v>
      </c>
      <c r="S47" s="306" t="s">
        <v>1013</v>
      </c>
      <c r="T47" s="306" t="s">
        <v>1013</v>
      </c>
      <c r="U47" s="306" t="s">
        <v>2645</v>
      </c>
      <c r="V47" s="306" t="s">
        <v>1013</v>
      </c>
      <c r="W47" s="306" t="s">
        <v>1013</v>
      </c>
      <c r="X47" s="306" t="s">
        <v>1013</v>
      </c>
      <c r="Y47" s="306" t="s">
        <v>2645</v>
      </c>
      <c r="Z47" s="306" t="s">
        <v>2456</v>
      </c>
      <c r="AA47" s="306" t="s">
        <v>1013</v>
      </c>
    </row>
    <row r="48" spans="1:27">
      <c r="A48" s="306" t="s">
        <v>494</v>
      </c>
      <c r="B48" s="306" t="s">
        <v>1003</v>
      </c>
      <c r="C48" s="306" t="s">
        <v>1004</v>
      </c>
      <c r="D48" s="306" t="s">
        <v>2480</v>
      </c>
      <c r="E48" s="306" t="s">
        <v>2646</v>
      </c>
      <c r="F48" s="306" t="s">
        <v>2482</v>
      </c>
      <c r="G48" s="308">
        <v>45999</v>
      </c>
      <c r="H48" s="308">
        <v>45999</v>
      </c>
      <c r="I48" s="309">
        <v>256053.47</v>
      </c>
      <c r="J48" s="306" t="s">
        <v>1008</v>
      </c>
      <c r="K48" s="309">
        <v>256053.47</v>
      </c>
      <c r="L48" s="306" t="s">
        <v>1008</v>
      </c>
      <c r="M48" s="306" t="s">
        <v>2647</v>
      </c>
      <c r="N48" s="306" t="s">
        <v>2647</v>
      </c>
      <c r="O48" s="306" t="s">
        <v>1013</v>
      </c>
      <c r="P48" s="306" t="s">
        <v>1013</v>
      </c>
      <c r="Q48" s="306" t="s">
        <v>1013</v>
      </c>
      <c r="R48" s="306" t="s">
        <v>1013</v>
      </c>
      <c r="S48" s="306" t="s">
        <v>1013</v>
      </c>
      <c r="T48" s="306" t="s">
        <v>1013</v>
      </c>
      <c r="U48" s="306" t="s">
        <v>2648</v>
      </c>
      <c r="V48" s="306" t="s">
        <v>1013</v>
      </c>
      <c r="W48" s="306" t="s">
        <v>1013</v>
      </c>
      <c r="X48" s="306" t="s">
        <v>1013</v>
      </c>
      <c r="Y48" s="306" t="s">
        <v>2648</v>
      </c>
      <c r="Z48" s="306" t="s">
        <v>2456</v>
      </c>
      <c r="AA48" s="306" t="s">
        <v>1013</v>
      </c>
    </row>
    <row r="49" spans="1:27">
      <c r="A49" s="306" t="s">
        <v>494</v>
      </c>
      <c r="B49" s="306" t="s">
        <v>1003</v>
      </c>
      <c r="C49" s="306" t="s">
        <v>1004</v>
      </c>
      <c r="D49" s="306" t="s">
        <v>2480</v>
      </c>
      <c r="E49" s="306" t="s">
        <v>2649</v>
      </c>
      <c r="F49" s="306" t="s">
        <v>2482</v>
      </c>
      <c r="G49" s="308">
        <v>45990</v>
      </c>
      <c r="H49" s="308">
        <v>45999</v>
      </c>
      <c r="I49" s="309">
        <v>222131.02</v>
      </c>
      <c r="J49" s="306" t="s">
        <v>1008</v>
      </c>
      <c r="K49" s="309">
        <v>222131.02</v>
      </c>
      <c r="L49" s="306" t="s">
        <v>1008</v>
      </c>
      <c r="M49" s="306" t="s">
        <v>2650</v>
      </c>
      <c r="N49" s="306" t="s">
        <v>2650</v>
      </c>
      <c r="O49" s="306" t="s">
        <v>1013</v>
      </c>
      <c r="P49" s="306" t="s">
        <v>1013</v>
      </c>
      <c r="Q49" s="306" t="s">
        <v>1013</v>
      </c>
      <c r="R49" s="306" t="s">
        <v>1013</v>
      </c>
      <c r="S49" s="306" t="s">
        <v>1013</v>
      </c>
      <c r="T49" s="306" t="s">
        <v>1013</v>
      </c>
      <c r="U49" s="306" t="s">
        <v>2651</v>
      </c>
      <c r="V49" s="306" t="s">
        <v>1013</v>
      </c>
      <c r="W49" s="306" t="s">
        <v>1013</v>
      </c>
      <c r="X49" s="306" t="s">
        <v>1013</v>
      </c>
      <c r="Y49" s="306" t="s">
        <v>2651</v>
      </c>
      <c r="Z49" s="306" t="s">
        <v>2456</v>
      </c>
      <c r="AA49" s="306" t="s">
        <v>1013</v>
      </c>
    </row>
    <row r="50" spans="1:27">
      <c r="A50" s="306" t="s">
        <v>494</v>
      </c>
      <c r="B50" s="306" t="s">
        <v>1003</v>
      </c>
      <c r="C50" s="306" t="s">
        <v>1004</v>
      </c>
      <c r="D50" s="306" t="s">
        <v>2480</v>
      </c>
      <c r="E50" s="306" t="s">
        <v>2652</v>
      </c>
      <c r="F50" s="306" t="s">
        <v>2482</v>
      </c>
      <c r="G50" s="308">
        <v>45996</v>
      </c>
      <c r="H50" s="308">
        <v>45999</v>
      </c>
      <c r="I50" s="309">
        <v>-67.62</v>
      </c>
      <c r="J50" s="306" t="s">
        <v>1008</v>
      </c>
      <c r="K50" s="309">
        <v>-67.62</v>
      </c>
      <c r="L50" s="306" t="s">
        <v>1008</v>
      </c>
      <c r="M50" s="306" t="s">
        <v>1013</v>
      </c>
      <c r="N50" s="306" t="s">
        <v>1013</v>
      </c>
      <c r="O50" s="306" t="s">
        <v>1013</v>
      </c>
      <c r="P50" s="306" t="s">
        <v>1013</v>
      </c>
      <c r="Q50" s="306" t="s">
        <v>1013</v>
      </c>
      <c r="R50" s="306" t="s">
        <v>1013</v>
      </c>
      <c r="S50" s="306" t="s">
        <v>1013</v>
      </c>
      <c r="T50" s="306" t="s">
        <v>1013</v>
      </c>
      <c r="U50" s="306" t="s">
        <v>2653</v>
      </c>
      <c r="V50" s="306" t="s">
        <v>1013</v>
      </c>
      <c r="W50" s="306" t="s">
        <v>1013</v>
      </c>
      <c r="X50" s="306" t="s">
        <v>1013</v>
      </c>
      <c r="Y50" s="306" t="s">
        <v>2653</v>
      </c>
      <c r="Z50" s="306" t="s">
        <v>2654</v>
      </c>
      <c r="AA50" s="306" t="s">
        <v>1013</v>
      </c>
    </row>
    <row r="51" spans="1:27">
      <c r="A51" s="306" t="s">
        <v>494</v>
      </c>
      <c r="B51" s="306" t="s">
        <v>1003</v>
      </c>
      <c r="C51" s="306" t="s">
        <v>1004</v>
      </c>
      <c r="D51" s="306" t="s">
        <v>2480</v>
      </c>
      <c r="E51" s="306" t="s">
        <v>2655</v>
      </c>
      <c r="F51" s="306" t="s">
        <v>2486</v>
      </c>
      <c r="G51" s="308">
        <v>45999</v>
      </c>
      <c r="H51" s="308">
        <v>45999</v>
      </c>
      <c r="I51" s="309">
        <v>4063.11</v>
      </c>
      <c r="J51" s="306" t="s">
        <v>1008</v>
      </c>
      <c r="K51" s="309">
        <v>4063.11</v>
      </c>
      <c r="L51" s="306" t="s">
        <v>1008</v>
      </c>
      <c r="M51" s="306" t="s">
        <v>2656</v>
      </c>
      <c r="N51" s="306" t="s">
        <v>2657</v>
      </c>
      <c r="O51" s="306" t="s">
        <v>1013</v>
      </c>
      <c r="P51" s="306" t="s">
        <v>1013</v>
      </c>
      <c r="Q51" s="306" t="s">
        <v>1013</v>
      </c>
      <c r="R51" s="306" t="s">
        <v>1013</v>
      </c>
      <c r="S51" s="306" t="s">
        <v>1013</v>
      </c>
      <c r="T51" s="306" t="s">
        <v>1013</v>
      </c>
      <c r="U51" s="306" t="s">
        <v>2658</v>
      </c>
      <c r="V51" s="306" t="s">
        <v>1013</v>
      </c>
      <c r="W51" s="306" t="s">
        <v>1013</v>
      </c>
      <c r="X51" s="306" t="s">
        <v>1013</v>
      </c>
      <c r="Y51" s="306" t="s">
        <v>1697</v>
      </c>
      <c r="Z51" s="306" t="s">
        <v>2456</v>
      </c>
      <c r="AA51" s="306" t="s">
        <v>1013</v>
      </c>
    </row>
    <row r="52" spans="1:27">
      <c r="A52" s="306" t="s">
        <v>494</v>
      </c>
      <c r="B52" s="306" t="s">
        <v>1003</v>
      </c>
      <c r="C52" s="306" t="s">
        <v>1004</v>
      </c>
      <c r="D52" s="306" t="s">
        <v>2480</v>
      </c>
      <c r="E52" s="306" t="s">
        <v>2659</v>
      </c>
      <c r="F52" s="306" t="s">
        <v>2482</v>
      </c>
      <c r="G52" s="308">
        <v>45996</v>
      </c>
      <c r="H52" s="308">
        <v>45999</v>
      </c>
      <c r="I52" s="309">
        <v>-8146.26</v>
      </c>
      <c r="J52" s="306" t="s">
        <v>1008</v>
      </c>
      <c r="K52" s="309">
        <v>-8146.26</v>
      </c>
      <c r="L52" s="306" t="s">
        <v>1008</v>
      </c>
      <c r="M52" s="306" t="s">
        <v>1013</v>
      </c>
      <c r="N52" s="306" t="s">
        <v>1013</v>
      </c>
      <c r="O52" s="306" t="s">
        <v>1013</v>
      </c>
      <c r="P52" s="306" t="s">
        <v>1013</v>
      </c>
      <c r="Q52" s="306" t="s">
        <v>1013</v>
      </c>
      <c r="R52" s="306" t="s">
        <v>1013</v>
      </c>
      <c r="S52" s="306" t="s">
        <v>1013</v>
      </c>
      <c r="T52" s="306" t="s">
        <v>1013</v>
      </c>
      <c r="U52" s="306" t="s">
        <v>2660</v>
      </c>
      <c r="V52" s="306" t="s">
        <v>1013</v>
      </c>
      <c r="W52" s="306" t="s">
        <v>1013</v>
      </c>
      <c r="X52" s="306" t="s">
        <v>1013</v>
      </c>
      <c r="Y52" s="306" t="s">
        <v>2660</v>
      </c>
      <c r="Z52" s="306" t="s">
        <v>2654</v>
      </c>
      <c r="AA52" s="306" t="s">
        <v>1013</v>
      </c>
    </row>
    <row r="53" spans="1:27">
      <c r="A53" s="306" t="s">
        <v>494</v>
      </c>
      <c r="B53" s="306" t="s">
        <v>1003</v>
      </c>
      <c r="C53" s="306" t="s">
        <v>1004</v>
      </c>
      <c r="D53" s="306" t="s">
        <v>2480</v>
      </c>
      <c r="E53" s="306" t="s">
        <v>2661</v>
      </c>
      <c r="F53" s="306" t="s">
        <v>2482</v>
      </c>
      <c r="G53" s="308">
        <v>45996</v>
      </c>
      <c r="H53" s="308">
        <v>45999</v>
      </c>
      <c r="I53" s="309">
        <v>-5668.6</v>
      </c>
      <c r="J53" s="306" t="s">
        <v>1008</v>
      </c>
      <c r="K53" s="309">
        <v>-5668.6</v>
      </c>
      <c r="L53" s="306" t="s">
        <v>1008</v>
      </c>
      <c r="M53" s="306" t="s">
        <v>1013</v>
      </c>
      <c r="N53" s="306" t="s">
        <v>1013</v>
      </c>
      <c r="O53" s="306" t="s">
        <v>1013</v>
      </c>
      <c r="P53" s="306" t="s">
        <v>1013</v>
      </c>
      <c r="Q53" s="306" t="s">
        <v>1013</v>
      </c>
      <c r="R53" s="306" t="s">
        <v>1013</v>
      </c>
      <c r="S53" s="306" t="s">
        <v>1013</v>
      </c>
      <c r="T53" s="306" t="s">
        <v>1013</v>
      </c>
      <c r="U53" s="306" t="s">
        <v>2662</v>
      </c>
      <c r="V53" s="306" t="s">
        <v>1013</v>
      </c>
      <c r="W53" s="306" t="s">
        <v>1013</v>
      </c>
      <c r="X53" s="306" t="s">
        <v>1013</v>
      </c>
      <c r="Y53" s="306" t="s">
        <v>2662</v>
      </c>
      <c r="Z53" s="306" t="s">
        <v>2654</v>
      </c>
      <c r="AA53" s="306" t="s">
        <v>1013</v>
      </c>
    </row>
    <row r="54" spans="1:27">
      <c r="A54" s="306" t="s">
        <v>494</v>
      </c>
      <c r="B54" s="306" t="s">
        <v>1003</v>
      </c>
      <c r="C54" s="306" t="s">
        <v>1004</v>
      </c>
      <c r="D54" s="306" t="s">
        <v>2480</v>
      </c>
      <c r="E54" s="306" t="s">
        <v>2663</v>
      </c>
      <c r="F54" s="306" t="s">
        <v>2486</v>
      </c>
      <c r="G54" s="308">
        <v>45999</v>
      </c>
      <c r="H54" s="308">
        <v>45999</v>
      </c>
      <c r="I54" s="309">
        <v>4718.45</v>
      </c>
      <c r="J54" s="306" t="s">
        <v>1008</v>
      </c>
      <c r="K54" s="309">
        <v>4718.45</v>
      </c>
      <c r="L54" s="306" t="s">
        <v>1008</v>
      </c>
      <c r="M54" s="306" t="s">
        <v>2664</v>
      </c>
      <c r="N54" s="306" t="s">
        <v>2665</v>
      </c>
      <c r="O54" s="306" t="s">
        <v>1013</v>
      </c>
      <c r="P54" s="306" t="s">
        <v>1013</v>
      </c>
      <c r="Q54" s="306" t="s">
        <v>1013</v>
      </c>
      <c r="R54" s="306" t="s">
        <v>1013</v>
      </c>
      <c r="S54" s="306" t="s">
        <v>1013</v>
      </c>
      <c r="T54" s="306" t="s">
        <v>1013</v>
      </c>
      <c r="U54" s="306" t="s">
        <v>2666</v>
      </c>
      <c r="V54" s="306" t="s">
        <v>1013</v>
      </c>
      <c r="W54" s="306" t="s">
        <v>1013</v>
      </c>
      <c r="X54" s="306" t="s">
        <v>1013</v>
      </c>
      <c r="Y54" s="306" t="s">
        <v>1812</v>
      </c>
      <c r="Z54" s="306" t="s">
        <v>2456</v>
      </c>
      <c r="AA54" s="306" t="s">
        <v>1013</v>
      </c>
    </row>
    <row r="55" spans="1:27">
      <c r="A55" s="306" t="s">
        <v>494</v>
      </c>
      <c r="B55" s="306" t="s">
        <v>1003</v>
      </c>
      <c r="C55" s="306" t="s">
        <v>1004</v>
      </c>
      <c r="D55" s="306" t="s">
        <v>2480</v>
      </c>
      <c r="E55" s="306" t="s">
        <v>2667</v>
      </c>
      <c r="F55" s="306" t="s">
        <v>2482</v>
      </c>
      <c r="G55" s="308">
        <v>45996</v>
      </c>
      <c r="H55" s="308">
        <v>45999</v>
      </c>
      <c r="I55" s="309">
        <v>-68678.320000000007</v>
      </c>
      <c r="J55" s="306" t="s">
        <v>1008</v>
      </c>
      <c r="K55" s="309">
        <v>-68678.320000000007</v>
      </c>
      <c r="L55" s="306" t="s">
        <v>1008</v>
      </c>
      <c r="M55" s="306" t="s">
        <v>1013</v>
      </c>
      <c r="N55" s="306" t="s">
        <v>1013</v>
      </c>
      <c r="O55" s="306" t="s">
        <v>1013</v>
      </c>
      <c r="P55" s="306" t="s">
        <v>1013</v>
      </c>
      <c r="Q55" s="306" t="s">
        <v>1013</v>
      </c>
      <c r="R55" s="306" t="s">
        <v>1013</v>
      </c>
      <c r="S55" s="306" t="s">
        <v>1013</v>
      </c>
      <c r="T55" s="306" t="s">
        <v>1013</v>
      </c>
      <c r="U55" s="306" t="s">
        <v>2668</v>
      </c>
      <c r="V55" s="306" t="s">
        <v>1013</v>
      </c>
      <c r="W55" s="306" t="s">
        <v>1013</v>
      </c>
      <c r="X55" s="306" t="s">
        <v>1013</v>
      </c>
      <c r="Y55" s="306" t="s">
        <v>2668</v>
      </c>
      <c r="Z55" s="306" t="s">
        <v>2654</v>
      </c>
      <c r="AA55" s="306" t="s">
        <v>1013</v>
      </c>
    </row>
    <row r="56" spans="1:27">
      <c r="A56" s="306" t="s">
        <v>494</v>
      </c>
      <c r="B56" s="306" t="s">
        <v>1003</v>
      </c>
      <c r="C56" s="306" t="s">
        <v>1004</v>
      </c>
      <c r="D56" s="306" t="s">
        <v>2480</v>
      </c>
      <c r="E56" s="306" t="s">
        <v>2669</v>
      </c>
      <c r="F56" s="306" t="s">
        <v>2482</v>
      </c>
      <c r="G56" s="308">
        <v>45996</v>
      </c>
      <c r="H56" s="308">
        <v>45999</v>
      </c>
      <c r="I56" s="309">
        <v>-2119.73</v>
      </c>
      <c r="J56" s="306" t="s">
        <v>1008</v>
      </c>
      <c r="K56" s="309">
        <v>-2119.73</v>
      </c>
      <c r="L56" s="306" t="s">
        <v>1008</v>
      </c>
      <c r="M56" s="306" t="s">
        <v>1013</v>
      </c>
      <c r="N56" s="306" t="s">
        <v>1013</v>
      </c>
      <c r="O56" s="306" t="s">
        <v>1013</v>
      </c>
      <c r="P56" s="306" t="s">
        <v>1013</v>
      </c>
      <c r="Q56" s="306" t="s">
        <v>1013</v>
      </c>
      <c r="R56" s="306" t="s">
        <v>1013</v>
      </c>
      <c r="S56" s="306" t="s">
        <v>1013</v>
      </c>
      <c r="T56" s="306" t="s">
        <v>1013</v>
      </c>
      <c r="U56" s="306" t="s">
        <v>2670</v>
      </c>
      <c r="V56" s="306" t="s">
        <v>1013</v>
      </c>
      <c r="W56" s="306" t="s">
        <v>1013</v>
      </c>
      <c r="X56" s="306" t="s">
        <v>1013</v>
      </c>
      <c r="Y56" s="306" t="s">
        <v>2670</v>
      </c>
      <c r="Z56" s="306" t="s">
        <v>2654</v>
      </c>
      <c r="AA56" s="306" t="s">
        <v>1013</v>
      </c>
    </row>
    <row r="57" spans="1:27">
      <c r="A57" s="306" t="s">
        <v>494</v>
      </c>
      <c r="B57" s="306" t="s">
        <v>1003</v>
      </c>
      <c r="C57" s="306" t="s">
        <v>1004</v>
      </c>
      <c r="D57" s="306" t="s">
        <v>2480</v>
      </c>
      <c r="E57" s="306" t="s">
        <v>2671</v>
      </c>
      <c r="F57" s="306" t="s">
        <v>2486</v>
      </c>
      <c r="G57" s="308">
        <v>45999</v>
      </c>
      <c r="H57" s="308">
        <v>45999</v>
      </c>
      <c r="I57" s="309">
        <v>83313.320000000007</v>
      </c>
      <c r="J57" s="306" t="s">
        <v>1008</v>
      </c>
      <c r="K57" s="309">
        <v>83313.320000000007</v>
      </c>
      <c r="L57" s="306" t="s">
        <v>1008</v>
      </c>
      <c r="M57" s="306" t="s">
        <v>2672</v>
      </c>
      <c r="N57" s="306" t="s">
        <v>2673</v>
      </c>
      <c r="O57" s="306" t="s">
        <v>1013</v>
      </c>
      <c r="P57" s="306" t="s">
        <v>1013</v>
      </c>
      <c r="Q57" s="306" t="s">
        <v>1013</v>
      </c>
      <c r="R57" s="306" t="s">
        <v>1013</v>
      </c>
      <c r="S57" s="306" t="s">
        <v>1013</v>
      </c>
      <c r="T57" s="306" t="s">
        <v>1013</v>
      </c>
      <c r="U57" s="306" t="s">
        <v>2674</v>
      </c>
      <c r="V57" s="306" t="s">
        <v>1013</v>
      </c>
      <c r="W57" s="306" t="s">
        <v>1013</v>
      </c>
      <c r="X57" s="306" t="s">
        <v>1013</v>
      </c>
      <c r="Y57" s="306" t="s">
        <v>2509</v>
      </c>
      <c r="Z57" s="306" t="s">
        <v>2456</v>
      </c>
      <c r="AA57" s="306" t="s">
        <v>1013</v>
      </c>
    </row>
    <row r="58" spans="1:27">
      <c r="A58" s="306" t="s">
        <v>494</v>
      </c>
      <c r="B58" s="306" t="s">
        <v>1003</v>
      </c>
      <c r="C58" s="306" t="s">
        <v>1004</v>
      </c>
      <c r="D58" s="306" t="s">
        <v>2480</v>
      </c>
      <c r="E58" s="306" t="s">
        <v>2671</v>
      </c>
      <c r="F58" s="306" t="s">
        <v>2486</v>
      </c>
      <c r="G58" s="308">
        <v>45999</v>
      </c>
      <c r="H58" s="308">
        <v>45999</v>
      </c>
      <c r="I58" s="309">
        <v>55641.15</v>
      </c>
      <c r="J58" s="306" t="s">
        <v>1008</v>
      </c>
      <c r="K58" s="309">
        <v>55641.15</v>
      </c>
      <c r="L58" s="306" t="s">
        <v>1008</v>
      </c>
      <c r="M58" s="306" t="s">
        <v>2675</v>
      </c>
      <c r="N58" s="306" t="s">
        <v>2673</v>
      </c>
      <c r="O58" s="306" t="s">
        <v>1013</v>
      </c>
      <c r="P58" s="306" t="s">
        <v>1013</v>
      </c>
      <c r="Q58" s="306" t="s">
        <v>1013</v>
      </c>
      <c r="R58" s="306" t="s">
        <v>1013</v>
      </c>
      <c r="S58" s="306" t="s">
        <v>1013</v>
      </c>
      <c r="T58" s="306" t="s">
        <v>1013</v>
      </c>
      <c r="U58" s="306" t="s">
        <v>2674</v>
      </c>
      <c r="V58" s="306" t="s">
        <v>1013</v>
      </c>
      <c r="W58" s="306" t="s">
        <v>1013</v>
      </c>
      <c r="X58" s="306" t="s">
        <v>1013</v>
      </c>
      <c r="Y58" s="306" t="s">
        <v>2509</v>
      </c>
      <c r="Z58" s="306" t="s">
        <v>2456</v>
      </c>
      <c r="AA58" s="306" t="s">
        <v>1013</v>
      </c>
    </row>
    <row r="59" spans="1:27">
      <c r="A59" s="306" t="s">
        <v>494</v>
      </c>
      <c r="B59" s="306" t="s">
        <v>1003</v>
      </c>
      <c r="C59" s="306" t="s">
        <v>1004</v>
      </c>
      <c r="D59" s="306" t="s">
        <v>2480</v>
      </c>
      <c r="E59" s="306" t="s">
        <v>2671</v>
      </c>
      <c r="F59" s="306" t="s">
        <v>2486</v>
      </c>
      <c r="G59" s="308">
        <v>45999</v>
      </c>
      <c r="H59" s="308">
        <v>45999</v>
      </c>
      <c r="I59" s="309">
        <v>194884.96</v>
      </c>
      <c r="J59" s="306" t="s">
        <v>1008</v>
      </c>
      <c r="K59" s="309">
        <v>194884.96</v>
      </c>
      <c r="L59" s="306" t="s">
        <v>1008</v>
      </c>
      <c r="M59" s="306" t="s">
        <v>2676</v>
      </c>
      <c r="N59" s="306" t="s">
        <v>2673</v>
      </c>
      <c r="O59" s="306" t="s">
        <v>1013</v>
      </c>
      <c r="P59" s="306" t="s">
        <v>1013</v>
      </c>
      <c r="Q59" s="306" t="s">
        <v>1013</v>
      </c>
      <c r="R59" s="306" t="s">
        <v>1013</v>
      </c>
      <c r="S59" s="306" t="s">
        <v>1013</v>
      </c>
      <c r="T59" s="306" t="s">
        <v>1013</v>
      </c>
      <c r="U59" s="306" t="s">
        <v>2674</v>
      </c>
      <c r="V59" s="306" t="s">
        <v>1013</v>
      </c>
      <c r="W59" s="306" t="s">
        <v>1013</v>
      </c>
      <c r="X59" s="306" t="s">
        <v>1013</v>
      </c>
      <c r="Y59" s="306" t="s">
        <v>2509</v>
      </c>
      <c r="Z59" s="306" t="s">
        <v>2456</v>
      </c>
      <c r="AA59" s="306" t="s">
        <v>1013</v>
      </c>
    </row>
    <row r="60" spans="1:27">
      <c r="A60" s="306" t="s">
        <v>494</v>
      </c>
      <c r="B60" s="306" t="s">
        <v>1003</v>
      </c>
      <c r="C60" s="306" t="s">
        <v>1004</v>
      </c>
      <c r="D60" s="306" t="s">
        <v>2480</v>
      </c>
      <c r="E60" s="306" t="s">
        <v>2677</v>
      </c>
      <c r="F60" s="306" t="s">
        <v>2486</v>
      </c>
      <c r="G60" s="308">
        <v>45999</v>
      </c>
      <c r="H60" s="308">
        <v>45999</v>
      </c>
      <c r="I60" s="309">
        <v>3325.75</v>
      </c>
      <c r="J60" s="306" t="s">
        <v>1008</v>
      </c>
      <c r="K60" s="309">
        <v>3325.75</v>
      </c>
      <c r="L60" s="306" t="s">
        <v>1008</v>
      </c>
      <c r="M60" s="306" t="s">
        <v>2678</v>
      </c>
      <c r="N60" s="306" t="s">
        <v>2679</v>
      </c>
      <c r="O60" s="306" t="s">
        <v>1013</v>
      </c>
      <c r="P60" s="306" t="s">
        <v>1013</v>
      </c>
      <c r="Q60" s="306" t="s">
        <v>1013</v>
      </c>
      <c r="R60" s="306" t="s">
        <v>1013</v>
      </c>
      <c r="S60" s="306" t="s">
        <v>1013</v>
      </c>
      <c r="T60" s="306" t="s">
        <v>1013</v>
      </c>
      <c r="U60" s="306" t="s">
        <v>2680</v>
      </c>
      <c r="V60" s="306" t="s">
        <v>1013</v>
      </c>
      <c r="W60" s="306" t="s">
        <v>1013</v>
      </c>
      <c r="X60" s="306" t="s">
        <v>1013</v>
      </c>
      <c r="Y60" s="306" t="s">
        <v>1406</v>
      </c>
      <c r="Z60" s="306" t="s">
        <v>2456</v>
      </c>
      <c r="AA60" s="306" t="s">
        <v>1013</v>
      </c>
    </row>
    <row r="61" spans="1:27">
      <c r="A61" s="306" t="s">
        <v>494</v>
      </c>
      <c r="B61" s="306" t="s">
        <v>1003</v>
      </c>
      <c r="C61" s="306" t="s">
        <v>1004</v>
      </c>
      <c r="D61" s="306" t="s">
        <v>2480</v>
      </c>
      <c r="E61" s="306" t="s">
        <v>2681</v>
      </c>
      <c r="F61" s="306" t="s">
        <v>2486</v>
      </c>
      <c r="G61" s="308">
        <v>45999</v>
      </c>
      <c r="H61" s="308">
        <v>45999</v>
      </c>
      <c r="I61" s="309">
        <v>3324.06</v>
      </c>
      <c r="J61" s="306" t="s">
        <v>1008</v>
      </c>
      <c r="K61" s="309">
        <v>3324.06</v>
      </c>
      <c r="L61" s="306" t="s">
        <v>1008</v>
      </c>
      <c r="M61" s="306" t="s">
        <v>2682</v>
      </c>
      <c r="N61" s="306" t="s">
        <v>2683</v>
      </c>
      <c r="O61" s="306" t="s">
        <v>1013</v>
      </c>
      <c r="P61" s="306" t="s">
        <v>1013</v>
      </c>
      <c r="Q61" s="306" t="s">
        <v>1013</v>
      </c>
      <c r="R61" s="306" t="s">
        <v>1013</v>
      </c>
      <c r="S61" s="306" t="s">
        <v>1013</v>
      </c>
      <c r="T61" s="306" t="s">
        <v>1013</v>
      </c>
      <c r="U61" s="306" t="s">
        <v>2684</v>
      </c>
      <c r="V61" s="306" t="s">
        <v>1013</v>
      </c>
      <c r="W61" s="306" t="s">
        <v>1013</v>
      </c>
      <c r="X61" s="306" t="s">
        <v>1013</v>
      </c>
      <c r="Y61" s="306" t="s">
        <v>1537</v>
      </c>
      <c r="Z61" s="306" t="s">
        <v>2456</v>
      </c>
      <c r="AA61" s="306" t="s">
        <v>1013</v>
      </c>
    </row>
    <row r="62" spans="1:27">
      <c r="A62" s="306" t="s">
        <v>494</v>
      </c>
      <c r="B62" s="306" t="s">
        <v>1003</v>
      </c>
      <c r="C62" s="306" t="s">
        <v>1004</v>
      </c>
      <c r="D62" s="306" t="s">
        <v>2480</v>
      </c>
      <c r="E62" s="306" t="s">
        <v>2685</v>
      </c>
      <c r="F62" s="306" t="s">
        <v>2482</v>
      </c>
      <c r="G62" s="308">
        <v>45992</v>
      </c>
      <c r="H62" s="308">
        <v>45999</v>
      </c>
      <c r="I62" s="309">
        <v>2249.15</v>
      </c>
      <c r="J62" s="306" t="s">
        <v>1008</v>
      </c>
      <c r="K62" s="309">
        <v>2249.15</v>
      </c>
      <c r="L62" s="306" t="s">
        <v>1008</v>
      </c>
      <c r="M62" s="306" t="s">
        <v>1949</v>
      </c>
      <c r="N62" s="306" t="s">
        <v>1949</v>
      </c>
      <c r="O62" s="306" t="s">
        <v>1013</v>
      </c>
      <c r="P62" s="306" t="s">
        <v>1013</v>
      </c>
      <c r="Q62" s="306" t="s">
        <v>1013</v>
      </c>
      <c r="R62" s="306" t="s">
        <v>1013</v>
      </c>
      <c r="S62" s="306" t="s">
        <v>1013</v>
      </c>
      <c r="T62" s="306" t="s">
        <v>1013</v>
      </c>
      <c r="U62" s="306" t="s">
        <v>2686</v>
      </c>
      <c r="V62" s="306" t="s">
        <v>1013</v>
      </c>
      <c r="W62" s="306" t="s">
        <v>1013</v>
      </c>
      <c r="X62" s="306" t="s">
        <v>1013</v>
      </c>
      <c r="Y62" s="306" t="s">
        <v>2686</v>
      </c>
      <c r="Z62" s="306" t="s">
        <v>2687</v>
      </c>
      <c r="AA62" s="306" t="s">
        <v>1013</v>
      </c>
    </row>
    <row r="63" spans="1:27">
      <c r="A63" s="306" t="s">
        <v>494</v>
      </c>
      <c r="B63" s="306" t="s">
        <v>1003</v>
      </c>
      <c r="C63" s="306" t="s">
        <v>1004</v>
      </c>
      <c r="D63" s="306" t="s">
        <v>2480</v>
      </c>
      <c r="E63" s="306" t="s">
        <v>2688</v>
      </c>
      <c r="F63" s="306" t="s">
        <v>2482</v>
      </c>
      <c r="G63" s="308">
        <v>45992</v>
      </c>
      <c r="H63" s="308">
        <v>45999</v>
      </c>
      <c r="I63" s="309">
        <v>2249.15</v>
      </c>
      <c r="J63" s="306" t="s">
        <v>1008</v>
      </c>
      <c r="K63" s="309">
        <v>2249.15</v>
      </c>
      <c r="L63" s="306" t="s">
        <v>1008</v>
      </c>
      <c r="M63" s="306" t="s">
        <v>2689</v>
      </c>
      <c r="N63" s="306" t="s">
        <v>2690</v>
      </c>
      <c r="O63" s="306" t="s">
        <v>1013</v>
      </c>
      <c r="P63" s="306" t="s">
        <v>1013</v>
      </c>
      <c r="Q63" s="306" t="s">
        <v>1013</v>
      </c>
      <c r="R63" s="306" t="s">
        <v>1013</v>
      </c>
      <c r="S63" s="306" t="s">
        <v>1013</v>
      </c>
      <c r="T63" s="306" t="s">
        <v>1013</v>
      </c>
      <c r="U63" s="306" t="s">
        <v>2686</v>
      </c>
      <c r="V63" s="306" t="s">
        <v>1013</v>
      </c>
      <c r="W63" s="306" t="s">
        <v>1013</v>
      </c>
      <c r="X63" s="306" t="s">
        <v>1013</v>
      </c>
      <c r="Y63" s="306" t="s">
        <v>2686</v>
      </c>
      <c r="Z63" s="306" t="s">
        <v>2687</v>
      </c>
      <c r="AA63" s="306" t="s">
        <v>1013</v>
      </c>
    </row>
    <row r="64" spans="1:27">
      <c r="A64" s="306" t="s">
        <v>494</v>
      </c>
      <c r="B64" s="306" t="s">
        <v>1003</v>
      </c>
      <c r="C64" s="306" t="s">
        <v>1004</v>
      </c>
      <c r="D64" s="306" t="s">
        <v>2480</v>
      </c>
      <c r="E64" s="306" t="s">
        <v>2691</v>
      </c>
      <c r="F64" s="306" t="s">
        <v>2482</v>
      </c>
      <c r="G64" s="308">
        <v>45992</v>
      </c>
      <c r="H64" s="308">
        <v>45999</v>
      </c>
      <c r="I64" s="309">
        <v>-2249.15</v>
      </c>
      <c r="J64" s="306" t="s">
        <v>1008</v>
      </c>
      <c r="K64" s="309">
        <v>-2249.15</v>
      </c>
      <c r="L64" s="306" t="s">
        <v>1008</v>
      </c>
      <c r="M64" s="306" t="s">
        <v>1949</v>
      </c>
      <c r="N64" s="306" t="s">
        <v>1949</v>
      </c>
      <c r="O64" s="306" t="s">
        <v>1013</v>
      </c>
      <c r="P64" s="306" t="s">
        <v>1013</v>
      </c>
      <c r="Q64" s="306" t="s">
        <v>1013</v>
      </c>
      <c r="R64" s="306" t="s">
        <v>1013</v>
      </c>
      <c r="S64" s="306" t="s">
        <v>1013</v>
      </c>
      <c r="T64" s="306" t="s">
        <v>1013</v>
      </c>
      <c r="U64" s="306" t="s">
        <v>2686</v>
      </c>
      <c r="V64" s="306" t="s">
        <v>1013</v>
      </c>
      <c r="W64" s="306" t="s">
        <v>1013</v>
      </c>
      <c r="X64" s="306" t="s">
        <v>1013</v>
      </c>
      <c r="Y64" s="306" t="s">
        <v>2686</v>
      </c>
      <c r="Z64" s="306" t="s">
        <v>2687</v>
      </c>
      <c r="AA64" s="306" t="s">
        <v>1013</v>
      </c>
    </row>
    <row r="65" spans="1:27">
      <c r="A65" s="306" t="s">
        <v>494</v>
      </c>
      <c r="B65" s="306" t="s">
        <v>1003</v>
      </c>
      <c r="C65" s="306" t="s">
        <v>1004</v>
      </c>
      <c r="D65" s="306" t="s">
        <v>2480</v>
      </c>
      <c r="E65" s="306" t="s">
        <v>2692</v>
      </c>
      <c r="F65" s="306" t="s">
        <v>2486</v>
      </c>
      <c r="G65" s="308">
        <v>45999</v>
      </c>
      <c r="H65" s="308">
        <v>45999</v>
      </c>
      <c r="I65" s="309">
        <v>2812.72</v>
      </c>
      <c r="J65" s="306" t="s">
        <v>1008</v>
      </c>
      <c r="K65" s="309">
        <v>2812.72</v>
      </c>
      <c r="L65" s="306" t="s">
        <v>1008</v>
      </c>
      <c r="M65" s="306" t="s">
        <v>2693</v>
      </c>
      <c r="N65" s="306" t="s">
        <v>2694</v>
      </c>
      <c r="O65" s="306" t="s">
        <v>1013</v>
      </c>
      <c r="P65" s="306" t="s">
        <v>1013</v>
      </c>
      <c r="Q65" s="306" t="s">
        <v>1013</v>
      </c>
      <c r="R65" s="306" t="s">
        <v>1013</v>
      </c>
      <c r="S65" s="306" t="s">
        <v>1013</v>
      </c>
      <c r="T65" s="306" t="s">
        <v>1013</v>
      </c>
      <c r="U65" s="306" t="s">
        <v>2695</v>
      </c>
      <c r="V65" s="306" t="s">
        <v>1013</v>
      </c>
      <c r="W65" s="306" t="s">
        <v>1013</v>
      </c>
      <c r="X65" s="306" t="s">
        <v>1013</v>
      </c>
      <c r="Y65" s="306" t="s">
        <v>2101</v>
      </c>
      <c r="Z65" s="306" t="s">
        <v>2456</v>
      </c>
      <c r="AA65" s="306" t="s">
        <v>1013</v>
      </c>
    </row>
    <row r="66" spans="1:27">
      <c r="A66" s="306" t="s">
        <v>494</v>
      </c>
      <c r="B66" s="306" t="s">
        <v>1003</v>
      </c>
      <c r="C66" s="306" t="s">
        <v>1004</v>
      </c>
      <c r="D66" s="306" t="s">
        <v>2480</v>
      </c>
      <c r="E66" s="306" t="s">
        <v>2696</v>
      </c>
      <c r="F66" s="306" t="s">
        <v>2486</v>
      </c>
      <c r="G66" s="308">
        <v>45999</v>
      </c>
      <c r="H66" s="308">
        <v>45999</v>
      </c>
      <c r="I66" s="309">
        <v>1875.15</v>
      </c>
      <c r="J66" s="306" t="s">
        <v>1008</v>
      </c>
      <c r="K66" s="309">
        <v>1875.15</v>
      </c>
      <c r="L66" s="306" t="s">
        <v>1008</v>
      </c>
      <c r="M66" s="306" t="s">
        <v>2697</v>
      </c>
      <c r="N66" s="306" t="s">
        <v>2698</v>
      </c>
      <c r="O66" s="306" t="s">
        <v>1013</v>
      </c>
      <c r="P66" s="306" t="s">
        <v>1013</v>
      </c>
      <c r="Q66" s="306" t="s">
        <v>1013</v>
      </c>
      <c r="R66" s="306" t="s">
        <v>1013</v>
      </c>
      <c r="S66" s="306" t="s">
        <v>1013</v>
      </c>
      <c r="T66" s="306" t="s">
        <v>1013</v>
      </c>
      <c r="U66" s="306" t="s">
        <v>2699</v>
      </c>
      <c r="V66" s="306" t="s">
        <v>1013</v>
      </c>
      <c r="W66" s="306" t="s">
        <v>1013</v>
      </c>
      <c r="X66" s="306" t="s">
        <v>1013</v>
      </c>
      <c r="Y66" s="306" t="s">
        <v>1036</v>
      </c>
      <c r="Z66" s="306" t="s">
        <v>2456</v>
      </c>
      <c r="AA66" s="306" t="s">
        <v>1013</v>
      </c>
    </row>
    <row r="67" spans="1:27">
      <c r="A67" s="306" t="s">
        <v>494</v>
      </c>
      <c r="B67" s="306" t="s">
        <v>1003</v>
      </c>
      <c r="C67" s="306" t="s">
        <v>1004</v>
      </c>
      <c r="D67" s="306" t="s">
        <v>2480</v>
      </c>
      <c r="E67" s="306" t="s">
        <v>2700</v>
      </c>
      <c r="F67" s="306" t="s">
        <v>2486</v>
      </c>
      <c r="G67" s="308">
        <v>45999</v>
      </c>
      <c r="H67" s="308">
        <v>45999</v>
      </c>
      <c r="I67" s="309">
        <v>2970.3</v>
      </c>
      <c r="J67" s="306" t="s">
        <v>1008</v>
      </c>
      <c r="K67" s="309">
        <v>2970.3</v>
      </c>
      <c r="L67" s="306" t="s">
        <v>1008</v>
      </c>
      <c r="M67" s="306" t="s">
        <v>2701</v>
      </c>
      <c r="N67" s="306" t="s">
        <v>2702</v>
      </c>
      <c r="O67" s="306" t="s">
        <v>1013</v>
      </c>
      <c r="P67" s="306" t="s">
        <v>1013</v>
      </c>
      <c r="Q67" s="306" t="s">
        <v>1013</v>
      </c>
      <c r="R67" s="306" t="s">
        <v>1013</v>
      </c>
      <c r="S67" s="306" t="s">
        <v>1013</v>
      </c>
      <c r="T67" s="306" t="s">
        <v>1013</v>
      </c>
      <c r="U67" s="306" t="s">
        <v>2703</v>
      </c>
      <c r="V67" s="306" t="s">
        <v>1013</v>
      </c>
      <c r="W67" s="306" t="s">
        <v>1013</v>
      </c>
      <c r="X67" s="306" t="s">
        <v>1013</v>
      </c>
      <c r="Y67" s="306" t="s">
        <v>2704</v>
      </c>
      <c r="Z67" s="306" t="s">
        <v>2456</v>
      </c>
      <c r="AA67" s="306" t="s">
        <v>1013</v>
      </c>
    </row>
    <row r="68" spans="1:27">
      <c r="A68" s="306" t="s">
        <v>494</v>
      </c>
      <c r="B68" s="306" t="s">
        <v>1003</v>
      </c>
      <c r="C68" s="306" t="s">
        <v>1004</v>
      </c>
      <c r="D68" s="306" t="s">
        <v>2480</v>
      </c>
      <c r="E68" s="306" t="s">
        <v>2705</v>
      </c>
      <c r="F68" s="306" t="s">
        <v>2486</v>
      </c>
      <c r="G68" s="308">
        <v>45999</v>
      </c>
      <c r="H68" s="308">
        <v>45999</v>
      </c>
      <c r="I68" s="309">
        <v>201.33</v>
      </c>
      <c r="J68" s="306" t="s">
        <v>1008</v>
      </c>
      <c r="K68" s="309">
        <v>201.33</v>
      </c>
      <c r="L68" s="306" t="s">
        <v>1008</v>
      </c>
      <c r="M68" s="306" t="s">
        <v>2706</v>
      </c>
      <c r="N68" s="306" t="s">
        <v>2707</v>
      </c>
      <c r="O68" s="306" t="s">
        <v>1013</v>
      </c>
      <c r="P68" s="306" t="s">
        <v>1013</v>
      </c>
      <c r="Q68" s="306" t="s">
        <v>1013</v>
      </c>
      <c r="R68" s="306" t="s">
        <v>1013</v>
      </c>
      <c r="S68" s="306" t="s">
        <v>1013</v>
      </c>
      <c r="T68" s="306" t="s">
        <v>1013</v>
      </c>
      <c r="U68" s="306" t="s">
        <v>2708</v>
      </c>
      <c r="V68" s="306" t="s">
        <v>1013</v>
      </c>
      <c r="W68" s="306" t="s">
        <v>1013</v>
      </c>
      <c r="X68" s="306" t="s">
        <v>1013</v>
      </c>
      <c r="Y68" s="306" t="s">
        <v>1112</v>
      </c>
      <c r="Z68" s="306" t="s">
        <v>2456</v>
      </c>
      <c r="AA68" s="306" t="s">
        <v>1013</v>
      </c>
    </row>
    <row r="69" spans="1:27">
      <c r="A69" s="306" t="s">
        <v>494</v>
      </c>
      <c r="B69" s="306" t="s">
        <v>1003</v>
      </c>
      <c r="C69" s="306" t="s">
        <v>1004</v>
      </c>
      <c r="D69" s="306" t="s">
        <v>2480</v>
      </c>
      <c r="E69" s="306" t="s">
        <v>2709</v>
      </c>
      <c r="F69" s="306" t="s">
        <v>1007</v>
      </c>
      <c r="G69" s="308">
        <v>46000</v>
      </c>
      <c r="H69" s="308">
        <v>46000</v>
      </c>
      <c r="I69" s="309">
        <v>34513.760000000002</v>
      </c>
      <c r="J69" s="306" t="s">
        <v>1008</v>
      </c>
      <c r="K69" s="309">
        <v>34513.760000000002</v>
      </c>
      <c r="L69" s="306" t="s">
        <v>1008</v>
      </c>
      <c r="M69" s="306" t="s">
        <v>2710</v>
      </c>
      <c r="N69" s="306" t="s">
        <v>2711</v>
      </c>
      <c r="O69" s="306" t="s">
        <v>2712</v>
      </c>
      <c r="P69" s="306" t="s">
        <v>1013</v>
      </c>
      <c r="Q69" s="306" t="s">
        <v>1013</v>
      </c>
      <c r="R69" s="306" t="s">
        <v>1013</v>
      </c>
      <c r="S69" s="306" t="s">
        <v>1013</v>
      </c>
      <c r="T69" s="306" t="s">
        <v>1013</v>
      </c>
      <c r="U69" s="306" t="s">
        <v>2604</v>
      </c>
      <c r="V69" s="306" t="s">
        <v>1013</v>
      </c>
      <c r="W69" s="306" t="s">
        <v>1013</v>
      </c>
      <c r="X69" s="306" t="s">
        <v>1013</v>
      </c>
      <c r="Y69" s="306" t="s">
        <v>2604</v>
      </c>
      <c r="Z69" s="306" t="s">
        <v>2456</v>
      </c>
      <c r="AA69" s="306" t="s">
        <v>1013</v>
      </c>
    </row>
    <row r="70" spans="1:27">
      <c r="A70" s="306" t="s">
        <v>494</v>
      </c>
      <c r="B70" s="306" t="s">
        <v>1003</v>
      </c>
      <c r="C70" s="306" t="s">
        <v>1004</v>
      </c>
      <c r="D70" s="306" t="s">
        <v>2480</v>
      </c>
      <c r="E70" s="306" t="s">
        <v>2713</v>
      </c>
      <c r="F70" s="306" t="s">
        <v>2486</v>
      </c>
      <c r="G70" s="308">
        <v>46000</v>
      </c>
      <c r="H70" s="308">
        <v>46000</v>
      </c>
      <c r="I70" s="309">
        <v>3267.33</v>
      </c>
      <c r="J70" s="306" t="s">
        <v>1008</v>
      </c>
      <c r="K70" s="309">
        <v>3267.33</v>
      </c>
      <c r="L70" s="306" t="s">
        <v>1008</v>
      </c>
      <c r="M70" s="306" t="s">
        <v>2714</v>
      </c>
      <c r="N70" s="306" t="s">
        <v>2715</v>
      </c>
      <c r="O70" s="306" t="s">
        <v>1013</v>
      </c>
      <c r="P70" s="306" t="s">
        <v>1013</v>
      </c>
      <c r="Q70" s="306" t="s">
        <v>1013</v>
      </c>
      <c r="R70" s="306" t="s">
        <v>1013</v>
      </c>
      <c r="S70" s="306" t="s">
        <v>1013</v>
      </c>
      <c r="T70" s="306" t="s">
        <v>1013</v>
      </c>
      <c r="U70" s="306" t="s">
        <v>2716</v>
      </c>
      <c r="V70" s="306" t="s">
        <v>1013</v>
      </c>
      <c r="W70" s="306" t="s">
        <v>1013</v>
      </c>
      <c r="X70" s="306" t="s">
        <v>1013</v>
      </c>
      <c r="Y70" s="306" t="s">
        <v>2717</v>
      </c>
      <c r="Z70" s="306" t="s">
        <v>2456</v>
      </c>
      <c r="AA70" s="306" t="s">
        <v>1013</v>
      </c>
    </row>
    <row r="71" spans="1:27">
      <c r="A71" s="306" t="s">
        <v>494</v>
      </c>
      <c r="B71" s="306" t="s">
        <v>1003</v>
      </c>
      <c r="C71" s="306" t="s">
        <v>1004</v>
      </c>
      <c r="D71" s="306" t="s">
        <v>2480</v>
      </c>
      <c r="E71" s="306" t="s">
        <v>2718</v>
      </c>
      <c r="F71" s="306" t="s">
        <v>2486</v>
      </c>
      <c r="G71" s="308">
        <v>46000</v>
      </c>
      <c r="H71" s="308">
        <v>46000</v>
      </c>
      <c r="I71" s="309">
        <v>4691.1499999999996</v>
      </c>
      <c r="J71" s="306" t="s">
        <v>1008</v>
      </c>
      <c r="K71" s="309">
        <v>4691.1499999999996</v>
      </c>
      <c r="L71" s="306" t="s">
        <v>1008</v>
      </c>
      <c r="M71" s="306" t="s">
        <v>2719</v>
      </c>
      <c r="N71" s="306" t="s">
        <v>2720</v>
      </c>
      <c r="O71" s="306" t="s">
        <v>1013</v>
      </c>
      <c r="P71" s="306" t="s">
        <v>696</v>
      </c>
      <c r="Q71" s="306" t="s">
        <v>1013</v>
      </c>
      <c r="R71" s="306" t="s">
        <v>1013</v>
      </c>
      <c r="S71" s="306" t="s">
        <v>1013</v>
      </c>
      <c r="T71" s="306" t="s">
        <v>1013</v>
      </c>
      <c r="U71" s="306" t="s">
        <v>2721</v>
      </c>
      <c r="V71" s="306" t="s">
        <v>1013</v>
      </c>
      <c r="W71" s="306" t="s">
        <v>1013</v>
      </c>
      <c r="X71" s="306" t="s">
        <v>1013</v>
      </c>
      <c r="Y71" s="306" t="s">
        <v>1112</v>
      </c>
      <c r="Z71" s="306" t="s">
        <v>2456</v>
      </c>
      <c r="AA71" s="306" t="s">
        <v>1013</v>
      </c>
    </row>
    <row r="72" spans="1:27">
      <c r="A72" s="306" t="s">
        <v>494</v>
      </c>
      <c r="B72" s="306" t="s">
        <v>1003</v>
      </c>
      <c r="C72" s="306" t="s">
        <v>1004</v>
      </c>
      <c r="D72" s="306" t="s">
        <v>2480</v>
      </c>
      <c r="E72" s="306" t="s">
        <v>2722</v>
      </c>
      <c r="F72" s="306" t="s">
        <v>2486</v>
      </c>
      <c r="G72" s="308">
        <v>46000</v>
      </c>
      <c r="H72" s="308">
        <v>46000</v>
      </c>
      <c r="I72" s="309">
        <v>2201.83</v>
      </c>
      <c r="J72" s="306" t="s">
        <v>1008</v>
      </c>
      <c r="K72" s="309">
        <v>2201.83</v>
      </c>
      <c r="L72" s="306" t="s">
        <v>1008</v>
      </c>
      <c r="M72" s="306" t="s">
        <v>2723</v>
      </c>
      <c r="N72" s="306" t="s">
        <v>2724</v>
      </c>
      <c r="O72" s="306" t="s">
        <v>1013</v>
      </c>
      <c r="P72" s="306" t="s">
        <v>1013</v>
      </c>
      <c r="Q72" s="306" t="s">
        <v>1013</v>
      </c>
      <c r="R72" s="306" t="s">
        <v>1013</v>
      </c>
      <c r="S72" s="306" t="s">
        <v>1013</v>
      </c>
      <c r="T72" s="306" t="s">
        <v>1013</v>
      </c>
      <c r="U72" s="306" t="s">
        <v>2725</v>
      </c>
      <c r="V72" s="306" t="s">
        <v>1013</v>
      </c>
      <c r="W72" s="306" t="s">
        <v>1013</v>
      </c>
      <c r="X72" s="306" t="s">
        <v>1013</v>
      </c>
      <c r="Y72" s="306" t="s">
        <v>2726</v>
      </c>
      <c r="Z72" s="306" t="s">
        <v>2456</v>
      </c>
      <c r="AA72" s="306" t="s">
        <v>1013</v>
      </c>
    </row>
    <row r="73" spans="1:27">
      <c r="A73" s="306" t="s">
        <v>494</v>
      </c>
      <c r="B73" s="306" t="s">
        <v>1003</v>
      </c>
      <c r="C73" s="306" t="s">
        <v>1004</v>
      </c>
      <c r="D73" s="306" t="s">
        <v>2480</v>
      </c>
      <c r="E73" s="306" t="s">
        <v>2727</v>
      </c>
      <c r="F73" s="306" t="s">
        <v>2482</v>
      </c>
      <c r="G73" s="308">
        <v>46000</v>
      </c>
      <c r="H73" s="308">
        <v>46000</v>
      </c>
      <c r="I73" s="309">
        <v>2943.89</v>
      </c>
      <c r="J73" s="306" t="s">
        <v>1008</v>
      </c>
      <c r="K73" s="309">
        <v>2943.89</v>
      </c>
      <c r="L73" s="306" t="s">
        <v>1008</v>
      </c>
      <c r="M73" s="306" t="s">
        <v>2728</v>
      </c>
      <c r="N73" s="306" t="s">
        <v>2728</v>
      </c>
      <c r="O73" s="306" t="s">
        <v>1013</v>
      </c>
      <c r="P73" s="306" t="s">
        <v>1013</v>
      </c>
      <c r="Q73" s="306" t="s">
        <v>1013</v>
      </c>
      <c r="R73" s="306" t="s">
        <v>1013</v>
      </c>
      <c r="S73" s="306" t="s">
        <v>1013</v>
      </c>
      <c r="T73" s="306" t="s">
        <v>1013</v>
      </c>
      <c r="U73" s="306" t="s">
        <v>2729</v>
      </c>
      <c r="V73" s="306" t="s">
        <v>1013</v>
      </c>
      <c r="W73" s="306" t="s">
        <v>1013</v>
      </c>
      <c r="X73" s="306" t="s">
        <v>1013</v>
      </c>
      <c r="Y73" s="306" t="s">
        <v>2729</v>
      </c>
      <c r="Z73" s="306" t="s">
        <v>2456</v>
      </c>
      <c r="AA73" s="306" t="s">
        <v>1013</v>
      </c>
    </row>
    <row r="74" spans="1:27">
      <c r="A74" s="306" t="s">
        <v>494</v>
      </c>
      <c r="B74" s="306" t="s">
        <v>1003</v>
      </c>
      <c r="C74" s="306" t="s">
        <v>1004</v>
      </c>
      <c r="D74" s="306" t="s">
        <v>2480</v>
      </c>
      <c r="E74" s="306" t="s">
        <v>2730</v>
      </c>
      <c r="F74" s="306" t="s">
        <v>2482</v>
      </c>
      <c r="G74" s="308">
        <v>45995</v>
      </c>
      <c r="H74" s="308">
        <v>46000</v>
      </c>
      <c r="I74" s="309">
        <v>-34513.760000000002</v>
      </c>
      <c r="J74" s="306" t="s">
        <v>1008</v>
      </c>
      <c r="K74" s="309">
        <v>-34513.760000000002</v>
      </c>
      <c r="L74" s="306" t="s">
        <v>1008</v>
      </c>
      <c r="M74" s="306" t="s">
        <v>1013</v>
      </c>
      <c r="N74" s="306" t="s">
        <v>1013</v>
      </c>
      <c r="O74" s="306" t="s">
        <v>1013</v>
      </c>
      <c r="P74" s="306" t="s">
        <v>1013</v>
      </c>
      <c r="Q74" s="306" t="s">
        <v>1013</v>
      </c>
      <c r="R74" s="306" t="s">
        <v>1013</v>
      </c>
      <c r="S74" s="306" t="s">
        <v>1013</v>
      </c>
      <c r="T74" s="306" t="s">
        <v>1013</v>
      </c>
      <c r="U74" s="306" t="s">
        <v>2731</v>
      </c>
      <c r="V74" s="306" t="s">
        <v>1013</v>
      </c>
      <c r="W74" s="306" t="s">
        <v>1013</v>
      </c>
      <c r="X74" s="306" t="s">
        <v>1013</v>
      </c>
      <c r="Y74" s="306" t="s">
        <v>2731</v>
      </c>
      <c r="Z74" s="306" t="s">
        <v>2654</v>
      </c>
      <c r="AA74" s="306" t="s">
        <v>1013</v>
      </c>
    </row>
    <row r="75" spans="1:27">
      <c r="A75" s="306" t="s">
        <v>494</v>
      </c>
      <c r="B75" s="306" t="s">
        <v>1003</v>
      </c>
      <c r="C75" s="306" t="s">
        <v>1004</v>
      </c>
      <c r="D75" s="306" t="s">
        <v>2480</v>
      </c>
      <c r="E75" s="306" t="s">
        <v>2732</v>
      </c>
      <c r="F75" s="306" t="s">
        <v>2482</v>
      </c>
      <c r="G75" s="308">
        <v>46000</v>
      </c>
      <c r="H75" s="308">
        <v>46001</v>
      </c>
      <c r="I75" s="309">
        <v>244660.17</v>
      </c>
      <c r="J75" s="306" t="s">
        <v>1008</v>
      </c>
      <c r="K75" s="309">
        <v>244660.17</v>
      </c>
      <c r="L75" s="306" t="s">
        <v>1008</v>
      </c>
      <c r="M75" s="306" t="s">
        <v>2733</v>
      </c>
      <c r="N75" s="306" t="s">
        <v>2733</v>
      </c>
      <c r="O75" s="306" t="s">
        <v>1013</v>
      </c>
      <c r="P75" s="306" t="s">
        <v>1013</v>
      </c>
      <c r="Q75" s="306" t="s">
        <v>1013</v>
      </c>
      <c r="R75" s="306" t="s">
        <v>1013</v>
      </c>
      <c r="S75" s="306" t="s">
        <v>1013</v>
      </c>
      <c r="T75" s="306" t="s">
        <v>1013</v>
      </c>
      <c r="U75" s="306" t="s">
        <v>2734</v>
      </c>
      <c r="V75" s="306" t="s">
        <v>1013</v>
      </c>
      <c r="W75" s="306" t="s">
        <v>1013</v>
      </c>
      <c r="X75" s="306" t="s">
        <v>1013</v>
      </c>
      <c r="Y75" s="306" t="s">
        <v>2734</v>
      </c>
      <c r="Z75" s="306" t="s">
        <v>2456</v>
      </c>
      <c r="AA75" s="306" t="s">
        <v>1013</v>
      </c>
    </row>
    <row r="76" spans="1:27">
      <c r="A76" s="306" t="s">
        <v>494</v>
      </c>
      <c r="B76" s="306" t="s">
        <v>1003</v>
      </c>
      <c r="C76" s="306" t="s">
        <v>1004</v>
      </c>
      <c r="D76" s="306" t="s">
        <v>2480</v>
      </c>
      <c r="E76" s="306" t="s">
        <v>2735</v>
      </c>
      <c r="F76" s="306" t="s">
        <v>2482</v>
      </c>
      <c r="G76" s="308">
        <v>46000</v>
      </c>
      <c r="H76" s="308">
        <v>46001</v>
      </c>
      <c r="I76" s="309">
        <v>118817.34</v>
      </c>
      <c r="J76" s="306" t="s">
        <v>1008</v>
      </c>
      <c r="K76" s="309">
        <v>118817.34</v>
      </c>
      <c r="L76" s="306" t="s">
        <v>1008</v>
      </c>
      <c r="M76" s="306" t="s">
        <v>2736</v>
      </c>
      <c r="N76" s="306" t="s">
        <v>2736</v>
      </c>
      <c r="O76" s="306" t="s">
        <v>1013</v>
      </c>
      <c r="P76" s="306" t="s">
        <v>1013</v>
      </c>
      <c r="Q76" s="306" t="s">
        <v>1013</v>
      </c>
      <c r="R76" s="306" t="s">
        <v>1013</v>
      </c>
      <c r="S76" s="306" t="s">
        <v>1013</v>
      </c>
      <c r="T76" s="306" t="s">
        <v>1013</v>
      </c>
      <c r="U76" s="306" t="s">
        <v>2737</v>
      </c>
      <c r="V76" s="306" t="s">
        <v>1013</v>
      </c>
      <c r="W76" s="306" t="s">
        <v>1013</v>
      </c>
      <c r="X76" s="306" t="s">
        <v>1013</v>
      </c>
      <c r="Y76" s="306" t="s">
        <v>2737</v>
      </c>
      <c r="Z76" s="306" t="s">
        <v>2456</v>
      </c>
      <c r="AA76" s="306" t="s">
        <v>1013</v>
      </c>
    </row>
    <row r="77" spans="1:27">
      <c r="A77" s="306" t="s">
        <v>494</v>
      </c>
      <c r="B77" s="306" t="s">
        <v>1003</v>
      </c>
      <c r="C77" s="306" t="s">
        <v>1004</v>
      </c>
      <c r="D77" s="306" t="s">
        <v>2480</v>
      </c>
      <c r="E77" s="306" t="s">
        <v>2738</v>
      </c>
      <c r="F77" s="306" t="s">
        <v>2482</v>
      </c>
      <c r="G77" s="308">
        <v>45996</v>
      </c>
      <c r="H77" s="308">
        <v>46001</v>
      </c>
      <c r="I77" s="309">
        <v>47265.77</v>
      </c>
      <c r="J77" s="306" t="s">
        <v>1008</v>
      </c>
      <c r="K77" s="309">
        <v>47265.77</v>
      </c>
      <c r="L77" s="306" t="s">
        <v>1008</v>
      </c>
      <c r="M77" s="306" t="s">
        <v>2739</v>
      </c>
      <c r="N77" s="306" t="s">
        <v>2739</v>
      </c>
      <c r="O77" s="306" t="s">
        <v>1013</v>
      </c>
      <c r="P77" s="306" t="s">
        <v>1013</v>
      </c>
      <c r="Q77" s="306" t="s">
        <v>1013</v>
      </c>
      <c r="R77" s="306" t="s">
        <v>1013</v>
      </c>
      <c r="S77" s="306" t="s">
        <v>1013</v>
      </c>
      <c r="T77" s="306" t="s">
        <v>1013</v>
      </c>
      <c r="U77" s="306" t="s">
        <v>2740</v>
      </c>
      <c r="V77" s="306" t="s">
        <v>1013</v>
      </c>
      <c r="W77" s="306" t="s">
        <v>1013</v>
      </c>
      <c r="X77" s="306" t="s">
        <v>1013</v>
      </c>
      <c r="Y77" s="306" t="s">
        <v>2740</v>
      </c>
      <c r="Z77" s="306" t="s">
        <v>2456</v>
      </c>
      <c r="AA77" s="306" t="s">
        <v>1013</v>
      </c>
    </row>
    <row r="78" spans="1:27">
      <c r="A78" s="306" t="s">
        <v>494</v>
      </c>
      <c r="B78" s="306" t="s">
        <v>1003</v>
      </c>
      <c r="C78" s="306" t="s">
        <v>1004</v>
      </c>
      <c r="D78" s="306" t="s">
        <v>2480</v>
      </c>
      <c r="E78" s="306" t="s">
        <v>2741</v>
      </c>
      <c r="F78" s="306" t="s">
        <v>2482</v>
      </c>
      <c r="G78" s="308">
        <v>46000</v>
      </c>
      <c r="H78" s="308">
        <v>46001</v>
      </c>
      <c r="I78" s="309">
        <v>728244.48</v>
      </c>
      <c r="J78" s="306" t="s">
        <v>1008</v>
      </c>
      <c r="K78" s="309">
        <v>728244.48</v>
      </c>
      <c r="L78" s="306" t="s">
        <v>1008</v>
      </c>
      <c r="M78" s="306" t="s">
        <v>2742</v>
      </c>
      <c r="N78" s="306" t="s">
        <v>2742</v>
      </c>
      <c r="O78" s="306" t="s">
        <v>1013</v>
      </c>
      <c r="P78" s="306" t="s">
        <v>1013</v>
      </c>
      <c r="Q78" s="306" t="s">
        <v>1013</v>
      </c>
      <c r="R78" s="306" t="s">
        <v>1013</v>
      </c>
      <c r="S78" s="306" t="s">
        <v>1013</v>
      </c>
      <c r="T78" s="306" t="s">
        <v>1013</v>
      </c>
      <c r="U78" s="306" t="s">
        <v>2743</v>
      </c>
      <c r="V78" s="306" t="s">
        <v>1013</v>
      </c>
      <c r="W78" s="306" t="s">
        <v>1013</v>
      </c>
      <c r="X78" s="306" t="s">
        <v>1013</v>
      </c>
      <c r="Y78" s="306" t="s">
        <v>2743</v>
      </c>
      <c r="Z78" s="306" t="s">
        <v>2456</v>
      </c>
      <c r="AA78" s="306" t="s">
        <v>1013</v>
      </c>
    </row>
    <row r="79" spans="1:27">
      <c r="A79" s="306" t="s">
        <v>494</v>
      </c>
      <c r="B79" s="306" t="s">
        <v>1003</v>
      </c>
      <c r="C79" s="306" t="s">
        <v>1004</v>
      </c>
      <c r="D79" s="306" t="s">
        <v>2480</v>
      </c>
      <c r="E79" s="306" t="s">
        <v>2744</v>
      </c>
      <c r="F79" s="306" t="s">
        <v>2482</v>
      </c>
      <c r="G79" s="308">
        <v>46000</v>
      </c>
      <c r="H79" s="308">
        <v>46001</v>
      </c>
      <c r="I79" s="309">
        <v>102864.78</v>
      </c>
      <c r="J79" s="306" t="s">
        <v>1008</v>
      </c>
      <c r="K79" s="309">
        <v>102864.78</v>
      </c>
      <c r="L79" s="306" t="s">
        <v>1008</v>
      </c>
      <c r="M79" s="306" t="s">
        <v>2745</v>
      </c>
      <c r="N79" s="306" t="s">
        <v>2745</v>
      </c>
      <c r="O79" s="306" t="s">
        <v>1013</v>
      </c>
      <c r="P79" s="306" t="s">
        <v>1013</v>
      </c>
      <c r="Q79" s="306" t="s">
        <v>1013</v>
      </c>
      <c r="R79" s="306" t="s">
        <v>1013</v>
      </c>
      <c r="S79" s="306" t="s">
        <v>1013</v>
      </c>
      <c r="T79" s="306" t="s">
        <v>1013</v>
      </c>
      <c r="U79" s="306" t="s">
        <v>2746</v>
      </c>
      <c r="V79" s="306" t="s">
        <v>1013</v>
      </c>
      <c r="W79" s="306" t="s">
        <v>1013</v>
      </c>
      <c r="X79" s="306" t="s">
        <v>1013</v>
      </c>
      <c r="Y79" s="306" t="s">
        <v>2746</v>
      </c>
      <c r="Z79" s="306" t="s">
        <v>2456</v>
      </c>
      <c r="AA79" s="306" t="s">
        <v>1013</v>
      </c>
    </row>
    <row r="80" spans="1:27">
      <c r="A80" s="306" t="s">
        <v>494</v>
      </c>
      <c r="B80" s="306" t="s">
        <v>1003</v>
      </c>
      <c r="C80" s="306" t="s">
        <v>1004</v>
      </c>
      <c r="D80" s="306" t="s">
        <v>2480</v>
      </c>
      <c r="E80" s="306" t="s">
        <v>2747</v>
      </c>
      <c r="F80" s="306" t="s">
        <v>2482</v>
      </c>
      <c r="G80" s="308">
        <v>46000</v>
      </c>
      <c r="H80" s="308">
        <v>46001</v>
      </c>
      <c r="I80" s="309">
        <v>580.63</v>
      </c>
      <c r="J80" s="306" t="s">
        <v>1008</v>
      </c>
      <c r="K80" s="309">
        <v>580.63</v>
      </c>
      <c r="L80" s="306" t="s">
        <v>1008</v>
      </c>
      <c r="M80" s="306" t="s">
        <v>2748</v>
      </c>
      <c r="N80" s="306" t="s">
        <v>2748</v>
      </c>
      <c r="O80" s="306" t="s">
        <v>1013</v>
      </c>
      <c r="P80" s="306" t="s">
        <v>1013</v>
      </c>
      <c r="Q80" s="306" t="s">
        <v>1013</v>
      </c>
      <c r="R80" s="306" t="s">
        <v>1013</v>
      </c>
      <c r="S80" s="306" t="s">
        <v>1013</v>
      </c>
      <c r="T80" s="306" t="s">
        <v>1013</v>
      </c>
      <c r="U80" s="306" t="s">
        <v>2749</v>
      </c>
      <c r="V80" s="306" t="s">
        <v>1013</v>
      </c>
      <c r="W80" s="306" t="s">
        <v>1013</v>
      </c>
      <c r="X80" s="306" t="s">
        <v>1013</v>
      </c>
      <c r="Y80" s="306" t="s">
        <v>2749</v>
      </c>
      <c r="Z80" s="306" t="s">
        <v>2456</v>
      </c>
      <c r="AA80" s="306" t="s">
        <v>1013</v>
      </c>
    </row>
    <row r="81" spans="1:27">
      <c r="A81" s="306" t="s">
        <v>494</v>
      </c>
      <c r="B81" s="306" t="s">
        <v>1003</v>
      </c>
      <c r="C81" s="306" t="s">
        <v>1004</v>
      </c>
      <c r="D81" s="306" t="s">
        <v>2480</v>
      </c>
      <c r="E81" s="306" t="s">
        <v>2750</v>
      </c>
      <c r="F81" s="306" t="s">
        <v>2482</v>
      </c>
      <c r="G81" s="308">
        <v>46000</v>
      </c>
      <c r="H81" s="308">
        <v>46001</v>
      </c>
      <c r="I81" s="309">
        <v>1043.68</v>
      </c>
      <c r="J81" s="306" t="s">
        <v>1008</v>
      </c>
      <c r="K81" s="309">
        <v>1043.68</v>
      </c>
      <c r="L81" s="306" t="s">
        <v>1008</v>
      </c>
      <c r="M81" s="306" t="s">
        <v>2751</v>
      </c>
      <c r="N81" s="306" t="s">
        <v>2751</v>
      </c>
      <c r="O81" s="306" t="s">
        <v>1013</v>
      </c>
      <c r="P81" s="306" t="s">
        <v>1013</v>
      </c>
      <c r="Q81" s="306" t="s">
        <v>1013</v>
      </c>
      <c r="R81" s="306" t="s">
        <v>1013</v>
      </c>
      <c r="S81" s="306" t="s">
        <v>1013</v>
      </c>
      <c r="T81" s="306" t="s">
        <v>1013</v>
      </c>
      <c r="U81" s="306" t="s">
        <v>2752</v>
      </c>
      <c r="V81" s="306" t="s">
        <v>1013</v>
      </c>
      <c r="W81" s="306" t="s">
        <v>1013</v>
      </c>
      <c r="X81" s="306" t="s">
        <v>1013</v>
      </c>
      <c r="Y81" s="306" t="s">
        <v>2752</v>
      </c>
      <c r="Z81" s="306" t="s">
        <v>2456</v>
      </c>
      <c r="AA81" s="306" t="s">
        <v>1013</v>
      </c>
    </row>
    <row r="82" spans="1:27">
      <c r="A82" s="306" t="s">
        <v>494</v>
      </c>
      <c r="B82" s="306" t="s">
        <v>1003</v>
      </c>
      <c r="C82" s="306" t="s">
        <v>1004</v>
      </c>
      <c r="D82" s="306" t="s">
        <v>2480</v>
      </c>
      <c r="E82" s="306" t="s">
        <v>2753</v>
      </c>
      <c r="F82" s="306" t="s">
        <v>2482</v>
      </c>
      <c r="G82" s="308">
        <v>46000</v>
      </c>
      <c r="H82" s="308">
        <v>46001</v>
      </c>
      <c r="I82" s="309">
        <v>436.71</v>
      </c>
      <c r="J82" s="306" t="s">
        <v>1008</v>
      </c>
      <c r="K82" s="309">
        <v>436.71</v>
      </c>
      <c r="L82" s="306" t="s">
        <v>1008</v>
      </c>
      <c r="M82" s="306" t="s">
        <v>2754</v>
      </c>
      <c r="N82" s="306" t="s">
        <v>2754</v>
      </c>
      <c r="O82" s="306" t="s">
        <v>1013</v>
      </c>
      <c r="P82" s="306" t="s">
        <v>1013</v>
      </c>
      <c r="Q82" s="306" t="s">
        <v>1013</v>
      </c>
      <c r="R82" s="306" t="s">
        <v>1013</v>
      </c>
      <c r="S82" s="306" t="s">
        <v>1013</v>
      </c>
      <c r="T82" s="306" t="s">
        <v>1013</v>
      </c>
      <c r="U82" s="306" t="s">
        <v>2755</v>
      </c>
      <c r="V82" s="306" t="s">
        <v>1013</v>
      </c>
      <c r="W82" s="306" t="s">
        <v>1013</v>
      </c>
      <c r="X82" s="306" t="s">
        <v>1013</v>
      </c>
      <c r="Y82" s="306" t="s">
        <v>2755</v>
      </c>
      <c r="Z82" s="306" t="s">
        <v>2456</v>
      </c>
      <c r="AA82" s="306" t="s">
        <v>1013</v>
      </c>
    </row>
    <row r="83" spans="1:27">
      <c r="A83" s="306" t="s">
        <v>494</v>
      </c>
      <c r="B83" s="306" t="s">
        <v>1003</v>
      </c>
      <c r="C83" s="306" t="s">
        <v>1004</v>
      </c>
      <c r="D83" s="306" t="s">
        <v>2480</v>
      </c>
      <c r="E83" s="306" t="s">
        <v>2756</v>
      </c>
      <c r="F83" s="306" t="s">
        <v>2482</v>
      </c>
      <c r="G83" s="308">
        <v>46000</v>
      </c>
      <c r="H83" s="308">
        <v>46001</v>
      </c>
      <c r="I83" s="309">
        <v>197717.89</v>
      </c>
      <c r="J83" s="306" t="s">
        <v>1008</v>
      </c>
      <c r="K83" s="309">
        <v>197717.89</v>
      </c>
      <c r="L83" s="306" t="s">
        <v>1008</v>
      </c>
      <c r="M83" s="306" t="s">
        <v>2757</v>
      </c>
      <c r="N83" s="306" t="s">
        <v>2757</v>
      </c>
      <c r="O83" s="306" t="s">
        <v>1013</v>
      </c>
      <c r="P83" s="306" t="s">
        <v>1013</v>
      </c>
      <c r="Q83" s="306" t="s">
        <v>1013</v>
      </c>
      <c r="R83" s="306" t="s">
        <v>1013</v>
      </c>
      <c r="S83" s="306" t="s">
        <v>1013</v>
      </c>
      <c r="T83" s="306" t="s">
        <v>1013</v>
      </c>
      <c r="U83" s="306" t="s">
        <v>2758</v>
      </c>
      <c r="V83" s="306" t="s">
        <v>1013</v>
      </c>
      <c r="W83" s="306" t="s">
        <v>1013</v>
      </c>
      <c r="X83" s="306" t="s">
        <v>1013</v>
      </c>
      <c r="Y83" s="306" t="s">
        <v>2758</v>
      </c>
      <c r="Z83" s="306" t="s">
        <v>2456</v>
      </c>
      <c r="AA83" s="306" t="s">
        <v>1013</v>
      </c>
    </row>
    <row r="84" spans="1:27">
      <c r="A84" s="306" t="s">
        <v>494</v>
      </c>
      <c r="B84" s="306" t="s">
        <v>1003</v>
      </c>
      <c r="C84" s="306" t="s">
        <v>1004</v>
      </c>
      <c r="D84" s="306" t="s">
        <v>2480</v>
      </c>
      <c r="E84" s="306" t="s">
        <v>2759</v>
      </c>
      <c r="F84" s="306" t="s">
        <v>2482</v>
      </c>
      <c r="G84" s="308">
        <v>46000</v>
      </c>
      <c r="H84" s="308">
        <v>46001</v>
      </c>
      <c r="I84" s="309">
        <v>197717.89</v>
      </c>
      <c r="J84" s="306" t="s">
        <v>1008</v>
      </c>
      <c r="K84" s="309">
        <v>197717.89</v>
      </c>
      <c r="L84" s="306" t="s">
        <v>1008</v>
      </c>
      <c r="M84" s="306" t="s">
        <v>2760</v>
      </c>
      <c r="N84" s="306" t="s">
        <v>2760</v>
      </c>
      <c r="O84" s="306" t="s">
        <v>1013</v>
      </c>
      <c r="P84" s="306" t="s">
        <v>1013</v>
      </c>
      <c r="Q84" s="306" t="s">
        <v>1013</v>
      </c>
      <c r="R84" s="306" t="s">
        <v>1013</v>
      </c>
      <c r="S84" s="306" t="s">
        <v>1013</v>
      </c>
      <c r="T84" s="306" t="s">
        <v>1013</v>
      </c>
      <c r="U84" s="306" t="s">
        <v>2761</v>
      </c>
      <c r="V84" s="306" t="s">
        <v>1013</v>
      </c>
      <c r="W84" s="306" t="s">
        <v>1013</v>
      </c>
      <c r="X84" s="306" t="s">
        <v>1013</v>
      </c>
      <c r="Y84" s="306" t="s">
        <v>2761</v>
      </c>
      <c r="Z84" s="306" t="s">
        <v>2456</v>
      </c>
      <c r="AA84" s="306" t="s">
        <v>1013</v>
      </c>
    </row>
    <row r="85" spans="1:27">
      <c r="A85" s="306" t="s">
        <v>494</v>
      </c>
      <c r="B85" s="306" t="s">
        <v>1003</v>
      </c>
      <c r="C85" s="306" t="s">
        <v>1004</v>
      </c>
      <c r="D85" s="306" t="s">
        <v>2480</v>
      </c>
      <c r="E85" s="306" t="s">
        <v>2762</v>
      </c>
      <c r="F85" s="306" t="s">
        <v>2486</v>
      </c>
      <c r="G85" s="308">
        <v>46001</v>
      </c>
      <c r="H85" s="308">
        <v>46001</v>
      </c>
      <c r="I85" s="309">
        <v>65914.59</v>
      </c>
      <c r="J85" s="306" t="s">
        <v>1008</v>
      </c>
      <c r="K85" s="309">
        <v>65914.59</v>
      </c>
      <c r="L85" s="306" t="s">
        <v>1008</v>
      </c>
      <c r="M85" s="306" t="s">
        <v>2763</v>
      </c>
      <c r="N85" s="306" t="s">
        <v>2764</v>
      </c>
      <c r="O85" s="306" t="s">
        <v>1013</v>
      </c>
      <c r="P85" s="306" t="s">
        <v>1013</v>
      </c>
      <c r="Q85" s="306" t="s">
        <v>1013</v>
      </c>
      <c r="R85" s="306" t="s">
        <v>1013</v>
      </c>
      <c r="S85" s="306" t="s">
        <v>1013</v>
      </c>
      <c r="T85" s="306" t="s">
        <v>1013</v>
      </c>
      <c r="U85" s="306" t="s">
        <v>2765</v>
      </c>
      <c r="V85" s="306" t="s">
        <v>1013</v>
      </c>
      <c r="W85" s="306" t="s">
        <v>1013</v>
      </c>
      <c r="X85" s="306" t="s">
        <v>1013</v>
      </c>
      <c r="Y85" s="306" t="s">
        <v>1153</v>
      </c>
      <c r="Z85" s="306" t="s">
        <v>2456</v>
      </c>
      <c r="AA85" s="306" t="s">
        <v>1013</v>
      </c>
    </row>
    <row r="86" spans="1:27">
      <c r="A86" s="306" t="s">
        <v>494</v>
      </c>
      <c r="B86" s="306" t="s">
        <v>1003</v>
      </c>
      <c r="C86" s="306" t="s">
        <v>1004</v>
      </c>
      <c r="D86" s="306" t="s">
        <v>2480</v>
      </c>
      <c r="E86" s="306" t="s">
        <v>2766</v>
      </c>
      <c r="F86" s="306" t="s">
        <v>2486</v>
      </c>
      <c r="G86" s="308">
        <v>46001</v>
      </c>
      <c r="H86" s="308">
        <v>46001</v>
      </c>
      <c r="I86" s="309">
        <v>1025.73</v>
      </c>
      <c r="J86" s="306" t="s">
        <v>1008</v>
      </c>
      <c r="K86" s="309">
        <v>1025.73</v>
      </c>
      <c r="L86" s="306" t="s">
        <v>1008</v>
      </c>
      <c r="M86" s="306" t="s">
        <v>2767</v>
      </c>
      <c r="N86" s="306" t="s">
        <v>2768</v>
      </c>
      <c r="O86" s="306" t="s">
        <v>1013</v>
      </c>
      <c r="P86" s="306" t="s">
        <v>1013</v>
      </c>
      <c r="Q86" s="306" t="s">
        <v>1013</v>
      </c>
      <c r="R86" s="306" t="s">
        <v>1013</v>
      </c>
      <c r="S86" s="306" t="s">
        <v>1013</v>
      </c>
      <c r="T86" s="306" t="s">
        <v>1013</v>
      </c>
      <c r="U86" s="306" t="s">
        <v>2769</v>
      </c>
      <c r="V86" s="306" t="s">
        <v>1013</v>
      </c>
      <c r="W86" s="306" t="s">
        <v>1013</v>
      </c>
      <c r="X86" s="306" t="s">
        <v>1013</v>
      </c>
      <c r="Y86" s="306" t="s">
        <v>2770</v>
      </c>
      <c r="Z86" s="306" t="s">
        <v>2456</v>
      </c>
      <c r="AA86" s="306" t="s">
        <v>1013</v>
      </c>
    </row>
    <row r="87" spans="1:27">
      <c r="A87" s="306" t="s">
        <v>494</v>
      </c>
      <c r="B87" s="306" t="s">
        <v>1003</v>
      </c>
      <c r="C87" s="306" t="s">
        <v>1004</v>
      </c>
      <c r="D87" s="306" t="s">
        <v>2480</v>
      </c>
      <c r="E87" s="306" t="s">
        <v>2766</v>
      </c>
      <c r="F87" s="306" t="s">
        <v>2486</v>
      </c>
      <c r="G87" s="308">
        <v>46001</v>
      </c>
      <c r="H87" s="308">
        <v>46001</v>
      </c>
      <c r="I87" s="309">
        <v>692.68</v>
      </c>
      <c r="J87" s="306" t="s">
        <v>1008</v>
      </c>
      <c r="K87" s="309">
        <v>692.68</v>
      </c>
      <c r="L87" s="306" t="s">
        <v>1008</v>
      </c>
      <c r="M87" s="306" t="s">
        <v>2771</v>
      </c>
      <c r="N87" s="306" t="s">
        <v>2768</v>
      </c>
      <c r="O87" s="306" t="s">
        <v>1013</v>
      </c>
      <c r="P87" s="306" t="s">
        <v>1013</v>
      </c>
      <c r="Q87" s="306" t="s">
        <v>1013</v>
      </c>
      <c r="R87" s="306" t="s">
        <v>1013</v>
      </c>
      <c r="S87" s="306" t="s">
        <v>1013</v>
      </c>
      <c r="T87" s="306" t="s">
        <v>1013</v>
      </c>
      <c r="U87" s="306" t="s">
        <v>2769</v>
      </c>
      <c r="V87" s="306" t="s">
        <v>1013</v>
      </c>
      <c r="W87" s="306" t="s">
        <v>1013</v>
      </c>
      <c r="X87" s="306" t="s">
        <v>1013</v>
      </c>
      <c r="Y87" s="306" t="s">
        <v>2770</v>
      </c>
      <c r="Z87" s="306" t="s">
        <v>2456</v>
      </c>
      <c r="AA87" s="306" t="s">
        <v>1013</v>
      </c>
    </row>
    <row r="88" spans="1:27">
      <c r="A88" s="306" t="s">
        <v>494</v>
      </c>
      <c r="B88" s="306" t="s">
        <v>1003</v>
      </c>
      <c r="C88" s="306" t="s">
        <v>1004</v>
      </c>
      <c r="D88" s="306" t="s">
        <v>2480</v>
      </c>
      <c r="E88" s="306" t="s">
        <v>2772</v>
      </c>
      <c r="F88" s="306" t="s">
        <v>2482</v>
      </c>
      <c r="G88" s="308">
        <v>46001</v>
      </c>
      <c r="H88" s="308">
        <v>46001</v>
      </c>
      <c r="I88" s="309">
        <v>309466.23999999999</v>
      </c>
      <c r="J88" s="306" t="s">
        <v>1008</v>
      </c>
      <c r="K88" s="309">
        <v>309466.23999999999</v>
      </c>
      <c r="L88" s="306" t="s">
        <v>1008</v>
      </c>
      <c r="M88" s="306" t="s">
        <v>2773</v>
      </c>
      <c r="N88" s="306" t="s">
        <v>2773</v>
      </c>
      <c r="O88" s="306" t="s">
        <v>1013</v>
      </c>
      <c r="P88" s="306" t="s">
        <v>1013</v>
      </c>
      <c r="Q88" s="306" t="s">
        <v>1013</v>
      </c>
      <c r="R88" s="306" t="s">
        <v>1013</v>
      </c>
      <c r="S88" s="306" t="s">
        <v>1013</v>
      </c>
      <c r="T88" s="306" t="s">
        <v>1013</v>
      </c>
      <c r="U88" s="306" t="s">
        <v>2774</v>
      </c>
      <c r="V88" s="306" t="s">
        <v>1013</v>
      </c>
      <c r="W88" s="306" t="s">
        <v>1013</v>
      </c>
      <c r="X88" s="306" t="s">
        <v>1013</v>
      </c>
      <c r="Y88" s="306" t="s">
        <v>2774</v>
      </c>
      <c r="Z88" s="306" t="s">
        <v>2456</v>
      </c>
      <c r="AA88" s="306" t="s">
        <v>1013</v>
      </c>
    </row>
    <row r="89" spans="1:27">
      <c r="A89" s="306" t="s">
        <v>494</v>
      </c>
      <c r="B89" s="306" t="s">
        <v>1003</v>
      </c>
      <c r="C89" s="306" t="s">
        <v>1004</v>
      </c>
      <c r="D89" s="306" t="s">
        <v>2480</v>
      </c>
      <c r="E89" s="306" t="s">
        <v>2775</v>
      </c>
      <c r="F89" s="306" t="s">
        <v>2486</v>
      </c>
      <c r="G89" s="308">
        <v>46001</v>
      </c>
      <c r="H89" s="308">
        <v>46001</v>
      </c>
      <c r="I89" s="309">
        <v>24995.09</v>
      </c>
      <c r="J89" s="306" t="s">
        <v>1008</v>
      </c>
      <c r="K89" s="309">
        <v>24995.09</v>
      </c>
      <c r="L89" s="306" t="s">
        <v>1008</v>
      </c>
      <c r="M89" s="306" t="s">
        <v>2776</v>
      </c>
      <c r="N89" s="306" t="s">
        <v>2777</v>
      </c>
      <c r="O89" s="306" t="s">
        <v>1013</v>
      </c>
      <c r="P89" s="306" t="s">
        <v>1013</v>
      </c>
      <c r="Q89" s="306" t="s">
        <v>1013</v>
      </c>
      <c r="R89" s="306" t="s">
        <v>1013</v>
      </c>
      <c r="S89" s="306" t="s">
        <v>1013</v>
      </c>
      <c r="T89" s="306" t="s">
        <v>1013</v>
      </c>
      <c r="U89" s="306" t="s">
        <v>2778</v>
      </c>
      <c r="V89" s="306" t="s">
        <v>1013</v>
      </c>
      <c r="W89" s="306" t="s">
        <v>1013</v>
      </c>
      <c r="X89" s="306" t="s">
        <v>1013</v>
      </c>
      <c r="Y89" s="306" t="s">
        <v>2058</v>
      </c>
      <c r="Z89" s="306" t="s">
        <v>2456</v>
      </c>
      <c r="AA89" s="306" t="s">
        <v>1013</v>
      </c>
    </row>
    <row r="90" spans="1:27">
      <c r="A90" s="306" t="s">
        <v>494</v>
      </c>
      <c r="B90" s="306" t="s">
        <v>1003</v>
      </c>
      <c r="C90" s="306" t="s">
        <v>1004</v>
      </c>
      <c r="D90" s="306" t="s">
        <v>2480</v>
      </c>
      <c r="E90" s="306" t="s">
        <v>2779</v>
      </c>
      <c r="F90" s="306" t="s">
        <v>2482</v>
      </c>
      <c r="G90" s="308">
        <v>46001</v>
      </c>
      <c r="H90" s="308">
        <v>46001</v>
      </c>
      <c r="I90" s="309">
        <v>137572.01999999999</v>
      </c>
      <c r="J90" s="306" t="s">
        <v>1008</v>
      </c>
      <c r="K90" s="309">
        <v>137572.01999999999</v>
      </c>
      <c r="L90" s="306" t="s">
        <v>1008</v>
      </c>
      <c r="M90" s="306" t="s">
        <v>2780</v>
      </c>
      <c r="N90" s="306" t="s">
        <v>2780</v>
      </c>
      <c r="O90" s="306" t="s">
        <v>1013</v>
      </c>
      <c r="P90" s="306" t="s">
        <v>1013</v>
      </c>
      <c r="Q90" s="306" t="s">
        <v>1013</v>
      </c>
      <c r="R90" s="306" t="s">
        <v>1013</v>
      </c>
      <c r="S90" s="306" t="s">
        <v>1013</v>
      </c>
      <c r="T90" s="306" t="s">
        <v>1013</v>
      </c>
      <c r="U90" s="306" t="s">
        <v>2781</v>
      </c>
      <c r="V90" s="306" t="s">
        <v>1013</v>
      </c>
      <c r="W90" s="306" t="s">
        <v>1013</v>
      </c>
      <c r="X90" s="306" t="s">
        <v>1013</v>
      </c>
      <c r="Y90" s="306" t="s">
        <v>2781</v>
      </c>
      <c r="Z90" s="306" t="s">
        <v>2456</v>
      </c>
      <c r="AA90" s="306" t="s">
        <v>1013</v>
      </c>
    </row>
    <row r="91" spans="1:27">
      <c r="A91" s="306" t="s">
        <v>494</v>
      </c>
      <c r="B91" s="306" t="s">
        <v>1003</v>
      </c>
      <c r="C91" s="306" t="s">
        <v>1004</v>
      </c>
      <c r="D91" s="306" t="s">
        <v>2480</v>
      </c>
      <c r="E91" s="306" t="s">
        <v>2782</v>
      </c>
      <c r="F91" s="306" t="s">
        <v>2482</v>
      </c>
      <c r="G91" s="308">
        <v>46001</v>
      </c>
      <c r="H91" s="308">
        <v>46001</v>
      </c>
      <c r="I91" s="309">
        <v>619190.82999999996</v>
      </c>
      <c r="J91" s="306" t="s">
        <v>1008</v>
      </c>
      <c r="K91" s="309">
        <v>619190.82999999996</v>
      </c>
      <c r="L91" s="306" t="s">
        <v>1008</v>
      </c>
      <c r="M91" s="306" t="s">
        <v>2783</v>
      </c>
      <c r="N91" s="306" t="s">
        <v>2783</v>
      </c>
      <c r="O91" s="306" t="s">
        <v>1013</v>
      </c>
      <c r="P91" s="306" t="s">
        <v>1013</v>
      </c>
      <c r="Q91" s="306" t="s">
        <v>1013</v>
      </c>
      <c r="R91" s="306" t="s">
        <v>1013</v>
      </c>
      <c r="S91" s="306" t="s">
        <v>1013</v>
      </c>
      <c r="T91" s="306" t="s">
        <v>1013</v>
      </c>
      <c r="U91" s="306" t="s">
        <v>2784</v>
      </c>
      <c r="V91" s="306" t="s">
        <v>1013</v>
      </c>
      <c r="W91" s="306" t="s">
        <v>1013</v>
      </c>
      <c r="X91" s="306" t="s">
        <v>1013</v>
      </c>
      <c r="Y91" s="306" t="s">
        <v>2784</v>
      </c>
      <c r="Z91" s="306" t="s">
        <v>2456</v>
      </c>
      <c r="AA91" s="306" t="s">
        <v>1013</v>
      </c>
    </row>
    <row r="92" spans="1:27">
      <c r="A92" s="306" t="s">
        <v>494</v>
      </c>
      <c r="B92" s="306" t="s">
        <v>1003</v>
      </c>
      <c r="C92" s="306" t="s">
        <v>1004</v>
      </c>
      <c r="D92" s="306" t="s">
        <v>2480</v>
      </c>
      <c r="E92" s="306" t="s">
        <v>2785</v>
      </c>
      <c r="F92" s="306" t="s">
        <v>2486</v>
      </c>
      <c r="G92" s="308">
        <v>46001</v>
      </c>
      <c r="H92" s="308">
        <v>46001</v>
      </c>
      <c r="I92" s="309">
        <v>14616.37</v>
      </c>
      <c r="J92" s="306" t="s">
        <v>1008</v>
      </c>
      <c r="K92" s="309">
        <v>14616.37</v>
      </c>
      <c r="L92" s="306" t="s">
        <v>1008</v>
      </c>
      <c r="M92" s="306" t="s">
        <v>2786</v>
      </c>
      <c r="N92" s="306" t="s">
        <v>2787</v>
      </c>
      <c r="O92" s="306" t="s">
        <v>1013</v>
      </c>
      <c r="P92" s="306" t="s">
        <v>1013</v>
      </c>
      <c r="Q92" s="306" t="s">
        <v>1013</v>
      </c>
      <c r="R92" s="306" t="s">
        <v>1013</v>
      </c>
      <c r="S92" s="306" t="s">
        <v>1013</v>
      </c>
      <c r="T92" s="306" t="s">
        <v>1013</v>
      </c>
      <c r="U92" s="306" t="s">
        <v>2788</v>
      </c>
      <c r="V92" s="306" t="s">
        <v>1013</v>
      </c>
      <c r="W92" s="306" t="s">
        <v>1013</v>
      </c>
      <c r="X92" s="306" t="s">
        <v>1013</v>
      </c>
      <c r="Y92" s="306" t="s">
        <v>2789</v>
      </c>
      <c r="Z92" s="306" t="s">
        <v>2456</v>
      </c>
      <c r="AA92" s="306" t="s">
        <v>1013</v>
      </c>
    </row>
    <row r="93" spans="1:27">
      <c r="A93" s="306" t="s">
        <v>494</v>
      </c>
      <c r="B93" s="306" t="s">
        <v>1003</v>
      </c>
      <c r="C93" s="306" t="s">
        <v>1004</v>
      </c>
      <c r="D93" s="306" t="s">
        <v>2480</v>
      </c>
      <c r="E93" s="306" t="s">
        <v>2790</v>
      </c>
      <c r="F93" s="306" t="s">
        <v>2486</v>
      </c>
      <c r="G93" s="308">
        <v>46001</v>
      </c>
      <c r="H93" s="308">
        <v>46001</v>
      </c>
      <c r="I93" s="309">
        <v>419.42</v>
      </c>
      <c r="J93" s="306" t="s">
        <v>1008</v>
      </c>
      <c r="K93" s="309">
        <v>419.42</v>
      </c>
      <c r="L93" s="306" t="s">
        <v>1008</v>
      </c>
      <c r="M93" s="306" t="s">
        <v>2791</v>
      </c>
      <c r="N93" s="306" t="s">
        <v>2792</v>
      </c>
      <c r="O93" s="306" t="s">
        <v>1013</v>
      </c>
      <c r="P93" s="306" t="s">
        <v>1013</v>
      </c>
      <c r="Q93" s="306" t="s">
        <v>1013</v>
      </c>
      <c r="R93" s="306" t="s">
        <v>1013</v>
      </c>
      <c r="S93" s="306" t="s">
        <v>1013</v>
      </c>
      <c r="T93" s="306" t="s">
        <v>1013</v>
      </c>
      <c r="U93" s="306" t="s">
        <v>2793</v>
      </c>
      <c r="V93" s="306" t="s">
        <v>1013</v>
      </c>
      <c r="W93" s="306" t="s">
        <v>1013</v>
      </c>
      <c r="X93" s="306" t="s">
        <v>1013</v>
      </c>
      <c r="Y93" s="306" t="s">
        <v>2642</v>
      </c>
      <c r="Z93" s="306" t="s">
        <v>2456</v>
      </c>
      <c r="AA93" s="306" t="s">
        <v>1013</v>
      </c>
    </row>
    <row r="94" spans="1:27">
      <c r="A94" s="306" t="s">
        <v>494</v>
      </c>
      <c r="B94" s="306" t="s">
        <v>1003</v>
      </c>
      <c r="C94" s="306" t="s">
        <v>1004</v>
      </c>
      <c r="D94" s="306" t="s">
        <v>2480</v>
      </c>
      <c r="E94" s="306" t="s">
        <v>2794</v>
      </c>
      <c r="F94" s="306" t="s">
        <v>2482</v>
      </c>
      <c r="G94" s="308">
        <v>46001</v>
      </c>
      <c r="H94" s="308">
        <v>46002</v>
      </c>
      <c r="I94" s="309">
        <v>41917.03</v>
      </c>
      <c r="J94" s="306" t="s">
        <v>1008</v>
      </c>
      <c r="K94" s="309">
        <v>41917.03</v>
      </c>
      <c r="L94" s="306" t="s">
        <v>1008</v>
      </c>
      <c r="M94" s="306" t="s">
        <v>2795</v>
      </c>
      <c r="N94" s="306" t="s">
        <v>2795</v>
      </c>
      <c r="O94" s="306" t="s">
        <v>1013</v>
      </c>
      <c r="P94" s="306" t="s">
        <v>1013</v>
      </c>
      <c r="Q94" s="306" t="s">
        <v>1013</v>
      </c>
      <c r="R94" s="306" t="s">
        <v>1013</v>
      </c>
      <c r="S94" s="306" t="s">
        <v>1013</v>
      </c>
      <c r="T94" s="306" t="s">
        <v>1013</v>
      </c>
      <c r="U94" s="306" t="s">
        <v>2796</v>
      </c>
      <c r="V94" s="306" t="s">
        <v>1013</v>
      </c>
      <c r="W94" s="306" t="s">
        <v>1013</v>
      </c>
      <c r="X94" s="306" t="s">
        <v>1013</v>
      </c>
      <c r="Y94" s="306" t="s">
        <v>2796</v>
      </c>
      <c r="Z94" s="306" t="s">
        <v>2456</v>
      </c>
      <c r="AA94" s="306" t="s">
        <v>1013</v>
      </c>
    </row>
    <row r="95" spans="1:27">
      <c r="A95" s="306" t="s">
        <v>494</v>
      </c>
      <c r="B95" s="306" t="s">
        <v>1003</v>
      </c>
      <c r="C95" s="306" t="s">
        <v>1004</v>
      </c>
      <c r="D95" s="306" t="s">
        <v>2480</v>
      </c>
      <c r="E95" s="306" t="s">
        <v>2797</v>
      </c>
      <c r="F95" s="306" t="s">
        <v>2482</v>
      </c>
      <c r="G95" s="308">
        <v>46001</v>
      </c>
      <c r="H95" s="308">
        <v>46002</v>
      </c>
      <c r="I95" s="309">
        <v>45707.32</v>
      </c>
      <c r="J95" s="306" t="s">
        <v>1008</v>
      </c>
      <c r="K95" s="309">
        <v>45707.32</v>
      </c>
      <c r="L95" s="306" t="s">
        <v>1008</v>
      </c>
      <c r="M95" s="306" t="s">
        <v>2798</v>
      </c>
      <c r="N95" s="306" t="s">
        <v>2798</v>
      </c>
      <c r="O95" s="306" t="s">
        <v>1013</v>
      </c>
      <c r="P95" s="306" t="s">
        <v>1013</v>
      </c>
      <c r="Q95" s="306" t="s">
        <v>1013</v>
      </c>
      <c r="R95" s="306" t="s">
        <v>1013</v>
      </c>
      <c r="S95" s="306" t="s">
        <v>1013</v>
      </c>
      <c r="T95" s="306" t="s">
        <v>1013</v>
      </c>
      <c r="U95" s="306" t="s">
        <v>2799</v>
      </c>
      <c r="V95" s="306" t="s">
        <v>1013</v>
      </c>
      <c r="W95" s="306" t="s">
        <v>1013</v>
      </c>
      <c r="X95" s="306" t="s">
        <v>1013</v>
      </c>
      <c r="Y95" s="306" t="s">
        <v>2799</v>
      </c>
      <c r="Z95" s="306" t="s">
        <v>2456</v>
      </c>
      <c r="AA95" s="306" t="s">
        <v>1013</v>
      </c>
    </row>
    <row r="96" spans="1:27">
      <c r="A96" s="306" t="s">
        <v>494</v>
      </c>
      <c r="B96" s="306" t="s">
        <v>1003</v>
      </c>
      <c r="C96" s="306" t="s">
        <v>1004</v>
      </c>
      <c r="D96" s="306" t="s">
        <v>2480</v>
      </c>
      <c r="E96" s="306" t="s">
        <v>2800</v>
      </c>
      <c r="F96" s="306" t="s">
        <v>2482</v>
      </c>
      <c r="G96" s="308">
        <v>46001</v>
      </c>
      <c r="H96" s="308">
        <v>46002</v>
      </c>
      <c r="I96" s="309">
        <v>131513.32999999999</v>
      </c>
      <c r="J96" s="306" t="s">
        <v>1008</v>
      </c>
      <c r="K96" s="309">
        <v>131513.32999999999</v>
      </c>
      <c r="L96" s="306" t="s">
        <v>1008</v>
      </c>
      <c r="M96" s="306" t="s">
        <v>2801</v>
      </c>
      <c r="N96" s="306" t="s">
        <v>2801</v>
      </c>
      <c r="O96" s="306" t="s">
        <v>1013</v>
      </c>
      <c r="P96" s="306" t="s">
        <v>1013</v>
      </c>
      <c r="Q96" s="306" t="s">
        <v>1013</v>
      </c>
      <c r="R96" s="306" t="s">
        <v>1013</v>
      </c>
      <c r="S96" s="306" t="s">
        <v>1013</v>
      </c>
      <c r="T96" s="306" t="s">
        <v>1013</v>
      </c>
      <c r="U96" s="306" t="s">
        <v>2802</v>
      </c>
      <c r="V96" s="306" t="s">
        <v>1013</v>
      </c>
      <c r="W96" s="306" t="s">
        <v>1013</v>
      </c>
      <c r="X96" s="306" t="s">
        <v>1013</v>
      </c>
      <c r="Y96" s="306" t="s">
        <v>2802</v>
      </c>
      <c r="Z96" s="306" t="s">
        <v>2456</v>
      </c>
      <c r="AA96" s="306" t="s">
        <v>1013</v>
      </c>
    </row>
    <row r="97" spans="1:27">
      <c r="A97" s="306" t="s">
        <v>494</v>
      </c>
      <c r="B97" s="306" t="s">
        <v>1003</v>
      </c>
      <c r="C97" s="306" t="s">
        <v>1004</v>
      </c>
      <c r="D97" s="306" t="s">
        <v>2480</v>
      </c>
      <c r="E97" s="306" t="s">
        <v>2803</v>
      </c>
      <c r="F97" s="306" t="s">
        <v>2482</v>
      </c>
      <c r="G97" s="308">
        <v>46000</v>
      </c>
      <c r="H97" s="308">
        <v>46002</v>
      </c>
      <c r="I97" s="309">
        <v>196958.56</v>
      </c>
      <c r="J97" s="306" t="s">
        <v>1008</v>
      </c>
      <c r="K97" s="309">
        <v>196958.56</v>
      </c>
      <c r="L97" s="306" t="s">
        <v>1008</v>
      </c>
      <c r="M97" s="306" t="s">
        <v>2804</v>
      </c>
      <c r="N97" s="306" t="s">
        <v>2804</v>
      </c>
      <c r="O97" s="306" t="s">
        <v>1013</v>
      </c>
      <c r="P97" s="306" t="s">
        <v>1013</v>
      </c>
      <c r="Q97" s="306" t="s">
        <v>1013</v>
      </c>
      <c r="R97" s="306" t="s">
        <v>1013</v>
      </c>
      <c r="S97" s="306" t="s">
        <v>1013</v>
      </c>
      <c r="T97" s="306" t="s">
        <v>1013</v>
      </c>
      <c r="U97" s="306" t="s">
        <v>2805</v>
      </c>
      <c r="V97" s="306" t="s">
        <v>1013</v>
      </c>
      <c r="W97" s="306" t="s">
        <v>1013</v>
      </c>
      <c r="X97" s="306" t="s">
        <v>1013</v>
      </c>
      <c r="Y97" s="306" t="s">
        <v>2805</v>
      </c>
      <c r="Z97" s="306" t="s">
        <v>2456</v>
      </c>
      <c r="AA97" s="306" t="s">
        <v>1013</v>
      </c>
    </row>
    <row r="98" spans="1:27">
      <c r="A98" s="306" t="s">
        <v>494</v>
      </c>
      <c r="B98" s="306" t="s">
        <v>1003</v>
      </c>
      <c r="C98" s="306" t="s">
        <v>1004</v>
      </c>
      <c r="D98" s="306" t="s">
        <v>2480</v>
      </c>
      <c r="E98" s="306" t="s">
        <v>2806</v>
      </c>
      <c r="F98" s="306" t="s">
        <v>2486</v>
      </c>
      <c r="G98" s="308">
        <v>46002</v>
      </c>
      <c r="H98" s="308">
        <v>46002</v>
      </c>
      <c r="I98" s="309">
        <v>1651.38</v>
      </c>
      <c r="J98" s="306" t="s">
        <v>1008</v>
      </c>
      <c r="K98" s="309">
        <v>1651.38</v>
      </c>
      <c r="L98" s="306" t="s">
        <v>1008</v>
      </c>
      <c r="M98" s="306" t="s">
        <v>2807</v>
      </c>
      <c r="N98" s="306" t="s">
        <v>2808</v>
      </c>
      <c r="O98" s="306" t="s">
        <v>1013</v>
      </c>
      <c r="P98" s="306" t="s">
        <v>1013</v>
      </c>
      <c r="Q98" s="306" t="s">
        <v>1013</v>
      </c>
      <c r="R98" s="306" t="s">
        <v>1013</v>
      </c>
      <c r="S98" s="306" t="s">
        <v>1013</v>
      </c>
      <c r="T98" s="306" t="s">
        <v>1013</v>
      </c>
      <c r="U98" s="306" t="s">
        <v>2809</v>
      </c>
      <c r="V98" s="306" t="s">
        <v>1013</v>
      </c>
      <c r="W98" s="306" t="s">
        <v>1013</v>
      </c>
      <c r="X98" s="306" t="s">
        <v>1013</v>
      </c>
      <c r="Y98" s="306" t="s">
        <v>2726</v>
      </c>
      <c r="Z98" s="306" t="s">
        <v>2456</v>
      </c>
      <c r="AA98" s="306" t="s">
        <v>1013</v>
      </c>
    </row>
    <row r="99" spans="1:27">
      <c r="A99" s="306" t="s">
        <v>494</v>
      </c>
      <c r="B99" s="306" t="s">
        <v>1003</v>
      </c>
      <c r="C99" s="306" t="s">
        <v>1004</v>
      </c>
      <c r="D99" s="306" t="s">
        <v>2480</v>
      </c>
      <c r="E99" s="306" t="s">
        <v>2810</v>
      </c>
      <c r="F99" s="306" t="s">
        <v>2486</v>
      </c>
      <c r="G99" s="308">
        <v>46002</v>
      </c>
      <c r="H99" s="308">
        <v>46002</v>
      </c>
      <c r="I99" s="309">
        <v>3962.26</v>
      </c>
      <c r="J99" s="306" t="s">
        <v>1008</v>
      </c>
      <c r="K99" s="309">
        <v>3962.26</v>
      </c>
      <c r="L99" s="306" t="s">
        <v>1008</v>
      </c>
      <c r="M99" s="306" t="s">
        <v>2811</v>
      </c>
      <c r="N99" s="306" t="s">
        <v>2812</v>
      </c>
      <c r="O99" s="306" t="s">
        <v>1013</v>
      </c>
      <c r="P99" s="306" t="s">
        <v>1013</v>
      </c>
      <c r="Q99" s="306" t="s">
        <v>1013</v>
      </c>
      <c r="R99" s="306" t="s">
        <v>1013</v>
      </c>
      <c r="S99" s="306" t="s">
        <v>1013</v>
      </c>
      <c r="T99" s="306" t="s">
        <v>1013</v>
      </c>
      <c r="U99" s="306" t="s">
        <v>2813</v>
      </c>
      <c r="V99" s="306" t="s">
        <v>1013</v>
      </c>
      <c r="W99" s="306" t="s">
        <v>1013</v>
      </c>
      <c r="X99" s="306" t="s">
        <v>1013</v>
      </c>
      <c r="Y99" s="306" t="s">
        <v>2814</v>
      </c>
      <c r="Z99" s="306" t="s">
        <v>2456</v>
      </c>
      <c r="AA99" s="306" t="s">
        <v>1013</v>
      </c>
    </row>
    <row r="100" spans="1:27">
      <c r="A100" s="306" t="s">
        <v>494</v>
      </c>
      <c r="B100" s="306" t="s">
        <v>1003</v>
      </c>
      <c r="C100" s="306" t="s">
        <v>1004</v>
      </c>
      <c r="D100" s="306" t="s">
        <v>2480</v>
      </c>
      <c r="E100" s="306" t="s">
        <v>2815</v>
      </c>
      <c r="F100" s="306" t="s">
        <v>2482</v>
      </c>
      <c r="G100" s="308">
        <v>46001</v>
      </c>
      <c r="H100" s="308">
        <v>46002</v>
      </c>
      <c r="I100" s="309">
        <v>78139.86</v>
      </c>
      <c r="J100" s="306" t="s">
        <v>1008</v>
      </c>
      <c r="K100" s="309">
        <v>78139.86</v>
      </c>
      <c r="L100" s="306" t="s">
        <v>1008</v>
      </c>
      <c r="M100" s="306" t="s">
        <v>2816</v>
      </c>
      <c r="N100" s="306" t="s">
        <v>2816</v>
      </c>
      <c r="O100" s="306" t="s">
        <v>1013</v>
      </c>
      <c r="P100" s="306" t="s">
        <v>1013</v>
      </c>
      <c r="Q100" s="306" t="s">
        <v>1013</v>
      </c>
      <c r="R100" s="306" t="s">
        <v>1013</v>
      </c>
      <c r="S100" s="306" t="s">
        <v>1013</v>
      </c>
      <c r="T100" s="306" t="s">
        <v>1013</v>
      </c>
      <c r="U100" s="306" t="s">
        <v>2817</v>
      </c>
      <c r="V100" s="306" t="s">
        <v>1013</v>
      </c>
      <c r="W100" s="306" t="s">
        <v>1013</v>
      </c>
      <c r="X100" s="306" t="s">
        <v>1013</v>
      </c>
      <c r="Y100" s="306" t="s">
        <v>2817</v>
      </c>
      <c r="Z100" s="306" t="s">
        <v>2456</v>
      </c>
      <c r="AA100" s="306" t="s">
        <v>1013</v>
      </c>
    </row>
    <row r="101" spans="1:27">
      <c r="A101" s="306" t="s">
        <v>494</v>
      </c>
      <c r="B101" s="306" t="s">
        <v>1003</v>
      </c>
      <c r="C101" s="306" t="s">
        <v>1004</v>
      </c>
      <c r="D101" s="306" t="s">
        <v>2480</v>
      </c>
      <c r="E101" s="306" t="s">
        <v>2818</v>
      </c>
      <c r="F101" s="306" t="s">
        <v>2482</v>
      </c>
      <c r="G101" s="308">
        <v>46001</v>
      </c>
      <c r="H101" s="308">
        <v>46002</v>
      </c>
      <c r="I101" s="309">
        <v>26002.23</v>
      </c>
      <c r="J101" s="306" t="s">
        <v>1008</v>
      </c>
      <c r="K101" s="309">
        <v>26002.23</v>
      </c>
      <c r="L101" s="306" t="s">
        <v>1008</v>
      </c>
      <c r="M101" s="306" t="s">
        <v>2819</v>
      </c>
      <c r="N101" s="306" t="s">
        <v>2819</v>
      </c>
      <c r="O101" s="306" t="s">
        <v>1013</v>
      </c>
      <c r="P101" s="306" t="s">
        <v>1013</v>
      </c>
      <c r="Q101" s="306" t="s">
        <v>1013</v>
      </c>
      <c r="R101" s="306" t="s">
        <v>1013</v>
      </c>
      <c r="S101" s="306" t="s">
        <v>1013</v>
      </c>
      <c r="T101" s="306" t="s">
        <v>1013</v>
      </c>
      <c r="U101" s="306" t="s">
        <v>2820</v>
      </c>
      <c r="V101" s="306" t="s">
        <v>1013</v>
      </c>
      <c r="W101" s="306" t="s">
        <v>1013</v>
      </c>
      <c r="X101" s="306" t="s">
        <v>1013</v>
      </c>
      <c r="Y101" s="306" t="s">
        <v>2820</v>
      </c>
      <c r="Z101" s="306" t="s">
        <v>2456</v>
      </c>
      <c r="AA101" s="306" t="s">
        <v>1013</v>
      </c>
    </row>
    <row r="102" spans="1:27">
      <c r="A102" s="306" t="s">
        <v>494</v>
      </c>
      <c r="B102" s="306" t="s">
        <v>1003</v>
      </c>
      <c r="C102" s="306" t="s">
        <v>1004</v>
      </c>
      <c r="D102" s="306" t="s">
        <v>2480</v>
      </c>
      <c r="E102" s="306" t="s">
        <v>2821</v>
      </c>
      <c r="F102" s="306" t="s">
        <v>2482</v>
      </c>
      <c r="G102" s="308">
        <v>46001</v>
      </c>
      <c r="H102" s="308">
        <v>46002</v>
      </c>
      <c r="I102" s="309">
        <v>362238.22</v>
      </c>
      <c r="J102" s="306" t="s">
        <v>1008</v>
      </c>
      <c r="K102" s="309">
        <v>362238.22</v>
      </c>
      <c r="L102" s="306" t="s">
        <v>1008</v>
      </c>
      <c r="M102" s="306" t="s">
        <v>2822</v>
      </c>
      <c r="N102" s="306" t="s">
        <v>2822</v>
      </c>
      <c r="O102" s="306" t="s">
        <v>1013</v>
      </c>
      <c r="P102" s="306" t="s">
        <v>1013</v>
      </c>
      <c r="Q102" s="306" t="s">
        <v>1013</v>
      </c>
      <c r="R102" s="306" t="s">
        <v>1013</v>
      </c>
      <c r="S102" s="306" t="s">
        <v>1013</v>
      </c>
      <c r="T102" s="306" t="s">
        <v>1013</v>
      </c>
      <c r="U102" s="306" t="s">
        <v>2823</v>
      </c>
      <c r="V102" s="306" t="s">
        <v>1013</v>
      </c>
      <c r="W102" s="306" t="s">
        <v>1013</v>
      </c>
      <c r="X102" s="306" t="s">
        <v>1013</v>
      </c>
      <c r="Y102" s="306" t="s">
        <v>2823</v>
      </c>
      <c r="Z102" s="306" t="s">
        <v>2456</v>
      </c>
      <c r="AA102" s="306" t="s">
        <v>1013</v>
      </c>
    </row>
    <row r="103" spans="1:27">
      <c r="A103" s="306" t="s">
        <v>494</v>
      </c>
      <c r="B103" s="306" t="s">
        <v>1003</v>
      </c>
      <c r="C103" s="306" t="s">
        <v>1004</v>
      </c>
      <c r="D103" s="306" t="s">
        <v>2480</v>
      </c>
      <c r="E103" s="306" t="s">
        <v>2824</v>
      </c>
      <c r="F103" s="306" t="s">
        <v>2482</v>
      </c>
      <c r="G103" s="308">
        <v>46001</v>
      </c>
      <c r="H103" s="308">
        <v>46002</v>
      </c>
      <c r="I103" s="309">
        <v>90586.68</v>
      </c>
      <c r="J103" s="306" t="s">
        <v>1008</v>
      </c>
      <c r="K103" s="309">
        <v>90586.68</v>
      </c>
      <c r="L103" s="306" t="s">
        <v>1008</v>
      </c>
      <c r="M103" s="306" t="s">
        <v>2825</v>
      </c>
      <c r="N103" s="306" t="s">
        <v>2825</v>
      </c>
      <c r="O103" s="306" t="s">
        <v>1013</v>
      </c>
      <c r="P103" s="306" t="s">
        <v>1013</v>
      </c>
      <c r="Q103" s="306" t="s">
        <v>1013</v>
      </c>
      <c r="R103" s="306" t="s">
        <v>1013</v>
      </c>
      <c r="S103" s="306" t="s">
        <v>1013</v>
      </c>
      <c r="T103" s="306" t="s">
        <v>1013</v>
      </c>
      <c r="U103" s="306" t="s">
        <v>2826</v>
      </c>
      <c r="V103" s="306" t="s">
        <v>1013</v>
      </c>
      <c r="W103" s="306" t="s">
        <v>1013</v>
      </c>
      <c r="X103" s="306" t="s">
        <v>1013</v>
      </c>
      <c r="Y103" s="306" t="s">
        <v>2826</v>
      </c>
      <c r="Z103" s="306" t="s">
        <v>2456</v>
      </c>
      <c r="AA103" s="306" t="s">
        <v>1013</v>
      </c>
    </row>
    <row r="104" spans="1:27">
      <c r="A104" s="306" t="s">
        <v>494</v>
      </c>
      <c r="B104" s="306" t="s">
        <v>1003</v>
      </c>
      <c r="C104" s="306" t="s">
        <v>1004</v>
      </c>
      <c r="D104" s="306" t="s">
        <v>2480</v>
      </c>
      <c r="E104" s="306" t="s">
        <v>2827</v>
      </c>
      <c r="F104" s="306" t="s">
        <v>2486</v>
      </c>
      <c r="G104" s="308">
        <v>46002</v>
      </c>
      <c r="H104" s="308">
        <v>46002</v>
      </c>
      <c r="I104" s="309">
        <v>1597.96</v>
      </c>
      <c r="J104" s="306" t="s">
        <v>1008</v>
      </c>
      <c r="K104" s="309">
        <v>1597.96</v>
      </c>
      <c r="L104" s="306" t="s">
        <v>1008</v>
      </c>
      <c r="M104" s="306" t="s">
        <v>2828</v>
      </c>
      <c r="N104" s="306" t="s">
        <v>2829</v>
      </c>
      <c r="O104" s="306" t="s">
        <v>1013</v>
      </c>
      <c r="P104" s="306" t="s">
        <v>1013</v>
      </c>
      <c r="Q104" s="306" t="s">
        <v>1013</v>
      </c>
      <c r="R104" s="306" t="s">
        <v>1013</v>
      </c>
      <c r="S104" s="306" t="s">
        <v>1013</v>
      </c>
      <c r="T104" s="306" t="s">
        <v>1013</v>
      </c>
      <c r="U104" s="306" t="s">
        <v>2830</v>
      </c>
      <c r="V104" s="306" t="s">
        <v>1013</v>
      </c>
      <c r="W104" s="306" t="s">
        <v>1013</v>
      </c>
      <c r="X104" s="306" t="s">
        <v>1013</v>
      </c>
      <c r="Y104" s="306" t="s">
        <v>2831</v>
      </c>
      <c r="Z104" s="306" t="s">
        <v>2456</v>
      </c>
      <c r="AA104" s="306" t="s">
        <v>1013</v>
      </c>
    </row>
    <row r="105" spans="1:27">
      <c r="A105" s="306" t="s">
        <v>494</v>
      </c>
      <c r="B105" s="306" t="s">
        <v>1003</v>
      </c>
      <c r="C105" s="306" t="s">
        <v>1004</v>
      </c>
      <c r="D105" s="306" t="s">
        <v>2480</v>
      </c>
      <c r="E105" s="306" t="s">
        <v>2832</v>
      </c>
      <c r="F105" s="306" t="s">
        <v>2486</v>
      </c>
      <c r="G105" s="308">
        <v>46002</v>
      </c>
      <c r="H105" s="308">
        <v>46002</v>
      </c>
      <c r="I105" s="309">
        <v>1083.5</v>
      </c>
      <c r="J105" s="306" t="s">
        <v>1008</v>
      </c>
      <c r="K105" s="309">
        <v>1083.5</v>
      </c>
      <c r="L105" s="306" t="s">
        <v>1008</v>
      </c>
      <c r="M105" s="306" t="s">
        <v>2833</v>
      </c>
      <c r="N105" s="306" t="s">
        <v>2834</v>
      </c>
      <c r="O105" s="306" t="s">
        <v>1013</v>
      </c>
      <c r="P105" s="306" t="s">
        <v>1013</v>
      </c>
      <c r="Q105" s="306" t="s">
        <v>1013</v>
      </c>
      <c r="R105" s="306" t="s">
        <v>1013</v>
      </c>
      <c r="S105" s="306" t="s">
        <v>1013</v>
      </c>
      <c r="T105" s="306" t="s">
        <v>1013</v>
      </c>
      <c r="U105" s="306" t="s">
        <v>2835</v>
      </c>
      <c r="V105" s="306" t="s">
        <v>1013</v>
      </c>
      <c r="W105" s="306" t="s">
        <v>1013</v>
      </c>
      <c r="X105" s="306" t="s">
        <v>1013</v>
      </c>
      <c r="Y105" s="306" t="s">
        <v>1406</v>
      </c>
      <c r="Z105" s="306" t="s">
        <v>2456</v>
      </c>
      <c r="AA105" s="306" t="s">
        <v>1013</v>
      </c>
    </row>
    <row r="106" spans="1:27">
      <c r="A106" s="306" t="s">
        <v>494</v>
      </c>
      <c r="B106" s="306" t="s">
        <v>1003</v>
      </c>
      <c r="C106" s="306" t="s">
        <v>1004</v>
      </c>
      <c r="D106" s="306" t="s">
        <v>2480</v>
      </c>
      <c r="E106" s="306" t="s">
        <v>2836</v>
      </c>
      <c r="F106" s="306" t="s">
        <v>2486</v>
      </c>
      <c r="G106" s="308">
        <v>46002</v>
      </c>
      <c r="H106" s="308">
        <v>46002</v>
      </c>
      <c r="I106" s="309">
        <v>1567.93</v>
      </c>
      <c r="J106" s="306" t="s">
        <v>1008</v>
      </c>
      <c r="K106" s="309">
        <v>1567.93</v>
      </c>
      <c r="L106" s="306" t="s">
        <v>1008</v>
      </c>
      <c r="M106" s="306" t="s">
        <v>2837</v>
      </c>
      <c r="N106" s="306" t="s">
        <v>2838</v>
      </c>
      <c r="O106" s="306" t="s">
        <v>1013</v>
      </c>
      <c r="P106" s="306" t="s">
        <v>1013</v>
      </c>
      <c r="Q106" s="306" t="s">
        <v>1013</v>
      </c>
      <c r="R106" s="306" t="s">
        <v>1013</v>
      </c>
      <c r="S106" s="306" t="s">
        <v>1013</v>
      </c>
      <c r="T106" s="306" t="s">
        <v>1013</v>
      </c>
      <c r="U106" s="306" t="s">
        <v>2839</v>
      </c>
      <c r="V106" s="306" t="s">
        <v>1013</v>
      </c>
      <c r="W106" s="306" t="s">
        <v>1013</v>
      </c>
      <c r="X106" s="306" t="s">
        <v>1013</v>
      </c>
      <c r="Y106" s="306" t="s">
        <v>2540</v>
      </c>
      <c r="Z106" s="306" t="s">
        <v>2456</v>
      </c>
      <c r="AA106" s="306" t="s">
        <v>1013</v>
      </c>
    </row>
    <row r="107" spans="1:27">
      <c r="A107" s="306" t="s">
        <v>494</v>
      </c>
      <c r="B107" s="306" t="s">
        <v>1003</v>
      </c>
      <c r="C107" s="306" t="s">
        <v>1004</v>
      </c>
      <c r="D107" s="306" t="s">
        <v>2480</v>
      </c>
      <c r="E107" s="306" t="s">
        <v>2840</v>
      </c>
      <c r="F107" s="306" t="s">
        <v>2486</v>
      </c>
      <c r="G107" s="308">
        <v>46002</v>
      </c>
      <c r="H107" s="308">
        <v>46002</v>
      </c>
      <c r="I107" s="309">
        <v>4528.3</v>
      </c>
      <c r="J107" s="306" t="s">
        <v>1008</v>
      </c>
      <c r="K107" s="309">
        <v>4528.3</v>
      </c>
      <c r="L107" s="306" t="s">
        <v>1008</v>
      </c>
      <c r="M107" s="306" t="s">
        <v>2841</v>
      </c>
      <c r="N107" s="306" t="s">
        <v>2842</v>
      </c>
      <c r="O107" s="306" t="s">
        <v>1013</v>
      </c>
      <c r="P107" s="306" t="s">
        <v>1013</v>
      </c>
      <c r="Q107" s="306" t="s">
        <v>1013</v>
      </c>
      <c r="R107" s="306" t="s">
        <v>1013</v>
      </c>
      <c r="S107" s="306" t="s">
        <v>1013</v>
      </c>
      <c r="T107" s="306" t="s">
        <v>1013</v>
      </c>
      <c r="U107" s="306" t="s">
        <v>2843</v>
      </c>
      <c r="V107" s="306" t="s">
        <v>1013</v>
      </c>
      <c r="W107" s="306" t="s">
        <v>1013</v>
      </c>
      <c r="X107" s="306" t="s">
        <v>1013</v>
      </c>
      <c r="Y107" s="306" t="s">
        <v>2844</v>
      </c>
      <c r="Z107" s="306" t="s">
        <v>2456</v>
      </c>
      <c r="AA107" s="306" t="s">
        <v>1013</v>
      </c>
    </row>
    <row r="108" spans="1:27">
      <c r="A108" s="306" t="s">
        <v>494</v>
      </c>
      <c r="B108" s="306" t="s">
        <v>1003</v>
      </c>
      <c r="C108" s="306" t="s">
        <v>1004</v>
      </c>
      <c r="D108" s="306" t="s">
        <v>2480</v>
      </c>
      <c r="E108" s="306" t="s">
        <v>2845</v>
      </c>
      <c r="F108" s="306" t="s">
        <v>2486</v>
      </c>
      <c r="G108" s="308">
        <v>46002</v>
      </c>
      <c r="H108" s="308">
        <v>46002</v>
      </c>
      <c r="I108" s="309">
        <v>8150.94</v>
      </c>
      <c r="J108" s="306" t="s">
        <v>1008</v>
      </c>
      <c r="K108" s="309">
        <v>8150.94</v>
      </c>
      <c r="L108" s="306" t="s">
        <v>1008</v>
      </c>
      <c r="M108" s="306" t="s">
        <v>2846</v>
      </c>
      <c r="N108" s="306" t="s">
        <v>2847</v>
      </c>
      <c r="O108" s="306" t="s">
        <v>1013</v>
      </c>
      <c r="P108" s="306" t="s">
        <v>1013</v>
      </c>
      <c r="Q108" s="306" t="s">
        <v>1013</v>
      </c>
      <c r="R108" s="306" t="s">
        <v>1013</v>
      </c>
      <c r="S108" s="306" t="s">
        <v>1013</v>
      </c>
      <c r="T108" s="306" t="s">
        <v>1013</v>
      </c>
      <c r="U108" s="306" t="s">
        <v>2848</v>
      </c>
      <c r="V108" s="306" t="s">
        <v>1013</v>
      </c>
      <c r="W108" s="306" t="s">
        <v>1013</v>
      </c>
      <c r="X108" s="306" t="s">
        <v>1013</v>
      </c>
      <c r="Y108" s="306" t="s">
        <v>2101</v>
      </c>
      <c r="Z108" s="306" t="s">
        <v>2456</v>
      </c>
      <c r="AA108" s="306" t="s">
        <v>1013</v>
      </c>
    </row>
    <row r="109" spans="1:27">
      <c r="A109" s="306" t="s">
        <v>494</v>
      </c>
      <c r="B109" s="306" t="s">
        <v>1003</v>
      </c>
      <c r="C109" s="306" t="s">
        <v>1004</v>
      </c>
      <c r="D109" s="306" t="s">
        <v>2480</v>
      </c>
      <c r="E109" s="306" t="s">
        <v>2849</v>
      </c>
      <c r="F109" s="306" t="s">
        <v>2482</v>
      </c>
      <c r="G109" s="308">
        <v>46002</v>
      </c>
      <c r="H109" s="308">
        <v>46002</v>
      </c>
      <c r="I109" s="309">
        <v>1898230.09</v>
      </c>
      <c r="J109" s="306" t="s">
        <v>1008</v>
      </c>
      <c r="K109" s="309">
        <v>1898230.09</v>
      </c>
      <c r="L109" s="306" t="s">
        <v>1008</v>
      </c>
      <c r="M109" s="306" t="s">
        <v>2850</v>
      </c>
      <c r="N109" s="306" t="s">
        <v>2850</v>
      </c>
      <c r="O109" s="306" t="s">
        <v>1013</v>
      </c>
      <c r="P109" s="306" t="s">
        <v>1013</v>
      </c>
      <c r="Q109" s="306" t="s">
        <v>1013</v>
      </c>
      <c r="R109" s="306" t="s">
        <v>1013</v>
      </c>
      <c r="S109" s="306" t="s">
        <v>1013</v>
      </c>
      <c r="T109" s="306" t="s">
        <v>1013</v>
      </c>
      <c r="U109" s="306" t="s">
        <v>2851</v>
      </c>
      <c r="V109" s="306" t="s">
        <v>1013</v>
      </c>
      <c r="W109" s="306" t="s">
        <v>1013</v>
      </c>
      <c r="X109" s="306" t="s">
        <v>1013</v>
      </c>
      <c r="Y109" s="306" t="s">
        <v>2851</v>
      </c>
      <c r="Z109" s="306" t="s">
        <v>2456</v>
      </c>
      <c r="AA109" s="306" t="s">
        <v>1013</v>
      </c>
    </row>
    <row r="110" spans="1:27">
      <c r="A110" s="306" t="s">
        <v>494</v>
      </c>
      <c r="B110" s="306" t="s">
        <v>1003</v>
      </c>
      <c r="C110" s="306" t="s">
        <v>1004</v>
      </c>
      <c r="D110" s="306" t="s">
        <v>2480</v>
      </c>
      <c r="E110" s="306" t="s">
        <v>2852</v>
      </c>
      <c r="F110" s="306" t="s">
        <v>2482</v>
      </c>
      <c r="G110" s="308">
        <v>46002</v>
      </c>
      <c r="H110" s="308">
        <v>46002</v>
      </c>
      <c r="I110" s="309">
        <v>253984.09</v>
      </c>
      <c r="J110" s="306" t="s">
        <v>1008</v>
      </c>
      <c r="K110" s="309">
        <v>253984.09</v>
      </c>
      <c r="L110" s="306" t="s">
        <v>1008</v>
      </c>
      <c r="M110" s="306" t="s">
        <v>2853</v>
      </c>
      <c r="N110" s="306" t="s">
        <v>2853</v>
      </c>
      <c r="O110" s="306" t="s">
        <v>1013</v>
      </c>
      <c r="P110" s="306" t="s">
        <v>1013</v>
      </c>
      <c r="Q110" s="306" t="s">
        <v>1013</v>
      </c>
      <c r="R110" s="306" t="s">
        <v>1013</v>
      </c>
      <c r="S110" s="306" t="s">
        <v>1013</v>
      </c>
      <c r="T110" s="306" t="s">
        <v>1013</v>
      </c>
      <c r="U110" s="306" t="s">
        <v>2854</v>
      </c>
      <c r="V110" s="306" t="s">
        <v>1013</v>
      </c>
      <c r="W110" s="306" t="s">
        <v>1013</v>
      </c>
      <c r="X110" s="306" t="s">
        <v>1013</v>
      </c>
      <c r="Y110" s="306" t="s">
        <v>2854</v>
      </c>
      <c r="Z110" s="306" t="s">
        <v>2456</v>
      </c>
      <c r="AA110" s="306" t="s">
        <v>1013</v>
      </c>
    </row>
    <row r="111" spans="1:27">
      <c r="A111" s="306" t="s">
        <v>494</v>
      </c>
      <c r="B111" s="306" t="s">
        <v>1003</v>
      </c>
      <c r="C111" s="306" t="s">
        <v>1004</v>
      </c>
      <c r="D111" s="306" t="s">
        <v>2480</v>
      </c>
      <c r="E111" s="306" t="s">
        <v>2855</v>
      </c>
      <c r="F111" s="306" t="s">
        <v>2482</v>
      </c>
      <c r="G111" s="308">
        <v>46002</v>
      </c>
      <c r="H111" s="308">
        <v>46003</v>
      </c>
      <c r="I111" s="309">
        <v>115.02</v>
      </c>
      <c r="J111" s="306" t="s">
        <v>1008</v>
      </c>
      <c r="K111" s="309">
        <v>115.02</v>
      </c>
      <c r="L111" s="306" t="s">
        <v>1008</v>
      </c>
      <c r="M111" s="306" t="s">
        <v>2856</v>
      </c>
      <c r="N111" s="306" t="s">
        <v>2856</v>
      </c>
      <c r="O111" s="306" t="s">
        <v>1013</v>
      </c>
      <c r="P111" s="306" t="s">
        <v>1013</v>
      </c>
      <c r="Q111" s="306" t="s">
        <v>1013</v>
      </c>
      <c r="R111" s="306" t="s">
        <v>1013</v>
      </c>
      <c r="S111" s="306" t="s">
        <v>1013</v>
      </c>
      <c r="T111" s="306" t="s">
        <v>1013</v>
      </c>
      <c r="U111" s="306" t="s">
        <v>2857</v>
      </c>
      <c r="V111" s="306" t="s">
        <v>1013</v>
      </c>
      <c r="W111" s="306" t="s">
        <v>1013</v>
      </c>
      <c r="X111" s="306" t="s">
        <v>1013</v>
      </c>
      <c r="Y111" s="306" t="s">
        <v>2857</v>
      </c>
      <c r="Z111" s="306" t="s">
        <v>2456</v>
      </c>
      <c r="AA111" s="306" t="s">
        <v>1013</v>
      </c>
    </row>
    <row r="112" spans="1:27">
      <c r="A112" s="306" t="s">
        <v>494</v>
      </c>
      <c r="B112" s="306" t="s">
        <v>1003</v>
      </c>
      <c r="C112" s="306" t="s">
        <v>1004</v>
      </c>
      <c r="D112" s="306" t="s">
        <v>2480</v>
      </c>
      <c r="E112" s="306" t="s">
        <v>2858</v>
      </c>
      <c r="F112" s="306" t="s">
        <v>2482</v>
      </c>
      <c r="G112" s="308">
        <v>46002</v>
      </c>
      <c r="H112" s="308">
        <v>46003</v>
      </c>
      <c r="I112" s="309">
        <v>119.12</v>
      </c>
      <c r="J112" s="306" t="s">
        <v>1008</v>
      </c>
      <c r="K112" s="309">
        <v>119.12</v>
      </c>
      <c r="L112" s="306" t="s">
        <v>1008</v>
      </c>
      <c r="M112" s="306" t="s">
        <v>2859</v>
      </c>
      <c r="N112" s="306" t="s">
        <v>2859</v>
      </c>
      <c r="O112" s="306" t="s">
        <v>1013</v>
      </c>
      <c r="P112" s="306" t="s">
        <v>1013</v>
      </c>
      <c r="Q112" s="306" t="s">
        <v>1013</v>
      </c>
      <c r="R112" s="306" t="s">
        <v>1013</v>
      </c>
      <c r="S112" s="306" t="s">
        <v>1013</v>
      </c>
      <c r="T112" s="306" t="s">
        <v>1013</v>
      </c>
      <c r="U112" s="306" t="s">
        <v>2860</v>
      </c>
      <c r="V112" s="306" t="s">
        <v>1013</v>
      </c>
      <c r="W112" s="306" t="s">
        <v>1013</v>
      </c>
      <c r="X112" s="306" t="s">
        <v>1013</v>
      </c>
      <c r="Y112" s="306" t="s">
        <v>2860</v>
      </c>
      <c r="Z112" s="306" t="s">
        <v>2456</v>
      </c>
      <c r="AA112" s="306" t="s">
        <v>1013</v>
      </c>
    </row>
    <row r="113" spans="1:27">
      <c r="A113" s="306" t="s">
        <v>494</v>
      </c>
      <c r="B113" s="306" t="s">
        <v>1003</v>
      </c>
      <c r="C113" s="306" t="s">
        <v>1004</v>
      </c>
      <c r="D113" s="306" t="s">
        <v>2480</v>
      </c>
      <c r="E113" s="306" t="s">
        <v>2861</v>
      </c>
      <c r="F113" s="306" t="s">
        <v>2482</v>
      </c>
      <c r="G113" s="308">
        <v>46002</v>
      </c>
      <c r="H113" s="308">
        <v>46003</v>
      </c>
      <c r="I113" s="309">
        <v>284.7</v>
      </c>
      <c r="J113" s="306" t="s">
        <v>1008</v>
      </c>
      <c r="K113" s="309">
        <v>284.7</v>
      </c>
      <c r="L113" s="306" t="s">
        <v>1008</v>
      </c>
      <c r="M113" s="306" t="s">
        <v>2862</v>
      </c>
      <c r="N113" s="306" t="s">
        <v>2862</v>
      </c>
      <c r="O113" s="306" t="s">
        <v>1013</v>
      </c>
      <c r="P113" s="306" t="s">
        <v>1013</v>
      </c>
      <c r="Q113" s="306" t="s">
        <v>1013</v>
      </c>
      <c r="R113" s="306" t="s">
        <v>1013</v>
      </c>
      <c r="S113" s="306" t="s">
        <v>1013</v>
      </c>
      <c r="T113" s="306" t="s">
        <v>1013</v>
      </c>
      <c r="U113" s="306" t="s">
        <v>2863</v>
      </c>
      <c r="V113" s="306" t="s">
        <v>1013</v>
      </c>
      <c r="W113" s="306" t="s">
        <v>1013</v>
      </c>
      <c r="X113" s="306" t="s">
        <v>1013</v>
      </c>
      <c r="Y113" s="306" t="s">
        <v>2863</v>
      </c>
      <c r="Z113" s="306" t="s">
        <v>2456</v>
      </c>
      <c r="AA113" s="306" t="s">
        <v>1013</v>
      </c>
    </row>
    <row r="114" spans="1:27">
      <c r="A114" s="306" t="s">
        <v>494</v>
      </c>
      <c r="B114" s="306" t="s">
        <v>1003</v>
      </c>
      <c r="C114" s="306" t="s">
        <v>1004</v>
      </c>
      <c r="D114" s="306" t="s">
        <v>2480</v>
      </c>
      <c r="E114" s="306" t="s">
        <v>2864</v>
      </c>
      <c r="F114" s="306" t="s">
        <v>2482</v>
      </c>
      <c r="G114" s="308">
        <v>46002</v>
      </c>
      <c r="H114" s="308">
        <v>46003</v>
      </c>
      <c r="I114" s="309">
        <v>401.79</v>
      </c>
      <c r="J114" s="306" t="s">
        <v>1008</v>
      </c>
      <c r="K114" s="309">
        <v>401.79</v>
      </c>
      <c r="L114" s="306" t="s">
        <v>1008</v>
      </c>
      <c r="M114" s="306" t="s">
        <v>2865</v>
      </c>
      <c r="N114" s="306" t="s">
        <v>2865</v>
      </c>
      <c r="O114" s="306" t="s">
        <v>1013</v>
      </c>
      <c r="P114" s="306" t="s">
        <v>1013</v>
      </c>
      <c r="Q114" s="306" t="s">
        <v>1013</v>
      </c>
      <c r="R114" s="306" t="s">
        <v>1013</v>
      </c>
      <c r="S114" s="306" t="s">
        <v>1013</v>
      </c>
      <c r="T114" s="306" t="s">
        <v>1013</v>
      </c>
      <c r="U114" s="306" t="s">
        <v>2866</v>
      </c>
      <c r="V114" s="306" t="s">
        <v>1013</v>
      </c>
      <c r="W114" s="306" t="s">
        <v>1013</v>
      </c>
      <c r="X114" s="306" t="s">
        <v>1013</v>
      </c>
      <c r="Y114" s="306" t="s">
        <v>2866</v>
      </c>
      <c r="Z114" s="306" t="s">
        <v>2456</v>
      </c>
      <c r="AA114" s="306" t="s">
        <v>1013</v>
      </c>
    </row>
    <row r="115" spans="1:27">
      <c r="A115" s="306" t="s">
        <v>494</v>
      </c>
      <c r="B115" s="306" t="s">
        <v>1003</v>
      </c>
      <c r="C115" s="306" t="s">
        <v>1004</v>
      </c>
      <c r="D115" s="306" t="s">
        <v>2480</v>
      </c>
      <c r="E115" s="306" t="s">
        <v>2867</v>
      </c>
      <c r="F115" s="306" t="s">
        <v>2482</v>
      </c>
      <c r="G115" s="308">
        <v>46002</v>
      </c>
      <c r="H115" s="308">
        <v>46003</v>
      </c>
      <c r="I115" s="309">
        <v>580.63</v>
      </c>
      <c r="J115" s="306" t="s">
        <v>1008</v>
      </c>
      <c r="K115" s="309">
        <v>580.63</v>
      </c>
      <c r="L115" s="306" t="s">
        <v>1008</v>
      </c>
      <c r="M115" s="306" t="s">
        <v>2868</v>
      </c>
      <c r="N115" s="306" t="s">
        <v>2868</v>
      </c>
      <c r="O115" s="306" t="s">
        <v>1013</v>
      </c>
      <c r="P115" s="306" t="s">
        <v>1013</v>
      </c>
      <c r="Q115" s="306" t="s">
        <v>1013</v>
      </c>
      <c r="R115" s="306" t="s">
        <v>1013</v>
      </c>
      <c r="S115" s="306" t="s">
        <v>1013</v>
      </c>
      <c r="T115" s="306" t="s">
        <v>1013</v>
      </c>
      <c r="U115" s="306" t="s">
        <v>2869</v>
      </c>
      <c r="V115" s="306" t="s">
        <v>1013</v>
      </c>
      <c r="W115" s="306" t="s">
        <v>1013</v>
      </c>
      <c r="X115" s="306" t="s">
        <v>1013</v>
      </c>
      <c r="Y115" s="306" t="s">
        <v>2869</v>
      </c>
      <c r="Z115" s="306" t="s">
        <v>2456</v>
      </c>
      <c r="AA115" s="306" t="s">
        <v>1013</v>
      </c>
    </row>
    <row r="116" spans="1:27">
      <c r="A116" s="306" t="s">
        <v>494</v>
      </c>
      <c r="B116" s="306" t="s">
        <v>1003</v>
      </c>
      <c r="C116" s="306" t="s">
        <v>1004</v>
      </c>
      <c r="D116" s="306" t="s">
        <v>2480</v>
      </c>
      <c r="E116" s="306" t="s">
        <v>2870</v>
      </c>
      <c r="F116" s="306" t="s">
        <v>2482</v>
      </c>
      <c r="G116" s="308">
        <v>46002</v>
      </c>
      <c r="H116" s="308">
        <v>46003</v>
      </c>
      <c r="I116" s="309">
        <v>377.12</v>
      </c>
      <c r="J116" s="306" t="s">
        <v>1008</v>
      </c>
      <c r="K116" s="309">
        <v>377.12</v>
      </c>
      <c r="L116" s="306" t="s">
        <v>1008</v>
      </c>
      <c r="M116" s="306" t="s">
        <v>2871</v>
      </c>
      <c r="N116" s="306" t="s">
        <v>2871</v>
      </c>
      <c r="O116" s="306" t="s">
        <v>1013</v>
      </c>
      <c r="P116" s="306" t="s">
        <v>1013</v>
      </c>
      <c r="Q116" s="306" t="s">
        <v>1013</v>
      </c>
      <c r="R116" s="306" t="s">
        <v>1013</v>
      </c>
      <c r="S116" s="306" t="s">
        <v>1013</v>
      </c>
      <c r="T116" s="306" t="s">
        <v>1013</v>
      </c>
      <c r="U116" s="306" t="s">
        <v>2872</v>
      </c>
      <c r="V116" s="306" t="s">
        <v>1013</v>
      </c>
      <c r="W116" s="306" t="s">
        <v>1013</v>
      </c>
      <c r="X116" s="306" t="s">
        <v>1013</v>
      </c>
      <c r="Y116" s="306" t="s">
        <v>2872</v>
      </c>
      <c r="Z116" s="306" t="s">
        <v>2456</v>
      </c>
      <c r="AA116" s="306" t="s">
        <v>1013</v>
      </c>
    </row>
    <row r="117" spans="1:27">
      <c r="A117" s="306" t="s">
        <v>494</v>
      </c>
      <c r="B117" s="306" t="s">
        <v>1003</v>
      </c>
      <c r="C117" s="306" t="s">
        <v>1004</v>
      </c>
      <c r="D117" s="306" t="s">
        <v>2480</v>
      </c>
      <c r="E117" s="306" t="s">
        <v>2873</v>
      </c>
      <c r="F117" s="306" t="s">
        <v>2482</v>
      </c>
      <c r="G117" s="308">
        <v>46003</v>
      </c>
      <c r="H117" s="308">
        <v>46003</v>
      </c>
      <c r="I117" s="309">
        <v>203625.05</v>
      </c>
      <c r="J117" s="306" t="s">
        <v>1008</v>
      </c>
      <c r="K117" s="309">
        <v>203625.05</v>
      </c>
      <c r="L117" s="306" t="s">
        <v>1008</v>
      </c>
      <c r="M117" s="306" t="s">
        <v>2874</v>
      </c>
      <c r="N117" s="306" t="s">
        <v>2874</v>
      </c>
      <c r="O117" s="306" t="s">
        <v>1013</v>
      </c>
      <c r="P117" s="306" t="s">
        <v>1013</v>
      </c>
      <c r="Q117" s="306" t="s">
        <v>1013</v>
      </c>
      <c r="R117" s="306" t="s">
        <v>1013</v>
      </c>
      <c r="S117" s="306" t="s">
        <v>1013</v>
      </c>
      <c r="T117" s="306" t="s">
        <v>1013</v>
      </c>
      <c r="U117" s="306" t="s">
        <v>2875</v>
      </c>
      <c r="V117" s="306" t="s">
        <v>1013</v>
      </c>
      <c r="W117" s="306" t="s">
        <v>1013</v>
      </c>
      <c r="X117" s="306" t="s">
        <v>1013</v>
      </c>
      <c r="Y117" s="306" t="s">
        <v>2875</v>
      </c>
      <c r="Z117" s="306" t="s">
        <v>2456</v>
      </c>
      <c r="AA117" s="306" t="s">
        <v>1013</v>
      </c>
    </row>
    <row r="118" spans="1:27">
      <c r="A118" s="306" t="s">
        <v>494</v>
      </c>
      <c r="B118" s="306" t="s">
        <v>1003</v>
      </c>
      <c r="C118" s="306" t="s">
        <v>1004</v>
      </c>
      <c r="D118" s="306" t="s">
        <v>2480</v>
      </c>
      <c r="E118" s="306" t="s">
        <v>2876</v>
      </c>
      <c r="F118" s="306" t="s">
        <v>2482</v>
      </c>
      <c r="G118" s="308">
        <v>46002</v>
      </c>
      <c r="H118" s="308">
        <v>46003</v>
      </c>
      <c r="I118" s="309">
        <v>580.63</v>
      </c>
      <c r="J118" s="306" t="s">
        <v>1008</v>
      </c>
      <c r="K118" s="309">
        <v>580.63</v>
      </c>
      <c r="L118" s="306" t="s">
        <v>1008</v>
      </c>
      <c r="M118" s="306" t="s">
        <v>2877</v>
      </c>
      <c r="N118" s="306" t="s">
        <v>2877</v>
      </c>
      <c r="O118" s="306" t="s">
        <v>1013</v>
      </c>
      <c r="P118" s="306" t="s">
        <v>1013</v>
      </c>
      <c r="Q118" s="306" t="s">
        <v>1013</v>
      </c>
      <c r="R118" s="306" t="s">
        <v>1013</v>
      </c>
      <c r="S118" s="306" t="s">
        <v>1013</v>
      </c>
      <c r="T118" s="306" t="s">
        <v>1013</v>
      </c>
      <c r="U118" s="306" t="s">
        <v>2878</v>
      </c>
      <c r="V118" s="306" t="s">
        <v>1013</v>
      </c>
      <c r="W118" s="306" t="s">
        <v>1013</v>
      </c>
      <c r="X118" s="306" t="s">
        <v>1013</v>
      </c>
      <c r="Y118" s="306" t="s">
        <v>2878</v>
      </c>
      <c r="Z118" s="306" t="s">
        <v>2456</v>
      </c>
      <c r="AA118" s="306" t="s">
        <v>1013</v>
      </c>
    </row>
    <row r="119" spans="1:27">
      <c r="A119" s="306" t="s">
        <v>494</v>
      </c>
      <c r="B119" s="306" t="s">
        <v>1003</v>
      </c>
      <c r="C119" s="306" t="s">
        <v>1004</v>
      </c>
      <c r="D119" s="306" t="s">
        <v>2480</v>
      </c>
      <c r="E119" s="306" t="s">
        <v>2879</v>
      </c>
      <c r="F119" s="306" t="s">
        <v>2482</v>
      </c>
      <c r="G119" s="308">
        <v>46002</v>
      </c>
      <c r="H119" s="308">
        <v>46003</v>
      </c>
      <c r="I119" s="309">
        <v>284.7</v>
      </c>
      <c r="J119" s="306" t="s">
        <v>1008</v>
      </c>
      <c r="K119" s="309">
        <v>284.7</v>
      </c>
      <c r="L119" s="306" t="s">
        <v>1008</v>
      </c>
      <c r="M119" s="306" t="s">
        <v>2880</v>
      </c>
      <c r="N119" s="306" t="s">
        <v>2880</v>
      </c>
      <c r="O119" s="306" t="s">
        <v>1013</v>
      </c>
      <c r="P119" s="306" t="s">
        <v>1013</v>
      </c>
      <c r="Q119" s="306" t="s">
        <v>1013</v>
      </c>
      <c r="R119" s="306" t="s">
        <v>1013</v>
      </c>
      <c r="S119" s="306" t="s">
        <v>1013</v>
      </c>
      <c r="T119" s="306" t="s">
        <v>1013</v>
      </c>
      <c r="U119" s="306" t="s">
        <v>2881</v>
      </c>
      <c r="V119" s="306" t="s">
        <v>1013</v>
      </c>
      <c r="W119" s="306" t="s">
        <v>1013</v>
      </c>
      <c r="X119" s="306" t="s">
        <v>1013</v>
      </c>
      <c r="Y119" s="306" t="s">
        <v>2881</v>
      </c>
      <c r="Z119" s="306" t="s">
        <v>2456</v>
      </c>
      <c r="AA119" s="306" t="s">
        <v>1013</v>
      </c>
    </row>
    <row r="120" spans="1:27">
      <c r="A120" s="306" t="s">
        <v>494</v>
      </c>
      <c r="B120" s="306" t="s">
        <v>1003</v>
      </c>
      <c r="C120" s="306" t="s">
        <v>1004</v>
      </c>
      <c r="D120" s="306" t="s">
        <v>2480</v>
      </c>
      <c r="E120" s="306" t="s">
        <v>2882</v>
      </c>
      <c r="F120" s="306" t="s">
        <v>2482</v>
      </c>
      <c r="G120" s="308">
        <v>46003</v>
      </c>
      <c r="H120" s="308">
        <v>46003</v>
      </c>
      <c r="I120" s="309">
        <v>157706.42000000001</v>
      </c>
      <c r="J120" s="306" t="s">
        <v>1008</v>
      </c>
      <c r="K120" s="309">
        <v>157706.42000000001</v>
      </c>
      <c r="L120" s="306" t="s">
        <v>1008</v>
      </c>
      <c r="M120" s="306" t="s">
        <v>2883</v>
      </c>
      <c r="N120" s="306" t="s">
        <v>2883</v>
      </c>
      <c r="O120" s="306" t="s">
        <v>1013</v>
      </c>
      <c r="P120" s="306" t="s">
        <v>1013</v>
      </c>
      <c r="Q120" s="306" t="s">
        <v>1013</v>
      </c>
      <c r="R120" s="306" t="s">
        <v>1013</v>
      </c>
      <c r="S120" s="306" t="s">
        <v>1013</v>
      </c>
      <c r="T120" s="306" t="s">
        <v>1013</v>
      </c>
      <c r="U120" s="306" t="s">
        <v>2884</v>
      </c>
      <c r="V120" s="306" t="s">
        <v>1013</v>
      </c>
      <c r="W120" s="306" t="s">
        <v>1013</v>
      </c>
      <c r="X120" s="306" t="s">
        <v>1013</v>
      </c>
      <c r="Y120" s="306" t="s">
        <v>2884</v>
      </c>
      <c r="Z120" s="306" t="s">
        <v>2456</v>
      </c>
      <c r="AA120" s="306" t="s">
        <v>1013</v>
      </c>
    </row>
    <row r="121" spans="1:27">
      <c r="A121" s="306" t="s">
        <v>494</v>
      </c>
      <c r="B121" s="306" t="s">
        <v>1003</v>
      </c>
      <c r="C121" s="306" t="s">
        <v>1004</v>
      </c>
      <c r="D121" s="306" t="s">
        <v>2480</v>
      </c>
      <c r="E121" s="306" t="s">
        <v>2885</v>
      </c>
      <c r="F121" s="306" t="s">
        <v>2486</v>
      </c>
      <c r="G121" s="308">
        <v>46003</v>
      </c>
      <c r="H121" s="308">
        <v>46003</v>
      </c>
      <c r="I121" s="309">
        <v>333.94</v>
      </c>
      <c r="J121" s="306" t="s">
        <v>1008</v>
      </c>
      <c r="K121" s="309">
        <v>333.94</v>
      </c>
      <c r="L121" s="306" t="s">
        <v>1008</v>
      </c>
      <c r="M121" s="306" t="s">
        <v>2886</v>
      </c>
      <c r="N121" s="306" t="s">
        <v>2887</v>
      </c>
      <c r="O121" s="306" t="s">
        <v>1013</v>
      </c>
      <c r="P121" s="306" t="s">
        <v>1013</v>
      </c>
      <c r="Q121" s="306" t="s">
        <v>1013</v>
      </c>
      <c r="R121" s="306" t="s">
        <v>1013</v>
      </c>
      <c r="S121" s="306" t="s">
        <v>1013</v>
      </c>
      <c r="T121" s="306" t="s">
        <v>1013</v>
      </c>
      <c r="U121" s="306" t="s">
        <v>2888</v>
      </c>
      <c r="V121" s="306" t="s">
        <v>1013</v>
      </c>
      <c r="W121" s="306" t="s">
        <v>1013</v>
      </c>
      <c r="X121" s="306" t="s">
        <v>1013</v>
      </c>
      <c r="Y121" s="306" t="s">
        <v>1697</v>
      </c>
      <c r="Z121" s="306" t="s">
        <v>2456</v>
      </c>
      <c r="AA121" s="306" t="s">
        <v>1013</v>
      </c>
    </row>
    <row r="122" spans="1:27">
      <c r="A122" s="306" t="s">
        <v>494</v>
      </c>
      <c r="B122" s="306" t="s">
        <v>1003</v>
      </c>
      <c r="C122" s="306" t="s">
        <v>1004</v>
      </c>
      <c r="D122" s="306" t="s">
        <v>2480</v>
      </c>
      <c r="E122" s="306" t="s">
        <v>2889</v>
      </c>
      <c r="F122" s="306" t="s">
        <v>2486</v>
      </c>
      <c r="G122" s="308">
        <v>46003</v>
      </c>
      <c r="H122" s="308">
        <v>46003</v>
      </c>
      <c r="I122" s="309">
        <v>3162.39</v>
      </c>
      <c r="J122" s="306" t="s">
        <v>1008</v>
      </c>
      <c r="K122" s="309">
        <v>3162.39</v>
      </c>
      <c r="L122" s="306" t="s">
        <v>1008</v>
      </c>
      <c r="M122" s="306" t="s">
        <v>2890</v>
      </c>
      <c r="N122" s="306" t="s">
        <v>2891</v>
      </c>
      <c r="O122" s="306" t="s">
        <v>1013</v>
      </c>
      <c r="P122" s="306" t="s">
        <v>1013</v>
      </c>
      <c r="Q122" s="306" t="s">
        <v>1013</v>
      </c>
      <c r="R122" s="306" t="s">
        <v>1013</v>
      </c>
      <c r="S122" s="306" t="s">
        <v>1013</v>
      </c>
      <c r="T122" s="306" t="s">
        <v>1013</v>
      </c>
      <c r="U122" s="306" t="s">
        <v>2892</v>
      </c>
      <c r="V122" s="306" t="s">
        <v>1013</v>
      </c>
      <c r="W122" s="306" t="s">
        <v>1013</v>
      </c>
      <c r="X122" s="306" t="s">
        <v>1013</v>
      </c>
      <c r="Y122" s="306" t="s">
        <v>1697</v>
      </c>
      <c r="Z122" s="306" t="s">
        <v>2456</v>
      </c>
      <c r="AA122" s="306" t="s">
        <v>1013</v>
      </c>
    </row>
    <row r="123" spans="1:27">
      <c r="A123" s="306" t="s">
        <v>494</v>
      </c>
      <c r="B123" s="306" t="s">
        <v>1003</v>
      </c>
      <c r="C123" s="306" t="s">
        <v>1004</v>
      </c>
      <c r="D123" s="306" t="s">
        <v>2480</v>
      </c>
      <c r="E123" s="306" t="s">
        <v>2893</v>
      </c>
      <c r="F123" s="306" t="s">
        <v>2486</v>
      </c>
      <c r="G123" s="308">
        <v>46003</v>
      </c>
      <c r="H123" s="308">
        <v>46003</v>
      </c>
      <c r="I123" s="309">
        <v>317791.61</v>
      </c>
      <c r="J123" s="306" t="s">
        <v>1008</v>
      </c>
      <c r="K123" s="309">
        <v>317791.61</v>
      </c>
      <c r="L123" s="306" t="s">
        <v>1008</v>
      </c>
      <c r="M123" s="306" t="s">
        <v>2894</v>
      </c>
      <c r="N123" s="306" t="s">
        <v>2895</v>
      </c>
      <c r="O123" s="306" t="s">
        <v>1013</v>
      </c>
      <c r="P123" s="306" t="s">
        <v>1013</v>
      </c>
      <c r="Q123" s="306" t="s">
        <v>1013</v>
      </c>
      <c r="R123" s="306" t="s">
        <v>1013</v>
      </c>
      <c r="S123" s="306" t="s">
        <v>1013</v>
      </c>
      <c r="T123" s="306" t="s">
        <v>1013</v>
      </c>
      <c r="U123" s="306" t="s">
        <v>2896</v>
      </c>
      <c r="V123" s="306" t="s">
        <v>1013</v>
      </c>
      <c r="W123" s="306" t="s">
        <v>1013</v>
      </c>
      <c r="X123" s="306" t="s">
        <v>1013</v>
      </c>
      <c r="Y123" s="306" t="s">
        <v>2509</v>
      </c>
      <c r="Z123" s="306" t="s">
        <v>2456</v>
      </c>
      <c r="AA123" s="306" t="s">
        <v>1013</v>
      </c>
    </row>
    <row r="124" spans="1:27">
      <c r="A124" s="306" t="s">
        <v>494</v>
      </c>
      <c r="B124" s="306" t="s">
        <v>1003</v>
      </c>
      <c r="C124" s="306" t="s">
        <v>1004</v>
      </c>
      <c r="D124" s="306" t="s">
        <v>2480</v>
      </c>
      <c r="E124" s="306" t="s">
        <v>2893</v>
      </c>
      <c r="F124" s="306" t="s">
        <v>2486</v>
      </c>
      <c r="G124" s="308">
        <v>46003</v>
      </c>
      <c r="H124" s="308">
        <v>46003</v>
      </c>
      <c r="I124" s="309">
        <v>296156.34000000003</v>
      </c>
      <c r="J124" s="306" t="s">
        <v>1008</v>
      </c>
      <c r="K124" s="309">
        <v>296156.34000000003</v>
      </c>
      <c r="L124" s="306" t="s">
        <v>1008</v>
      </c>
      <c r="M124" s="306" t="s">
        <v>2897</v>
      </c>
      <c r="N124" s="306" t="s">
        <v>2895</v>
      </c>
      <c r="O124" s="306" t="s">
        <v>1013</v>
      </c>
      <c r="P124" s="306" t="s">
        <v>1013</v>
      </c>
      <c r="Q124" s="306" t="s">
        <v>1013</v>
      </c>
      <c r="R124" s="306" t="s">
        <v>1013</v>
      </c>
      <c r="S124" s="306" t="s">
        <v>1013</v>
      </c>
      <c r="T124" s="306" t="s">
        <v>1013</v>
      </c>
      <c r="U124" s="306" t="s">
        <v>2896</v>
      </c>
      <c r="V124" s="306" t="s">
        <v>1013</v>
      </c>
      <c r="W124" s="306" t="s">
        <v>1013</v>
      </c>
      <c r="X124" s="306" t="s">
        <v>1013</v>
      </c>
      <c r="Y124" s="306" t="s">
        <v>2509</v>
      </c>
      <c r="Z124" s="306" t="s">
        <v>2456</v>
      </c>
      <c r="AA124" s="306" t="s">
        <v>1013</v>
      </c>
    </row>
    <row r="125" spans="1:27">
      <c r="A125" s="306" t="s">
        <v>494</v>
      </c>
      <c r="B125" s="306" t="s">
        <v>1003</v>
      </c>
      <c r="C125" s="306" t="s">
        <v>1004</v>
      </c>
      <c r="D125" s="306" t="s">
        <v>2480</v>
      </c>
      <c r="E125" s="306" t="s">
        <v>2898</v>
      </c>
      <c r="F125" s="306" t="s">
        <v>2482</v>
      </c>
      <c r="G125" s="308">
        <v>46003</v>
      </c>
      <c r="H125" s="308">
        <v>46003</v>
      </c>
      <c r="I125" s="309">
        <v>194862.39</v>
      </c>
      <c r="J125" s="306" t="s">
        <v>1008</v>
      </c>
      <c r="K125" s="309">
        <v>194862.39</v>
      </c>
      <c r="L125" s="306" t="s">
        <v>1008</v>
      </c>
      <c r="M125" s="306" t="s">
        <v>2899</v>
      </c>
      <c r="N125" s="306" t="s">
        <v>2899</v>
      </c>
      <c r="O125" s="306" t="s">
        <v>1013</v>
      </c>
      <c r="P125" s="306" t="s">
        <v>1013</v>
      </c>
      <c r="Q125" s="306" t="s">
        <v>1013</v>
      </c>
      <c r="R125" s="306" t="s">
        <v>1013</v>
      </c>
      <c r="S125" s="306" t="s">
        <v>1013</v>
      </c>
      <c r="T125" s="306" t="s">
        <v>1013</v>
      </c>
      <c r="U125" s="306" t="s">
        <v>2900</v>
      </c>
      <c r="V125" s="306" t="s">
        <v>1013</v>
      </c>
      <c r="W125" s="306" t="s">
        <v>1013</v>
      </c>
      <c r="X125" s="306" t="s">
        <v>1013</v>
      </c>
      <c r="Y125" s="306" t="s">
        <v>2900</v>
      </c>
      <c r="Z125" s="306" t="s">
        <v>2456</v>
      </c>
      <c r="AA125" s="306" t="s">
        <v>1013</v>
      </c>
    </row>
    <row r="126" spans="1:27">
      <c r="A126" s="306" t="s">
        <v>494</v>
      </c>
      <c r="B126" s="306" t="s">
        <v>1003</v>
      </c>
      <c r="C126" s="306" t="s">
        <v>1004</v>
      </c>
      <c r="D126" s="306" t="s">
        <v>2480</v>
      </c>
      <c r="E126" s="306" t="s">
        <v>2901</v>
      </c>
      <c r="F126" s="306" t="s">
        <v>2486</v>
      </c>
      <c r="G126" s="308">
        <v>46003</v>
      </c>
      <c r="H126" s="308">
        <v>46003</v>
      </c>
      <c r="I126" s="309">
        <v>379.18</v>
      </c>
      <c r="J126" s="306" t="s">
        <v>1008</v>
      </c>
      <c r="K126" s="309">
        <v>379.18</v>
      </c>
      <c r="L126" s="306" t="s">
        <v>1008</v>
      </c>
      <c r="M126" s="306" t="s">
        <v>2902</v>
      </c>
      <c r="N126" s="306" t="s">
        <v>2903</v>
      </c>
      <c r="O126" s="306" t="s">
        <v>1013</v>
      </c>
      <c r="P126" s="306" t="s">
        <v>1013</v>
      </c>
      <c r="Q126" s="306" t="s">
        <v>1013</v>
      </c>
      <c r="R126" s="306" t="s">
        <v>1013</v>
      </c>
      <c r="S126" s="306" t="s">
        <v>1013</v>
      </c>
      <c r="T126" s="306" t="s">
        <v>1013</v>
      </c>
      <c r="U126" s="306" t="s">
        <v>2904</v>
      </c>
      <c r="V126" s="306" t="s">
        <v>1013</v>
      </c>
      <c r="W126" s="306" t="s">
        <v>1013</v>
      </c>
      <c r="X126" s="306" t="s">
        <v>1013</v>
      </c>
      <c r="Y126" s="306" t="s">
        <v>1812</v>
      </c>
      <c r="Z126" s="306" t="s">
        <v>2456</v>
      </c>
      <c r="AA126" s="306" t="s">
        <v>1013</v>
      </c>
    </row>
    <row r="127" spans="1:27">
      <c r="A127" s="306" t="s">
        <v>494</v>
      </c>
      <c r="B127" s="306" t="s">
        <v>1003</v>
      </c>
      <c r="C127" s="306" t="s">
        <v>1004</v>
      </c>
      <c r="D127" s="306" t="s">
        <v>2480</v>
      </c>
      <c r="E127" s="306" t="s">
        <v>2905</v>
      </c>
      <c r="F127" s="306" t="s">
        <v>2486</v>
      </c>
      <c r="G127" s="308">
        <v>46003</v>
      </c>
      <c r="H127" s="308">
        <v>46003</v>
      </c>
      <c r="I127" s="309">
        <v>3355.81</v>
      </c>
      <c r="J127" s="306" t="s">
        <v>1008</v>
      </c>
      <c r="K127" s="309">
        <v>3355.81</v>
      </c>
      <c r="L127" s="306" t="s">
        <v>1008</v>
      </c>
      <c r="M127" s="306" t="s">
        <v>2906</v>
      </c>
      <c r="N127" s="306" t="s">
        <v>2907</v>
      </c>
      <c r="O127" s="306" t="s">
        <v>1013</v>
      </c>
      <c r="P127" s="306" t="s">
        <v>1013</v>
      </c>
      <c r="Q127" s="306" t="s">
        <v>1013</v>
      </c>
      <c r="R127" s="306" t="s">
        <v>1013</v>
      </c>
      <c r="S127" s="306" t="s">
        <v>1013</v>
      </c>
      <c r="T127" s="306" t="s">
        <v>1013</v>
      </c>
      <c r="U127" s="306" t="s">
        <v>2908</v>
      </c>
      <c r="V127" s="306" t="s">
        <v>1013</v>
      </c>
      <c r="W127" s="306" t="s">
        <v>1013</v>
      </c>
      <c r="X127" s="306" t="s">
        <v>1013</v>
      </c>
      <c r="Y127" s="306" t="s">
        <v>1812</v>
      </c>
      <c r="Z127" s="306" t="s">
        <v>2456</v>
      </c>
      <c r="AA127" s="306" t="s">
        <v>1013</v>
      </c>
    </row>
    <row r="128" spans="1:27">
      <c r="A128" s="306" t="s">
        <v>494</v>
      </c>
      <c r="B128" s="306" t="s">
        <v>1003</v>
      </c>
      <c r="C128" s="306" t="s">
        <v>1004</v>
      </c>
      <c r="D128" s="306" t="s">
        <v>2480</v>
      </c>
      <c r="E128" s="306" t="s">
        <v>2909</v>
      </c>
      <c r="F128" s="306" t="s">
        <v>2486</v>
      </c>
      <c r="G128" s="308">
        <v>46003</v>
      </c>
      <c r="H128" s="308">
        <v>46003</v>
      </c>
      <c r="I128" s="309">
        <v>4063.11</v>
      </c>
      <c r="J128" s="306" t="s">
        <v>1008</v>
      </c>
      <c r="K128" s="309">
        <v>4063.11</v>
      </c>
      <c r="L128" s="306" t="s">
        <v>1008</v>
      </c>
      <c r="M128" s="306" t="s">
        <v>2910</v>
      </c>
      <c r="N128" s="306" t="s">
        <v>2911</v>
      </c>
      <c r="O128" s="306" t="s">
        <v>1013</v>
      </c>
      <c r="P128" s="306" t="s">
        <v>1013</v>
      </c>
      <c r="Q128" s="306" t="s">
        <v>1013</v>
      </c>
      <c r="R128" s="306" t="s">
        <v>1013</v>
      </c>
      <c r="S128" s="306" t="s">
        <v>1013</v>
      </c>
      <c r="T128" s="306" t="s">
        <v>1013</v>
      </c>
      <c r="U128" s="306" t="s">
        <v>2912</v>
      </c>
      <c r="V128" s="306" t="s">
        <v>1013</v>
      </c>
      <c r="W128" s="306" t="s">
        <v>1013</v>
      </c>
      <c r="X128" s="306" t="s">
        <v>1013</v>
      </c>
      <c r="Y128" s="306" t="s">
        <v>1406</v>
      </c>
      <c r="Z128" s="306" t="s">
        <v>2456</v>
      </c>
      <c r="AA128" s="306" t="s">
        <v>1013</v>
      </c>
    </row>
    <row r="129" spans="1:27">
      <c r="A129" s="306" t="s">
        <v>494</v>
      </c>
      <c r="B129" s="306" t="s">
        <v>1003</v>
      </c>
      <c r="C129" s="306" t="s">
        <v>1004</v>
      </c>
      <c r="D129" s="306" t="s">
        <v>2480</v>
      </c>
      <c r="E129" s="306" t="s">
        <v>2913</v>
      </c>
      <c r="F129" s="306" t="s">
        <v>2486</v>
      </c>
      <c r="G129" s="308">
        <v>46003</v>
      </c>
      <c r="H129" s="308">
        <v>46003</v>
      </c>
      <c r="I129" s="309">
        <v>512.46</v>
      </c>
      <c r="J129" s="306" t="s">
        <v>1008</v>
      </c>
      <c r="K129" s="309">
        <v>512.46</v>
      </c>
      <c r="L129" s="306" t="s">
        <v>1008</v>
      </c>
      <c r="M129" s="306" t="s">
        <v>2914</v>
      </c>
      <c r="N129" s="306" t="s">
        <v>2915</v>
      </c>
      <c r="O129" s="306" t="s">
        <v>1013</v>
      </c>
      <c r="P129" s="306" t="s">
        <v>2916</v>
      </c>
      <c r="Q129" s="306" t="s">
        <v>1013</v>
      </c>
      <c r="R129" s="306" t="s">
        <v>1013</v>
      </c>
      <c r="S129" s="306" t="s">
        <v>1013</v>
      </c>
      <c r="T129" s="306" t="s">
        <v>1013</v>
      </c>
      <c r="U129" s="306" t="s">
        <v>2917</v>
      </c>
      <c r="V129" s="306" t="s">
        <v>1013</v>
      </c>
      <c r="W129" s="306" t="s">
        <v>1013</v>
      </c>
      <c r="X129" s="306" t="s">
        <v>1013</v>
      </c>
      <c r="Y129" s="306" t="s">
        <v>2917</v>
      </c>
      <c r="Z129" s="306" t="s">
        <v>2456</v>
      </c>
      <c r="AA129" s="306" t="s">
        <v>1013</v>
      </c>
    </row>
    <row r="130" spans="1:27">
      <c r="A130" s="306" t="s">
        <v>494</v>
      </c>
      <c r="B130" s="306" t="s">
        <v>1003</v>
      </c>
      <c r="C130" s="306" t="s">
        <v>1004</v>
      </c>
      <c r="D130" s="306" t="s">
        <v>2480</v>
      </c>
      <c r="E130" s="306" t="s">
        <v>2918</v>
      </c>
      <c r="F130" s="306" t="s">
        <v>2482</v>
      </c>
      <c r="G130" s="308">
        <v>46003</v>
      </c>
      <c r="H130" s="308">
        <v>46003</v>
      </c>
      <c r="I130" s="309">
        <v>203452.57</v>
      </c>
      <c r="J130" s="306" t="s">
        <v>1008</v>
      </c>
      <c r="K130" s="309">
        <v>203452.57</v>
      </c>
      <c r="L130" s="306" t="s">
        <v>1008</v>
      </c>
      <c r="M130" s="306" t="s">
        <v>2919</v>
      </c>
      <c r="N130" s="306" t="s">
        <v>2919</v>
      </c>
      <c r="O130" s="306" t="s">
        <v>1013</v>
      </c>
      <c r="P130" s="306" t="s">
        <v>1013</v>
      </c>
      <c r="Q130" s="306" t="s">
        <v>1013</v>
      </c>
      <c r="R130" s="306" t="s">
        <v>1013</v>
      </c>
      <c r="S130" s="306" t="s">
        <v>1013</v>
      </c>
      <c r="T130" s="306" t="s">
        <v>1013</v>
      </c>
      <c r="U130" s="306" t="s">
        <v>2920</v>
      </c>
      <c r="V130" s="306" t="s">
        <v>1013</v>
      </c>
      <c r="W130" s="306" t="s">
        <v>1013</v>
      </c>
      <c r="X130" s="306" t="s">
        <v>1013</v>
      </c>
      <c r="Y130" s="306" t="s">
        <v>2920</v>
      </c>
      <c r="Z130" s="306" t="s">
        <v>2456</v>
      </c>
      <c r="AA130" s="306" t="s">
        <v>1013</v>
      </c>
    </row>
    <row r="131" spans="1:27">
      <c r="A131" s="306" t="s">
        <v>494</v>
      </c>
      <c r="B131" s="306" t="s">
        <v>1003</v>
      </c>
      <c r="C131" s="306" t="s">
        <v>1004</v>
      </c>
      <c r="D131" s="306" t="s">
        <v>2480</v>
      </c>
      <c r="E131" s="306" t="s">
        <v>2921</v>
      </c>
      <c r="F131" s="306" t="s">
        <v>2486</v>
      </c>
      <c r="G131" s="308">
        <v>46003</v>
      </c>
      <c r="H131" s="308">
        <v>46003</v>
      </c>
      <c r="I131" s="309">
        <v>4.4000000000000004</v>
      </c>
      <c r="J131" s="306" t="s">
        <v>1008</v>
      </c>
      <c r="K131" s="309">
        <v>4.4000000000000004</v>
      </c>
      <c r="L131" s="306" t="s">
        <v>1008</v>
      </c>
      <c r="M131" s="306" t="s">
        <v>2922</v>
      </c>
      <c r="N131" s="306" t="s">
        <v>2923</v>
      </c>
      <c r="O131" s="306" t="s">
        <v>1013</v>
      </c>
      <c r="P131" s="306" t="s">
        <v>1013</v>
      </c>
      <c r="Q131" s="306" t="s">
        <v>1013</v>
      </c>
      <c r="R131" s="306" t="s">
        <v>1013</v>
      </c>
      <c r="S131" s="306" t="s">
        <v>1013</v>
      </c>
      <c r="T131" s="306" t="s">
        <v>1013</v>
      </c>
      <c r="U131" s="306" t="s">
        <v>2924</v>
      </c>
      <c r="V131" s="306" t="s">
        <v>1013</v>
      </c>
      <c r="W131" s="306" t="s">
        <v>1013</v>
      </c>
      <c r="X131" s="306" t="s">
        <v>1013</v>
      </c>
      <c r="Y131" s="306" t="s">
        <v>1112</v>
      </c>
      <c r="Z131" s="306" t="s">
        <v>2456</v>
      </c>
      <c r="AA131" s="306" t="s">
        <v>1013</v>
      </c>
    </row>
    <row r="132" spans="1:27">
      <c r="A132" s="306" t="s">
        <v>494</v>
      </c>
      <c r="B132" s="306" t="s">
        <v>1003</v>
      </c>
      <c r="C132" s="306" t="s">
        <v>1004</v>
      </c>
      <c r="D132" s="306" t="s">
        <v>2480</v>
      </c>
      <c r="E132" s="306" t="s">
        <v>2925</v>
      </c>
      <c r="F132" s="306" t="s">
        <v>2482</v>
      </c>
      <c r="G132" s="308">
        <v>46003</v>
      </c>
      <c r="H132" s="308">
        <v>46006</v>
      </c>
      <c r="I132" s="309">
        <v>9789.36</v>
      </c>
      <c r="J132" s="306" t="s">
        <v>1008</v>
      </c>
      <c r="K132" s="309">
        <v>9789.36</v>
      </c>
      <c r="L132" s="306" t="s">
        <v>1008</v>
      </c>
      <c r="M132" s="306" t="s">
        <v>2926</v>
      </c>
      <c r="N132" s="306" t="s">
        <v>2926</v>
      </c>
      <c r="O132" s="306" t="s">
        <v>1013</v>
      </c>
      <c r="P132" s="306" t="s">
        <v>1013</v>
      </c>
      <c r="Q132" s="306" t="s">
        <v>1013</v>
      </c>
      <c r="R132" s="306" t="s">
        <v>1013</v>
      </c>
      <c r="S132" s="306" t="s">
        <v>1013</v>
      </c>
      <c r="T132" s="306" t="s">
        <v>1013</v>
      </c>
      <c r="U132" s="306" t="s">
        <v>2927</v>
      </c>
      <c r="V132" s="306" t="s">
        <v>1013</v>
      </c>
      <c r="W132" s="306" t="s">
        <v>1013</v>
      </c>
      <c r="X132" s="306" t="s">
        <v>1013</v>
      </c>
      <c r="Y132" s="306" t="s">
        <v>2927</v>
      </c>
      <c r="Z132" s="306" t="s">
        <v>2456</v>
      </c>
      <c r="AA132" s="306" t="s">
        <v>1013</v>
      </c>
    </row>
    <row r="133" spans="1:27">
      <c r="A133" s="306" t="s">
        <v>494</v>
      </c>
      <c r="B133" s="306" t="s">
        <v>1003</v>
      </c>
      <c r="C133" s="306" t="s">
        <v>1004</v>
      </c>
      <c r="D133" s="306" t="s">
        <v>2480</v>
      </c>
      <c r="E133" s="306" t="s">
        <v>2928</v>
      </c>
      <c r="F133" s="306" t="s">
        <v>2482</v>
      </c>
      <c r="G133" s="308">
        <v>46003</v>
      </c>
      <c r="H133" s="308">
        <v>46006</v>
      </c>
      <c r="I133" s="309">
        <v>57225.54</v>
      </c>
      <c r="J133" s="306" t="s">
        <v>1008</v>
      </c>
      <c r="K133" s="309">
        <v>57225.54</v>
      </c>
      <c r="L133" s="306" t="s">
        <v>1008</v>
      </c>
      <c r="M133" s="306" t="s">
        <v>2929</v>
      </c>
      <c r="N133" s="306" t="s">
        <v>2929</v>
      </c>
      <c r="O133" s="306" t="s">
        <v>1013</v>
      </c>
      <c r="P133" s="306" t="s">
        <v>1013</v>
      </c>
      <c r="Q133" s="306" t="s">
        <v>1013</v>
      </c>
      <c r="R133" s="306" t="s">
        <v>1013</v>
      </c>
      <c r="S133" s="306" t="s">
        <v>1013</v>
      </c>
      <c r="T133" s="306" t="s">
        <v>1013</v>
      </c>
      <c r="U133" s="306" t="s">
        <v>2930</v>
      </c>
      <c r="V133" s="306" t="s">
        <v>1013</v>
      </c>
      <c r="W133" s="306" t="s">
        <v>1013</v>
      </c>
      <c r="X133" s="306" t="s">
        <v>1013</v>
      </c>
      <c r="Y133" s="306" t="s">
        <v>2930</v>
      </c>
      <c r="Z133" s="306" t="s">
        <v>2456</v>
      </c>
      <c r="AA133" s="306" t="s">
        <v>1013</v>
      </c>
    </row>
    <row r="134" spans="1:27">
      <c r="A134" s="306" t="s">
        <v>494</v>
      </c>
      <c r="B134" s="306" t="s">
        <v>1003</v>
      </c>
      <c r="C134" s="306" t="s">
        <v>1004</v>
      </c>
      <c r="D134" s="306" t="s">
        <v>2480</v>
      </c>
      <c r="E134" s="306" t="s">
        <v>2931</v>
      </c>
      <c r="F134" s="306" t="s">
        <v>2482</v>
      </c>
      <c r="G134" s="308">
        <v>46003</v>
      </c>
      <c r="H134" s="308">
        <v>46006</v>
      </c>
      <c r="I134" s="309">
        <v>61132.04</v>
      </c>
      <c r="J134" s="306" t="s">
        <v>1008</v>
      </c>
      <c r="K134" s="309">
        <v>61132.04</v>
      </c>
      <c r="L134" s="306" t="s">
        <v>1008</v>
      </c>
      <c r="M134" s="306" t="s">
        <v>2932</v>
      </c>
      <c r="N134" s="306" t="s">
        <v>2932</v>
      </c>
      <c r="O134" s="306" t="s">
        <v>1013</v>
      </c>
      <c r="P134" s="306" t="s">
        <v>1013</v>
      </c>
      <c r="Q134" s="306" t="s">
        <v>1013</v>
      </c>
      <c r="R134" s="306" t="s">
        <v>1013</v>
      </c>
      <c r="S134" s="306" t="s">
        <v>1013</v>
      </c>
      <c r="T134" s="306" t="s">
        <v>1013</v>
      </c>
      <c r="U134" s="306" t="s">
        <v>2933</v>
      </c>
      <c r="V134" s="306" t="s">
        <v>1013</v>
      </c>
      <c r="W134" s="306" t="s">
        <v>1013</v>
      </c>
      <c r="X134" s="306" t="s">
        <v>1013</v>
      </c>
      <c r="Y134" s="306" t="s">
        <v>2933</v>
      </c>
      <c r="Z134" s="306" t="s">
        <v>2456</v>
      </c>
      <c r="AA134" s="306" t="s">
        <v>1013</v>
      </c>
    </row>
    <row r="135" spans="1:27">
      <c r="A135" s="306" t="s">
        <v>494</v>
      </c>
      <c r="B135" s="306" t="s">
        <v>1003</v>
      </c>
      <c r="C135" s="306" t="s">
        <v>1004</v>
      </c>
      <c r="D135" s="306" t="s">
        <v>2480</v>
      </c>
      <c r="E135" s="306" t="s">
        <v>2934</v>
      </c>
      <c r="F135" s="306" t="s">
        <v>2482</v>
      </c>
      <c r="G135" s="308">
        <v>46004</v>
      </c>
      <c r="H135" s="308">
        <v>46006</v>
      </c>
      <c r="I135" s="309">
        <v>2138.5300000000002</v>
      </c>
      <c r="J135" s="306" t="s">
        <v>1008</v>
      </c>
      <c r="K135" s="309">
        <v>2138.5300000000002</v>
      </c>
      <c r="L135" s="306" t="s">
        <v>1008</v>
      </c>
      <c r="M135" s="306" t="s">
        <v>2935</v>
      </c>
      <c r="N135" s="306" t="s">
        <v>2935</v>
      </c>
      <c r="O135" s="306" t="s">
        <v>1013</v>
      </c>
      <c r="P135" s="306" t="s">
        <v>1013</v>
      </c>
      <c r="Q135" s="306" t="s">
        <v>1013</v>
      </c>
      <c r="R135" s="306" t="s">
        <v>1013</v>
      </c>
      <c r="S135" s="306" t="s">
        <v>1013</v>
      </c>
      <c r="T135" s="306" t="s">
        <v>1013</v>
      </c>
      <c r="U135" s="306" t="s">
        <v>2936</v>
      </c>
      <c r="V135" s="306" t="s">
        <v>1013</v>
      </c>
      <c r="W135" s="306" t="s">
        <v>1013</v>
      </c>
      <c r="X135" s="306" t="s">
        <v>1013</v>
      </c>
      <c r="Y135" s="306" t="s">
        <v>2936</v>
      </c>
      <c r="Z135" s="306" t="s">
        <v>2456</v>
      </c>
      <c r="AA135" s="306" t="s">
        <v>1013</v>
      </c>
    </row>
    <row r="136" spans="1:27">
      <c r="A136" s="306" t="s">
        <v>494</v>
      </c>
      <c r="B136" s="306" t="s">
        <v>1003</v>
      </c>
      <c r="C136" s="306" t="s">
        <v>1004</v>
      </c>
      <c r="D136" s="306" t="s">
        <v>2480</v>
      </c>
      <c r="E136" s="306" t="s">
        <v>2937</v>
      </c>
      <c r="F136" s="306" t="s">
        <v>2482</v>
      </c>
      <c r="G136" s="308">
        <v>46003</v>
      </c>
      <c r="H136" s="308">
        <v>46006</v>
      </c>
      <c r="I136" s="309">
        <v>694685.95</v>
      </c>
      <c r="J136" s="306" t="s">
        <v>1008</v>
      </c>
      <c r="K136" s="309">
        <v>694685.95</v>
      </c>
      <c r="L136" s="306" t="s">
        <v>1008</v>
      </c>
      <c r="M136" s="306" t="s">
        <v>2938</v>
      </c>
      <c r="N136" s="306" t="s">
        <v>2938</v>
      </c>
      <c r="O136" s="306" t="s">
        <v>1013</v>
      </c>
      <c r="P136" s="306" t="s">
        <v>1013</v>
      </c>
      <c r="Q136" s="306" t="s">
        <v>1013</v>
      </c>
      <c r="R136" s="306" t="s">
        <v>1013</v>
      </c>
      <c r="S136" s="306" t="s">
        <v>1013</v>
      </c>
      <c r="T136" s="306" t="s">
        <v>1013</v>
      </c>
      <c r="U136" s="306" t="s">
        <v>2939</v>
      </c>
      <c r="V136" s="306" t="s">
        <v>1013</v>
      </c>
      <c r="W136" s="306" t="s">
        <v>1013</v>
      </c>
      <c r="X136" s="306" t="s">
        <v>1013</v>
      </c>
      <c r="Y136" s="306" t="s">
        <v>2939</v>
      </c>
      <c r="Z136" s="306" t="s">
        <v>2456</v>
      </c>
      <c r="AA136" s="306" t="s">
        <v>1013</v>
      </c>
    </row>
    <row r="137" spans="1:27">
      <c r="A137" s="306" t="s">
        <v>494</v>
      </c>
      <c r="B137" s="306" t="s">
        <v>1003</v>
      </c>
      <c r="C137" s="306" t="s">
        <v>1004</v>
      </c>
      <c r="D137" s="306" t="s">
        <v>2480</v>
      </c>
      <c r="E137" s="306" t="s">
        <v>2940</v>
      </c>
      <c r="F137" s="306" t="s">
        <v>2482</v>
      </c>
      <c r="G137" s="308">
        <v>46003</v>
      </c>
      <c r="H137" s="308">
        <v>46006</v>
      </c>
      <c r="I137" s="309">
        <v>169790.35</v>
      </c>
      <c r="J137" s="306" t="s">
        <v>1008</v>
      </c>
      <c r="K137" s="309">
        <v>169790.35</v>
      </c>
      <c r="L137" s="306" t="s">
        <v>1008</v>
      </c>
      <c r="M137" s="306" t="s">
        <v>2941</v>
      </c>
      <c r="N137" s="306" t="s">
        <v>2941</v>
      </c>
      <c r="O137" s="306" t="s">
        <v>1013</v>
      </c>
      <c r="P137" s="306" t="s">
        <v>1013</v>
      </c>
      <c r="Q137" s="306" t="s">
        <v>1013</v>
      </c>
      <c r="R137" s="306" t="s">
        <v>1013</v>
      </c>
      <c r="S137" s="306" t="s">
        <v>1013</v>
      </c>
      <c r="T137" s="306" t="s">
        <v>1013</v>
      </c>
      <c r="U137" s="306" t="s">
        <v>2942</v>
      </c>
      <c r="V137" s="306" t="s">
        <v>1013</v>
      </c>
      <c r="W137" s="306" t="s">
        <v>1013</v>
      </c>
      <c r="X137" s="306" t="s">
        <v>1013</v>
      </c>
      <c r="Y137" s="306" t="s">
        <v>2942</v>
      </c>
      <c r="Z137" s="306" t="s">
        <v>2456</v>
      </c>
      <c r="AA137" s="306" t="s">
        <v>1013</v>
      </c>
    </row>
    <row r="138" spans="1:27">
      <c r="A138" s="306" t="s">
        <v>494</v>
      </c>
      <c r="B138" s="306" t="s">
        <v>1003</v>
      </c>
      <c r="C138" s="306" t="s">
        <v>1004</v>
      </c>
      <c r="D138" s="306" t="s">
        <v>2480</v>
      </c>
      <c r="E138" s="306" t="s">
        <v>2943</v>
      </c>
      <c r="F138" s="306" t="s">
        <v>2482</v>
      </c>
      <c r="G138" s="308">
        <v>46003</v>
      </c>
      <c r="H138" s="308">
        <v>46006</v>
      </c>
      <c r="I138" s="309">
        <v>244566.16</v>
      </c>
      <c r="J138" s="306" t="s">
        <v>1008</v>
      </c>
      <c r="K138" s="309">
        <v>244566.16</v>
      </c>
      <c r="L138" s="306" t="s">
        <v>1008</v>
      </c>
      <c r="M138" s="306" t="s">
        <v>2944</v>
      </c>
      <c r="N138" s="306" t="s">
        <v>2944</v>
      </c>
      <c r="O138" s="306" t="s">
        <v>1013</v>
      </c>
      <c r="P138" s="306" t="s">
        <v>1013</v>
      </c>
      <c r="Q138" s="306" t="s">
        <v>1013</v>
      </c>
      <c r="R138" s="306" t="s">
        <v>1013</v>
      </c>
      <c r="S138" s="306" t="s">
        <v>1013</v>
      </c>
      <c r="T138" s="306" t="s">
        <v>1013</v>
      </c>
      <c r="U138" s="306" t="s">
        <v>2945</v>
      </c>
      <c r="V138" s="306" t="s">
        <v>1013</v>
      </c>
      <c r="W138" s="306" t="s">
        <v>1013</v>
      </c>
      <c r="X138" s="306" t="s">
        <v>1013</v>
      </c>
      <c r="Y138" s="306" t="s">
        <v>2945</v>
      </c>
      <c r="Z138" s="306" t="s">
        <v>2456</v>
      </c>
      <c r="AA138" s="306" t="s">
        <v>1013</v>
      </c>
    </row>
    <row r="139" spans="1:27">
      <c r="A139" s="306" t="s">
        <v>494</v>
      </c>
      <c r="B139" s="306" t="s">
        <v>1003</v>
      </c>
      <c r="C139" s="306" t="s">
        <v>1004</v>
      </c>
      <c r="D139" s="306" t="s">
        <v>2480</v>
      </c>
      <c r="E139" s="306" t="s">
        <v>2946</v>
      </c>
      <c r="F139" s="306" t="s">
        <v>2482</v>
      </c>
      <c r="G139" s="308">
        <v>46004</v>
      </c>
      <c r="H139" s="308">
        <v>46006</v>
      </c>
      <c r="I139" s="309">
        <v>507795.5</v>
      </c>
      <c r="J139" s="306" t="s">
        <v>1008</v>
      </c>
      <c r="K139" s="309">
        <v>507795.5</v>
      </c>
      <c r="L139" s="306" t="s">
        <v>1008</v>
      </c>
      <c r="M139" s="306" t="s">
        <v>2947</v>
      </c>
      <c r="N139" s="306" t="s">
        <v>2947</v>
      </c>
      <c r="O139" s="306" t="s">
        <v>1013</v>
      </c>
      <c r="P139" s="306" t="s">
        <v>1013</v>
      </c>
      <c r="Q139" s="306" t="s">
        <v>1013</v>
      </c>
      <c r="R139" s="306" t="s">
        <v>1013</v>
      </c>
      <c r="S139" s="306" t="s">
        <v>1013</v>
      </c>
      <c r="T139" s="306" t="s">
        <v>1013</v>
      </c>
      <c r="U139" s="306" t="s">
        <v>2948</v>
      </c>
      <c r="V139" s="306" t="s">
        <v>1013</v>
      </c>
      <c r="W139" s="306" t="s">
        <v>1013</v>
      </c>
      <c r="X139" s="306" t="s">
        <v>1013</v>
      </c>
      <c r="Y139" s="306" t="s">
        <v>2948</v>
      </c>
      <c r="Z139" s="306" t="s">
        <v>2456</v>
      </c>
      <c r="AA139" s="306" t="s">
        <v>1013</v>
      </c>
    </row>
    <row r="140" spans="1:27">
      <c r="A140" s="306" t="s">
        <v>494</v>
      </c>
      <c r="B140" s="306" t="s">
        <v>1003</v>
      </c>
      <c r="C140" s="306" t="s">
        <v>1004</v>
      </c>
      <c r="D140" s="306" t="s">
        <v>2480</v>
      </c>
      <c r="E140" s="306" t="s">
        <v>2949</v>
      </c>
      <c r="F140" s="306" t="s">
        <v>2482</v>
      </c>
      <c r="G140" s="308">
        <v>46002</v>
      </c>
      <c r="H140" s="308">
        <v>46006</v>
      </c>
      <c r="I140" s="309">
        <v>288351.34999999998</v>
      </c>
      <c r="J140" s="306" t="s">
        <v>1008</v>
      </c>
      <c r="K140" s="309">
        <v>288351.34999999998</v>
      </c>
      <c r="L140" s="306" t="s">
        <v>1008</v>
      </c>
      <c r="M140" s="306" t="s">
        <v>2950</v>
      </c>
      <c r="N140" s="306" t="s">
        <v>2950</v>
      </c>
      <c r="O140" s="306" t="s">
        <v>1013</v>
      </c>
      <c r="P140" s="306" t="s">
        <v>1013</v>
      </c>
      <c r="Q140" s="306" t="s">
        <v>1013</v>
      </c>
      <c r="R140" s="306" t="s">
        <v>1013</v>
      </c>
      <c r="S140" s="306" t="s">
        <v>1013</v>
      </c>
      <c r="T140" s="306" t="s">
        <v>1013</v>
      </c>
      <c r="U140" s="306" t="s">
        <v>2951</v>
      </c>
      <c r="V140" s="306" t="s">
        <v>1013</v>
      </c>
      <c r="W140" s="306" t="s">
        <v>1013</v>
      </c>
      <c r="X140" s="306" t="s">
        <v>1013</v>
      </c>
      <c r="Y140" s="306" t="s">
        <v>2951</v>
      </c>
      <c r="Z140" s="306" t="s">
        <v>2456</v>
      </c>
      <c r="AA140" s="306" t="s">
        <v>1013</v>
      </c>
    </row>
    <row r="141" spans="1:27">
      <c r="A141" s="306" t="s">
        <v>494</v>
      </c>
      <c r="B141" s="306" t="s">
        <v>1003</v>
      </c>
      <c r="C141" s="306" t="s">
        <v>1004</v>
      </c>
      <c r="D141" s="306" t="s">
        <v>2480</v>
      </c>
      <c r="E141" s="306" t="s">
        <v>2952</v>
      </c>
      <c r="F141" s="306" t="s">
        <v>2482</v>
      </c>
      <c r="G141" s="308">
        <v>46000</v>
      </c>
      <c r="H141" s="308">
        <v>46006</v>
      </c>
      <c r="I141" s="309">
        <v>354.9</v>
      </c>
      <c r="J141" s="306" t="s">
        <v>1008</v>
      </c>
      <c r="K141" s="309">
        <v>354.9</v>
      </c>
      <c r="L141" s="306" t="s">
        <v>1008</v>
      </c>
      <c r="M141" s="306" t="s">
        <v>2953</v>
      </c>
      <c r="N141" s="306" t="s">
        <v>2953</v>
      </c>
      <c r="O141" s="306" t="s">
        <v>1013</v>
      </c>
      <c r="P141" s="306" t="s">
        <v>1013</v>
      </c>
      <c r="Q141" s="306" t="s">
        <v>1013</v>
      </c>
      <c r="R141" s="306" t="s">
        <v>1013</v>
      </c>
      <c r="S141" s="306" t="s">
        <v>1013</v>
      </c>
      <c r="T141" s="306" t="s">
        <v>1013</v>
      </c>
      <c r="U141" s="306" t="s">
        <v>2954</v>
      </c>
      <c r="V141" s="306" t="s">
        <v>1013</v>
      </c>
      <c r="W141" s="306" t="s">
        <v>1013</v>
      </c>
      <c r="X141" s="306" t="s">
        <v>1013</v>
      </c>
      <c r="Y141" s="306" t="s">
        <v>2955</v>
      </c>
      <c r="Z141" s="306" t="s">
        <v>2456</v>
      </c>
      <c r="AA141" s="306" t="s">
        <v>1013</v>
      </c>
    </row>
    <row r="142" spans="1:27">
      <c r="A142" s="306" t="s">
        <v>494</v>
      </c>
      <c r="B142" s="306" t="s">
        <v>1003</v>
      </c>
      <c r="C142" s="306" t="s">
        <v>1004</v>
      </c>
      <c r="D142" s="306" t="s">
        <v>2480</v>
      </c>
      <c r="E142" s="306" t="s">
        <v>2956</v>
      </c>
      <c r="F142" s="306" t="s">
        <v>2482</v>
      </c>
      <c r="G142" s="308">
        <v>46003</v>
      </c>
      <c r="H142" s="308">
        <v>46006</v>
      </c>
      <c r="I142" s="309">
        <v>443977.72</v>
      </c>
      <c r="J142" s="306" t="s">
        <v>1008</v>
      </c>
      <c r="K142" s="309">
        <v>443977.72</v>
      </c>
      <c r="L142" s="306" t="s">
        <v>1008</v>
      </c>
      <c r="M142" s="306" t="s">
        <v>2957</v>
      </c>
      <c r="N142" s="306" t="s">
        <v>2957</v>
      </c>
      <c r="O142" s="306" t="s">
        <v>1013</v>
      </c>
      <c r="P142" s="306" t="s">
        <v>1013</v>
      </c>
      <c r="Q142" s="306" t="s">
        <v>1013</v>
      </c>
      <c r="R142" s="306" t="s">
        <v>1013</v>
      </c>
      <c r="S142" s="306" t="s">
        <v>1013</v>
      </c>
      <c r="T142" s="306" t="s">
        <v>1013</v>
      </c>
      <c r="U142" s="306" t="s">
        <v>2958</v>
      </c>
      <c r="V142" s="306" t="s">
        <v>1013</v>
      </c>
      <c r="W142" s="306" t="s">
        <v>1013</v>
      </c>
      <c r="X142" s="306" t="s">
        <v>1013</v>
      </c>
      <c r="Y142" s="306" t="s">
        <v>2958</v>
      </c>
      <c r="Z142" s="306" t="s">
        <v>2456</v>
      </c>
      <c r="AA142" s="306" t="s">
        <v>1013</v>
      </c>
    </row>
    <row r="143" spans="1:27">
      <c r="A143" s="306" t="s">
        <v>494</v>
      </c>
      <c r="B143" s="306" t="s">
        <v>1003</v>
      </c>
      <c r="C143" s="306" t="s">
        <v>1004</v>
      </c>
      <c r="D143" s="306" t="s">
        <v>2480</v>
      </c>
      <c r="E143" s="306" t="s">
        <v>2959</v>
      </c>
      <c r="F143" s="306" t="s">
        <v>2482</v>
      </c>
      <c r="G143" s="308">
        <v>46006</v>
      </c>
      <c r="H143" s="308">
        <v>46006</v>
      </c>
      <c r="I143" s="309">
        <v>295204.61</v>
      </c>
      <c r="J143" s="306" t="s">
        <v>1008</v>
      </c>
      <c r="K143" s="309">
        <v>295204.61</v>
      </c>
      <c r="L143" s="306" t="s">
        <v>1008</v>
      </c>
      <c r="M143" s="306" t="s">
        <v>2483</v>
      </c>
      <c r="N143" s="306" t="s">
        <v>2483</v>
      </c>
      <c r="O143" s="306" t="s">
        <v>1013</v>
      </c>
      <c r="P143" s="306" t="s">
        <v>1013</v>
      </c>
      <c r="Q143" s="306" t="s">
        <v>1013</v>
      </c>
      <c r="R143" s="306" t="s">
        <v>1013</v>
      </c>
      <c r="S143" s="306" t="s">
        <v>1013</v>
      </c>
      <c r="T143" s="306" t="s">
        <v>1013</v>
      </c>
      <c r="U143" s="306" t="s">
        <v>2960</v>
      </c>
      <c r="V143" s="306" t="s">
        <v>1013</v>
      </c>
      <c r="W143" s="306" t="s">
        <v>1013</v>
      </c>
      <c r="X143" s="306" t="s">
        <v>1013</v>
      </c>
      <c r="Y143" s="306" t="s">
        <v>2960</v>
      </c>
      <c r="Z143" s="306" t="s">
        <v>2456</v>
      </c>
      <c r="AA143" s="306" t="s">
        <v>1013</v>
      </c>
    </row>
    <row r="144" spans="1:27">
      <c r="A144" s="306" t="s">
        <v>494</v>
      </c>
      <c r="B144" s="306" t="s">
        <v>1003</v>
      </c>
      <c r="C144" s="306" t="s">
        <v>1004</v>
      </c>
      <c r="D144" s="306" t="s">
        <v>2480</v>
      </c>
      <c r="E144" s="306" t="s">
        <v>2961</v>
      </c>
      <c r="F144" s="306" t="s">
        <v>2482</v>
      </c>
      <c r="G144" s="308">
        <v>46006</v>
      </c>
      <c r="H144" s="308">
        <v>46006</v>
      </c>
      <c r="I144" s="309">
        <v>188.26</v>
      </c>
      <c r="J144" s="306" t="s">
        <v>1008</v>
      </c>
      <c r="K144" s="309">
        <v>188.26</v>
      </c>
      <c r="L144" s="306" t="s">
        <v>1008</v>
      </c>
      <c r="M144" s="306" t="s">
        <v>2962</v>
      </c>
      <c r="N144" s="306" t="s">
        <v>2962</v>
      </c>
      <c r="O144" s="306" t="s">
        <v>1013</v>
      </c>
      <c r="P144" s="306" t="s">
        <v>1013</v>
      </c>
      <c r="Q144" s="306" t="s">
        <v>1013</v>
      </c>
      <c r="R144" s="306" t="s">
        <v>1013</v>
      </c>
      <c r="S144" s="306" t="s">
        <v>1013</v>
      </c>
      <c r="T144" s="306" t="s">
        <v>1013</v>
      </c>
      <c r="U144" s="306" t="s">
        <v>2963</v>
      </c>
      <c r="V144" s="306" t="s">
        <v>1013</v>
      </c>
      <c r="W144" s="306" t="s">
        <v>1013</v>
      </c>
      <c r="X144" s="306" t="s">
        <v>1013</v>
      </c>
      <c r="Y144" s="306" t="s">
        <v>2963</v>
      </c>
      <c r="Z144" s="306" t="s">
        <v>2456</v>
      </c>
      <c r="AA144" s="306" t="s">
        <v>1013</v>
      </c>
    </row>
    <row r="145" spans="1:27">
      <c r="A145" s="306" t="s">
        <v>494</v>
      </c>
      <c r="B145" s="306" t="s">
        <v>1003</v>
      </c>
      <c r="C145" s="306" t="s">
        <v>1004</v>
      </c>
      <c r="D145" s="306" t="s">
        <v>2480</v>
      </c>
      <c r="E145" s="306" t="s">
        <v>2964</v>
      </c>
      <c r="F145" s="306" t="s">
        <v>2482</v>
      </c>
      <c r="G145" s="308">
        <v>46006</v>
      </c>
      <c r="H145" s="308">
        <v>46006</v>
      </c>
      <c r="I145" s="309">
        <v>37167.519999999997</v>
      </c>
      <c r="J145" s="306" t="s">
        <v>1008</v>
      </c>
      <c r="K145" s="309">
        <v>37167.519999999997</v>
      </c>
      <c r="L145" s="306" t="s">
        <v>1008</v>
      </c>
      <c r="M145" s="306" t="s">
        <v>2965</v>
      </c>
      <c r="N145" s="306" t="s">
        <v>2965</v>
      </c>
      <c r="O145" s="306" t="s">
        <v>1013</v>
      </c>
      <c r="P145" s="306" t="s">
        <v>1013</v>
      </c>
      <c r="Q145" s="306" t="s">
        <v>1013</v>
      </c>
      <c r="R145" s="306" t="s">
        <v>1013</v>
      </c>
      <c r="S145" s="306" t="s">
        <v>1013</v>
      </c>
      <c r="T145" s="306" t="s">
        <v>1013</v>
      </c>
      <c r="U145" s="306" t="s">
        <v>2966</v>
      </c>
      <c r="V145" s="306" t="s">
        <v>1013</v>
      </c>
      <c r="W145" s="306" t="s">
        <v>1013</v>
      </c>
      <c r="X145" s="306" t="s">
        <v>1013</v>
      </c>
      <c r="Y145" s="306" t="s">
        <v>2966</v>
      </c>
      <c r="Z145" s="306" t="s">
        <v>2456</v>
      </c>
      <c r="AA145" s="306" t="s">
        <v>1013</v>
      </c>
    </row>
    <row r="146" spans="1:27">
      <c r="A146" s="306" t="s">
        <v>494</v>
      </c>
      <c r="B146" s="306" t="s">
        <v>1003</v>
      </c>
      <c r="C146" s="306" t="s">
        <v>1004</v>
      </c>
      <c r="D146" s="306" t="s">
        <v>2480</v>
      </c>
      <c r="E146" s="306" t="s">
        <v>2967</v>
      </c>
      <c r="F146" s="306" t="s">
        <v>2486</v>
      </c>
      <c r="G146" s="308">
        <v>46006</v>
      </c>
      <c r="H146" s="308">
        <v>46006</v>
      </c>
      <c r="I146" s="309">
        <v>957.8</v>
      </c>
      <c r="J146" s="306" t="s">
        <v>1008</v>
      </c>
      <c r="K146" s="309">
        <v>957.8</v>
      </c>
      <c r="L146" s="306" t="s">
        <v>1008</v>
      </c>
      <c r="M146" s="306" t="s">
        <v>2968</v>
      </c>
      <c r="N146" s="306" t="s">
        <v>2969</v>
      </c>
      <c r="O146" s="306" t="s">
        <v>2970</v>
      </c>
      <c r="P146" s="306" t="s">
        <v>1013</v>
      </c>
      <c r="Q146" s="306" t="s">
        <v>1013</v>
      </c>
      <c r="R146" s="306" t="s">
        <v>1013</v>
      </c>
      <c r="S146" s="306" t="s">
        <v>1013</v>
      </c>
      <c r="T146" s="306" t="s">
        <v>1013</v>
      </c>
      <c r="U146" s="306" t="s">
        <v>2971</v>
      </c>
      <c r="V146" s="306" t="s">
        <v>1013</v>
      </c>
      <c r="W146" s="306" t="s">
        <v>1013</v>
      </c>
      <c r="X146" s="306" t="s">
        <v>1013</v>
      </c>
      <c r="Y146" s="306" t="s">
        <v>2509</v>
      </c>
      <c r="Z146" s="306" t="s">
        <v>2456</v>
      </c>
      <c r="AA146" s="306" t="s">
        <v>1013</v>
      </c>
    </row>
    <row r="147" spans="1:27">
      <c r="A147" s="306" t="s">
        <v>494</v>
      </c>
      <c r="B147" s="306" t="s">
        <v>1003</v>
      </c>
      <c r="C147" s="306" t="s">
        <v>1004</v>
      </c>
      <c r="D147" s="306" t="s">
        <v>2480</v>
      </c>
      <c r="E147" s="306" t="s">
        <v>2972</v>
      </c>
      <c r="F147" s="306" t="s">
        <v>2486</v>
      </c>
      <c r="G147" s="308">
        <v>46006</v>
      </c>
      <c r="H147" s="308">
        <v>46006</v>
      </c>
      <c r="I147" s="309">
        <v>15.77</v>
      </c>
      <c r="J147" s="306" t="s">
        <v>1008</v>
      </c>
      <c r="K147" s="309">
        <v>15.77</v>
      </c>
      <c r="L147" s="306" t="s">
        <v>1008</v>
      </c>
      <c r="M147" s="306" t="s">
        <v>2973</v>
      </c>
      <c r="N147" s="306" t="s">
        <v>2974</v>
      </c>
      <c r="O147" s="306" t="s">
        <v>1013</v>
      </c>
      <c r="P147" s="306" t="s">
        <v>1013</v>
      </c>
      <c r="Q147" s="306" t="s">
        <v>1013</v>
      </c>
      <c r="R147" s="306" t="s">
        <v>1013</v>
      </c>
      <c r="S147" s="306" t="s">
        <v>1013</v>
      </c>
      <c r="T147" s="306" t="s">
        <v>1013</v>
      </c>
      <c r="U147" s="306" t="s">
        <v>2975</v>
      </c>
      <c r="V147" s="306" t="s">
        <v>1013</v>
      </c>
      <c r="W147" s="306" t="s">
        <v>1013</v>
      </c>
      <c r="X147" s="306" t="s">
        <v>1013</v>
      </c>
      <c r="Y147" s="306" t="s">
        <v>2975</v>
      </c>
      <c r="Z147" s="306" t="s">
        <v>2456</v>
      </c>
      <c r="AA147" s="306" t="s">
        <v>1013</v>
      </c>
    </row>
    <row r="148" spans="1:27">
      <c r="A148" s="306" t="s">
        <v>494</v>
      </c>
      <c r="B148" s="306" t="s">
        <v>1003</v>
      </c>
      <c r="C148" s="306" t="s">
        <v>1004</v>
      </c>
      <c r="D148" s="306" t="s">
        <v>2480</v>
      </c>
      <c r="E148" s="306" t="s">
        <v>2976</v>
      </c>
      <c r="F148" s="306" t="s">
        <v>2486</v>
      </c>
      <c r="G148" s="308">
        <v>46006</v>
      </c>
      <c r="H148" s="308">
        <v>46006</v>
      </c>
      <c r="I148" s="309">
        <v>1010.84</v>
      </c>
      <c r="J148" s="306" t="s">
        <v>1008</v>
      </c>
      <c r="K148" s="309">
        <v>1010.84</v>
      </c>
      <c r="L148" s="306" t="s">
        <v>1008</v>
      </c>
      <c r="M148" s="306" t="s">
        <v>2977</v>
      </c>
      <c r="N148" s="306" t="s">
        <v>2978</v>
      </c>
      <c r="O148" s="306" t="s">
        <v>2979</v>
      </c>
      <c r="P148" s="306" t="s">
        <v>1013</v>
      </c>
      <c r="Q148" s="306" t="s">
        <v>1013</v>
      </c>
      <c r="R148" s="306" t="s">
        <v>1013</v>
      </c>
      <c r="S148" s="306" t="s">
        <v>1013</v>
      </c>
      <c r="T148" s="306" t="s">
        <v>1013</v>
      </c>
      <c r="U148" s="306" t="s">
        <v>2980</v>
      </c>
      <c r="V148" s="306" t="s">
        <v>1013</v>
      </c>
      <c r="W148" s="306" t="s">
        <v>1013</v>
      </c>
      <c r="X148" s="306" t="s">
        <v>1013</v>
      </c>
      <c r="Y148" s="306" t="s">
        <v>2980</v>
      </c>
      <c r="Z148" s="306" t="s">
        <v>2456</v>
      </c>
      <c r="AA148" s="306" t="s">
        <v>1013</v>
      </c>
    </row>
    <row r="149" spans="1:27">
      <c r="A149" s="306" t="s">
        <v>494</v>
      </c>
      <c r="B149" s="306" t="s">
        <v>1003</v>
      </c>
      <c r="C149" s="306" t="s">
        <v>1004</v>
      </c>
      <c r="D149" s="306" t="s">
        <v>2480</v>
      </c>
      <c r="E149" s="306" t="s">
        <v>2981</v>
      </c>
      <c r="F149" s="306" t="s">
        <v>2482</v>
      </c>
      <c r="G149" s="308">
        <v>46006</v>
      </c>
      <c r="H149" s="308">
        <v>46006</v>
      </c>
      <c r="I149" s="309">
        <v>57169.81</v>
      </c>
      <c r="J149" s="306" t="s">
        <v>1008</v>
      </c>
      <c r="K149" s="309">
        <v>57169.81</v>
      </c>
      <c r="L149" s="306" t="s">
        <v>1008</v>
      </c>
      <c r="M149" s="306" t="s">
        <v>2982</v>
      </c>
      <c r="N149" s="306" t="s">
        <v>2982</v>
      </c>
      <c r="O149" s="306" t="s">
        <v>1013</v>
      </c>
      <c r="P149" s="306" t="s">
        <v>1013</v>
      </c>
      <c r="Q149" s="306" t="s">
        <v>1013</v>
      </c>
      <c r="R149" s="306" t="s">
        <v>1013</v>
      </c>
      <c r="S149" s="306" t="s">
        <v>1013</v>
      </c>
      <c r="T149" s="306" t="s">
        <v>1013</v>
      </c>
      <c r="U149" s="306" t="s">
        <v>2983</v>
      </c>
      <c r="V149" s="306" t="s">
        <v>1013</v>
      </c>
      <c r="W149" s="306" t="s">
        <v>1013</v>
      </c>
      <c r="X149" s="306" t="s">
        <v>1013</v>
      </c>
      <c r="Y149" s="306" t="s">
        <v>2983</v>
      </c>
      <c r="Z149" s="306" t="s">
        <v>2456</v>
      </c>
      <c r="AA149" s="306" t="s">
        <v>1013</v>
      </c>
    </row>
    <row r="150" spans="1:27">
      <c r="A150" s="306" t="s">
        <v>494</v>
      </c>
      <c r="B150" s="306" t="s">
        <v>1003</v>
      </c>
      <c r="C150" s="306" t="s">
        <v>1004</v>
      </c>
      <c r="D150" s="306" t="s">
        <v>2480</v>
      </c>
      <c r="E150" s="306" t="s">
        <v>2984</v>
      </c>
      <c r="F150" s="306" t="s">
        <v>2482</v>
      </c>
      <c r="G150" s="308">
        <v>46006</v>
      </c>
      <c r="H150" s="308">
        <v>46006</v>
      </c>
      <c r="I150" s="309">
        <v>50942.89</v>
      </c>
      <c r="J150" s="306" t="s">
        <v>1008</v>
      </c>
      <c r="K150" s="309">
        <v>50942.89</v>
      </c>
      <c r="L150" s="306" t="s">
        <v>1008</v>
      </c>
      <c r="M150" s="306" t="s">
        <v>2985</v>
      </c>
      <c r="N150" s="306" t="s">
        <v>2985</v>
      </c>
      <c r="O150" s="306" t="s">
        <v>1013</v>
      </c>
      <c r="P150" s="306" t="s">
        <v>1013</v>
      </c>
      <c r="Q150" s="306" t="s">
        <v>1013</v>
      </c>
      <c r="R150" s="306" t="s">
        <v>1013</v>
      </c>
      <c r="S150" s="306" t="s">
        <v>1013</v>
      </c>
      <c r="T150" s="306" t="s">
        <v>1013</v>
      </c>
      <c r="U150" s="306" t="s">
        <v>2986</v>
      </c>
      <c r="V150" s="306" t="s">
        <v>1013</v>
      </c>
      <c r="W150" s="306" t="s">
        <v>1013</v>
      </c>
      <c r="X150" s="306" t="s">
        <v>1013</v>
      </c>
      <c r="Y150" s="306" t="s">
        <v>2986</v>
      </c>
      <c r="Z150" s="306" t="s">
        <v>2456</v>
      </c>
      <c r="AA150" s="306" t="s">
        <v>1013</v>
      </c>
    </row>
    <row r="151" spans="1:27">
      <c r="A151" s="306" t="s">
        <v>494</v>
      </c>
      <c r="B151" s="306" t="s">
        <v>1003</v>
      </c>
      <c r="C151" s="306" t="s">
        <v>1004</v>
      </c>
      <c r="D151" s="306" t="s">
        <v>2480</v>
      </c>
      <c r="E151" s="306" t="s">
        <v>2987</v>
      </c>
      <c r="F151" s="306" t="s">
        <v>2482</v>
      </c>
      <c r="G151" s="308">
        <v>46003</v>
      </c>
      <c r="H151" s="308">
        <v>46006</v>
      </c>
      <c r="I151" s="309">
        <v>122334.77</v>
      </c>
      <c r="J151" s="306" t="s">
        <v>1008</v>
      </c>
      <c r="K151" s="309">
        <v>122334.77</v>
      </c>
      <c r="L151" s="306" t="s">
        <v>1008</v>
      </c>
      <c r="M151" s="306" t="s">
        <v>2988</v>
      </c>
      <c r="N151" s="306" t="s">
        <v>2988</v>
      </c>
      <c r="O151" s="306" t="s">
        <v>1013</v>
      </c>
      <c r="P151" s="306" t="s">
        <v>1013</v>
      </c>
      <c r="Q151" s="306" t="s">
        <v>1013</v>
      </c>
      <c r="R151" s="306" t="s">
        <v>1013</v>
      </c>
      <c r="S151" s="306" t="s">
        <v>1013</v>
      </c>
      <c r="T151" s="306" t="s">
        <v>1013</v>
      </c>
      <c r="U151" s="306" t="s">
        <v>2989</v>
      </c>
      <c r="V151" s="306" t="s">
        <v>1013</v>
      </c>
      <c r="W151" s="306" t="s">
        <v>1013</v>
      </c>
      <c r="X151" s="306" t="s">
        <v>1013</v>
      </c>
      <c r="Y151" s="306" t="s">
        <v>2989</v>
      </c>
      <c r="Z151" s="306" t="s">
        <v>2456</v>
      </c>
      <c r="AA151" s="306" t="s">
        <v>1013</v>
      </c>
    </row>
    <row r="152" spans="1:27">
      <c r="A152" s="306" t="s">
        <v>494</v>
      </c>
      <c r="B152" s="306" t="s">
        <v>1003</v>
      </c>
      <c r="C152" s="306" t="s">
        <v>1004</v>
      </c>
      <c r="D152" s="306" t="s">
        <v>2480</v>
      </c>
      <c r="E152" s="306" t="s">
        <v>2990</v>
      </c>
      <c r="F152" s="306" t="s">
        <v>2482</v>
      </c>
      <c r="G152" s="308">
        <v>46003</v>
      </c>
      <c r="H152" s="308">
        <v>46006</v>
      </c>
      <c r="I152" s="309">
        <v>129665.23</v>
      </c>
      <c r="J152" s="306" t="s">
        <v>1008</v>
      </c>
      <c r="K152" s="309">
        <v>129665.23</v>
      </c>
      <c r="L152" s="306" t="s">
        <v>1008</v>
      </c>
      <c r="M152" s="306" t="s">
        <v>2991</v>
      </c>
      <c r="N152" s="306" t="s">
        <v>2991</v>
      </c>
      <c r="O152" s="306" t="s">
        <v>1013</v>
      </c>
      <c r="P152" s="306" t="s">
        <v>1013</v>
      </c>
      <c r="Q152" s="306" t="s">
        <v>1013</v>
      </c>
      <c r="R152" s="306" t="s">
        <v>1013</v>
      </c>
      <c r="S152" s="306" t="s">
        <v>1013</v>
      </c>
      <c r="T152" s="306" t="s">
        <v>1013</v>
      </c>
      <c r="U152" s="306" t="s">
        <v>2992</v>
      </c>
      <c r="V152" s="306" t="s">
        <v>1013</v>
      </c>
      <c r="W152" s="306" t="s">
        <v>1013</v>
      </c>
      <c r="X152" s="306" t="s">
        <v>1013</v>
      </c>
      <c r="Y152" s="306" t="s">
        <v>2992</v>
      </c>
      <c r="Z152" s="306" t="s">
        <v>2456</v>
      </c>
      <c r="AA152" s="306" t="s">
        <v>1013</v>
      </c>
    </row>
    <row r="153" spans="1:27">
      <c r="A153" s="306" t="s">
        <v>494</v>
      </c>
      <c r="B153" s="306" t="s">
        <v>1003</v>
      </c>
      <c r="C153" s="306" t="s">
        <v>1004</v>
      </c>
      <c r="D153" s="306" t="s">
        <v>2480</v>
      </c>
      <c r="E153" s="306" t="s">
        <v>2993</v>
      </c>
      <c r="F153" s="306" t="s">
        <v>2486</v>
      </c>
      <c r="G153" s="308">
        <v>46006</v>
      </c>
      <c r="H153" s="308">
        <v>46006</v>
      </c>
      <c r="I153" s="309">
        <v>81.52</v>
      </c>
      <c r="J153" s="306" t="s">
        <v>1008</v>
      </c>
      <c r="K153" s="309">
        <v>81.52</v>
      </c>
      <c r="L153" s="306" t="s">
        <v>1008</v>
      </c>
      <c r="M153" s="306" t="s">
        <v>2994</v>
      </c>
      <c r="N153" s="306" t="s">
        <v>2995</v>
      </c>
      <c r="O153" s="306" t="s">
        <v>2996</v>
      </c>
      <c r="P153" s="306" t="s">
        <v>1013</v>
      </c>
      <c r="Q153" s="306" t="s">
        <v>1013</v>
      </c>
      <c r="R153" s="306" t="s">
        <v>1013</v>
      </c>
      <c r="S153" s="306" t="s">
        <v>1013</v>
      </c>
      <c r="T153" s="306" t="s">
        <v>1013</v>
      </c>
      <c r="U153" s="306" t="s">
        <v>2997</v>
      </c>
      <c r="V153" s="306" t="s">
        <v>1013</v>
      </c>
      <c r="W153" s="306" t="s">
        <v>1013</v>
      </c>
      <c r="X153" s="306" t="s">
        <v>1013</v>
      </c>
      <c r="Y153" s="306" t="s">
        <v>2509</v>
      </c>
      <c r="Z153" s="306" t="s">
        <v>2456</v>
      </c>
      <c r="AA153" s="306" t="s">
        <v>1013</v>
      </c>
    </row>
    <row r="154" spans="1:27">
      <c r="A154" s="306" t="s">
        <v>494</v>
      </c>
      <c r="B154" s="306" t="s">
        <v>1003</v>
      </c>
      <c r="C154" s="306" t="s">
        <v>1004</v>
      </c>
      <c r="D154" s="306" t="s">
        <v>2480</v>
      </c>
      <c r="E154" s="306" t="s">
        <v>2993</v>
      </c>
      <c r="F154" s="306" t="s">
        <v>2486</v>
      </c>
      <c r="G154" s="308">
        <v>46006</v>
      </c>
      <c r="H154" s="308">
        <v>46006</v>
      </c>
      <c r="I154" s="309">
        <v>1136.93</v>
      </c>
      <c r="J154" s="306" t="s">
        <v>1008</v>
      </c>
      <c r="K154" s="309">
        <v>1136.93</v>
      </c>
      <c r="L154" s="306" t="s">
        <v>1008</v>
      </c>
      <c r="M154" s="306" t="s">
        <v>2994</v>
      </c>
      <c r="N154" s="306" t="s">
        <v>2995</v>
      </c>
      <c r="O154" s="306" t="s">
        <v>2998</v>
      </c>
      <c r="P154" s="306" t="s">
        <v>1013</v>
      </c>
      <c r="Q154" s="306" t="s">
        <v>1013</v>
      </c>
      <c r="R154" s="306" t="s">
        <v>1013</v>
      </c>
      <c r="S154" s="306" t="s">
        <v>1013</v>
      </c>
      <c r="T154" s="306" t="s">
        <v>1013</v>
      </c>
      <c r="U154" s="306" t="s">
        <v>2997</v>
      </c>
      <c r="V154" s="306" t="s">
        <v>1013</v>
      </c>
      <c r="W154" s="306" t="s">
        <v>1013</v>
      </c>
      <c r="X154" s="306" t="s">
        <v>1013</v>
      </c>
      <c r="Y154" s="306" t="s">
        <v>2509</v>
      </c>
      <c r="Z154" s="306" t="s">
        <v>2456</v>
      </c>
      <c r="AA154" s="306" t="s">
        <v>1013</v>
      </c>
    </row>
    <row r="155" spans="1:27">
      <c r="A155" s="306" t="s">
        <v>494</v>
      </c>
      <c r="B155" s="306" t="s">
        <v>1003</v>
      </c>
      <c r="C155" s="306" t="s">
        <v>1004</v>
      </c>
      <c r="D155" s="306" t="s">
        <v>2480</v>
      </c>
      <c r="E155" s="306" t="s">
        <v>2999</v>
      </c>
      <c r="F155" s="306" t="s">
        <v>2482</v>
      </c>
      <c r="G155" s="308">
        <v>46006</v>
      </c>
      <c r="H155" s="308">
        <v>46007</v>
      </c>
      <c r="I155" s="309">
        <v>308797.27</v>
      </c>
      <c r="J155" s="306" t="s">
        <v>1008</v>
      </c>
      <c r="K155" s="309">
        <v>308797.27</v>
      </c>
      <c r="L155" s="306" t="s">
        <v>1008</v>
      </c>
      <c r="M155" s="306" t="s">
        <v>3000</v>
      </c>
      <c r="N155" s="306" t="s">
        <v>3000</v>
      </c>
      <c r="O155" s="306" t="s">
        <v>1013</v>
      </c>
      <c r="P155" s="306" t="s">
        <v>1013</v>
      </c>
      <c r="Q155" s="306" t="s">
        <v>1013</v>
      </c>
      <c r="R155" s="306" t="s">
        <v>1013</v>
      </c>
      <c r="S155" s="306" t="s">
        <v>1013</v>
      </c>
      <c r="T155" s="306" t="s">
        <v>1013</v>
      </c>
      <c r="U155" s="306" t="s">
        <v>3001</v>
      </c>
      <c r="V155" s="306" t="s">
        <v>1013</v>
      </c>
      <c r="W155" s="306" t="s">
        <v>1013</v>
      </c>
      <c r="X155" s="306" t="s">
        <v>1013</v>
      </c>
      <c r="Y155" s="306" t="s">
        <v>3001</v>
      </c>
      <c r="Z155" s="306" t="s">
        <v>2456</v>
      </c>
      <c r="AA155" s="306" t="s">
        <v>1013</v>
      </c>
    </row>
    <row r="156" spans="1:27">
      <c r="A156" s="306" t="s">
        <v>494</v>
      </c>
      <c r="B156" s="306" t="s">
        <v>1003</v>
      </c>
      <c r="C156" s="306" t="s">
        <v>1004</v>
      </c>
      <c r="D156" s="306" t="s">
        <v>2480</v>
      </c>
      <c r="E156" s="306" t="s">
        <v>3002</v>
      </c>
      <c r="F156" s="306" t="s">
        <v>2482</v>
      </c>
      <c r="G156" s="308">
        <v>46006</v>
      </c>
      <c r="H156" s="308">
        <v>46007</v>
      </c>
      <c r="I156" s="309">
        <v>56106.73</v>
      </c>
      <c r="J156" s="306" t="s">
        <v>1008</v>
      </c>
      <c r="K156" s="309">
        <v>56106.73</v>
      </c>
      <c r="L156" s="306" t="s">
        <v>1008</v>
      </c>
      <c r="M156" s="306" t="s">
        <v>3003</v>
      </c>
      <c r="N156" s="306" t="s">
        <v>3003</v>
      </c>
      <c r="O156" s="306" t="s">
        <v>1013</v>
      </c>
      <c r="P156" s="306" t="s">
        <v>1013</v>
      </c>
      <c r="Q156" s="306" t="s">
        <v>1013</v>
      </c>
      <c r="R156" s="306" t="s">
        <v>1013</v>
      </c>
      <c r="S156" s="306" t="s">
        <v>1013</v>
      </c>
      <c r="T156" s="306" t="s">
        <v>1013</v>
      </c>
      <c r="U156" s="306" t="s">
        <v>3004</v>
      </c>
      <c r="V156" s="306" t="s">
        <v>1013</v>
      </c>
      <c r="W156" s="306" t="s">
        <v>1013</v>
      </c>
      <c r="X156" s="306" t="s">
        <v>1013</v>
      </c>
      <c r="Y156" s="306" t="s">
        <v>3004</v>
      </c>
      <c r="Z156" s="306" t="s">
        <v>2456</v>
      </c>
      <c r="AA156" s="306" t="s">
        <v>1013</v>
      </c>
    </row>
    <row r="157" spans="1:27">
      <c r="A157" s="306" t="s">
        <v>494</v>
      </c>
      <c r="B157" s="306" t="s">
        <v>1003</v>
      </c>
      <c r="C157" s="306" t="s">
        <v>1004</v>
      </c>
      <c r="D157" s="306" t="s">
        <v>2480</v>
      </c>
      <c r="E157" s="306" t="s">
        <v>3005</v>
      </c>
      <c r="F157" s="306" t="s">
        <v>2482</v>
      </c>
      <c r="G157" s="308">
        <v>46006</v>
      </c>
      <c r="H157" s="308">
        <v>46007</v>
      </c>
      <c r="I157" s="309">
        <v>1019.52</v>
      </c>
      <c r="J157" s="306" t="s">
        <v>1008</v>
      </c>
      <c r="K157" s="309">
        <v>1019.52</v>
      </c>
      <c r="L157" s="306" t="s">
        <v>1008</v>
      </c>
      <c r="M157" s="306" t="s">
        <v>3006</v>
      </c>
      <c r="N157" s="306" t="s">
        <v>3006</v>
      </c>
      <c r="O157" s="306" t="s">
        <v>1013</v>
      </c>
      <c r="P157" s="306" t="s">
        <v>1013</v>
      </c>
      <c r="Q157" s="306" t="s">
        <v>1013</v>
      </c>
      <c r="R157" s="306" t="s">
        <v>1013</v>
      </c>
      <c r="S157" s="306" t="s">
        <v>1013</v>
      </c>
      <c r="T157" s="306" t="s">
        <v>1013</v>
      </c>
      <c r="U157" s="306" t="s">
        <v>3007</v>
      </c>
      <c r="V157" s="306" t="s">
        <v>1013</v>
      </c>
      <c r="W157" s="306" t="s">
        <v>1013</v>
      </c>
      <c r="X157" s="306" t="s">
        <v>1013</v>
      </c>
      <c r="Y157" s="306" t="s">
        <v>3007</v>
      </c>
      <c r="Z157" s="306" t="s">
        <v>2456</v>
      </c>
      <c r="AA157" s="306" t="s">
        <v>1013</v>
      </c>
    </row>
    <row r="158" spans="1:27">
      <c r="A158" s="306" t="s">
        <v>494</v>
      </c>
      <c r="B158" s="306" t="s">
        <v>1003</v>
      </c>
      <c r="C158" s="306" t="s">
        <v>1004</v>
      </c>
      <c r="D158" s="306" t="s">
        <v>2480</v>
      </c>
      <c r="E158" s="306" t="s">
        <v>3008</v>
      </c>
      <c r="F158" s="306" t="s">
        <v>2482</v>
      </c>
      <c r="G158" s="308">
        <v>46006</v>
      </c>
      <c r="H158" s="308">
        <v>46007</v>
      </c>
      <c r="I158" s="309">
        <v>62103.23</v>
      </c>
      <c r="J158" s="306" t="s">
        <v>1008</v>
      </c>
      <c r="K158" s="309">
        <v>62103.23</v>
      </c>
      <c r="L158" s="306" t="s">
        <v>1008</v>
      </c>
      <c r="M158" s="306" t="s">
        <v>3009</v>
      </c>
      <c r="N158" s="306" t="s">
        <v>3009</v>
      </c>
      <c r="O158" s="306" t="s">
        <v>1013</v>
      </c>
      <c r="P158" s="306" t="s">
        <v>1013</v>
      </c>
      <c r="Q158" s="306" t="s">
        <v>1013</v>
      </c>
      <c r="R158" s="306" t="s">
        <v>1013</v>
      </c>
      <c r="S158" s="306" t="s">
        <v>1013</v>
      </c>
      <c r="T158" s="306" t="s">
        <v>1013</v>
      </c>
      <c r="U158" s="306" t="s">
        <v>3010</v>
      </c>
      <c r="V158" s="306" t="s">
        <v>1013</v>
      </c>
      <c r="W158" s="306" t="s">
        <v>1013</v>
      </c>
      <c r="X158" s="306" t="s">
        <v>1013</v>
      </c>
      <c r="Y158" s="306" t="s">
        <v>3010</v>
      </c>
      <c r="Z158" s="306" t="s">
        <v>2456</v>
      </c>
      <c r="AA158" s="306" t="s">
        <v>1013</v>
      </c>
    </row>
    <row r="159" spans="1:27">
      <c r="A159" s="306" t="s">
        <v>494</v>
      </c>
      <c r="B159" s="306" t="s">
        <v>1003</v>
      </c>
      <c r="C159" s="306" t="s">
        <v>1004</v>
      </c>
      <c r="D159" s="306" t="s">
        <v>2480</v>
      </c>
      <c r="E159" s="306" t="s">
        <v>3011</v>
      </c>
      <c r="F159" s="306" t="s">
        <v>2482</v>
      </c>
      <c r="G159" s="308">
        <v>46006</v>
      </c>
      <c r="H159" s="308">
        <v>46007</v>
      </c>
      <c r="I159" s="309">
        <v>36912.379999999997</v>
      </c>
      <c r="J159" s="306" t="s">
        <v>1008</v>
      </c>
      <c r="K159" s="309">
        <v>36912.379999999997</v>
      </c>
      <c r="L159" s="306" t="s">
        <v>1008</v>
      </c>
      <c r="M159" s="306" t="s">
        <v>3012</v>
      </c>
      <c r="N159" s="306" t="s">
        <v>3012</v>
      </c>
      <c r="O159" s="306" t="s">
        <v>1013</v>
      </c>
      <c r="P159" s="306" t="s">
        <v>1013</v>
      </c>
      <c r="Q159" s="306" t="s">
        <v>1013</v>
      </c>
      <c r="R159" s="306" t="s">
        <v>1013</v>
      </c>
      <c r="S159" s="306" t="s">
        <v>1013</v>
      </c>
      <c r="T159" s="306" t="s">
        <v>1013</v>
      </c>
      <c r="U159" s="306" t="s">
        <v>3013</v>
      </c>
      <c r="V159" s="306" t="s">
        <v>1013</v>
      </c>
      <c r="W159" s="306" t="s">
        <v>1013</v>
      </c>
      <c r="X159" s="306" t="s">
        <v>1013</v>
      </c>
      <c r="Y159" s="306" t="s">
        <v>3013</v>
      </c>
      <c r="Z159" s="306" t="s">
        <v>2456</v>
      </c>
      <c r="AA159" s="306" t="s">
        <v>1013</v>
      </c>
    </row>
    <row r="160" spans="1:27">
      <c r="A160" s="306" t="s">
        <v>494</v>
      </c>
      <c r="B160" s="306" t="s">
        <v>1003</v>
      </c>
      <c r="C160" s="306" t="s">
        <v>1004</v>
      </c>
      <c r="D160" s="306" t="s">
        <v>2480</v>
      </c>
      <c r="E160" s="306" t="s">
        <v>3014</v>
      </c>
      <c r="F160" s="306" t="s">
        <v>2482</v>
      </c>
      <c r="G160" s="308">
        <v>46006</v>
      </c>
      <c r="H160" s="308">
        <v>46007</v>
      </c>
      <c r="I160" s="309">
        <v>19145</v>
      </c>
      <c r="J160" s="306" t="s">
        <v>1008</v>
      </c>
      <c r="K160" s="309">
        <v>19145</v>
      </c>
      <c r="L160" s="306" t="s">
        <v>1008</v>
      </c>
      <c r="M160" s="306" t="s">
        <v>3015</v>
      </c>
      <c r="N160" s="306" t="s">
        <v>3015</v>
      </c>
      <c r="O160" s="306" t="s">
        <v>1013</v>
      </c>
      <c r="P160" s="306" t="s">
        <v>1013</v>
      </c>
      <c r="Q160" s="306" t="s">
        <v>1013</v>
      </c>
      <c r="R160" s="306" t="s">
        <v>1013</v>
      </c>
      <c r="S160" s="306" t="s">
        <v>1013</v>
      </c>
      <c r="T160" s="306" t="s">
        <v>1013</v>
      </c>
      <c r="U160" s="306" t="s">
        <v>3016</v>
      </c>
      <c r="V160" s="306" t="s">
        <v>1013</v>
      </c>
      <c r="W160" s="306" t="s">
        <v>1013</v>
      </c>
      <c r="X160" s="306" t="s">
        <v>1013</v>
      </c>
      <c r="Y160" s="306" t="s">
        <v>3016</v>
      </c>
      <c r="Z160" s="306" t="s">
        <v>2456</v>
      </c>
      <c r="AA160" s="306" t="s">
        <v>1013</v>
      </c>
    </row>
    <row r="161" spans="1:27">
      <c r="A161" s="306" t="s">
        <v>494</v>
      </c>
      <c r="B161" s="306" t="s">
        <v>1003</v>
      </c>
      <c r="C161" s="306" t="s">
        <v>1004</v>
      </c>
      <c r="D161" s="306" t="s">
        <v>2480</v>
      </c>
      <c r="E161" s="306" t="s">
        <v>3017</v>
      </c>
      <c r="F161" s="306" t="s">
        <v>2486</v>
      </c>
      <c r="G161" s="308">
        <v>46007</v>
      </c>
      <c r="H161" s="308">
        <v>46007</v>
      </c>
      <c r="I161" s="309">
        <v>18.86</v>
      </c>
      <c r="J161" s="306" t="s">
        <v>1008</v>
      </c>
      <c r="K161" s="309">
        <v>18.86</v>
      </c>
      <c r="L161" s="306" t="s">
        <v>1008</v>
      </c>
      <c r="M161" s="306" t="s">
        <v>3018</v>
      </c>
      <c r="N161" s="306" t="s">
        <v>3019</v>
      </c>
      <c r="O161" s="306" t="s">
        <v>1013</v>
      </c>
      <c r="P161" s="306" t="s">
        <v>1013</v>
      </c>
      <c r="Q161" s="306" t="s">
        <v>1013</v>
      </c>
      <c r="R161" s="306" t="s">
        <v>1013</v>
      </c>
      <c r="S161" s="306" t="s">
        <v>1013</v>
      </c>
      <c r="T161" s="306" t="s">
        <v>1013</v>
      </c>
      <c r="U161" s="306" t="s">
        <v>3020</v>
      </c>
      <c r="V161" s="306" t="s">
        <v>1013</v>
      </c>
      <c r="W161" s="306" t="s">
        <v>1013</v>
      </c>
      <c r="X161" s="306" t="s">
        <v>1013</v>
      </c>
      <c r="Y161" s="306" t="s">
        <v>2540</v>
      </c>
      <c r="Z161" s="306" t="s">
        <v>2456</v>
      </c>
      <c r="AA161" s="306" t="s">
        <v>1013</v>
      </c>
    </row>
    <row r="162" spans="1:27">
      <c r="A162" s="306" t="s">
        <v>494</v>
      </c>
      <c r="B162" s="306" t="s">
        <v>1003</v>
      </c>
      <c r="C162" s="306" t="s">
        <v>1004</v>
      </c>
      <c r="D162" s="306" t="s">
        <v>2480</v>
      </c>
      <c r="E162" s="306" t="s">
        <v>3021</v>
      </c>
      <c r="F162" s="306" t="s">
        <v>2486</v>
      </c>
      <c r="G162" s="308">
        <v>46007</v>
      </c>
      <c r="H162" s="308">
        <v>46007</v>
      </c>
      <c r="I162" s="309">
        <v>89.45</v>
      </c>
      <c r="J162" s="306" t="s">
        <v>1008</v>
      </c>
      <c r="K162" s="309">
        <v>89.45</v>
      </c>
      <c r="L162" s="306" t="s">
        <v>1008</v>
      </c>
      <c r="M162" s="306" t="s">
        <v>3022</v>
      </c>
      <c r="N162" s="306" t="s">
        <v>3023</v>
      </c>
      <c r="O162" s="306" t="s">
        <v>1013</v>
      </c>
      <c r="P162" s="306" t="s">
        <v>1013</v>
      </c>
      <c r="Q162" s="306" t="s">
        <v>1013</v>
      </c>
      <c r="R162" s="306" t="s">
        <v>1013</v>
      </c>
      <c r="S162" s="306" t="s">
        <v>1013</v>
      </c>
      <c r="T162" s="306" t="s">
        <v>1013</v>
      </c>
      <c r="U162" s="306" t="s">
        <v>3024</v>
      </c>
      <c r="V162" s="306" t="s">
        <v>1013</v>
      </c>
      <c r="W162" s="306" t="s">
        <v>1013</v>
      </c>
      <c r="X162" s="306" t="s">
        <v>1013</v>
      </c>
      <c r="Y162" s="306" t="s">
        <v>2540</v>
      </c>
      <c r="Z162" s="306" t="s">
        <v>2456</v>
      </c>
      <c r="AA162" s="306" t="s">
        <v>1013</v>
      </c>
    </row>
    <row r="163" spans="1:27">
      <c r="A163" s="306" t="s">
        <v>494</v>
      </c>
      <c r="B163" s="306" t="s">
        <v>1003</v>
      </c>
      <c r="C163" s="306" t="s">
        <v>1004</v>
      </c>
      <c r="D163" s="306" t="s">
        <v>2480</v>
      </c>
      <c r="E163" s="306" t="s">
        <v>3025</v>
      </c>
      <c r="F163" s="306" t="s">
        <v>2482</v>
      </c>
      <c r="G163" s="308">
        <v>46006</v>
      </c>
      <c r="H163" s="308">
        <v>46007</v>
      </c>
      <c r="I163" s="309">
        <v>164899.10999999999</v>
      </c>
      <c r="J163" s="306" t="s">
        <v>1008</v>
      </c>
      <c r="K163" s="309">
        <v>164899.10999999999</v>
      </c>
      <c r="L163" s="306" t="s">
        <v>1008</v>
      </c>
      <c r="M163" s="306" t="s">
        <v>1013</v>
      </c>
      <c r="N163" s="306" t="s">
        <v>1013</v>
      </c>
      <c r="O163" s="306" t="s">
        <v>1013</v>
      </c>
      <c r="P163" s="306" t="s">
        <v>1013</v>
      </c>
      <c r="Q163" s="306" t="s">
        <v>1013</v>
      </c>
      <c r="R163" s="306" t="s">
        <v>1013</v>
      </c>
      <c r="S163" s="306" t="s">
        <v>1013</v>
      </c>
      <c r="T163" s="306" t="s">
        <v>1013</v>
      </c>
      <c r="U163" s="306" t="s">
        <v>3026</v>
      </c>
      <c r="V163" s="306" t="s">
        <v>1013</v>
      </c>
      <c r="W163" s="306" t="s">
        <v>1013</v>
      </c>
      <c r="X163" s="306" t="s">
        <v>1013</v>
      </c>
      <c r="Y163" s="306" t="s">
        <v>3026</v>
      </c>
      <c r="Z163" s="306" t="s">
        <v>2654</v>
      </c>
      <c r="AA163" s="306" t="s">
        <v>1013</v>
      </c>
    </row>
    <row r="164" spans="1:27">
      <c r="A164" s="306" t="s">
        <v>494</v>
      </c>
      <c r="B164" s="306" t="s">
        <v>1003</v>
      </c>
      <c r="C164" s="306" t="s">
        <v>1004</v>
      </c>
      <c r="D164" s="306" t="s">
        <v>2480</v>
      </c>
      <c r="E164" s="306" t="s">
        <v>3027</v>
      </c>
      <c r="F164" s="306" t="s">
        <v>2482</v>
      </c>
      <c r="G164" s="308">
        <v>46006</v>
      </c>
      <c r="H164" s="308">
        <v>46007</v>
      </c>
      <c r="I164" s="309">
        <v>12.09</v>
      </c>
      <c r="J164" s="306" t="s">
        <v>1008</v>
      </c>
      <c r="K164" s="309">
        <v>12.09</v>
      </c>
      <c r="L164" s="306" t="s">
        <v>1008</v>
      </c>
      <c r="M164" s="306" t="s">
        <v>1013</v>
      </c>
      <c r="N164" s="306" t="s">
        <v>1013</v>
      </c>
      <c r="O164" s="306" t="s">
        <v>1013</v>
      </c>
      <c r="P164" s="306" t="s">
        <v>1013</v>
      </c>
      <c r="Q164" s="306" t="s">
        <v>1013</v>
      </c>
      <c r="R164" s="306" t="s">
        <v>1013</v>
      </c>
      <c r="S164" s="306" t="s">
        <v>1013</v>
      </c>
      <c r="T164" s="306" t="s">
        <v>1013</v>
      </c>
      <c r="U164" s="306" t="s">
        <v>3026</v>
      </c>
      <c r="V164" s="306" t="s">
        <v>1013</v>
      </c>
      <c r="W164" s="306" t="s">
        <v>1013</v>
      </c>
      <c r="X164" s="306" t="s">
        <v>1013</v>
      </c>
      <c r="Y164" s="306" t="s">
        <v>3026</v>
      </c>
      <c r="Z164" s="306" t="s">
        <v>2654</v>
      </c>
      <c r="AA164" s="306" t="s">
        <v>1013</v>
      </c>
    </row>
    <row r="165" spans="1:27">
      <c r="A165" s="306" t="s">
        <v>494</v>
      </c>
      <c r="B165" s="306" t="s">
        <v>1003</v>
      </c>
      <c r="C165" s="306" t="s">
        <v>1004</v>
      </c>
      <c r="D165" s="306" t="s">
        <v>2480</v>
      </c>
      <c r="E165" s="306" t="s">
        <v>3028</v>
      </c>
      <c r="F165" s="306" t="s">
        <v>2486</v>
      </c>
      <c r="G165" s="308">
        <v>46007</v>
      </c>
      <c r="H165" s="308">
        <v>46007</v>
      </c>
      <c r="I165" s="309">
        <v>1052.73</v>
      </c>
      <c r="J165" s="306" t="s">
        <v>1008</v>
      </c>
      <c r="K165" s="309">
        <v>1052.73</v>
      </c>
      <c r="L165" s="306" t="s">
        <v>1008</v>
      </c>
      <c r="M165" s="306" t="s">
        <v>3029</v>
      </c>
      <c r="N165" s="306" t="s">
        <v>3030</v>
      </c>
      <c r="O165" s="306" t="s">
        <v>1013</v>
      </c>
      <c r="P165" s="306" t="s">
        <v>1013</v>
      </c>
      <c r="Q165" s="306" t="s">
        <v>1013</v>
      </c>
      <c r="R165" s="306" t="s">
        <v>1013</v>
      </c>
      <c r="S165" s="306" t="s">
        <v>1013</v>
      </c>
      <c r="T165" s="306" t="s">
        <v>1013</v>
      </c>
      <c r="U165" s="306" t="s">
        <v>3031</v>
      </c>
      <c r="V165" s="306" t="s">
        <v>1013</v>
      </c>
      <c r="W165" s="306" t="s">
        <v>1013</v>
      </c>
      <c r="X165" s="306" t="s">
        <v>1013</v>
      </c>
      <c r="Y165" s="306" t="s">
        <v>2509</v>
      </c>
      <c r="Z165" s="306" t="s">
        <v>2456</v>
      </c>
      <c r="AA165" s="306" t="s">
        <v>1013</v>
      </c>
    </row>
    <row r="166" spans="1:27">
      <c r="A166" s="306" t="s">
        <v>494</v>
      </c>
      <c r="B166" s="306" t="s">
        <v>1003</v>
      </c>
      <c r="C166" s="306" t="s">
        <v>1004</v>
      </c>
      <c r="D166" s="306" t="s">
        <v>2480</v>
      </c>
      <c r="E166" s="306" t="s">
        <v>3032</v>
      </c>
      <c r="F166" s="306" t="s">
        <v>2486</v>
      </c>
      <c r="G166" s="308">
        <v>46007</v>
      </c>
      <c r="H166" s="308">
        <v>46007</v>
      </c>
      <c r="I166" s="309">
        <v>484.75</v>
      </c>
      <c r="J166" s="306" t="s">
        <v>1008</v>
      </c>
      <c r="K166" s="309">
        <v>484.75</v>
      </c>
      <c r="L166" s="306" t="s">
        <v>1008</v>
      </c>
      <c r="M166" s="306" t="s">
        <v>3033</v>
      </c>
      <c r="N166" s="306" t="s">
        <v>3034</v>
      </c>
      <c r="O166" s="306" t="s">
        <v>1013</v>
      </c>
      <c r="P166" s="306" t="s">
        <v>1013</v>
      </c>
      <c r="Q166" s="306" t="s">
        <v>1013</v>
      </c>
      <c r="R166" s="306" t="s">
        <v>1013</v>
      </c>
      <c r="S166" s="306" t="s">
        <v>1013</v>
      </c>
      <c r="T166" s="306" t="s">
        <v>1013</v>
      </c>
      <c r="U166" s="306" t="s">
        <v>3035</v>
      </c>
      <c r="V166" s="306" t="s">
        <v>1013</v>
      </c>
      <c r="W166" s="306" t="s">
        <v>1013</v>
      </c>
      <c r="X166" s="306" t="s">
        <v>1013</v>
      </c>
      <c r="Y166" s="306" t="s">
        <v>1153</v>
      </c>
      <c r="Z166" s="306" t="s">
        <v>2456</v>
      </c>
      <c r="AA166" s="306" t="s">
        <v>1013</v>
      </c>
    </row>
    <row r="167" spans="1:27">
      <c r="A167" s="306" t="s">
        <v>494</v>
      </c>
      <c r="B167" s="306" t="s">
        <v>1003</v>
      </c>
      <c r="C167" s="306" t="s">
        <v>1004</v>
      </c>
      <c r="D167" s="306" t="s">
        <v>2480</v>
      </c>
      <c r="E167" s="306" t="s">
        <v>3036</v>
      </c>
      <c r="F167" s="306" t="s">
        <v>2486</v>
      </c>
      <c r="G167" s="308">
        <v>46007</v>
      </c>
      <c r="H167" s="308">
        <v>46007</v>
      </c>
      <c r="I167" s="309">
        <v>5694.99</v>
      </c>
      <c r="J167" s="306" t="s">
        <v>1008</v>
      </c>
      <c r="K167" s="309">
        <v>5694.99</v>
      </c>
      <c r="L167" s="306" t="s">
        <v>1008</v>
      </c>
      <c r="M167" s="306" t="s">
        <v>3037</v>
      </c>
      <c r="N167" s="306" t="s">
        <v>3038</v>
      </c>
      <c r="O167" s="306" t="s">
        <v>1013</v>
      </c>
      <c r="P167" s="306" t="s">
        <v>1013</v>
      </c>
      <c r="Q167" s="306" t="s">
        <v>1013</v>
      </c>
      <c r="R167" s="306" t="s">
        <v>1013</v>
      </c>
      <c r="S167" s="306" t="s">
        <v>1013</v>
      </c>
      <c r="T167" s="306" t="s">
        <v>1013</v>
      </c>
      <c r="U167" s="306" t="s">
        <v>3039</v>
      </c>
      <c r="V167" s="306" t="s">
        <v>1013</v>
      </c>
      <c r="W167" s="306" t="s">
        <v>1013</v>
      </c>
      <c r="X167" s="306" t="s">
        <v>1013</v>
      </c>
      <c r="Y167" s="306" t="s">
        <v>1153</v>
      </c>
      <c r="Z167" s="306" t="s">
        <v>2456</v>
      </c>
      <c r="AA167" s="306" t="s">
        <v>1013</v>
      </c>
    </row>
    <row r="168" spans="1:27">
      <c r="A168" s="306" t="s">
        <v>494</v>
      </c>
      <c r="B168" s="306" t="s">
        <v>1003</v>
      </c>
      <c r="C168" s="306" t="s">
        <v>1004</v>
      </c>
      <c r="D168" s="306" t="s">
        <v>2480</v>
      </c>
      <c r="E168" s="306" t="s">
        <v>3040</v>
      </c>
      <c r="F168" s="306" t="s">
        <v>2486</v>
      </c>
      <c r="G168" s="308">
        <v>46007</v>
      </c>
      <c r="H168" s="308">
        <v>46007</v>
      </c>
      <c r="I168" s="309">
        <v>279.94</v>
      </c>
      <c r="J168" s="306" t="s">
        <v>1008</v>
      </c>
      <c r="K168" s="309">
        <v>279.94</v>
      </c>
      <c r="L168" s="306" t="s">
        <v>1008</v>
      </c>
      <c r="M168" s="306" t="s">
        <v>3041</v>
      </c>
      <c r="N168" s="306" t="s">
        <v>3042</v>
      </c>
      <c r="O168" s="306" t="s">
        <v>1013</v>
      </c>
      <c r="P168" s="306" t="s">
        <v>1013</v>
      </c>
      <c r="Q168" s="306" t="s">
        <v>1013</v>
      </c>
      <c r="R168" s="306" t="s">
        <v>1013</v>
      </c>
      <c r="S168" s="306" t="s">
        <v>1013</v>
      </c>
      <c r="T168" s="306" t="s">
        <v>1013</v>
      </c>
      <c r="U168" s="306" t="s">
        <v>3043</v>
      </c>
      <c r="V168" s="306" t="s">
        <v>1013</v>
      </c>
      <c r="W168" s="306" t="s">
        <v>1013</v>
      </c>
      <c r="X168" s="306" t="s">
        <v>1013</v>
      </c>
      <c r="Y168" s="306" t="s">
        <v>2509</v>
      </c>
      <c r="Z168" s="306" t="s">
        <v>2456</v>
      </c>
      <c r="AA168" s="306" t="s">
        <v>1013</v>
      </c>
    </row>
    <row r="169" spans="1:27">
      <c r="A169" s="306" t="s">
        <v>494</v>
      </c>
      <c r="B169" s="306" t="s">
        <v>1003</v>
      </c>
      <c r="C169" s="306" t="s">
        <v>1004</v>
      </c>
      <c r="D169" s="306" t="s">
        <v>2480</v>
      </c>
      <c r="E169" s="306" t="s">
        <v>3044</v>
      </c>
      <c r="F169" s="306" t="s">
        <v>2486</v>
      </c>
      <c r="G169" s="308">
        <v>46007</v>
      </c>
      <c r="H169" s="308">
        <v>46007</v>
      </c>
      <c r="I169" s="309">
        <v>196.04</v>
      </c>
      <c r="J169" s="306" t="s">
        <v>1008</v>
      </c>
      <c r="K169" s="309">
        <v>196.04</v>
      </c>
      <c r="L169" s="306" t="s">
        <v>1008</v>
      </c>
      <c r="M169" s="306" t="s">
        <v>3045</v>
      </c>
      <c r="N169" s="306" t="s">
        <v>3046</v>
      </c>
      <c r="O169" s="306" t="s">
        <v>1013</v>
      </c>
      <c r="P169" s="306" t="s">
        <v>1013</v>
      </c>
      <c r="Q169" s="306" t="s">
        <v>1013</v>
      </c>
      <c r="R169" s="306" t="s">
        <v>1013</v>
      </c>
      <c r="S169" s="306" t="s">
        <v>1013</v>
      </c>
      <c r="T169" s="306" t="s">
        <v>1013</v>
      </c>
      <c r="U169" s="306" t="s">
        <v>3047</v>
      </c>
      <c r="V169" s="306" t="s">
        <v>1013</v>
      </c>
      <c r="W169" s="306" t="s">
        <v>1013</v>
      </c>
      <c r="X169" s="306" t="s">
        <v>1013</v>
      </c>
      <c r="Y169" s="306" t="s">
        <v>1406</v>
      </c>
      <c r="Z169" s="306" t="s">
        <v>2456</v>
      </c>
      <c r="AA169" s="306" t="s">
        <v>1013</v>
      </c>
    </row>
    <row r="170" spans="1:27">
      <c r="A170" s="306" t="s">
        <v>494</v>
      </c>
      <c r="B170" s="306" t="s">
        <v>1003</v>
      </c>
      <c r="C170" s="306" t="s">
        <v>1004</v>
      </c>
      <c r="D170" s="306" t="s">
        <v>2480</v>
      </c>
      <c r="E170" s="306" t="s">
        <v>3048</v>
      </c>
      <c r="F170" s="306" t="s">
        <v>2482</v>
      </c>
      <c r="G170" s="308">
        <v>46007</v>
      </c>
      <c r="H170" s="308">
        <v>46007</v>
      </c>
      <c r="I170" s="309">
        <v>18407.080000000002</v>
      </c>
      <c r="J170" s="306" t="s">
        <v>1008</v>
      </c>
      <c r="K170" s="309">
        <v>18407.080000000002</v>
      </c>
      <c r="L170" s="306" t="s">
        <v>1008</v>
      </c>
      <c r="M170" s="306" t="s">
        <v>3049</v>
      </c>
      <c r="N170" s="306" t="s">
        <v>3049</v>
      </c>
      <c r="O170" s="306" t="s">
        <v>1013</v>
      </c>
      <c r="P170" s="306" t="s">
        <v>1013</v>
      </c>
      <c r="Q170" s="306" t="s">
        <v>1013</v>
      </c>
      <c r="R170" s="306" t="s">
        <v>1013</v>
      </c>
      <c r="S170" s="306" t="s">
        <v>1013</v>
      </c>
      <c r="T170" s="306" t="s">
        <v>1013</v>
      </c>
      <c r="U170" s="306" t="s">
        <v>3050</v>
      </c>
      <c r="V170" s="306" t="s">
        <v>1013</v>
      </c>
      <c r="W170" s="306" t="s">
        <v>1013</v>
      </c>
      <c r="X170" s="306" t="s">
        <v>1013</v>
      </c>
      <c r="Y170" s="306" t="s">
        <v>3050</v>
      </c>
      <c r="Z170" s="306" t="s">
        <v>2456</v>
      </c>
      <c r="AA170" s="306" t="s">
        <v>1013</v>
      </c>
    </row>
    <row r="171" spans="1:27">
      <c r="A171" s="306" t="s">
        <v>494</v>
      </c>
      <c r="B171" s="306" t="s">
        <v>1003</v>
      </c>
      <c r="C171" s="306" t="s">
        <v>1004</v>
      </c>
      <c r="D171" s="306" t="s">
        <v>2480</v>
      </c>
      <c r="E171" s="306" t="s">
        <v>3051</v>
      </c>
      <c r="F171" s="306" t="s">
        <v>2486</v>
      </c>
      <c r="G171" s="308">
        <v>46007</v>
      </c>
      <c r="H171" s="308">
        <v>46007</v>
      </c>
      <c r="I171" s="309">
        <v>303.20999999999998</v>
      </c>
      <c r="J171" s="306" t="s">
        <v>1008</v>
      </c>
      <c r="K171" s="309">
        <v>303.20999999999998</v>
      </c>
      <c r="L171" s="306" t="s">
        <v>1008</v>
      </c>
      <c r="M171" s="306" t="s">
        <v>3052</v>
      </c>
      <c r="N171" s="306" t="s">
        <v>3053</v>
      </c>
      <c r="O171" s="306" t="s">
        <v>1013</v>
      </c>
      <c r="P171" s="306" t="s">
        <v>1013</v>
      </c>
      <c r="Q171" s="306" t="s">
        <v>1013</v>
      </c>
      <c r="R171" s="306" t="s">
        <v>1013</v>
      </c>
      <c r="S171" s="306" t="s">
        <v>1013</v>
      </c>
      <c r="T171" s="306" t="s">
        <v>1013</v>
      </c>
      <c r="U171" s="306" t="s">
        <v>3054</v>
      </c>
      <c r="V171" s="306" t="s">
        <v>1013</v>
      </c>
      <c r="W171" s="306" t="s">
        <v>1013</v>
      </c>
      <c r="X171" s="306" t="s">
        <v>1013</v>
      </c>
      <c r="Y171" s="306" t="s">
        <v>1537</v>
      </c>
      <c r="Z171" s="306" t="s">
        <v>2456</v>
      </c>
      <c r="AA171" s="306" t="s">
        <v>1013</v>
      </c>
    </row>
    <row r="172" spans="1:27">
      <c r="A172" s="306" t="s">
        <v>494</v>
      </c>
      <c r="B172" s="306" t="s">
        <v>1003</v>
      </c>
      <c r="C172" s="306" t="s">
        <v>1004</v>
      </c>
      <c r="D172" s="306" t="s">
        <v>2480</v>
      </c>
      <c r="E172" s="306" t="s">
        <v>3055</v>
      </c>
      <c r="F172" s="306" t="s">
        <v>2486</v>
      </c>
      <c r="G172" s="308">
        <v>46007</v>
      </c>
      <c r="H172" s="308">
        <v>46007</v>
      </c>
      <c r="I172" s="309">
        <v>303.20999999999998</v>
      </c>
      <c r="J172" s="306" t="s">
        <v>1008</v>
      </c>
      <c r="K172" s="309">
        <v>303.20999999999998</v>
      </c>
      <c r="L172" s="306" t="s">
        <v>1008</v>
      </c>
      <c r="M172" s="306" t="s">
        <v>3056</v>
      </c>
      <c r="N172" s="306" t="s">
        <v>3057</v>
      </c>
      <c r="O172" s="306" t="s">
        <v>1013</v>
      </c>
      <c r="P172" s="306" t="s">
        <v>1013</v>
      </c>
      <c r="Q172" s="306" t="s">
        <v>1013</v>
      </c>
      <c r="R172" s="306" t="s">
        <v>1013</v>
      </c>
      <c r="S172" s="306" t="s">
        <v>1013</v>
      </c>
      <c r="T172" s="306" t="s">
        <v>1013</v>
      </c>
      <c r="U172" s="306" t="s">
        <v>3058</v>
      </c>
      <c r="V172" s="306" t="s">
        <v>1013</v>
      </c>
      <c r="W172" s="306" t="s">
        <v>1013</v>
      </c>
      <c r="X172" s="306" t="s">
        <v>1013</v>
      </c>
      <c r="Y172" s="306" t="s">
        <v>1406</v>
      </c>
      <c r="Z172" s="306" t="s">
        <v>2456</v>
      </c>
      <c r="AA172" s="306" t="s">
        <v>1013</v>
      </c>
    </row>
    <row r="173" spans="1:27">
      <c r="A173" s="306" t="s">
        <v>494</v>
      </c>
      <c r="B173" s="306" t="s">
        <v>1003</v>
      </c>
      <c r="C173" s="306" t="s">
        <v>1004</v>
      </c>
      <c r="D173" s="306" t="s">
        <v>2480</v>
      </c>
      <c r="E173" s="306" t="s">
        <v>3059</v>
      </c>
      <c r="F173" s="306" t="s">
        <v>2486</v>
      </c>
      <c r="G173" s="308">
        <v>46007</v>
      </c>
      <c r="H173" s="308">
        <v>46007</v>
      </c>
      <c r="I173" s="309">
        <v>25807.34</v>
      </c>
      <c r="J173" s="306" t="s">
        <v>1008</v>
      </c>
      <c r="K173" s="309">
        <v>25807.34</v>
      </c>
      <c r="L173" s="306" t="s">
        <v>1008</v>
      </c>
      <c r="M173" s="306" t="s">
        <v>3060</v>
      </c>
      <c r="N173" s="306" t="s">
        <v>3061</v>
      </c>
      <c r="O173" s="306" t="s">
        <v>1013</v>
      </c>
      <c r="P173" s="306" t="s">
        <v>1013</v>
      </c>
      <c r="Q173" s="306" t="s">
        <v>1013</v>
      </c>
      <c r="R173" s="306" t="s">
        <v>1013</v>
      </c>
      <c r="S173" s="306" t="s">
        <v>1013</v>
      </c>
      <c r="T173" s="306" t="s">
        <v>1013</v>
      </c>
      <c r="U173" s="306" t="s">
        <v>3062</v>
      </c>
      <c r="V173" s="306" t="s">
        <v>1013</v>
      </c>
      <c r="W173" s="306" t="s">
        <v>1013</v>
      </c>
      <c r="X173" s="306" t="s">
        <v>1013</v>
      </c>
      <c r="Y173" s="306" t="s">
        <v>3063</v>
      </c>
      <c r="Z173" s="306" t="s">
        <v>2456</v>
      </c>
      <c r="AA173" s="306" t="s">
        <v>1013</v>
      </c>
    </row>
    <row r="174" spans="1:27">
      <c r="A174" s="306" t="s">
        <v>494</v>
      </c>
      <c r="B174" s="306" t="s">
        <v>1003</v>
      </c>
      <c r="C174" s="306" t="s">
        <v>1004</v>
      </c>
      <c r="D174" s="306" t="s">
        <v>2480</v>
      </c>
      <c r="E174" s="306" t="s">
        <v>3064</v>
      </c>
      <c r="F174" s="306" t="s">
        <v>2482</v>
      </c>
      <c r="G174" s="308">
        <v>46007</v>
      </c>
      <c r="H174" s="308">
        <v>46008</v>
      </c>
      <c r="I174" s="309">
        <v>5699.08</v>
      </c>
      <c r="J174" s="306" t="s">
        <v>1008</v>
      </c>
      <c r="K174" s="309">
        <v>5699.08</v>
      </c>
      <c r="L174" s="306" t="s">
        <v>1008</v>
      </c>
      <c r="M174" s="306" t="s">
        <v>3065</v>
      </c>
      <c r="N174" s="306" t="s">
        <v>3065</v>
      </c>
      <c r="O174" s="306" t="s">
        <v>1013</v>
      </c>
      <c r="P174" s="306" t="s">
        <v>1013</v>
      </c>
      <c r="Q174" s="306" t="s">
        <v>1013</v>
      </c>
      <c r="R174" s="306" t="s">
        <v>1013</v>
      </c>
      <c r="S174" s="306" t="s">
        <v>1013</v>
      </c>
      <c r="T174" s="306" t="s">
        <v>1013</v>
      </c>
      <c r="U174" s="306" t="s">
        <v>3066</v>
      </c>
      <c r="V174" s="306" t="s">
        <v>1013</v>
      </c>
      <c r="W174" s="306" t="s">
        <v>1013</v>
      </c>
      <c r="X174" s="306" t="s">
        <v>1013</v>
      </c>
      <c r="Y174" s="306" t="s">
        <v>3066</v>
      </c>
      <c r="Z174" s="306" t="s">
        <v>2456</v>
      </c>
      <c r="AA174" s="306" t="s">
        <v>1013</v>
      </c>
    </row>
    <row r="175" spans="1:27">
      <c r="A175" s="306" t="s">
        <v>494</v>
      </c>
      <c r="B175" s="306" t="s">
        <v>1003</v>
      </c>
      <c r="C175" s="306" t="s">
        <v>1004</v>
      </c>
      <c r="D175" s="306" t="s">
        <v>2480</v>
      </c>
      <c r="E175" s="306" t="s">
        <v>3067</v>
      </c>
      <c r="F175" s="306" t="s">
        <v>2482</v>
      </c>
      <c r="G175" s="308">
        <v>46007</v>
      </c>
      <c r="H175" s="308">
        <v>46008</v>
      </c>
      <c r="I175" s="309">
        <v>29492.83</v>
      </c>
      <c r="J175" s="306" t="s">
        <v>1008</v>
      </c>
      <c r="K175" s="309">
        <v>29492.83</v>
      </c>
      <c r="L175" s="306" t="s">
        <v>1008</v>
      </c>
      <c r="M175" s="306" t="s">
        <v>3068</v>
      </c>
      <c r="N175" s="306" t="s">
        <v>3068</v>
      </c>
      <c r="O175" s="306" t="s">
        <v>1013</v>
      </c>
      <c r="P175" s="306" t="s">
        <v>1013</v>
      </c>
      <c r="Q175" s="306" t="s">
        <v>1013</v>
      </c>
      <c r="R175" s="306" t="s">
        <v>1013</v>
      </c>
      <c r="S175" s="306" t="s">
        <v>1013</v>
      </c>
      <c r="T175" s="306" t="s">
        <v>1013</v>
      </c>
      <c r="U175" s="306" t="s">
        <v>3069</v>
      </c>
      <c r="V175" s="306" t="s">
        <v>1013</v>
      </c>
      <c r="W175" s="306" t="s">
        <v>1013</v>
      </c>
      <c r="X175" s="306" t="s">
        <v>1013</v>
      </c>
      <c r="Y175" s="306" t="s">
        <v>3069</v>
      </c>
      <c r="Z175" s="306" t="s">
        <v>2456</v>
      </c>
      <c r="AA175" s="306" t="s">
        <v>1013</v>
      </c>
    </row>
    <row r="176" spans="1:27">
      <c r="A176" s="306" t="s">
        <v>494</v>
      </c>
      <c r="B176" s="306" t="s">
        <v>1003</v>
      </c>
      <c r="C176" s="306" t="s">
        <v>1004</v>
      </c>
      <c r="D176" s="306" t="s">
        <v>2480</v>
      </c>
      <c r="E176" s="306" t="s">
        <v>3070</v>
      </c>
      <c r="F176" s="306" t="s">
        <v>2482</v>
      </c>
      <c r="G176" s="308">
        <v>46007</v>
      </c>
      <c r="H176" s="308">
        <v>46008</v>
      </c>
      <c r="I176" s="309">
        <v>9056.6</v>
      </c>
      <c r="J176" s="306" t="s">
        <v>1008</v>
      </c>
      <c r="K176" s="309">
        <v>9056.6</v>
      </c>
      <c r="L176" s="306" t="s">
        <v>1008</v>
      </c>
      <c r="M176" s="306" t="s">
        <v>3071</v>
      </c>
      <c r="N176" s="306" t="s">
        <v>3071</v>
      </c>
      <c r="O176" s="306" t="s">
        <v>1013</v>
      </c>
      <c r="P176" s="306" t="s">
        <v>1013</v>
      </c>
      <c r="Q176" s="306" t="s">
        <v>1013</v>
      </c>
      <c r="R176" s="306" t="s">
        <v>1013</v>
      </c>
      <c r="S176" s="306" t="s">
        <v>1013</v>
      </c>
      <c r="T176" s="306" t="s">
        <v>1013</v>
      </c>
      <c r="U176" s="306" t="s">
        <v>3072</v>
      </c>
      <c r="V176" s="306" t="s">
        <v>1013</v>
      </c>
      <c r="W176" s="306" t="s">
        <v>1013</v>
      </c>
      <c r="X176" s="306" t="s">
        <v>1013</v>
      </c>
      <c r="Y176" s="306" t="s">
        <v>3072</v>
      </c>
      <c r="Z176" s="306" t="s">
        <v>2456</v>
      </c>
      <c r="AA176" s="306" t="s">
        <v>1013</v>
      </c>
    </row>
    <row r="177" spans="1:27">
      <c r="A177" s="306" t="s">
        <v>494</v>
      </c>
      <c r="B177" s="306" t="s">
        <v>1003</v>
      </c>
      <c r="C177" s="306" t="s">
        <v>1004</v>
      </c>
      <c r="D177" s="306" t="s">
        <v>2480</v>
      </c>
      <c r="E177" s="306" t="s">
        <v>3073</v>
      </c>
      <c r="F177" s="306" t="s">
        <v>2482</v>
      </c>
      <c r="G177" s="308">
        <v>46007</v>
      </c>
      <c r="H177" s="308">
        <v>46008</v>
      </c>
      <c r="I177" s="309">
        <v>7924.53</v>
      </c>
      <c r="J177" s="306" t="s">
        <v>1008</v>
      </c>
      <c r="K177" s="309">
        <v>7924.53</v>
      </c>
      <c r="L177" s="306" t="s">
        <v>1008</v>
      </c>
      <c r="M177" s="306" t="s">
        <v>3074</v>
      </c>
      <c r="N177" s="306" t="s">
        <v>3074</v>
      </c>
      <c r="O177" s="306" t="s">
        <v>1013</v>
      </c>
      <c r="P177" s="306" t="s">
        <v>1013</v>
      </c>
      <c r="Q177" s="306" t="s">
        <v>1013</v>
      </c>
      <c r="R177" s="306" t="s">
        <v>1013</v>
      </c>
      <c r="S177" s="306" t="s">
        <v>1013</v>
      </c>
      <c r="T177" s="306" t="s">
        <v>1013</v>
      </c>
      <c r="U177" s="306" t="s">
        <v>3075</v>
      </c>
      <c r="V177" s="306" t="s">
        <v>1013</v>
      </c>
      <c r="W177" s="306" t="s">
        <v>1013</v>
      </c>
      <c r="X177" s="306" t="s">
        <v>1013</v>
      </c>
      <c r="Y177" s="306" t="s">
        <v>3075</v>
      </c>
      <c r="Z177" s="306" t="s">
        <v>2456</v>
      </c>
      <c r="AA177" s="306" t="s">
        <v>1013</v>
      </c>
    </row>
    <row r="178" spans="1:27">
      <c r="A178" s="306" t="s">
        <v>494</v>
      </c>
      <c r="B178" s="306" t="s">
        <v>1003</v>
      </c>
      <c r="C178" s="306" t="s">
        <v>1004</v>
      </c>
      <c r="D178" s="306" t="s">
        <v>2480</v>
      </c>
      <c r="E178" s="306" t="s">
        <v>3076</v>
      </c>
      <c r="F178" s="306" t="s">
        <v>2482</v>
      </c>
      <c r="G178" s="308">
        <v>46007</v>
      </c>
      <c r="H178" s="308">
        <v>46008</v>
      </c>
      <c r="I178" s="309">
        <v>576427.16</v>
      </c>
      <c r="J178" s="306" t="s">
        <v>1008</v>
      </c>
      <c r="K178" s="309">
        <v>576427.16</v>
      </c>
      <c r="L178" s="306" t="s">
        <v>1008</v>
      </c>
      <c r="M178" s="306" t="s">
        <v>3077</v>
      </c>
      <c r="N178" s="306" t="s">
        <v>3077</v>
      </c>
      <c r="O178" s="306" t="s">
        <v>1013</v>
      </c>
      <c r="P178" s="306" t="s">
        <v>1013</v>
      </c>
      <c r="Q178" s="306" t="s">
        <v>1013</v>
      </c>
      <c r="R178" s="306" t="s">
        <v>1013</v>
      </c>
      <c r="S178" s="306" t="s">
        <v>1013</v>
      </c>
      <c r="T178" s="306" t="s">
        <v>1013</v>
      </c>
      <c r="U178" s="306" t="s">
        <v>3078</v>
      </c>
      <c r="V178" s="306" t="s">
        <v>1013</v>
      </c>
      <c r="W178" s="306" t="s">
        <v>1013</v>
      </c>
      <c r="X178" s="306" t="s">
        <v>1013</v>
      </c>
      <c r="Y178" s="306" t="s">
        <v>3078</v>
      </c>
      <c r="Z178" s="306" t="s">
        <v>2456</v>
      </c>
      <c r="AA178" s="306" t="s">
        <v>1013</v>
      </c>
    </row>
    <row r="179" spans="1:27">
      <c r="A179" s="306" t="s">
        <v>494</v>
      </c>
      <c r="B179" s="306" t="s">
        <v>1003</v>
      </c>
      <c r="C179" s="306" t="s">
        <v>1004</v>
      </c>
      <c r="D179" s="306" t="s">
        <v>2480</v>
      </c>
      <c r="E179" s="306" t="s">
        <v>3079</v>
      </c>
      <c r="F179" s="306" t="s">
        <v>2482</v>
      </c>
      <c r="G179" s="308">
        <v>46007</v>
      </c>
      <c r="H179" s="308">
        <v>46008</v>
      </c>
      <c r="I179" s="309">
        <v>5100.67</v>
      </c>
      <c r="J179" s="306" t="s">
        <v>1008</v>
      </c>
      <c r="K179" s="309">
        <v>5100.67</v>
      </c>
      <c r="L179" s="306" t="s">
        <v>1008</v>
      </c>
      <c r="M179" s="306" t="s">
        <v>3080</v>
      </c>
      <c r="N179" s="306" t="s">
        <v>3080</v>
      </c>
      <c r="O179" s="306" t="s">
        <v>1013</v>
      </c>
      <c r="P179" s="306" t="s">
        <v>1013</v>
      </c>
      <c r="Q179" s="306" t="s">
        <v>1013</v>
      </c>
      <c r="R179" s="306" t="s">
        <v>1013</v>
      </c>
      <c r="S179" s="306" t="s">
        <v>1013</v>
      </c>
      <c r="T179" s="306" t="s">
        <v>1013</v>
      </c>
      <c r="U179" s="306" t="s">
        <v>3081</v>
      </c>
      <c r="V179" s="306" t="s">
        <v>1013</v>
      </c>
      <c r="W179" s="306" t="s">
        <v>1013</v>
      </c>
      <c r="X179" s="306" t="s">
        <v>1013</v>
      </c>
      <c r="Y179" s="306" t="s">
        <v>3081</v>
      </c>
      <c r="Z179" s="306" t="s">
        <v>2456</v>
      </c>
      <c r="AA179" s="306" t="s">
        <v>1013</v>
      </c>
    </row>
    <row r="180" spans="1:27">
      <c r="A180" s="306" t="s">
        <v>494</v>
      </c>
      <c r="B180" s="306" t="s">
        <v>1003</v>
      </c>
      <c r="C180" s="306" t="s">
        <v>1004</v>
      </c>
      <c r="D180" s="306" t="s">
        <v>2480</v>
      </c>
      <c r="E180" s="306" t="s">
        <v>3082</v>
      </c>
      <c r="F180" s="306" t="s">
        <v>2482</v>
      </c>
      <c r="G180" s="308">
        <v>46007</v>
      </c>
      <c r="H180" s="308">
        <v>46008</v>
      </c>
      <c r="I180" s="309">
        <v>17403.88</v>
      </c>
      <c r="J180" s="306" t="s">
        <v>1008</v>
      </c>
      <c r="K180" s="309">
        <v>17403.88</v>
      </c>
      <c r="L180" s="306" t="s">
        <v>1008</v>
      </c>
      <c r="M180" s="306" t="s">
        <v>3083</v>
      </c>
      <c r="N180" s="306" t="s">
        <v>3083</v>
      </c>
      <c r="O180" s="306" t="s">
        <v>1013</v>
      </c>
      <c r="P180" s="306" t="s">
        <v>1013</v>
      </c>
      <c r="Q180" s="306" t="s">
        <v>1013</v>
      </c>
      <c r="R180" s="306" t="s">
        <v>1013</v>
      </c>
      <c r="S180" s="306" t="s">
        <v>1013</v>
      </c>
      <c r="T180" s="306" t="s">
        <v>1013</v>
      </c>
      <c r="U180" s="306" t="s">
        <v>3084</v>
      </c>
      <c r="V180" s="306" t="s">
        <v>1013</v>
      </c>
      <c r="W180" s="306" t="s">
        <v>1013</v>
      </c>
      <c r="X180" s="306" t="s">
        <v>1013</v>
      </c>
      <c r="Y180" s="306" t="s">
        <v>3084</v>
      </c>
      <c r="Z180" s="306" t="s">
        <v>2456</v>
      </c>
      <c r="AA180" s="306" t="s">
        <v>1013</v>
      </c>
    </row>
    <row r="181" spans="1:27">
      <c r="A181" s="306" t="s">
        <v>494</v>
      </c>
      <c r="B181" s="306" t="s">
        <v>1003</v>
      </c>
      <c r="C181" s="306" t="s">
        <v>1004</v>
      </c>
      <c r="D181" s="306" t="s">
        <v>2480</v>
      </c>
      <c r="E181" s="306" t="s">
        <v>3085</v>
      </c>
      <c r="F181" s="306" t="s">
        <v>2482</v>
      </c>
      <c r="G181" s="308">
        <v>46007</v>
      </c>
      <c r="H181" s="308">
        <v>46008</v>
      </c>
      <c r="I181" s="309">
        <v>71924.94</v>
      </c>
      <c r="J181" s="306" t="s">
        <v>1008</v>
      </c>
      <c r="K181" s="309">
        <v>71924.94</v>
      </c>
      <c r="L181" s="306" t="s">
        <v>1008</v>
      </c>
      <c r="M181" s="306" t="s">
        <v>3086</v>
      </c>
      <c r="N181" s="306" t="s">
        <v>3086</v>
      </c>
      <c r="O181" s="306" t="s">
        <v>1013</v>
      </c>
      <c r="P181" s="306" t="s">
        <v>1013</v>
      </c>
      <c r="Q181" s="306" t="s">
        <v>1013</v>
      </c>
      <c r="R181" s="306" t="s">
        <v>1013</v>
      </c>
      <c r="S181" s="306" t="s">
        <v>1013</v>
      </c>
      <c r="T181" s="306" t="s">
        <v>1013</v>
      </c>
      <c r="U181" s="306" t="s">
        <v>3087</v>
      </c>
      <c r="V181" s="306" t="s">
        <v>1013</v>
      </c>
      <c r="W181" s="306" t="s">
        <v>1013</v>
      </c>
      <c r="X181" s="306" t="s">
        <v>1013</v>
      </c>
      <c r="Y181" s="306" t="s">
        <v>3087</v>
      </c>
      <c r="Z181" s="306" t="s">
        <v>2456</v>
      </c>
      <c r="AA181" s="306" t="s">
        <v>1013</v>
      </c>
    </row>
    <row r="182" spans="1:27">
      <c r="A182" s="306" t="s">
        <v>494</v>
      </c>
      <c r="B182" s="306" t="s">
        <v>1003</v>
      </c>
      <c r="C182" s="306" t="s">
        <v>1004</v>
      </c>
      <c r="D182" s="306" t="s">
        <v>2480</v>
      </c>
      <c r="E182" s="306" t="s">
        <v>3088</v>
      </c>
      <c r="F182" s="306" t="s">
        <v>2486</v>
      </c>
      <c r="G182" s="308">
        <v>46008</v>
      </c>
      <c r="H182" s="308">
        <v>46008</v>
      </c>
      <c r="I182" s="309">
        <v>3215.09</v>
      </c>
      <c r="J182" s="306" t="s">
        <v>1008</v>
      </c>
      <c r="K182" s="309">
        <v>3215.09</v>
      </c>
      <c r="L182" s="306" t="s">
        <v>1008</v>
      </c>
      <c r="M182" s="306" t="s">
        <v>3089</v>
      </c>
      <c r="N182" s="306" t="s">
        <v>3090</v>
      </c>
      <c r="O182" s="306" t="s">
        <v>1013</v>
      </c>
      <c r="P182" s="306" t="s">
        <v>1013</v>
      </c>
      <c r="Q182" s="306" t="s">
        <v>1013</v>
      </c>
      <c r="R182" s="306" t="s">
        <v>1013</v>
      </c>
      <c r="S182" s="306" t="s">
        <v>1013</v>
      </c>
      <c r="T182" s="306" t="s">
        <v>1013</v>
      </c>
      <c r="U182" s="306" t="s">
        <v>3091</v>
      </c>
      <c r="V182" s="306" t="s">
        <v>1013</v>
      </c>
      <c r="W182" s="306" t="s">
        <v>1013</v>
      </c>
      <c r="X182" s="306" t="s">
        <v>1013</v>
      </c>
      <c r="Y182" s="306" t="s">
        <v>2094</v>
      </c>
      <c r="Z182" s="306" t="s">
        <v>2456</v>
      </c>
      <c r="AA182" s="306" t="s">
        <v>1013</v>
      </c>
    </row>
    <row r="183" spans="1:27">
      <c r="A183" s="306" t="s">
        <v>494</v>
      </c>
      <c r="B183" s="306" t="s">
        <v>1003</v>
      </c>
      <c r="C183" s="306" t="s">
        <v>1004</v>
      </c>
      <c r="D183" s="306" t="s">
        <v>2480</v>
      </c>
      <c r="E183" s="306" t="s">
        <v>3092</v>
      </c>
      <c r="F183" s="306" t="s">
        <v>2482</v>
      </c>
      <c r="G183" s="308">
        <v>46007</v>
      </c>
      <c r="H183" s="308">
        <v>46008</v>
      </c>
      <c r="I183" s="309">
        <v>985.12</v>
      </c>
      <c r="J183" s="306" t="s">
        <v>1008</v>
      </c>
      <c r="K183" s="309">
        <v>985.12</v>
      </c>
      <c r="L183" s="306" t="s">
        <v>1008</v>
      </c>
      <c r="M183" s="306" t="s">
        <v>3093</v>
      </c>
      <c r="N183" s="306" t="s">
        <v>3093</v>
      </c>
      <c r="O183" s="306" t="s">
        <v>1013</v>
      </c>
      <c r="P183" s="306" t="s">
        <v>1013</v>
      </c>
      <c r="Q183" s="306" t="s">
        <v>1013</v>
      </c>
      <c r="R183" s="306" t="s">
        <v>1013</v>
      </c>
      <c r="S183" s="306" t="s">
        <v>1013</v>
      </c>
      <c r="T183" s="306" t="s">
        <v>1013</v>
      </c>
      <c r="U183" s="306" t="s">
        <v>3094</v>
      </c>
      <c r="V183" s="306" t="s">
        <v>1013</v>
      </c>
      <c r="W183" s="306" t="s">
        <v>1013</v>
      </c>
      <c r="X183" s="306" t="s">
        <v>1013</v>
      </c>
      <c r="Y183" s="306" t="s">
        <v>3094</v>
      </c>
      <c r="Z183" s="306" t="s">
        <v>2456</v>
      </c>
      <c r="AA183" s="306" t="s">
        <v>1013</v>
      </c>
    </row>
    <row r="184" spans="1:27">
      <c r="A184" s="306" t="s">
        <v>494</v>
      </c>
      <c r="B184" s="306" t="s">
        <v>1003</v>
      </c>
      <c r="C184" s="306" t="s">
        <v>1004</v>
      </c>
      <c r="D184" s="306" t="s">
        <v>2480</v>
      </c>
      <c r="E184" s="306" t="s">
        <v>3095</v>
      </c>
      <c r="F184" s="306" t="s">
        <v>2482</v>
      </c>
      <c r="G184" s="308">
        <v>46007</v>
      </c>
      <c r="H184" s="308">
        <v>46008</v>
      </c>
      <c r="I184" s="309">
        <v>1746.83</v>
      </c>
      <c r="J184" s="306" t="s">
        <v>1008</v>
      </c>
      <c r="K184" s="309">
        <v>1746.83</v>
      </c>
      <c r="L184" s="306" t="s">
        <v>1008</v>
      </c>
      <c r="M184" s="306" t="s">
        <v>3096</v>
      </c>
      <c r="N184" s="306" t="s">
        <v>3096</v>
      </c>
      <c r="O184" s="306" t="s">
        <v>1013</v>
      </c>
      <c r="P184" s="306" t="s">
        <v>1013</v>
      </c>
      <c r="Q184" s="306" t="s">
        <v>1013</v>
      </c>
      <c r="R184" s="306" t="s">
        <v>1013</v>
      </c>
      <c r="S184" s="306" t="s">
        <v>1013</v>
      </c>
      <c r="T184" s="306" t="s">
        <v>1013</v>
      </c>
      <c r="U184" s="306" t="s">
        <v>3097</v>
      </c>
      <c r="V184" s="306" t="s">
        <v>1013</v>
      </c>
      <c r="W184" s="306" t="s">
        <v>1013</v>
      </c>
      <c r="X184" s="306" t="s">
        <v>1013</v>
      </c>
      <c r="Y184" s="306" t="s">
        <v>3097</v>
      </c>
      <c r="Z184" s="306" t="s">
        <v>2456</v>
      </c>
      <c r="AA184" s="306" t="s">
        <v>1013</v>
      </c>
    </row>
    <row r="185" spans="1:27">
      <c r="A185" s="306" t="s">
        <v>494</v>
      </c>
      <c r="B185" s="306" t="s">
        <v>1003</v>
      </c>
      <c r="C185" s="306" t="s">
        <v>1004</v>
      </c>
      <c r="D185" s="306" t="s">
        <v>2480</v>
      </c>
      <c r="E185" s="306" t="s">
        <v>3098</v>
      </c>
      <c r="F185" s="306" t="s">
        <v>2486</v>
      </c>
      <c r="G185" s="308">
        <v>46008</v>
      </c>
      <c r="H185" s="308">
        <v>46008</v>
      </c>
      <c r="I185" s="309">
        <v>495.05</v>
      </c>
      <c r="J185" s="306" t="s">
        <v>1008</v>
      </c>
      <c r="K185" s="309">
        <v>495.05</v>
      </c>
      <c r="L185" s="306" t="s">
        <v>1008</v>
      </c>
      <c r="M185" s="306" t="s">
        <v>3099</v>
      </c>
      <c r="N185" s="306" t="s">
        <v>3100</v>
      </c>
      <c r="O185" s="306" t="s">
        <v>1013</v>
      </c>
      <c r="P185" s="306" t="s">
        <v>1013</v>
      </c>
      <c r="Q185" s="306" t="s">
        <v>1013</v>
      </c>
      <c r="R185" s="306" t="s">
        <v>1013</v>
      </c>
      <c r="S185" s="306" t="s">
        <v>1013</v>
      </c>
      <c r="T185" s="306" t="s">
        <v>1013</v>
      </c>
      <c r="U185" s="306" t="s">
        <v>3101</v>
      </c>
      <c r="V185" s="306" t="s">
        <v>1013</v>
      </c>
      <c r="W185" s="306" t="s">
        <v>1013</v>
      </c>
      <c r="X185" s="306" t="s">
        <v>1013</v>
      </c>
      <c r="Y185" s="306" t="s">
        <v>3102</v>
      </c>
      <c r="Z185" s="306" t="s">
        <v>2456</v>
      </c>
      <c r="AA185" s="306" t="s">
        <v>1013</v>
      </c>
    </row>
    <row r="186" spans="1:27">
      <c r="A186" s="306" t="s">
        <v>494</v>
      </c>
      <c r="B186" s="306" t="s">
        <v>1003</v>
      </c>
      <c r="C186" s="306" t="s">
        <v>1004</v>
      </c>
      <c r="D186" s="306" t="s">
        <v>2480</v>
      </c>
      <c r="E186" s="306" t="s">
        <v>3103</v>
      </c>
      <c r="F186" s="306" t="s">
        <v>2482</v>
      </c>
      <c r="G186" s="308">
        <v>46008</v>
      </c>
      <c r="H186" s="308">
        <v>46008</v>
      </c>
      <c r="I186" s="309">
        <v>454388.42</v>
      </c>
      <c r="J186" s="306" t="s">
        <v>1008</v>
      </c>
      <c r="K186" s="309">
        <v>454388.42</v>
      </c>
      <c r="L186" s="306" t="s">
        <v>1008</v>
      </c>
      <c r="M186" s="306" t="s">
        <v>3104</v>
      </c>
      <c r="N186" s="306" t="s">
        <v>3104</v>
      </c>
      <c r="O186" s="306" t="s">
        <v>1013</v>
      </c>
      <c r="P186" s="306" t="s">
        <v>1013</v>
      </c>
      <c r="Q186" s="306" t="s">
        <v>1013</v>
      </c>
      <c r="R186" s="306" t="s">
        <v>1013</v>
      </c>
      <c r="S186" s="306" t="s">
        <v>1013</v>
      </c>
      <c r="T186" s="306" t="s">
        <v>1013</v>
      </c>
      <c r="U186" s="306" t="s">
        <v>3105</v>
      </c>
      <c r="V186" s="306" t="s">
        <v>1013</v>
      </c>
      <c r="W186" s="306" t="s">
        <v>1013</v>
      </c>
      <c r="X186" s="306" t="s">
        <v>1013</v>
      </c>
      <c r="Y186" s="306" t="s">
        <v>3105</v>
      </c>
      <c r="Z186" s="306" t="s">
        <v>2456</v>
      </c>
      <c r="AA186" s="306" t="s">
        <v>1013</v>
      </c>
    </row>
    <row r="187" spans="1:27">
      <c r="A187" s="306" t="s">
        <v>494</v>
      </c>
      <c r="B187" s="306" t="s">
        <v>1003</v>
      </c>
      <c r="C187" s="306" t="s">
        <v>1004</v>
      </c>
      <c r="D187" s="306" t="s">
        <v>2480</v>
      </c>
      <c r="E187" s="306" t="s">
        <v>3106</v>
      </c>
      <c r="F187" s="306" t="s">
        <v>2486</v>
      </c>
      <c r="G187" s="308">
        <v>46008</v>
      </c>
      <c r="H187" s="308">
        <v>46008</v>
      </c>
      <c r="I187" s="309">
        <v>14414.36</v>
      </c>
      <c r="J187" s="306" t="s">
        <v>1008</v>
      </c>
      <c r="K187" s="309">
        <v>14414.36</v>
      </c>
      <c r="L187" s="306" t="s">
        <v>1008</v>
      </c>
      <c r="M187" s="306" t="s">
        <v>3107</v>
      </c>
      <c r="N187" s="306" t="s">
        <v>3108</v>
      </c>
      <c r="O187" s="306" t="s">
        <v>1013</v>
      </c>
      <c r="P187" s="306" t="s">
        <v>1013</v>
      </c>
      <c r="Q187" s="306" t="s">
        <v>1013</v>
      </c>
      <c r="R187" s="306" t="s">
        <v>1013</v>
      </c>
      <c r="S187" s="306" t="s">
        <v>1013</v>
      </c>
      <c r="T187" s="306" t="s">
        <v>1013</v>
      </c>
      <c r="U187" s="306" t="s">
        <v>3109</v>
      </c>
      <c r="V187" s="306" t="s">
        <v>1013</v>
      </c>
      <c r="W187" s="306" t="s">
        <v>1013</v>
      </c>
      <c r="X187" s="306" t="s">
        <v>1013</v>
      </c>
      <c r="Y187" s="306" t="s">
        <v>1537</v>
      </c>
      <c r="Z187" s="306" t="s">
        <v>2456</v>
      </c>
      <c r="AA187" s="306" t="s">
        <v>1013</v>
      </c>
    </row>
    <row r="188" spans="1:27">
      <c r="A188" s="306" t="s">
        <v>494</v>
      </c>
      <c r="B188" s="306" t="s">
        <v>1003</v>
      </c>
      <c r="C188" s="306" t="s">
        <v>1004</v>
      </c>
      <c r="D188" s="306" t="s">
        <v>2480</v>
      </c>
      <c r="E188" s="306" t="s">
        <v>3110</v>
      </c>
      <c r="F188" s="306" t="s">
        <v>2486</v>
      </c>
      <c r="G188" s="308">
        <v>46008</v>
      </c>
      <c r="H188" s="308">
        <v>46008</v>
      </c>
      <c r="I188" s="309">
        <v>8989.0300000000007</v>
      </c>
      <c r="J188" s="306" t="s">
        <v>1008</v>
      </c>
      <c r="K188" s="309">
        <v>8989.0300000000007</v>
      </c>
      <c r="L188" s="306" t="s">
        <v>1008</v>
      </c>
      <c r="M188" s="306" t="s">
        <v>3111</v>
      </c>
      <c r="N188" s="306" t="s">
        <v>3112</v>
      </c>
      <c r="O188" s="306" t="s">
        <v>1013</v>
      </c>
      <c r="P188" s="306" t="s">
        <v>1013</v>
      </c>
      <c r="Q188" s="306" t="s">
        <v>1013</v>
      </c>
      <c r="R188" s="306" t="s">
        <v>1013</v>
      </c>
      <c r="S188" s="306" t="s">
        <v>1013</v>
      </c>
      <c r="T188" s="306" t="s">
        <v>1013</v>
      </c>
      <c r="U188" s="306" t="s">
        <v>3113</v>
      </c>
      <c r="V188" s="306" t="s">
        <v>1013</v>
      </c>
      <c r="W188" s="306" t="s">
        <v>1013</v>
      </c>
      <c r="X188" s="306" t="s">
        <v>1013</v>
      </c>
      <c r="Y188" s="306" t="s">
        <v>1812</v>
      </c>
      <c r="Z188" s="306" t="s">
        <v>2456</v>
      </c>
      <c r="AA188" s="306" t="s">
        <v>1013</v>
      </c>
    </row>
    <row r="189" spans="1:27">
      <c r="A189" s="306" t="s">
        <v>494</v>
      </c>
      <c r="B189" s="306" t="s">
        <v>1003</v>
      </c>
      <c r="C189" s="306" t="s">
        <v>1004</v>
      </c>
      <c r="D189" s="306" t="s">
        <v>2480</v>
      </c>
      <c r="E189" s="306" t="s">
        <v>3114</v>
      </c>
      <c r="F189" s="306" t="s">
        <v>2486</v>
      </c>
      <c r="G189" s="308">
        <v>46008</v>
      </c>
      <c r="H189" s="308">
        <v>46008</v>
      </c>
      <c r="I189" s="309">
        <v>1424.52</v>
      </c>
      <c r="J189" s="306" t="s">
        <v>1008</v>
      </c>
      <c r="K189" s="309">
        <v>1424.52</v>
      </c>
      <c r="L189" s="306" t="s">
        <v>1008</v>
      </c>
      <c r="M189" s="306" t="s">
        <v>3115</v>
      </c>
      <c r="N189" s="306" t="s">
        <v>3116</v>
      </c>
      <c r="O189" s="306" t="s">
        <v>1013</v>
      </c>
      <c r="P189" s="306" t="s">
        <v>1013</v>
      </c>
      <c r="Q189" s="306" t="s">
        <v>1013</v>
      </c>
      <c r="R189" s="306" t="s">
        <v>1013</v>
      </c>
      <c r="S189" s="306" t="s">
        <v>1013</v>
      </c>
      <c r="T189" s="306" t="s">
        <v>1013</v>
      </c>
      <c r="U189" s="306" t="s">
        <v>3117</v>
      </c>
      <c r="V189" s="306" t="s">
        <v>1013</v>
      </c>
      <c r="W189" s="306" t="s">
        <v>1013</v>
      </c>
      <c r="X189" s="306" t="s">
        <v>1013</v>
      </c>
      <c r="Y189" s="306" t="s">
        <v>3118</v>
      </c>
      <c r="Z189" s="306" t="s">
        <v>2456</v>
      </c>
      <c r="AA189" s="306" t="s">
        <v>1013</v>
      </c>
    </row>
    <row r="190" spans="1:27">
      <c r="A190" s="306" t="s">
        <v>494</v>
      </c>
      <c r="B190" s="306" t="s">
        <v>1003</v>
      </c>
      <c r="C190" s="306" t="s">
        <v>1004</v>
      </c>
      <c r="D190" s="306" t="s">
        <v>2480</v>
      </c>
      <c r="E190" s="306" t="s">
        <v>3119</v>
      </c>
      <c r="F190" s="306" t="s">
        <v>2486</v>
      </c>
      <c r="G190" s="308">
        <v>46008</v>
      </c>
      <c r="H190" s="308">
        <v>46008</v>
      </c>
      <c r="I190" s="309">
        <v>6337.94</v>
      </c>
      <c r="J190" s="306" t="s">
        <v>1008</v>
      </c>
      <c r="K190" s="309">
        <v>6337.94</v>
      </c>
      <c r="L190" s="306" t="s">
        <v>1008</v>
      </c>
      <c r="M190" s="306" t="s">
        <v>3120</v>
      </c>
      <c r="N190" s="306" t="s">
        <v>3121</v>
      </c>
      <c r="O190" s="306" t="s">
        <v>1013</v>
      </c>
      <c r="P190" s="306" t="s">
        <v>1013</v>
      </c>
      <c r="Q190" s="306" t="s">
        <v>1013</v>
      </c>
      <c r="R190" s="306" t="s">
        <v>1013</v>
      </c>
      <c r="S190" s="306" t="s">
        <v>1013</v>
      </c>
      <c r="T190" s="306" t="s">
        <v>1013</v>
      </c>
      <c r="U190" s="306" t="s">
        <v>3122</v>
      </c>
      <c r="V190" s="306" t="s">
        <v>1013</v>
      </c>
      <c r="W190" s="306" t="s">
        <v>1013</v>
      </c>
      <c r="X190" s="306" t="s">
        <v>1013</v>
      </c>
      <c r="Y190" s="306" t="s">
        <v>1406</v>
      </c>
      <c r="Z190" s="306" t="s">
        <v>2456</v>
      </c>
      <c r="AA190" s="306" t="s">
        <v>1013</v>
      </c>
    </row>
    <row r="191" spans="1:27">
      <c r="A191" s="306" t="s">
        <v>494</v>
      </c>
      <c r="B191" s="306" t="s">
        <v>1003</v>
      </c>
      <c r="C191" s="306" t="s">
        <v>1004</v>
      </c>
      <c r="D191" s="306" t="s">
        <v>2480</v>
      </c>
      <c r="E191" s="306" t="s">
        <v>3123</v>
      </c>
      <c r="F191" s="306" t="s">
        <v>2486</v>
      </c>
      <c r="G191" s="308">
        <v>46008</v>
      </c>
      <c r="H191" s="308">
        <v>46008</v>
      </c>
      <c r="I191" s="309">
        <v>7473.57</v>
      </c>
      <c r="J191" s="306" t="s">
        <v>1008</v>
      </c>
      <c r="K191" s="309">
        <v>7473.57</v>
      </c>
      <c r="L191" s="306" t="s">
        <v>1008</v>
      </c>
      <c r="M191" s="306" t="s">
        <v>3124</v>
      </c>
      <c r="N191" s="306" t="s">
        <v>3125</v>
      </c>
      <c r="O191" s="306" t="s">
        <v>1013</v>
      </c>
      <c r="P191" s="306" t="s">
        <v>1013</v>
      </c>
      <c r="Q191" s="306" t="s">
        <v>1013</v>
      </c>
      <c r="R191" s="306" t="s">
        <v>1013</v>
      </c>
      <c r="S191" s="306" t="s">
        <v>1013</v>
      </c>
      <c r="T191" s="306" t="s">
        <v>1013</v>
      </c>
      <c r="U191" s="306" t="s">
        <v>3126</v>
      </c>
      <c r="V191" s="306" t="s">
        <v>1013</v>
      </c>
      <c r="W191" s="306" t="s">
        <v>1013</v>
      </c>
      <c r="X191" s="306" t="s">
        <v>1013</v>
      </c>
      <c r="Y191" s="306" t="s">
        <v>1153</v>
      </c>
      <c r="Z191" s="306" t="s">
        <v>2456</v>
      </c>
      <c r="AA191" s="306" t="s">
        <v>1013</v>
      </c>
    </row>
    <row r="192" spans="1:27">
      <c r="A192" s="306" t="s">
        <v>494</v>
      </c>
      <c r="B192" s="306" t="s">
        <v>1003</v>
      </c>
      <c r="C192" s="306" t="s">
        <v>1004</v>
      </c>
      <c r="D192" s="306" t="s">
        <v>2480</v>
      </c>
      <c r="E192" s="306" t="s">
        <v>3127</v>
      </c>
      <c r="F192" s="306" t="s">
        <v>2486</v>
      </c>
      <c r="G192" s="308">
        <v>46008</v>
      </c>
      <c r="H192" s="308">
        <v>46008</v>
      </c>
      <c r="I192" s="309">
        <v>4675.92</v>
      </c>
      <c r="J192" s="306" t="s">
        <v>1008</v>
      </c>
      <c r="K192" s="309">
        <v>4675.92</v>
      </c>
      <c r="L192" s="306" t="s">
        <v>1008</v>
      </c>
      <c r="M192" s="306" t="s">
        <v>3128</v>
      </c>
      <c r="N192" s="306" t="s">
        <v>3129</v>
      </c>
      <c r="O192" s="306" t="s">
        <v>1013</v>
      </c>
      <c r="P192" s="306" t="s">
        <v>1013</v>
      </c>
      <c r="Q192" s="306" t="s">
        <v>1013</v>
      </c>
      <c r="R192" s="306" t="s">
        <v>1013</v>
      </c>
      <c r="S192" s="306" t="s">
        <v>1013</v>
      </c>
      <c r="T192" s="306" t="s">
        <v>1013</v>
      </c>
      <c r="U192" s="306" t="s">
        <v>3130</v>
      </c>
      <c r="V192" s="306" t="s">
        <v>1013</v>
      </c>
      <c r="W192" s="306" t="s">
        <v>1013</v>
      </c>
      <c r="X192" s="306" t="s">
        <v>1013</v>
      </c>
      <c r="Y192" s="306" t="s">
        <v>1697</v>
      </c>
      <c r="Z192" s="306" t="s">
        <v>2456</v>
      </c>
      <c r="AA192" s="306" t="s">
        <v>1013</v>
      </c>
    </row>
    <row r="193" spans="1:27">
      <c r="A193" s="306" t="s">
        <v>494</v>
      </c>
      <c r="B193" s="306" t="s">
        <v>1003</v>
      </c>
      <c r="C193" s="306" t="s">
        <v>1004</v>
      </c>
      <c r="D193" s="306" t="s">
        <v>2480</v>
      </c>
      <c r="E193" s="306" t="s">
        <v>3131</v>
      </c>
      <c r="F193" s="306" t="s">
        <v>2486</v>
      </c>
      <c r="G193" s="308">
        <v>46008</v>
      </c>
      <c r="H193" s="308">
        <v>46008</v>
      </c>
      <c r="I193" s="309">
        <v>387.32</v>
      </c>
      <c r="J193" s="306" t="s">
        <v>1008</v>
      </c>
      <c r="K193" s="309">
        <v>387.32</v>
      </c>
      <c r="L193" s="306" t="s">
        <v>1008</v>
      </c>
      <c r="M193" s="306" t="s">
        <v>3132</v>
      </c>
      <c r="N193" s="306" t="s">
        <v>3133</v>
      </c>
      <c r="O193" s="306" t="s">
        <v>1013</v>
      </c>
      <c r="P193" s="306" t="s">
        <v>1013</v>
      </c>
      <c r="Q193" s="306" t="s">
        <v>1013</v>
      </c>
      <c r="R193" s="306" t="s">
        <v>1013</v>
      </c>
      <c r="S193" s="306" t="s">
        <v>1013</v>
      </c>
      <c r="T193" s="306" t="s">
        <v>1013</v>
      </c>
      <c r="U193" s="306" t="s">
        <v>3134</v>
      </c>
      <c r="V193" s="306" t="s">
        <v>1013</v>
      </c>
      <c r="W193" s="306" t="s">
        <v>1013</v>
      </c>
      <c r="X193" s="306" t="s">
        <v>1013</v>
      </c>
      <c r="Y193" s="306" t="s">
        <v>2637</v>
      </c>
      <c r="Z193" s="306" t="s">
        <v>2456</v>
      </c>
      <c r="AA193" s="306" t="s">
        <v>1013</v>
      </c>
    </row>
    <row r="194" spans="1:27">
      <c r="A194" s="306" t="s">
        <v>494</v>
      </c>
      <c r="B194" s="306" t="s">
        <v>1003</v>
      </c>
      <c r="C194" s="306" t="s">
        <v>1004</v>
      </c>
      <c r="D194" s="306" t="s">
        <v>2480</v>
      </c>
      <c r="E194" s="306" t="s">
        <v>3135</v>
      </c>
      <c r="F194" s="306" t="s">
        <v>2486</v>
      </c>
      <c r="G194" s="308">
        <v>46008</v>
      </c>
      <c r="H194" s="308">
        <v>46008</v>
      </c>
      <c r="I194" s="309">
        <v>640.78</v>
      </c>
      <c r="J194" s="306" t="s">
        <v>1008</v>
      </c>
      <c r="K194" s="309">
        <v>640.78</v>
      </c>
      <c r="L194" s="306" t="s">
        <v>1008</v>
      </c>
      <c r="M194" s="306" t="s">
        <v>3136</v>
      </c>
      <c r="N194" s="306" t="s">
        <v>3137</v>
      </c>
      <c r="O194" s="306" t="s">
        <v>1013</v>
      </c>
      <c r="P194" s="306" t="s">
        <v>1013</v>
      </c>
      <c r="Q194" s="306" t="s">
        <v>1013</v>
      </c>
      <c r="R194" s="306" t="s">
        <v>1013</v>
      </c>
      <c r="S194" s="306" t="s">
        <v>1013</v>
      </c>
      <c r="T194" s="306" t="s">
        <v>1013</v>
      </c>
      <c r="U194" s="306" t="s">
        <v>3138</v>
      </c>
      <c r="V194" s="306" t="s">
        <v>1013</v>
      </c>
      <c r="W194" s="306" t="s">
        <v>1013</v>
      </c>
      <c r="X194" s="306" t="s">
        <v>1013</v>
      </c>
      <c r="Y194" s="306" t="s">
        <v>2337</v>
      </c>
      <c r="Z194" s="306" t="s">
        <v>2456</v>
      </c>
      <c r="AA194" s="306" t="s">
        <v>1013</v>
      </c>
    </row>
    <row r="195" spans="1:27">
      <c r="A195" s="306" t="s">
        <v>494</v>
      </c>
      <c r="B195" s="306" t="s">
        <v>1003</v>
      </c>
      <c r="C195" s="306" t="s">
        <v>1004</v>
      </c>
      <c r="D195" s="306" t="s">
        <v>2480</v>
      </c>
      <c r="E195" s="306" t="s">
        <v>3139</v>
      </c>
      <c r="F195" s="306" t="s">
        <v>2486</v>
      </c>
      <c r="G195" s="308">
        <v>46008</v>
      </c>
      <c r="H195" s="308">
        <v>46008</v>
      </c>
      <c r="I195" s="309">
        <v>640.78</v>
      </c>
      <c r="J195" s="306" t="s">
        <v>1008</v>
      </c>
      <c r="K195" s="309">
        <v>640.78</v>
      </c>
      <c r="L195" s="306" t="s">
        <v>1008</v>
      </c>
      <c r="M195" s="306" t="s">
        <v>3140</v>
      </c>
      <c r="N195" s="306" t="s">
        <v>3141</v>
      </c>
      <c r="O195" s="306" t="s">
        <v>1013</v>
      </c>
      <c r="P195" s="306" t="s">
        <v>1013</v>
      </c>
      <c r="Q195" s="306" t="s">
        <v>1013</v>
      </c>
      <c r="R195" s="306" t="s">
        <v>1013</v>
      </c>
      <c r="S195" s="306" t="s">
        <v>1013</v>
      </c>
      <c r="T195" s="306" t="s">
        <v>1013</v>
      </c>
      <c r="U195" s="306" t="s">
        <v>3142</v>
      </c>
      <c r="V195" s="306" t="s">
        <v>1013</v>
      </c>
      <c r="W195" s="306" t="s">
        <v>1013</v>
      </c>
      <c r="X195" s="306" t="s">
        <v>1013</v>
      </c>
      <c r="Y195" s="306" t="s">
        <v>2337</v>
      </c>
      <c r="Z195" s="306" t="s">
        <v>2456</v>
      </c>
      <c r="AA195" s="306" t="s">
        <v>1013</v>
      </c>
    </row>
    <row r="196" spans="1:27">
      <c r="A196" s="306" t="s">
        <v>494</v>
      </c>
      <c r="B196" s="306" t="s">
        <v>1003</v>
      </c>
      <c r="C196" s="306" t="s">
        <v>1004</v>
      </c>
      <c r="D196" s="306" t="s">
        <v>2480</v>
      </c>
      <c r="E196" s="306" t="s">
        <v>3143</v>
      </c>
      <c r="F196" s="306" t="s">
        <v>2486</v>
      </c>
      <c r="G196" s="308">
        <v>46008</v>
      </c>
      <c r="H196" s="308">
        <v>46008</v>
      </c>
      <c r="I196" s="309">
        <v>1514.56</v>
      </c>
      <c r="J196" s="306" t="s">
        <v>1008</v>
      </c>
      <c r="K196" s="309">
        <v>1514.56</v>
      </c>
      <c r="L196" s="306" t="s">
        <v>1008</v>
      </c>
      <c r="M196" s="306" t="s">
        <v>3144</v>
      </c>
      <c r="N196" s="306" t="s">
        <v>3145</v>
      </c>
      <c r="O196" s="306" t="s">
        <v>1013</v>
      </c>
      <c r="P196" s="306" t="s">
        <v>1013</v>
      </c>
      <c r="Q196" s="306" t="s">
        <v>1013</v>
      </c>
      <c r="R196" s="306" t="s">
        <v>1013</v>
      </c>
      <c r="S196" s="306" t="s">
        <v>1013</v>
      </c>
      <c r="T196" s="306" t="s">
        <v>1013</v>
      </c>
      <c r="U196" s="306" t="s">
        <v>3146</v>
      </c>
      <c r="V196" s="306" t="s">
        <v>1013</v>
      </c>
      <c r="W196" s="306" t="s">
        <v>1013</v>
      </c>
      <c r="X196" s="306" t="s">
        <v>1013</v>
      </c>
      <c r="Y196" s="306" t="s">
        <v>3147</v>
      </c>
      <c r="Z196" s="306" t="s">
        <v>2456</v>
      </c>
      <c r="AA196" s="306" t="s">
        <v>1013</v>
      </c>
    </row>
    <row r="197" spans="1:27">
      <c r="A197" s="306" t="s">
        <v>494</v>
      </c>
      <c r="B197" s="306" t="s">
        <v>1003</v>
      </c>
      <c r="C197" s="306" t="s">
        <v>1004</v>
      </c>
      <c r="D197" s="306" t="s">
        <v>2480</v>
      </c>
      <c r="E197" s="306" t="s">
        <v>3148</v>
      </c>
      <c r="F197" s="306" t="s">
        <v>2486</v>
      </c>
      <c r="G197" s="308">
        <v>46008</v>
      </c>
      <c r="H197" s="308">
        <v>46008</v>
      </c>
      <c r="I197" s="309">
        <v>1368.95</v>
      </c>
      <c r="J197" s="306" t="s">
        <v>1008</v>
      </c>
      <c r="K197" s="309">
        <v>1368.95</v>
      </c>
      <c r="L197" s="306" t="s">
        <v>1008</v>
      </c>
      <c r="M197" s="306" t="s">
        <v>3149</v>
      </c>
      <c r="N197" s="306" t="s">
        <v>3150</v>
      </c>
      <c r="O197" s="306" t="s">
        <v>1013</v>
      </c>
      <c r="P197" s="306" t="s">
        <v>1013</v>
      </c>
      <c r="Q197" s="306" t="s">
        <v>1013</v>
      </c>
      <c r="R197" s="306" t="s">
        <v>1013</v>
      </c>
      <c r="S197" s="306" t="s">
        <v>1013</v>
      </c>
      <c r="T197" s="306" t="s">
        <v>1013</v>
      </c>
      <c r="U197" s="306" t="s">
        <v>3151</v>
      </c>
      <c r="V197" s="306" t="s">
        <v>1013</v>
      </c>
      <c r="W197" s="306" t="s">
        <v>1013</v>
      </c>
      <c r="X197" s="306" t="s">
        <v>1013</v>
      </c>
      <c r="Y197" s="306" t="s">
        <v>3063</v>
      </c>
      <c r="Z197" s="306" t="s">
        <v>2456</v>
      </c>
      <c r="AA197" s="306" t="s">
        <v>1013</v>
      </c>
    </row>
    <row r="198" spans="1:27">
      <c r="A198" s="306" t="s">
        <v>494</v>
      </c>
      <c r="B198" s="306" t="s">
        <v>1003</v>
      </c>
      <c r="C198" s="306" t="s">
        <v>1004</v>
      </c>
      <c r="D198" s="306" t="s">
        <v>2480</v>
      </c>
      <c r="E198" s="306" t="s">
        <v>3152</v>
      </c>
      <c r="F198" s="306" t="s">
        <v>2486</v>
      </c>
      <c r="G198" s="308">
        <v>46008</v>
      </c>
      <c r="H198" s="308">
        <v>46008</v>
      </c>
      <c r="I198" s="309">
        <v>439.66</v>
      </c>
      <c r="J198" s="306" t="s">
        <v>1008</v>
      </c>
      <c r="K198" s="309">
        <v>439.66</v>
      </c>
      <c r="L198" s="306" t="s">
        <v>1008</v>
      </c>
      <c r="M198" s="306" t="s">
        <v>3153</v>
      </c>
      <c r="N198" s="306" t="s">
        <v>3154</v>
      </c>
      <c r="O198" s="306" t="s">
        <v>1013</v>
      </c>
      <c r="P198" s="306" t="s">
        <v>1013</v>
      </c>
      <c r="Q198" s="306" t="s">
        <v>1013</v>
      </c>
      <c r="R198" s="306" t="s">
        <v>1013</v>
      </c>
      <c r="S198" s="306" t="s">
        <v>1013</v>
      </c>
      <c r="T198" s="306" t="s">
        <v>1013</v>
      </c>
      <c r="U198" s="306" t="s">
        <v>3155</v>
      </c>
      <c r="V198" s="306" t="s">
        <v>1013</v>
      </c>
      <c r="W198" s="306" t="s">
        <v>1013</v>
      </c>
      <c r="X198" s="306" t="s">
        <v>1013</v>
      </c>
      <c r="Y198" s="306" t="s">
        <v>3156</v>
      </c>
      <c r="Z198" s="306" t="s">
        <v>2456</v>
      </c>
      <c r="AA198" s="306" t="s">
        <v>1013</v>
      </c>
    </row>
    <row r="199" spans="1:27">
      <c r="A199" s="306" t="s">
        <v>494</v>
      </c>
      <c r="B199" s="306" t="s">
        <v>1003</v>
      </c>
      <c r="C199" s="306" t="s">
        <v>1004</v>
      </c>
      <c r="D199" s="306" t="s">
        <v>2480</v>
      </c>
      <c r="E199" s="306" t="s">
        <v>3157</v>
      </c>
      <c r="F199" s="306" t="s">
        <v>2486</v>
      </c>
      <c r="G199" s="308">
        <v>46008</v>
      </c>
      <c r="H199" s="308">
        <v>46008</v>
      </c>
      <c r="I199" s="309">
        <v>10860.35</v>
      </c>
      <c r="J199" s="306" t="s">
        <v>1008</v>
      </c>
      <c r="K199" s="309">
        <v>10860.35</v>
      </c>
      <c r="L199" s="306" t="s">
        <v>1008</v>
      </c>
      <c r="M199" s="306" t="s">
        <v>3158</v>
      </c>
      <c r="N199" s="306" t="s">
        <v>3159</v>
      </c>
      <c r="O199" s="306" t="s">
        <v>1013</v>
      </c>
      <c r="P199" s="306" t="s">
        <v>1013</v>
      </c>
      <c r="Q199" s="306" t="s">
        <v>1013</v>
      </c>
      <c r="R199" s="306" t="s">
        <v>1013</v>
      </c>
      <c r="S199" s="306" t="s">
        <v>1013</v>
      </c>
      <c r="T199" s="306" t="s">
        <v>1013</v>
      </c>
      <c r="U199" s="306" t="s">
        <v>3160</v>
      </c>
      <c r="V199" s="306" t="s">
        <v>1013</v>
      </c>
      <c r="W199" s="306" t="s">
        <v>1013</v>
      </c>
      <c r="X199" s="306" t="s">
        <v>1013</v>
      </c>
      <c r="Y199" s="306" t="s">
        <v>2509</v>
      </c>
      <c r="Z199" s="306" t="s">
        <v>2456</v>
      </c>
      <c r="AA199" s="306" t="s">
        <v>1013</v>
      </c>
    </row>
    <row r="200" spans="1:27">
      <c r="A200" s="306" t="s">
        <v>494</v>
      </c>
      <c r="B200" s="306" t="s">
        <v>1003</v>
      </c>
      <c r="C200" s="306" t="s">
        <v>1004</v>
      </c>
      <c r="D200" s="306" t="s">
        <v>2480</v>
      </c>
      <c r="E200" s="306" t="s">
        <v>3161</v>
      </c>
      <c r="F200" s="306" t="s">
        <v>2486</v>
      </c>
      <c r="G200" s="308">
        <v>46008</v>
      </c>
      <c r="H200" s="308">
        <v>46008</v>
      </c>
      <c r="I200" s="309">
        <v>106.69</v>
      </c>
      <c r="J200" s="306" t="s">
        <v>1008</v>
      </c>
      <c r="K200" s="309">
        <v>106.69</v>
      </c>
      <c r="L200" s="306" t="s">
        <v>1008</v>
      </c>
      <c r="M200" s="306" t="s">
        <v>3162</v>
      </c>
      <c r="N200" s="306" t="s">
        <v>3163</v>
      </c>
      <c r="O200" s="306" t="s">
        <v>1013</v>
      </c>
      <c r="P200" s="306" t="s">
        <v>1013</v>
      </c>
      <c r="Q200" s="306" t="s">
        <v>1013</v>
      </c>
      <c r="R200" s="306" t="s">
        <v>1013</v>
      </c>
      <c r="S200" s="306" t="s">
        <v>1013</v>
      </c>
      <c r="T200" s="306" t="s">
        <v>1013</v>
      </c>
      <c r="U200" s="306" t="s">
        <v>3164</v>
      </c>
      <c r="V200" s="306" t="s">
        <v>1013</v>
      </c>
      <c r="W200" s="306" t="s">
        <v>1013</v>
      </c>
      <c r="X200" s="306" t="s">
        <v>1013</v>
      </c>
      <c r="Y200" s="306" t="s">
        <v>2509</v>
      </c>
      <c r="Z200" s="306" t="s">
        <v>2456</v>
      </c>
      <c r="AA200" s="306" t="s">
        <v>1013</v>
      </c>
    </row>
    <row r="201" spans="1:27">
      <c r="A201" s="306" t="s">
        <v>494</v>
      </c>
      <c r="B201" s="306" t="s">
        <v>1003</v>
      </c>
      <c r="C201" s="306" t="s">
        <v>1004</v>
      </c>
      <c r="D201" s="306" t="s">
        <v>2480</v>
      </c>
      <c r="E201" s="306" t="s">
        <v>3165</v>
      </c>
      <c r="F201" s="306" t="s">
        <v>2486</v>
      </c>
      <c r="G201" s="308">
        <v>46008</v>
      </c>
      <c r="H201" s="308">
        <v>46008</v>
      </c>
      <c r="I201" s="309">
        <v>317.52</v>
      </c>
      <c r="J201" s="306" t="s">
        <v>1008</v>
      </c>
      <c r="K201" s="309">
        <v>317.52</v>
      </c>
      <c r="L201" s="306" t="s">
        <v>1008</v>
      </c>
      <c r="M201" s="306" t="s">
        <v>3166</v>
      </c>
      <c r="N201" s="306" t="s">
        <v>3167</v>
      </c>
      <c r="O201" s="306" t="s">
        <v>1013</v>
      </c>
      <c r="P201" s="306" t="s">
        <v>1013</v>
      </c>
      <c r="Q201" s="306" t="s">
        <v>1013</v>
      </c>
      <c r="R201" s="306" t="s">
        <v>1013</v>
      </c>
      <c r="S201" s="306" t="s">
        <v>1013</v>
      </c>
      <c r="T201" s="306" t="s">
        <v>1013</v>
      </c>
      <c r="U201" s="306" t="s">
        <v>3168</v>
      </c>
      <c r="V201" s="306" t="s">
        <v>1013</v>
      </c>
      <c r="W201" s="306" t="s">
        <v>1013</v>
      </c>
      <c r="X201" s="306" t="s">
        <v>1013</v>
      </c>
      <c r="Y201" s="306" t="s">
        <v>2509</v>
      </c>
      <c r="Z201" s="306" t="s">
        <v>2456</v>
      </c>
      <c r="AA201" s="306" t="s">
        <v>1013</v>
      </c>
    </row>
    <row r="202" spans="1:27">
      <c r="A202" s="306" t="s">
        <v>494</v>
      </c>
      <c r="B202" s="306" t="s">
        <v>1003</v>
      </c>
      <c r="C202" s="306" t="s">
        <v>1004</v>
      </c>
      <c r="D202" s="306" t="s">
        <v>2480</v>
      </c>
      <c r="E202" s="306" t="s">
        <v>3169</v>
      </c>
      <c r="F202" s="306" t="s">
        <v>2486</v>
      </c>
      <c r="G202" s="308">
        <v>46008</v>
      </c>
      <c r="H202" s="308">
        <v>46008</v>
      </c>
      <c r="I202" s="309">
        <v>547.83000000000004</v>
      </c>
      <c r="J202" s="306" t="s">
        <v>1008</v>
      </c>
      <c r="K202" s="309">
        <v>547.83000000000004</v>
      </c>
      <c r="L202" s="306" t="s">
        <v>1008</v>
      </c>
      <c r="M202" s="306" t="s">
        <v>3170</v>
      </c>
      <c r="N202" s="306" t="s">
        <v>3171</v>
      </c>
      <c r="O202" s="306" t="s">
        <v>1013</v>
      </c>
      <c r="P202" s="306" t="s">
        <v>1013</v>
      </c>
      <c r="Q202" s="306" t="s">
        <v>1013</v>
      </c>
      <c r="R202" s="306" t="s">
        <v>1013</v>
      </c>
      <c r="S202" s="306" t="s">
        <v>1013</v>
      </c>
      <c r="T202" s="306" t="s">
        <v>1013</v>
      </c>
      <c r="U202" s="306" t="s">
        <v>3172</v>
      </c>
      <c r="V202" s="306" t="s">
        <v>1013</v>
      </c>
      <c r="W202" s="306" t="s">
        <v>1013</v>
      </c>
      <c r="X202" s="306" t="s">
        <v>1013</v>
      </c>
      <c r="Y202" s="306" t="s">
        <v>2509</v>
      </c>
      <c r="Z202" s="306" t="s">
        <v>2456</v>
      </c>
      <c r="AA202" s="306" t="s">
        <v>1013</v>
      </c>
    </row>
    <row r="203" spans="1:27">
      <c r="A203" s="306" t="s">
        <v>494</v>
      </c>
      <c r="B203" s="306" t="s">
        <v>1003</v>
      </c>
      <c r="C203" s="306" t="s">
        <v>1004</v>
      </c>
      <c r="D203" s="306" t="s">
        <v>2480</v>
      </c>
      <c r="E203" s="306" t="s">
        <v>3173</v>
      </c>
      <c r="F203" s="306" t="s">
        <v>1007</v>
      </c>
      <c r="G203" s="308">
        <v>46000</v>
      </c>
      <c r="H203" s="308">
        <v>46009</v>
      </c>
      <c r="I203" s="309">
        <v>89335.51</v>
      </c>
      <c r="J203" s="306" t="s">
        <v>1008</v>
      </c>
      <c r="K203" s="309">
        <v>89335.51</v>
      </c>
      <c r="L203" s="306" t="s">
        <v>1008</v>
      </c>
      <c r="M203" s="306" t="s">
        <v>3174</v>
      </c>
      <c r="N203" s="306" t="s">
        <v>3175</v>
      </c>
      <c r="O203" s="306" t="s">
        <v>2049</v>
      </c>
      <c r="P203" s="306" t="s">
        <v>1013</v>
      </c>
      <c r="Q203" s="306" t="s">
        <v>1013</v>
      </c>
      <c r="R203" s="306" t="s">
        <v>1013</v>
      </c>
      <c r="S203" s="306" t="s">
        <v>1013</v>
      </c>
      <c r="T203" s="306" t="s">
        <v>1013</v>
      </c>
      <c r="U203" s="306" t="s">
        <v>2604</v>
      </c>
      <c r="V203" s="306" t="s">
        <v>1013</v>
      </c>
      <c r="W203" s="306" t="s">
        <v>1013</v>
      </c>
      <c r="X203" s="306" t="s">
        <v>1013</v>
      </c>
      <c r="Y203" s="306" t="s">
        <v>2604</v>
      </c>
      <c r="Z203" s="306" t="s">
        <v>2456</v>
      </c>
      <c r="AA203" s="306" t="s">
        <v>1013</v>
      </c>
    </row>
    <row r="204" spans="1:27">
      <c r="A204" s="306" t="s">
        <v>494</v>
      </c>
      <c r="B204" s="306" t="s">
        <v>1003</v>
      </c>
      <c r="C204" s="306" t="s">
        <v>1004</v>
      </c>
      <c r="D204" s="306" t="s">
        <v>2480</v>
      </c>
      <c r="E204" s="306" t="s">
        <v>3176</v>
      </c>
      <c r="F204" s="306" t="s">
        <v>1007</v>
      </c>
      <c r="G204" s="308">
        <v>46000</v>
      </c>
      <c r="H204" s="308">
        <v>46009</v>
      </c>
      <c r="I204" s="309">
        <v>3613.43</v>
      </c>
      <c r="J204" s="306" t="s">
        <v>1008</v>
      </c>
      <c r="K204" s="309">
        <v>3613.43</v>
      </c>
      <c r="L204" s="306" t="s">
        <v>1008</v>
      </c>
      <c r="M204" s="306" t="s">
        <v>3177</v>
      </c>
      <c r="N204" s="306" t="s">
        <v>3178</v>
      </c>
      <c r="O204" s="306" t="s">
        <v>2046</v>
      </c>
      <c r="P204" s="306" t="s">
        <v>1013</v>
      </c>
      <c r="Q204" s="306" t="s">
        <v>1013</v>
      </c>
      <c r="R204" s="306" t="s">
        <v>1013</v>
      </c>
      <c r="S204" s="306" t="s">
        <v>1013</v>
      </c>
      <c r="T204" s="306" t="s">
        <v>1013</v>
      </c>
      <c r="U204" s="306" t="s">
        <v>2604</v>
      </c>
      <c r="V204" s="306" t="s">
        <v>1013</v>
      </c>
      <c r="W204" s="306" t="s">
        <v>1013</v>
      </c>
      <c r="X204" s="306" t="s">
        <v>1013</v>
      </c>
      <c r="Y204" s="306" t="s">
        <v>2604</v>
      </c>
      <c r="Z204" s="306" t="s">
        <v>2456</v>
      </c>
      <c r="AA204" s="306" t="s">
        <v>1013</v>
      </c>
    </row>
    <row r="205" spans="1:27">
      <c r="A205" s="306" t="s">
        <v>494</v>
      </c>
      <c r="B205" s="306" t="s">
        <v>1003</v>
      </c>
      <c r="C205" s="306" t="s">
        <v>1004</v>
      </c>
      <c r="D205" s="306" t="s">
        <v>2480</v>
      </c>
      <c r="E205" s="306" t="s">
        <v>3179</v>
      </c>
      <c r="F205" s="306" t="s">
        <v>1007</v>
      </c>
      <c r="G205" s="308">
        <v>46000</v>
      </c>
      <c r="H205" s="308">
        <v>46009</v>
      </c>
      <c r="I205" s="309">
        <v>96930.14</v>
      </c>
      <c r="J205" s="306" t="s">
        <v>1008</v>
      </c>
      <c r="K205" s="309">
        <v>96930.14</v>
      </c>
      <c r="L205" s="306" t="s">
        <v>1008</v>
      </c>
      <c r="M205" s="306" t="s">
        <v>3180</v>
      </c>
      <c r="N205" s="306" t="s">
        <v>3181</v>
      </c>
      <c r="O205" s="306" t="s">
        <v>2053</v>
      </c>
      <c r="P205" s="306" t="s">
        <v>1013</v>
      </c>
      <c r="Q205" s="306" t="s">
        <v>1013</v>
      </c>
      <c r="R205" s="306" t="s">
        <v>1013</v>
      </c>
      <c r="S205" s="306" t="s">
        <v>1013</v>
      </c>
      <c r="T205" s="306" t="s">
        <v>1013</v>
      </c>
      <c r="U205" s="306" t="s">
        <v>2604</v>
      </c>
      <c r="V205" s="306" t="s">
        <v>1013</v>
      </c>
      <c r="W205" s="306" t="s">
        <v>1013</v>
      </c>
      <c r="X205" s="306" t="s">
        <v>1013</v>
      </c>
      <c r="Y205" s="306" t="s">
        <v>2604</v>
      </c>
      <c r="Z205" s="306" t="s">
        <v>2456</v>
      </c>
      <c r="AA205" s="306" t="s">
        <v>1013</v>
      </c>
    </row>
    <row r="206" spans="1:27">
      <c r="A206" s="306" t="s">
        <v>494</v>
      </c>
      <c r="B206" s="306" t="s">
        <v>1003</v>
      </c>
      <c r="C206" s="306" t="s">
        <v>1004</v>
      </c>
      <c r="D206" s="306" t="s">
        <v>2480</v>
      </c>
      <c r="E206" s="306" t="s">
        <v>3182</v>
      </c>
      <c r="F206" s="306" t="s">
        <v>1007</v>
      </c>
      <c r="G206" s="308">
        <v>46000</v>
      </c>
      <c r="H206" s="308">
        <v>46009</v>
      </c>
      <c r="I206" s="309">
        <v>478.82</v>
      </c>
      <c r="J206" s="306" t="s">
        <v>1008</v>
      </c>
      <c r="K206" s="309">
        <v>478.82</v>
      </c>
      <c r="L206" s="306" t="s">
        <v>1008</v>
      </c>
      <c r="M206" s="306" t="s">
        <v>3183</v>
      </c>
      <c r="N206" s="306" t="s">
        <v>3184</v>
      </c>
      <c r="O206" s="306" t="s">
        <v>3185</v>
      </c>
      <c r="P206" s="306" t="s">
        <v>1013</v>
      </c>
      <c r="Q206" s="306" t="s">
        <v>1013</v>
      </c>
      <c r="R206" s="306" t="s">
        <v>1013</v>
      </c>
      <c r="S206" s="306" t="s">
        <v>1013</v>
      </c>
      <c r="T206" s="306" t="s">
        <v>1013</v>
      </c>
      <c r="U206" s="306" t="s">
        <v>2604</v>
      </c>
      <c r="V206" s="306" t="s">
        <v>1013</v>
      </c>
      <c r="W206" s="306" t="s">
        <v>1013</v>
      </c>
      <c r="X206" s="306" t="s">
        <v>1013</v>
      </c>
      <c r="Y206" s="306" t="s">
        <v>2604</v>
      </c>
      <c r="Z206" s="306" t="s">
        <v>2456</v>
      </c>
      <c r="AA206" s="306" t="s">
        <v>1013</v>
      </c>
    </row>
    <row r="207" spans="1:27">
      <c r="A207" s="306" t="s">
        <v>494</v>
      </c>
      <c r="B207" s="306" t="s">
        <v>1003</v>
      </c>
      <c r="C207" s="306" t="s">
        <v>1004</v>
      </c>
      <c r="D207" s="306" t="s">
        <v>2480</v>
      </c>
      <c r="E207" s="306" t="s">
        <v>3186</v>
      </c>
      <c r="F207" s="306" t="s">
        <v>1007</v>
      </c>
      <c r="G207" s="308">
        <v>46000</v>
      </c>
      <c r="H207" s="308">
        <v>46009</v>
      </c>
      <c r="I207" s="309">
        <v>162238.85</v>
      </c>
      <c r="J207" s="306" t="s">
        <v>1008</v>
      </c>
      <c r="K207" s="309">
        <v>162238.85</v>
      </c>
      <c r="L207" s="306" t="s">
        <v>1008</v>
      </c>
      <c r="M207" s="306" t="s">
        <v>3187</v>
      </c>
      <c r="N207" s="306" t="s">
        <v>3188</v>
      </c>
      <c r="O207" s="306" t="s">
        <v>3189</v>
      </c>
      <c r="P207" s="306" t="s">
        <v>1013</v>
      </c>
      <c r="Q207" s="306" t="s">
        <v>1013</v>
      </c>
      <c r="R207" s="306" t="s">
        <v>1013</v>
      </c>
      <c r="S207" s="306" t="s">
        <v>1013</v>
      </c>
      <c r="T207" s="306" t="s">
        <v>1013</v>
      </c>
      <c r="U207" s="306" t="s">
        <v>2604</v>
      </c>
      <c r="V207" s="306" t="s">
        <v>1013</v>
      </c>
      <c r="W207" s="306" t="s">
        <v>1013</v>
      </c>
      <c r="X207" s="306" t="s">
        <v>1013</v>
      </c>
      <c r="Y207" s="306" t="s">
        <v>2604</v>
      </c>
      <c r="Z207" s="306" t="s">
        <v>2456</v>
      </c>
      <c r="AA207" s="306" t="s">
        <v>1013</v>
      </c>
    </row>
    <row r="208" spans="1:27">
      <c r="A208" s="306" t="s">
        <v>494</v>
      </c>
      <c r="B208" s="306" t="s">
        <v>1003</v>
      </c>
      <c r="C208" s="306" t="s">
        <v>1004</v>
      </c>
      <c r="D208" s="306" t="s">
        <v>2480</v>
      </c>
      <c r="E208" s="306" t="s">
        <v>3190</v>
      </c>
      <c r="F208" s="306" t="s">
        <v>1007</v>
      </c>
      <c r="G208" s="308">
        <v>46000</v>
      </c>
      <c r="H208" s="308">
        <v>46009</v>
      </c>
      <c r="I208" s="309">
        <v>30167.61</v>
      </c>
      <c r="J208" s="306" t="s">
        <v>1008</v>
      </c>
      <c r="K208" s="309">
        <v>30167.61</v>
      </c>
      <c r="L208" s="306" t="s">
        <v>1008</v>
      </c>
      <c r="M208" s="306" t="s">
        <v>3191</v>
      </c>
      <c r="N208" s="306" t="s">
        <v>3192</v>
      </c>
      <c r="O208" s="306" t="s">
        <v>3189</v>
      </c>
      <c r="P208" s="306" t="s">
        <v>1013</v>
      </c>
      <c r="Q208" s="306" t="s">
        <v>1013</v>
      </c>
      <c r="R208" s="306" t="s">
        <v>1013</v>
      </c>
      <c r="S208" s="306" t="s">
        <v>1013</v>
      </c>
      <c r="T208" s="306" t="s">
        <v>1013</v>
      </c>
      <c r="U208" s="306" t="s">
        <v>2604</v>
      </c>
      <c r="V208" s="306" t="s">
        <v>1013</v>
      </c>
      <c r="W208" s="306" t="s">
        <v>1013</v>
      </c>
      <c r="X208" s="306" t="s">
        <v>1013</v>
      </c>
      <c r="Y208" s="306" t="s">
        <v>2604</v>
      </c>
      <c r="Z208" s="306" t="s">
        <v>2456</v>
      </c>
      <c r="AA208" s="306" t="s">
        <v>1013</v>
      </c>
    </row>
    <row r="209" spans="1:27">
      <c r="A209" s="306" t="s">
        <v>494</v>
      </c>
      <c r="B209" s="306" t="s">
        <v>1003</v>
      </c>
      <c r="C209" s="306" t="s">
        <v>1004</v>
      </c>
      <c r="D209" s="306" t="s">
        <v>2480</v>
      </c>
      <c r="E209" s="306" t="s">
        <v>3193</v>
      </c>
      <c r="F209" s="306" t="s">
        <v>1007</v>
      </c>
      <c r="G209" s="308">
        <v>46000</v>
      </c>
      <c r="H209" s="308">
        <v>46009</v>
      </c>
      <c r="I209" s="309">
        <v>33075.89</v>
      </c>
      <c r="J209" s="306" t="s">
        <v>1008</v>
      </c>
      <c r="K209" s="309">
        <v>33075.89</v>
      </c>
      <c r="L209" s="306" t="s">
        <v>1008</v>
      </c>
      <c r="M209" s="306" t="s">
        <v>3194</v>
      </c>
      <c r="N209" s="306" t="s">
        <v>3195</v>
      </c>
      <c r="O209" s="306" t="s">
        <v>3196</v>
      </c>
      <c r="P209" s="306" t="s">
        <v>1013</v>
      </c>
      <c r="Q209" s="306" t="s">
        <v>1013</v>
      </c>
      <c r="R209" s="306" t="s">
        <v>1013</v>
      </c>
      <c r="S209" s="306" t="s">
        <v>1013</v>
      </c>
      <c r="T209" s="306" t="s">
        <v>1013</v>
      </c>
      <c r="U209" s="306" t="s">
        <v>2604</v>
      </c>
      <c r="V209" s="306" t="s">
        <v>1013</v>
      </c>
      <c r="W209" s="306" t="s">
        <v>1013</v>
      </c>
      <c r="X209" s="306" t="s">
        <v>1013</v>
      </c>
      <c r="Y209" s="306" t="s">
        <v>2604</v>
      </c>
      <c r="Z209" s="306" t="s">
        <v>2456</v>
      </c>
      <c r="AA209" s="306" t="s">
        <v>1013</v>
      </c>
    </row>
    <row r="210" spans="1:27">
      <c r="A210" s="306" t="s">
        <v>494</v>
      </c>
      <c r="B210" s="306" t="s">
        <v>1003</v>
      </c>
      <c r="C210" s="306" t="s">
        <v>1004</v>
      </c>
      <c r="D210" s="306" t="s">
        <v>2480</v>
      </c>
      <c r="E210" s="306" t="s">
        <v>3197</v>
      </c>
      <c r="F210" s="306" t="s">
        <v>2482</v>
      </c>
      <c r="G210" s="308">
        <v>46008</v>
      </c>
      <c r="H210" s="308">
        <v>46009</v>
      </c>
      <c r="I210" s="309">
        <v>170932.3</v>
      </c>
      <c r="J210" s="306" t="s">
        <v>1008</v>
      </c>
      <c r="K210" s="309">
        <v>170932.3</v>
      </c>
      <c r="L210" s="306" t="s">
        <v>1008</v>
      </c>
      <c r="M210" s="306" t="s">
        <v>3198</v>
      </c>
      <c r="N210" s="306" t="s">
        <v>3198</v>
      </c>
      <c r="O210" s="306" t="s">
        <v>1013</v>
      </c>
      <c r="P210" s="306" t="s">
        <v>1013</v>
      </c>
      <c r="Q210" s="306" t="s">
        <v>1013</v>
      </c>
      <c r="R210" s="306" t="s">
        <v>1013</v>
      </c>
      <c r="S210" s="306" t="s">
        <v>1013</v>
      </c>
      <c r="T210" s="306" t="s">
        <v>1013</v>
      </c>
      <c r="U210" s="306" t="s">
        <v>3199</v>
      </c>
      <c r="V210" s="306" t="s">
        <v>1013</v>
      </c>
      <c r="W210" s="306" t="s">
        <v>1013</v>
      </c>
      <c r="X210" s="306" t="s">
        <v>1013</v>
      </c>
      <c r="Y210" s="306" t="s">
        <v>3199</v>
      </c>
      <c r="Z210" s="306" t="s">
        <v>2456</v>
      </c>
      <c r="AA210" s="306" t="s">
        <v>1013</v>
      </c>
    </row>
    <row r="211" spans="1:27">
      <c r="A211" s="306" t="s">
        <v>494</v>
      </c>
      <c r="B211" s="306" t="s">
        <v>1003</v>
      </c>
      <c r="C211" s="306" t="s">
        <v>1004</v>
      </c>
      <c r="D211" s="306" t="s">
        <v>2480</v>
      </c>
      <c r="E211" s="306" t="s">
        <v>3200</v>
      </c>
      <c r="F211" s="306" t="s">
        <v>2482</v>
      </c>
      <c r="G211" s="308">
        <v>46008</v>
      </c>
      <c r="H211" s="308">
        <v>46009</v>
      </c>
      <c r="I211" s="309">
        <v>2344.6799999999998</v>
      </c>
      <c r="J211" s="306" t="s">
        <v>1008</v>
      </c>
      <c r="K211" s="309">
        <v>2344.6799999999998</v>
      </c>
      <c r="L211" s="306" t="s">
        <v>1008</v>
      </c>
      <c r="M211" s="306" t="s">
        <v>3201</v>
      </c>
      <c r="N211" s="306" t="s">
        <v>3201</v>
      </c>
      <c r="O211" s="306" t="s">
        <v>1013</v>
      </c>
      <c r="P211" s="306" t="s">
        <v>1013</v>
      </c>
      <c r="Q211" s="306" t="s">
        <v>1013</v>
      </c>
      <c r="R211" s="306" t="s">
        <v>1013</v>
      </c>
      <c r="S211" s="306" t="s">
        <v>1013</v>
      </c>
      <c r="T211" s="306" t="s">
        <v>1013</v>
      </c>
      <c r="U211" s="306" t="s">
        <v>3202</v>
      </c>
      <c r="V211" s="306" t="s">
        <v>1013</v>
      </c>
      <c r="W211" s="306" t="s">
        <v>1013</v>
      </c>
      <c r="X211" s="306" t="s">
        <v>1013</v>
      </c>
      <c r="Y211" s="306" t="s">
        <v>3202</v>
      </c>
      <c r="Z211" s="306" t="s">
        <v>2456</v>
      </c>
      <c r="AA211" s="306" t="s">
        <v>1013</v>
      </c>
    </row>
    <row r="212" spans="1:27">
      <c r="A212" s="306" t="s">
        <v>494</v>
      </c>
      <c r="B212" s="306" t="s">
        <v>1003</v>
      </c>
      <c r="C212" s="306" t="s">
        <v>1004</v>
      </c>
      <c r="D212" s="306" t="s">
        <v>2480</v>
      </c>
      <c r="E212" s="306" t="s">
        <v>3203</v>
      </c>
      <c r="F212" s="306" t="s">
        <v>2482</v>
      </c>
      <c r="G212" s="308">
        <v>46008</v>
      </c>
      <c r="H212" s="308">
        <v>46009</v>
      </c>
      <c r="I212" s="309">
        <v>2344.6799999999998</v>
      </c>
      <c r="J212" s="306" t="s">
        <v>1008</v>
      </c>
      <c r="K212" s="309">
        <v>2344.6799999999998</v>
      </c>
      <c r="L212" s="306" t="s">
        <v>1008</v>
      </c>
      <c r="M212" s="306" t="s">
        <v>3204</v>
      </c>
      <c r="N212" s="306" t="s">
        <v>3204</v>
      </c>
      <c r="O212" s="306" t="s">
        <v>1013</v>
      </c>
      <c r="P212" s="306" t="s">
        <v>1013</v>
      </c>
      <c r="Q212" s="306" t="s">
        <v>1013</v>
      </c>
      <c r="R212" s="306" t="s">
        <v>1013</v>
      </c>
      <c r="S212" s="306" t="s">
        <v>1013</v>
      </c>
      <c r="T212" s="306" t="s">
        <v>1013</v>
      </c>
      <c r="U212" s="306" t="s">
        <v>3205</v>
      </c>
      <c r="V212" s="306" t="s">
        <v>1013</v>
      </c>
      <c r="W212" s="306" t="s">
        <v>1013</v>
      </c>
      <c r="X212" s="306" t="s">
        <v>1013</v>
      </c>
      <c r="Y212" s="306" t="s">
        <v>3205</v>
      </c>
      <c r="Z212" s="306" t="s">
        <v>2456</v>
      </c>
      <c r="AA212" s="306" t="s">
        <v>1013</v>
      </c>
    </row>
    <row r="213" spans="1:27">
      <c r="A213" s="306" t="s">
        <v>494</v>
      </c>
      <c r="B213" s="306" t="s">
        <v>1003</v>
      </c>
      <c r="C213" s="306" t="s">
        <v>1004</v>
      </c>
      <c r="D213" s="306" t="s">
        <v>2480</v>
      </c>
      <c r="E213" s="306" t="s">
        <v>3206</v>
      </c>
      <c r="F213" s="306" t="s">
        <v>2482</v>
      </c>
      <c r="G213" s="308">
        <v>46008</v>
      </c>
      <c r="H213" s="308">
        <v>46009</v>
      </c>
      <c r="I213" s="309">
        <v>169562.01</v>
      </c>
      <c r="J213" s="306" t="s">
        <v>1008</v>
      </c>
      <c r="K213" s="309">
        <v>169562.01</v>
      </c>
      <c r="L213" s="306" t="s">
        <v>1008</v>
      </c>
      <c r="M213" s="306" t="s">
        <v>3207</v>
      </c>
      <c r="N213" s="306" t="s">
        <v>3207</v>
      </c>
      <c r="O213" s="306" t="s">
        <v>1013</v>
      </c>
      <c r="P213" s="306" t="s">
        <v>1013</v>
      </c>
      <c r="Q213" s="306" t="s">
        <v>1013</v>
      </c>
      <c r="R213" s="306" t="s">
        <v>1013</v>
      </c>
      <c r="S213" s="306" t="s">
        <v>1013</v>
      </c>
      <c r="T213" s="306" t="s">
        <v>1013</v>
      </c>
      <c r="U213" s="306" t="s">
        <v>3208</v>
      </c>
      <c r="V213" s="306" t="s">
        <v>1013</v>
      </c>
      <c r="W213" s="306" t="s">
        <v>1013</v>
      </c>
      <c r="X213" s="306" t="s">
        <v>1013</v>
      </c>
      <c r="Y213" s="306" t="s">
        <v>3208</v>
      </c>
      <c r="Z213" s="306" t="s">
        <v>2456</v>
      </c>
      <c r="AA213" s="306" t="s">
        <v>1013</v>
      </c>
    </row>
    <row r="214" spans="1:27">
      <c r="A214" s="306" t="s">
        <v>494</v>
      </c>
      <c r="B214" s="306" t="s">
        <v>1003</v>
      </c>
      <c r="C214" s="306" t="s">
        <v>1004</v>
      </c>
      <c r="D214" s="306" t="s">
        <v>2480</v>
      </c>
      <c r="E214" s="306" t="s">
        <v>3209</v>
      </c>
      <c r="F214" s="306" t="s">
        <v>2482</v>
      </c>
      <c r="G214" s="308">
        <v>46008</v>
      </c>
      <c r="H214" s="308">
        <v>46009</v>
      </c>
      <c r="I214" s="309">
        <v>2394321.88</v>
      </c>
      <c r="J214" s="306" t="s">
        <v>1008</v>
      </c>
      <c r="K214" s="309">
        <v>2394321.88</v>
      </c>
      <c r="L214" s="306" t="s">
        <v>1008</v>
      </c>
      <c r="M214" s="306" t="s">
        <v>3210</v>
      </c>
      <c r="N214" s="306" t="s">
        <v>3210</v>
      </c>
      <c r="O214" s="306" t="s">
        <v>1013</v>
      </c>
      <c r="P214" s="306" t="s">
        <v>1013</v>
      </c>
      <c r="Q214" s="306" t="s">
        <v>1013</v>
      </c>
      <c r="R214" s="306" t="s">
        <v>1013</v>
      </c>
      <c r="S214" s="306" t="s">
        <v>1013</v>
      </c>
      <c r="T214" s="306" t="s">
        <v>1013</v>
      </c>
      <c r="U214" s="306" t="s">
        <v>3211</v>
      </c>
      <c r="V214" s="306" t="s">
        <v>1013</v>
      </c>
      <c r="W214" s="306" t="s">
        <v>1013</v>
      </c>
      <c r="X214" s="306" t="s">
        <v>1013</v>
      </c>
      <c r="Y214" s="306" t="s">
        <v>3211</v>
      </c>
      <c r="Z214" s="306" t="s">
        <v>2456</v>
      </c>
      <c r="AA214" s="306" t="s">
        <v>1013</v>
      </c>
    </row>
    <row r="215" spans="1:27">
      <c r="A215" s="306" t="s">
        <v>494</v>
      </c>
      <c r="B215" s="306" t="s">
        <v>1003</v>
      </c>
      <c r="C215" s="306" t="s">
        <v>1004</v>
      </c>
      <c r="D215" s="306" t="s">
        <v>2480</v>
      </c>
      <c r="E215" s="306" t="s">
        <v>3212</v>
      </c>
      <c r="F215" s="306" t="s">
        <v>2482</v>
      </c>
      <c r="G215" s="308">
        <v>46008</v>
      </c>
      <c r="H215" s="308">
        <v>46009</v>
      </c>
      <c r="I215" s="309">
        <v>320030.49</v>
      </c>
      <c r="J215" s="306" t="s">
        <v>1008</v>
      </c>
      <c r="K215" s="309">
        <v>320030.49</v>
      </c>
      <c r="L215" s="306" t="s">
        <v>1008</v>
      </c>
      <c r="M215" s="306" t="s">
        <v>3213</v>
      </c>
      <c r="N215" s="306" t="s">
        <v>3213</v>
      </c>
      <c r="O215" s="306" t="s">
        <v>1013</v>
      </c>
      <c r="P215" s="306" t="s">
        <v>1013</v>
      </c>
      <c r="Q215" s="306" t="s">
        <v>1013</v>
      </c>
      <c r="R215" s="306" t="s">
        <v>1013</v>
      </c>
      <c r="S215" s="306" t="s">
        <v>1013</v>
      </c>
      <c r="T215" s="306" t="s">
        <v>1013</v>
      </c>
      <c r="U215" s="306" t="s">
        <v>3214</v>
      </c>
      <c r="V215" s="306" t="s">
        <v>1013</v>
      </c>
      <c r="W215" s="306" t="s">
        <v>1013</v>
      </c>
      <c r="X215" s="306" t="s">
        <v>1013</v>
      </c>
      <c r="Y215" s="306" t="s">
        <v>3214</v>
      </c>
      <c r="Z215" s="306" t="s">
        <v>2456</v>
      </c>
      <c r="AA215" s="306" t="s">
        <v>1013</v>
      </c>
    </row>
    <row r="216" spans="1:27">
      <c r="A216" s="306" t="s">
        <v>494</v>
      </c>
      <c r="B216" s="306" t="s">
        <v>1003</v>
      </c>
      <c r="C216" s="306" t="s">
        <v>1004</v>
      </c>
      <c r="D216" s="306" t="s">
        <v>2480</v>
      </c>
      <c r="E216" s="306" t="s">
        <v>3215</v>
      </c>
      <c r="F216" s="306" t="s">
        <v>2482</v>
      </c>
      <c r="G216" s="308">
        <v>46008</v>
      </c>
      <c r="H216" s="308">
        <v>46009</v>
      </c>
      <c r="I216" s="309">
        <v>87735.85</v>
      </c>
      <c r="J216" s="306" t="s">
        <v>1008</v>
      </c>
      <c r="K216" s="309">
        <v>87735.85</v>
      </c>
      <c r="L216" s="306" t="s">
        <v>1008</v>
      </c>
      <c r="M216" s="306" t="s">
        <v>3216</v>
      </c>
      <c r="N216" s="306" t="s">
        <v>3216</v>
      </c>
      <c r="O216" s="306" t="s">
        <v>1013</v>
      </c>
      <c r="P216" s="306" t="s">
        <v>1013</v>
      </c>
      <c r="Q216" s="306" t="s">
        <v>1013</v>
      </c>
      <c r="R216" s="306" t="s">
        <v>1013</v>
      </c>
      <c r="S216" s="306" t="s">
        <v>1013</v>
      </c>
      <c r="T216" s="306" t="s">
        <v>1013</v>
      </c>
      <c r="U216" s="306" t="s">
        <v>3217</v>
      </c>
      <c r="V216" s="306" t="s">
        <v>1013</v>
      </c>
      <c r="W216" s="306" t="s">
        <v>1013</v>
      </c>
      <c r="X216" s="306" t="s">
        <v>1013</v>
      </c>
      <c r="Y216" s="306" t="s">
        <v>3217</v>
      </c>
      <c r="Z216" s="306" t="s">
        <v>2456</v>
      </c>
      <c r="AA216" s="306" t="s">
        <v>1013</v>
      </c>
    </row>
    <row r="217" spans="1:27">
      <c r="A217" s="306" t="s">
        <v>494</v>
      </c>
      <c r="B217" s="306" t="s">
        <v>1003</v>
      </c>
      <c r="C217" s="306" t="s">
        <v>1004</v>
      </c>
      <c r="D217" s="306" t="s">
        <v>2480</v>
      </c>
      <c r="E217" s="306" t="s">
        <v>3218</v>
      </c>
      <c r="F217" s="306" t="s">
        <v>2482</v>
      </c>
      <c r="G217" s="308">
        <v>46008</v>
      </c>
      <c r="H217" s="308">
        <v>46009</v>
      </c>
      <c r="I217" s="309">
        <v>42452.83</v>
      </c>
      <c r="J217" s="306" t="s">
        <v>1008</v>
      </c>
      <c r="K217" s="309">
        <v>42452.83</v>
      </c>
      <c r="L217" s="306" t="s">
        <v>1008</v>
      </c>
      <c r="M217" s="306" t="s">
        <v>3219</v>
      </c>
      <c r="N217" s="306" t="s">
        <v>3219</v>
      </c>
      <c r="O217" s="306" t="s">
        <v>1013</v>
      </c>
      <c r="P217" s="306" t="s">
        <v>1013</v>
      </c>
      <c r="Q217" s="306" t="s">
        <v>1013</v>
      </c>
      <c r="R217" s="306" t="s">
        <v>1013</v>
      </c>
      <c r="S217" s="306" t="s">
        <v>1013</v>
      </c>
      <c r="T217" s="306" t="s">
        <v>1013</v>
      </c>
      <c r="U217" s="306" t="s">
        <v>3220</v>
      </c>
      <c r="V217" s="306" t="s">
        <v>1013</v>
      </c>
      <c r="W217" s="306" t="s">
        <v>1013</v>
      </c>
      <c r="X217" s="306" t="s">
        <v>1013</v>
      </c>
      <c r="Y217" s="306" t="s">
        <v>3220</v>
      </c>
      <c r="Z217" s="306" t="s">
        <v>2456</v>
      </c>
      <c r="AA217" s="306" t="s">
        <v>1013</v>
      </c>
    </row>
    <row r="218" spans="1:27">
      <c r="A218" s="306" t="s">
        <v>494</v>
      </c>
      <c r="B218" s="306" t="s">
        <v>1003</v>
      </c>
      <c r="C218" s="306" t="s">
        <v>1004</v>
      </c>
      <c r="D218" s="306" t="s">
        <v>2480</v>
      </c>
      <c r="E218" s="306" t="s">
        <v>3221</v>
      </c>
      <c r="F218" s="306" t="s">
        <v>2482</v>
      </c>
      <c r="G218" s="308">
        <v>46008</v>
      </c>
      <c r="H218" s="308">
        <v>46009</v>
      </c>
      <c r="I218" s="309">
        <v>33011.32</v>
      </c>
      <c r="J218" s="306" t="s">
        <v>1008</v>
      </c>
      <c r="K218" s="309">
        <v>33011.32</v>
      </c>
      <c r="L218" s="306" t="s">
        <v>1008</v>
      </c>
      <c r="M218" s="306" t="s">
        <v>3222</v>
      </c>
      <c r="N218" s="306" t="s">
        <v>3222</v>
      </c>
      <c r="O218" s="306" t="s">
        <v>1013</v>
      </c>
      <c r="P218" s="306" t="s">
        <v>1013</v>
      </c>
      <c r="Q218" s="306" t="s">
        <v>1013</v>
      </c>
      <c r="R218" s="306" t="s">
        <v>1013</v>
      </c>
      <c r="S218" s="306" t="s">
        <v>1013</v>
      </c>
      <c r="T218" s="306" t="s">
        <v>1013</v>
      </c>
      <c r="U218" s="306" t="s">
        <v>3223</v>
      </c>
      <c r="V218" s="306" t="s">
        <v>1013</v>
      </c>
      <c r="W218" s="306" t="s">
        <v>1013</v>
      </c>
      <c r="X218" s="306" t="s">
        <v>1013</v>
      </c>
      <c r="Y218" s="306" t="s">
        <v>3223</v>
      </c>
      <c r="Z218" s="306" t="s">
        <v>2456</v>
      </c>
      <c r="AA218" s="306" t="s">
        <v>1013</v>
      </c>
    </row>
    <row r="219" spans="1:27">
      <c r="A219" s="306" t="s">
        <v>494</v>
      </c>
      <c r="B219" s="306" t="s">
        <v>1003</v>
      </c>
      <c r="C219" s="306" t="s">
        <v>1004</v>
      </c>
      <c r="D219" s="306" t="s">
        <v>2480</v>
      </c>
      <c r="E219" s="306" t="s">
        <v>3224</v>
      </c>
      <c r="F219" s="306" t="s">
        <v>2482</v>
      </c>
      <c r="G219" s="308">
        <v>46008</v>
      </c>
      <c r="H219" s="308">
        <v>46009</v>
      </c>
      <c r="I219" s="309">
        <v>401.77</v>
      </c>
      <c r="J219" s="306" t="s">
        <v>1008</v>
      </c>
      <c r="K219" s="309">
        <v>401.77</v>
      </c>
      <c r="L219" s="306" t="s">
        <v>1008</v>
      </c>
      <c r="M219" s="306" t="s">
        <v>3225</v>
      </c>
      <c r="N219" s="306" t="s">
        <v>3225</v>
      </c>
      <c r="O219" s="306" t="s">
        <v>1013</v>
      </c>
      <c r="P219" s="306" t="s">
        <v>1013</v>
      </c>
      <c r="Q219" s="306" t="s">
        <v>1013</v>
      </c>
      <c r="R219" s="306" t="s">
        <v>1013</v>
      </c>
      <c r="S219" s="306" t="s">
        <v>1013</v>
      </c>
      <c r="T219" s="306" t="s">
        <v>1013</v>
      </c>
      <c r="U219" s="306" t="s">
        <v>3226</v>
      </c>
      <c r="V219" s="306" t="s">
        <v>1013</v>
      </c>
      <c r="W219" s="306" t="s">
        <v>1013</v>
      </c>
      <c r="X219" s="306" t="s">
        <v>1013</v>
      </c>
      <c r="Y219" s="306" t="s">
        <v>3226</v>
      </c>
      <c r="Z219" s="306" t="s">
        <v>2456</v>
      </c>
      <c r="AA219" s="306" t="s">
        <v>1013</v>
      </c>
    </row>
    <row r="220" spans="1:27">
      <c r="A220" s="306" t="s">
        <v>494</v>
      </c>
      <c r="B220" s="306" t="s">
        <v>1003</v>
      </c>
      <c r="C220" s="306" t="s">
        <v>1004</v>
      </c>
      <c r="D220" s="306" t="s">
        <v>2480</v>
      </c>
      <c r="E220" s="306" t="s">
        <v>3227</v>
      </c>
      <c r="F220" s="306" t="s">
        <v>2482</v>
      </c>
      <c r="G220" s="308">
        <v>46008</v>
      </c>
      <c r="H220" s="308">
        <v>46009</v>
      </c>
      <c r="I220" s="309">
        <v>55471.7</v>
      </c>
      <c r="J220" s="306" t="s">
        <v>1008</v>
      </c>
      <c r="K220" s="309">
        <v>55471.7</v>
      </c>
      <c r="L220" s="306" t="s">
        <v>1008</v>
      </c>
      <c r="M220" s="306" t="s">
        <v>3228</v>
      </c>
      <c r="N220" s="306" t="s">
        <v>3228</v>
      </c>
      <c r="O220" s="306" t="s">
        <v>1013</v>
      </c>
      <c r="P220" s="306" t="s">
        <v>1013</v>
      </c>
      <c r="Q220" s="306" t="s">
        <v>1013</v>
      </c>
      <c r="R220" s="306" t="s">
        <v>1013</v>
      </c>
      <c r="S220" s="306" t="s">
        <v>1013</v>
      </c>
      <c r="T220" s="306" t="s">
        <v>1013</v>
      </c>
      <c r="U220" s="306" t="s">
        <v>3229</v>
      </c>
      <c r="V220" s="306" t="s">
        <v>1013</v>
      </c>
      <c r="W220" s="306" t="s">
        <v>1013</v>
      </c>
      <c r="X220" s="306" t="s">
        <v>1013</v>
      </c>
      <c r="Y220" s="306" t="s">
        <v>3229</v>
      </c>
      <c r="Z220" s="306" t="s">
        <v>2456</v>
      </c>
      <c r="AA220" s="306" t="s">
        <v>1013</v>
      </c>
    </row>
    <row r="221" spans="1:27">
      <c r="A221" s="306" t="s">
        <v>494</v>
      </c>
      <c r="B221" s="306" t="s">
        <v>1003</v>
      </c>
      <c r="C221" s="306" t="s">
        <v>1004</v>
      </c>
      <c r="D221" s="306" t="s">
        <v>2480</v>
      </c>
      <c r="E221" s="306" t="s">
        <v>3230</v>
      </c>
      <c r="F221" s="306" t="s">
        <v>2482</v>
      </c>
      <c r="G221" s="308">
        <v>46008</v>
      </c>
      <c r="H221" s="308">
        <v>46009</v>
      </c>
      <c r="I221" s="309">
        <v>388957.93</v>
      </c>
      <c r="J221" s="306" t="s">
        <v>1008</v>
      </c>
      <c r="K221" s="309">
        <v>388957.93</v>
      </c>
      <c r="L221" s="306" t="s">
        <v>1008</v>
      </c>
      <c r="M221" s="306" t="s">
        <v>3231</v>
      </c>
      <c r="N221" s="306" t="s">
        <v>3231</v>
      </c>
      <c r="O221" s="306" t="s">
        <v>1013</v>
      </c>
      <c r="P221" s="306" t="s">
        <v>1013</v>
      </c>
      <c r="Q221" s="306" t="s">
        <v>1013</v>
      </c>
      <c r="R221" s="306" t="s">
        <v>1013</v>
      </c>
      <c r="S221" s="306" t="s">
        <v>1013</v>
      </c>
      <c r="T221" s="306" t="s">
        <v>1013</v>
      </c>
      <c r="U221" s="306" t="s">
        <v>3232</v>
      </c>
      <c r="V221" s="306" t="s">
        <v>1013</v>
      </c>
      <c r="W221" s="306" t="s">
        <v>1013</v>
      </c>
      <c r="X221" s="306" t="s">
        <v>1013</v>
      </c>
      <c r="Y221" s="306" t="s">
        <v>3232</v>
      </c>
      <c r="Z221" s="306" t="s">
        <v>2456</v>
      </c>
      <c r="AA221" s="306" t="s">
        <v>1013</v>
      </c>
    </row>
    <row r="222" spans="1:27">
      <c r="A222" s="306" t="s">
        <v>494</v>
      </c>
      <c r="B222" s="306" t="s">
        <v>1003</v>
      </c>
      <c r="C222" s="306" t="s">
        <v>1004</v>
      </c>
      <c r="D222" s="306" t="s">
        <v>2480</v>
      </c>
      <c r="E222" s="306" t="s">
        <v>3233</v>
      </c>
      <c r="F222" s="306" t="s">
        <v>2486</v>
      </c>
      <c r="G222" s="308">
        <v>46009</v>
      </c>
      <c r="H222" s="308">
        <v>46009</v>
      </c>
      <c r="I222" s="309">
        <v>3145.63</v>
      </c>
      <c r="J222" s="306" t="s">
        <v>1008</v>
      </c>
      <c r="K222" s="309">
        <v>3145.63</v>
      </c>
      <c r="L222" s="306" t="s">
        <v>1008</v>
      </c>
      <c r="M222" s="306" t="s">
        <v>3234</v>
      </c>
      <c r="N222" s="306" t="s">
        <v>3235</v>
      </c>
      <c r="O222" s="306" t="s">
        <v>1013</v>
      </c>
      <c r="P222" s="306" t="s">
        <v>1013</v>
      </c>
      <c r="Q222" s="306" t="s">
        <v>1013</v>
      </c>
      <c r="R222" s="306" t="s">
        <v>1013</v>
      </c>
      <c r="S222" s="306" t="s">
        <v>1013</v>
      </c>
      <c r="T222" s="306" t="s">
        <v>1013</v>
      </c>
      <c r="U222" s="306" t="s">
        <v>3236</v>
      </c>
      <c r="V222" s="306" t="s">
        <v>1013</v>
      </c>
      <c r="W222" s="306" t="s">
        <v>1013</v>
      </c>
      <c r="X222" s="306" t="s">
        <v>1013</v>
      </c>
      <c r="Y222" s="306" t="s">
        <v>1812</v>
      </c>
      <c r="Z222" s="306" t="s">
        <v>2456</v>
      </c>
      <c r="AA222" s="306" t="s">
        <v>1013</v>
      </c>
    </row>
    <row r="223" spans="1:27">
      <c r="A223" s="306" t="s">
        <v>494</v>
      </c>
      <c r="B223" s="306" t="s">
        <v>1003</v>
      </c>
      <c r="C223" s="306" t="s">
        <v>1004</v>
      </c>
      <c r="D223" s="306" t="s">
        <v>2480</v>
      </c>
      <c r="E223" s="306" t="s">
        <v>3237</v>
      </c>
      <c r="F223" s="306" t="s">
        <v>2482</v>
      </c>
      <c r="G223" s="308">
        <v>46000</v>
      </c>
      <c r="H223" s="308">
        <v>46009</v>
      </c>
      <c r="I223" s="309">
        <v>-478.82</v>
      </c>
      <c r="J223" s="306" t="s">
        <v>1008</v>
      </c>
      <c r="K223" s="309">
        <v>-478.82</v>
      </c>
      <c r="L223" s="306" t="s">
        <v>1008</v>
      </c>
      <c r="M223" s="306" t="s">
        <v>1013</v>
      </c>
      <c r="N223" s="306" t="s">
        <v>1013</v>
      </c>
      <c r="O223" s="306" t="s">
        <v>1013</v>
      </c>
      <c r="P223" s="306" t="s">
        <v>1013</v>
      </c>
      <c r="Q223" s="306" t="s">
        <v>1013</v>
      </c>
      <c r="R223" s="306" t="s">
        <v>1013</v>
      </c>
      <c r="S223" s="306" t="s">
        <v>1013</v>
      </c>
      <c r="T223" s="306" t="s">
        <v>1013</v>
      </c>
      <c r="U223" s="306" t="s">
        <v>3238</v>
      </c>
      <c r="V223" s="306" t="s">
        <v>1013</v>
      </c>
      <c r="W223" s="306" t="s">
        <v>1013</v>
      </c>
      <c r="X223" s="306" t="s">
        <v>1013</v>
      </c>
      <c r="Y223" s="306" t="s">
        <v>3238</v>
      </c>
      <c r="Z223" s="306" t="s">
        <v>2654</v>
      </c>
      <c r="AA223" s="306" t="s">
        <v>1013</v>
      </c>
    </row>
    <row r="224" spans="1:27">
      <c r="A224" s="306" t="s">
        <v>494</v>
      </c>
      <c r="B224" s="306" t="s">
        <v>1003</v>
      </c>
      <c r="C224" s="306" t="s">
        <v>1004</v>
      </c>
      <c r="D224" s="306" t="s">
        <v>2480</v>
      </c>
      <c r="E224" s="306" t="s">
        <v>3239</v>
      </c>
      <c r="F224" s="306" t="s">
        <v>2482</v>
      </c>
      <c r="G224" s="308">
        <v>46000</v>
      </c>
      <c r="H224" s="308">
        <v>46009</v>
      </c>
      <c r="I224" s="309">
        <v>-162238.85</v>
      </c>
      <c r="J224" s="306" t="s">
        <v>1008</v>
      </c>
      <c r="K224" s="309">
        <v>-162238.85</v>
      </c>
      <c r="L224" s="306" t="s">
        <v>1008</v>
      </c>
      <c r="M224" s="306" t="s">
        <v>1013</v>
      </c>
      <c r="N224" s="306" t="s">
        <v>1013</v>
      </c>
      <c r="O224" s="306" t="s">
        <v>1013</v>
      </c>
      <c r="P224" s="306" t="s">
        <v>1013</v>
      </c>
      <c r="Q224" s="306" t="s">
        <v>1013</v>
      </c>
      <c r="R224" s="306" t="s">
        <v>1013</v>
      </c>
      <c r="S224" s="306" t="s">
        <v>1013</v>
      </c>
      <c r="T224" s="306" t="s">
        <v>1013</v>
      </c>
      <c r="U224" s="306" t="s">
        <v>3240</v>
      </c>
      <c r="V224" s="306" t="s">
        <v>1013</v>
      </c>
      <c r="W224" s="306" t="s">
        <v>1013</v>
      </c>
      <c r="X224" s="306" t="s">
        <v>1013</v>
      </c>
      <c r="Y224" s="306" t="s">
        <v>3240</v>
      </c>
      <c r="Z224" s="306" t="s">
        <v>2654</v>
      </c>
      <c r="AA224" s="306" t="s">
        <v>1013</v>
      </c>
    </row>
    <row r="225" spans="1:27">
      <c r="A225" s="306" t="s">
        <v>494</v>
      </c>
      <c r="B225" s="306" t="s">
        <v>1003</v>
      </c>
      <c r="C225" s="306" t="s">
        <v>1004</v>
      </c>
      <c r="D225" s="306" t="s">
        <v>2480</v>
      </c>
      <c r="E225" s="306" t="s">
        <v>3241</v>
      </c>
      <c r="F225" s="306" t="s">
        <v>2482</v>
      </c>
      <c r="G225" s="308">
        <v>46000</v>
      </c>
      <c r="H225" s="308">
        <v>46009</v>
      </c>
      <c r="I225" s="309">
        <v>-30167.61</v>
      </c>
      <c r="J225" s="306" t="s">
        <v>1008</v>
      </c>
      <c r="K225" s="309">
        <v>-30167.61</v>
      </c>
      <c r="L225" s="306" t="s">
        <v>1008</v>
      </c>
      <c r="M225" s="306" t="s">
        <v>1013</v>
      </c>
      <c r="N225" s="306" t="s">
        <v>1013</v>
      </c>
      <c r="O225" s="306" t="s">
        <v>1013</v>
      </c>
      <c r="P225" s="306" t="s">
        <v>1013</v>
      </c>
      <c r="Q225" s="306" t="s">
        <v>1013</v>
      </c>
      <c r="R225" s="306" t="s">
        <v>1013</v>
      </c>
      <c r="S225" s="306" t="s">
        <v>1013</v>
      </c>
      <c r="T225" s="306" t="s">
        <v>1013</v>
      </c>
      <c r="U225" s="306" t="s">
        <v>3242</v>
      </c>
      <c r="V225" s="306" t="s">
        <v>1013</v>
      </c>
      <c r="W225" s="306" t="s">
        <v>1013</v>
      </c>
      <c r="X225" s="306" t="s">
        <v>1013</v>
      </c>
      <c r="Y225" s="306" t="s">
        <v>3242</v>
      </c>
      <c r="Z225" s="306" t="s">
        <v>2654</v>
      </c>
      <c r="AA225" s="306" t="s">
        <v>1013</v>
      </c>
    </row>
    <row r="226" spans="1:27">
      <c r="A226" s="306" t="s">
        <v>494</v>
      </c>
      <c r="B226" s="306" t="s">
        <v>1003</v>
      </c>
      <c r="C226" s="306" t="s">
        <v>1004</v>
      </c>
      <c r="D226" s="306" t="s">
        <v>2480</v>
      </c>
      <c r="E226" s="306" t="s">
        <v>3243</v>
      </c>
      <c r="F226" s="306" t="s">
        <v>2482</v>
      </c>
      <c r="G226" s="308">
        <v>46000</v>
      </c>
      <c r="H226" s="308">
        <v>46009</v>
      </c>
      <c r="I226" s="309">
        <v>-33075.89</v>
      </c>
      <c r="J226" s="306" t="s">
        <v>1008</v>
      </c>
      <c r="K226" s="309">
        <v>-33075.89</v>
      </c>
      <c r="L226" s="306" t="s">
        <v>1008</v>
      </c>
      <c r="M226" s="306" t="s">
        <v>1013</v>
      </c>
      <c r="N226" s="306" t="s">
        <v>1013</v>
      </c>
      <c r="O226" s="306" t="s">
        <v>1013</v>
      </c>
      <c r="P226" s="306" t="s">
        <v>1013</v>
      </c>
      <c r="Q226" s="306" t="s">
        <v>1013</v>
      </c>
      <c r="R226" s="306" t="s">
        <v>1013</v>
      </c>
      <c r="S226" s="306" t="s">
        <v>1013</v>
      </c>
      <c r="T226" s="306" t="s">
        <v>1013</v>
      </c>
      <c r="U226" s="306" t="s">
        <v>3244</v>
      </c>
      <c r="V226" s="306" t="s">
        <v>1013</v>
      </c>
      <c r="W226" s="306" t="s">
        <v>1013</v>
      </c>
      <c r="X226" s="306" t="s">
        <v>1013</v>
      </c>
      <c r="Y226" s="306" t="s">
        <v>3244</v>
      </c>
      <c r="Z226" s="306" t="s">
        <v>2654</v>
      </c>
      <c r="AA226" s="306" t="s">
        <v>1013</v>
      </c>
    </row>
    <row r="227" spans="1:27">
      <c r="A227" s="306" t="s">
        <v>494</v>
      </c>
      <c r="B227" s="306" t="s">
        <v>1003</v>
      </c>
      <c r="C227" s="306" t="s">
        <v>1004</v>
      </c>
      <c r="D227" s="306" t="s">
        <v>2480</v>
      </c>
      <c r="E227" s="306" t="s">
        <v>3245</v>
      </c>
      <c r="F227" s="306" t="s">
        <v>2482</v>
      </c>
      <c r="G227" s="308">
        <v>46000</v>
      </c>
      <c r="H227" s="308">
        <v>46009</v>
      </c>
      <c r="I227" s="309">
        <v>-89335.51</v>
      </c>
      <c r="J227" s="306" t="s">
        <v>1008</v>
      </c>
      <c r="K227" s="309">
        <v>-89335.51</v>
      </c>
      <c r="L227" s="306" t="s">
        <v>1008</v>
      </c>
      <c r="M227" s="306" t="s">
        <v>1013</v>
      </c>
      <c r="N227" s="306" t="s">
        <v>1013</v>
      </c>
      <c r="O227" s="306" t="s">
        <v>1013</v>
      </c>
      <c r="P227" s="306" t="s">
        <v>1013</v>
      </c>
      <c r="Q227" s="306" t="s">
        <v>1013</v>
      </c>
      <c r="R227" s="306" t="s">
        <v>1013</v>
      </c>
      <c r="S227" s="306" t="s">
        <v>1013</v>
      </c>
      <c r="T227" s="306" t="s">
        <v>1013</v>
      </c>
      <c r="U227" s="306" t="s">
        <v>3246</v>
      </c>
      <c r="V227" s="306" t="s">
        <v>1013</v>
      </c>
      <c r="W227" s="306" t="s">
        <v>1013</v>
      </c>
      <c r="X227" s="306" t="s">
        <v>1013</v>
      </c>
      <c r="Y227" s="306" t="s">
        <v>3246</v>
      </c>
      <c r="Z227" s="306" t="s">
        <v>2654</v>
      </c>
      <c r="AA227" s="306" t="s">
        <v>1013</v>
      </c>
    </row>
    <row r="228" spans="1:27">
      <c r="A228" s="306" t="s">
        <v>494</v>
      </c>
      <c r="B228" s="306" t="s">
        <v>1003</v>
      </c>
      <c r="C228" s="306" t="s">
        <v>1004</v>
      </c>
      <c r="D228" s="306" t="s">
        <v>2480</v>
      </c>
      <c r="E228" s="306" t="s">
        <v>3247</v>
      </c>
      <c r="F228" s="306" t="s">
        <v>2482</v>
      </c>
      <c r="G228" s="308">
        <v>46000</v>
      </c>
      <c r="H228" s="308">
        <v>46009</v>
      </c>
      <c r="I228" s="309">
        <v>-3613.43</v>
      </c>
      <c r="J228" s="306" t="s">
        <v>1008</v>
      </c>
      <c r="K228" s="309">
        <v>-3613.43</v>
      </c>
      <c r="L228" s="306" t="s">
        <v>1008</v>
      </c>
      <c r="M228" s="306" t="s">
        <v>1013</v>
      </c>
      <c r="N228" s="306" t="s">
        <v>1013</v>
      </c>
      <c r="O228" s="306" t="s">
        <v>1013</v>
      </c>
      <c r="P228" s="306" t="s">
        <v>1013</v>
      </c>
      <c r="Q228" s="306" t="s">
        <v>1013</v>
      </c>
      <c r="R228" s="306" t="s">
        <v>1013</v>
      </c>
      <c r="S228" s="306" t="s">
        <v>1013</v>
      </c>
      <c r="T228" s="306" t="s">
        <v>1013</v>
      </c>
      <c r="U228" s="306" t="s">
        <v>3248</v>
      </c>
      <c r="V228" s="306" t="s">
        <v>1013</v>
      </c>
      <c r="W228" s="306" t="s">
        <v>1013</v>
      </c>
      <c r="X228" s="306" t="s">
        <v>1013</v>
      </c>
      <c r="Y228" s="306" t="s">
        <v>3248</v>
      </c>
      <c r="Z228" s="306" t="s">
        <v>2654</v>
      </c>
      <c r="AA228" s="306" t="s">
        <v>1013</v>
      </c>
    </row>
    <row r="229" spans="1:27">
      <c r="A229" s="306" t="s">
        <v>494</v>
      </c>
      <c r="B229" s="306" t="s">
        <v>1003</v>
      </c>
      <c r="C229" s="306" t="s">
        <v>1004</v>
      </c>
      <c r="D229" s="306" t="s">
        <v>2480</v>
      </c>
      <c r="E229" s="306" t="s">
        <v>3249</v>
      </c>
      <c r="F229" s="306" t="s">
        <v>2482</v>
      </c>
      <c r="G229" s="308">
        <v>46000</v>
      </c>
      <c r="H229" s="308">
        <v>46009</v>
      </c>
      <c r="I229" s="309">
        <v>-96930.14</v>
      </c>
      <c r="J229" s="306" t="s">
        <v>1008</v>
      </c>
      <c r="K229" s="309">
        <v>-96930.14</v>
      </c>
      <c r="L229" s="306" t="s">
        <v>1008</v>
      </c>
      <c r="M229" s="306" t="s">
        <v>1013</v>
      </c>
      <c r="N229" s="306" t="s">
        <v>1013</v>
      </c>
      <c r="O229" s="306" t="s">
        <v>1013</v>
      </c>
      <c r="P229" s="306" t="s">
        <v>1013</v>
      </c>
      <c r="Q229" s="306" t="s">
        <v>1013</v>
      </c>
      <c r="R229" s="306" t="s">
        <v>1013</v>
      </c>
      <c r="S229" s="306" t="s">
        <v>1013</v>
      </c>
      <c r="T229" s="306" t="s">
        <v>1013</v>
      </c>
      <c r="U229" s="306" t="s">
        <v>3250</v>
      </c>
      <c r="V229" s="306" t="s">
        <v>1013</v>
      </c>
      <c r="W229" s="306" t="s">
        <v>1013</v>
      </c>
      <c r="X229" s="306" t="s">
        <v>1013</v>
      </c>
      <c r="Y229" s="306" t="s">
        <v>3250</v>
      </c>
      <c r="Z229" s="306" t="s">
        <v>2654</v>
      </c>
      <c r="AA229" s="306" t="s">
        <v>1013</v>
      </c>
    </row>
    <row r="230" spans="1:27">
      <c r="A230" s="306" t="s">
        <v>494</v>
      </c>
      <c r="B230" s="306" t="s">
        <v>1003</v>
      </c>
      <c r="C230" s="306" t="s">
        <v>1004</v>
      </c>
      <c r="D230" s="306" t="s">
        <v>2480</v>
      </c>
      <c r="E230" s="306" t="s">
        <v>3251</v>
      </c>
      <c r="F230" s="306" t="s">
        <v>2482</v>
      </c>
      <c r="G230" s="308">
        <v>46009</v>
      </c>
      <c r="H230" s="308">
        <v>46009</v>
      </c>
      <c r="I230" s="309">
        <v>130188.68</v>
      </c>
      <c r="J230" s="306" t="s">
        <v>1008</v>
      </c>
      <c r="K230" s="309">
        <v>130188.68</v>
      </c>
      <c r="L230" s="306" t="s">
        <v>1008</v>
      </c>
      <c r="M230" s="306" t="s">
        <v>3252</v>
      </c>
      <c r="N230" s="306" t="s">
        <v>3252</v>
      </c>
      <c r="O230" s="306" t="s">
        <v>1013</v>
      </c>
      <c r="P230" s="306" t="s">
        <v>1013</v>
      </c>
      <c r="Q230" s="306" t="s">
        <v>1013</v>
      </c>
      <c r="R230" s="306" t="s">
        <v>1013</v>
      </c>
      <c r="S230" s="306" t="s">
        <v>1013</v>
      </c>
      <c r="T230" s="306" t="s">
        <v>1013</v>
      </c>
      <c r="U230" s="306" t="s">
        <v>3253</v>
      </c>
      <c r="V230" s="306" t="s">
        <v>1013</v>
      </c>
      <c r="W230" s="306" t="s">
        <v>1013</v>
      </c>
      <c r="X230" s="306" t="s">
        <v>1013</v>
      </c>
      <c r="Y230" s="306" t="s">
        <v>3253</v>
      </c>
      <c r="Z230" s="306" t="s">
        <v>2456</v>
      </c>
      <c r="AA230" s="306" t="s">
        <v>1013</v>
      </c>
    </row>
    <row r="231" spans="1:27">
      <c r="A231" s="306" t="s">
        <v>494</v>
      </c>
      <c r="B231" s="306" t="s">
        <v>1003</v>
      </c>
      <c r="C231" s="306" t="s">
        <v>1004</v>
      </c>
      <c r="D231" s="306" t="s">
        <v>2480</v>
      </c>
      <c r="E231" s="306" t="s">
        <v>3254</v>
      </c>
      <c r="F231" s="306" t="s">
        <v>2486</v>
      </c>
      <c r="G231" s="308">
        <v>46009</v>
      </c>
      <c r="H231" s="308">
        <v>46009</v>
      </c>
      <c r="I231" s="309">
        <v>3145.63</v>
      </c>
      <c r="J231" s="306" t="s">
        <v>1008</v>
      </c>
      <c r="K231" s="309">
        <v>3145.63</v>
      </c>
      <c r="L231" s="306" t="s">
        <v>1008</v>
      </c>
      <c r="M231" s="306" t="s">
        <v>3255</v>
      </c>
      <c r="N231" s="306" t="s">
        <v>3256</v>
      </c>
      <c r="O231" s="306" t="s">
        <v>1013</v>
      </c>
      <c r="P231" s="306" t="s">
        <v>1013</v>
      </c>
      <c r="Q231" s="306" t="s">
        <v>1013</v>
      </c>
      <c r="R231" s="306" t="s">
        <v>1013</v>
      </c>
      <c r="S231" s="306" t="s">
        <v>1013</v>
      </c>
      <c r="T231" s="306" t="s">
        <v>1013</v>
      </c>
      <c r="U231" s="306" t="s">
        <v>3257</v>
      </c>
      <c r="V231" s="306" t="s">
        <v>1013</v>
      </c>
      <c r="W231" s="306" t="s">
        <v>1013</v>
      </c>
      <c r="X231" s="306" t="s">
        <v>1013</v>
      </c>
      <c r="Y231" s="306" t="s">
        <v>1812</v>
      </c>
      <c r="Z231" s="306" t="s">
        <v>2456</v>
      </c>
      <c r="AA231" s="306" t="s">
        <v>1013</v>
      </c>
    </row>
    <row r="232" spans="1:27">
      <c r="A232" s="306" t="s">
        <v>494</v>
      </c>
      <c r="B232" s="306" t="s">
        <v>1003</v>
      </c>
      <c r="C232" s="306" t="s">
        <v>1004</v>
      </c>
      <c r="D232" s="306" t="s">
        <v>2480</v>
      </c>
      <c r="E232" s="306" t="s">
        <v>3258</v>
      </c>
      <c r="F232" s="306" t="s">
        <v>2482</v>
      </c>
      <c r="G232" s="308">
        <v>46001</v>
      </c>
      <c r="H232" s="308">
        <v>46009</v>
      </c>
      <c r="I232" s="309">
        <v>2576.9899999999998</v>
      </c>
      <c r="J232" s="306" t="s">
        <v>1008</v>
      </c>
      <c r="K232" s="309">
        <v>2576.9899999999998</v>
      </c>
      <c r="L232" s="306" t="s">
        <v>1008</v>
      </c>
      <c r="M232" s="306" t="s">
        <v>3259</v>
      </c>
      <c r="N232" s="306" t="s">
        <v>3259</v>
      </c>
      <c r="O232" s="306" t="s">
        <v>1013</v>
      </c>
      <c r="P232" s="306" t="s">
        <v>1013</v>
      </c>
      <c r="Q232" s="306" t="s">
        <v>1013</v>
      </c>
      <c r="R232" s="306" t="s">
        <v>1013</v>
      </c>
      <c r="S232" s="306" t="s">
        <v>1013</v>
      </c>
      <c r="T232" s="306" t="s">
        <v>1013</v>
      </c>
      <c r="U232" s="306" t="s">
        <v>3260</v>
      </c>
      <c r="V232" s="306" t="s">
        <v>1013</v>
      </c>
      <c r="W232" s="306" t="s">
        <v>1013</v>
      </c>
      <c r="X232" s="306" t="s">
        <v>1013</v>
      </c>
      <c r="Y232" s="306" t="s">
        <v>3260</v>
      </c>
      <c r="Z232" s="306" t="s">
        <v>2456</v>
      </c>
      <c r="AA232" s="306" t="s">
        <v>1013</v>
      </c>
    </row>
    <row r="233" spans="1:27">
      <c r="A233" s="306" t="s">
        <v>494</v>
      </c>
      <c r="B233" s="306" t="s">
        <v>1003</v>
      </c>
      <c r="C233" s="306" t="s">
        <v>1004</v>
      </c>
      <c r="D233" s="306" t="s">
        <v>2480</v>
      </c>
      <c r="E233" s="306" t="s">
        <v>3261</v>
      </c>
      <c r="F233" s="306" t="s">
        <v>2482</v>
      </c>
      <c r="G233" s="308">
        <v>46001</v>
      </c>
      <c r="H233" s="308">
        <v>46009</v>
      </c>
      <c r="I233" s="309">
        <v>2163.83</v>
      </c>
      <c r="J233" s="306" t="s">
        <v>1008</v>
      </c>
      <c r="K233" s="309">
        <v>2163.83</v>
      </c>
      <c r="L233" s="306" t="s">
        <v>1008</v>
      </c>
      <c r="M233" s="306" t="s">
        <v>3262</v>
      </c>
      <c r="N233" s="306" t="s">
        <v>3262</v>
      </c>
      <c r="O233" s="306" t="s">
        <v>1013</v>
      </c>
      <c r="P233" s="306" t="s">
        <v>1013</v>
      </c>
      <c r="Q233" s="306" t="s">
        <v>1013</v>
      </c>
      <c r="R233" s="306" t="s">
        <v>1013</v>
      </c>
      <c r="S233" s="306" t="s">
        <v>1013</v>
      </c>
      <c r="T233" s="306" t="s">
        <v>1013</v>
      </c>
      <c r="U233" s="306" t="s">
        <v>3263</v>
      </c>
      <c r="V233" s="306" t="s">
        <v>1013</v>
      </c>
      <c r="W233" s="306" t="s">
        <v>1013</v>
      </c>
      <c r="X233" s="306" t="s">
        <v>1013</v>
      </c>
      <c r="Y233" s="306" t="s">
        <v>3263</v>
      </c>
      <c r="Z233" s="306" t="s">
        <v>2456</v>
      </c>
      <c r="AA233" s="306" t="s">
        <v>1013</v>
      </c>
    </row>
    <row r="234" spans="1:27">
      <c r="A234" s="306" t="s">
        <v>494</v>
      </c>
      <c r="B234" s="306" t="s">
        <v>1003</v>
      </c>
      <c r="C234" s="306" t="s">
        <v>1004</v>
      </c>
      <c r="D234" s="306" t="s">
        <v>2480</v>
      </c>
      <c r="E234" s="306" t="s">
        <v>3264</v>
      </c>
      <c r="F234" s="306" t="s">
        <v>2486</v>
      </c>
      <c r="G234" s="308">
        <v>46009</v>
      </c>
      <c r="H234" s="308">
        <v>46009</v>
      </c>
      <c r="I234" s="309">
        <v>894</v>
      </c>
      <c r="J234" s="306" t="s">
        <v>1008</v>
      </c>
      <c r="K234" s="309">
        <v>894</v>
      </c>
      <c r="L234" s="306" t="s">
        <v>1008</v>
      </c>
      <c r="M234" s="306" t="s">
        <v>3265</v>
      </c>
      <c r="N234" s="306" t="s">
        <v>3266</v>
      </c>
      <c r="O234" s="306" t="s">
        <v>1013</v>
      </c>
      <c r="P234" s="306" t="s">
        <v>1013</v>
      </c>
      <c r="Q234" s="306" t="s">
        <v>1013</v>
      </c>
      <c r="R234" s="306" t="s">
        <v>1013</v>
      </c>
      <c r="S234" s="306" t="s">
        <v>1013</v>
      </c>
      <c r="T234" s="306" t="s">
        <v>1013</v>
      </c>
      <c r="U234" s="306" t="s">
        <v>3267</v>
      </c>
      <c r="V234" s="306" t="s">
        <v>1013</v>
      </c>
      <c r="W234" s="306" t="s">
        <v>1013</v>
      </c>
      <c r="X234" s="306" t="s">
        <v>1013</v>
      </c>
      <c r="Y234" s="306" t="s">
        <v>2509</v>
      </c>
      <c r="Z234" s="306" t="s">
        <v>2456</v>
      </c>
      <c r="AA234" s="306" t="s">
        <v>1013</v>
      </c>
    </row>
    <row r="235" spans="1:27">
      <c r="A235" s="306" t="s">
        <v>494</v>
      </c>
      <c r="B235" s="306" t="s">
        <v>1003</v>
      </c>
      <c r="C235" s="306" t="s">
        <v>1004</v>
      </c>
      <c r="D235" s="306" t="s">
        <v>2480</v>
      </c>
      <c r="E235" s="306" t="s">
        <v>3268</v>
      </c>
      <c r="F235" s="306" t="s">
        <v>2486</v>
      </c>
      <c r="G235" s="308">
        <v>46009</v>
      </c>
      <c r="H235" s="308">
        <v>46009</v>
      </c>
      <c r="I235" s="309">
        <v>1509.73</v>
      </c>
      <c r="J235" s="306" t="s">
        <v>1008</v>
      </c>
      <c r="K235" s="309">
        <v>1509.73</v>
      </c>
      <c r="L235" s="306" t="s">
        <v>1008</v>
      </c>
      <c r="M235" s="306" t="s">
        <v>3269</v>
      </c>
      <c r="N235" s="306" t="s">
        <v>3270</v>
      </c>
      <c r="O235" s="306" t="s">
        <v>1013</v>
      </c>
      <c r="P235" s="306" t="s">
        <v>2916</v>
      </c>
      <c r="Q235" s="306" t="s">
        <v>1013</v>
      </c>
      <c r="R235" s="306" t="s">
        <v>1013</v>
      </c>
      <c r="S235" s="306" t="s">
        <v>1013</v>
      </c>
      <c r="T235" s="306" t="s">
        <v>1013</v>
      </c>
      <c r="U235" s="306" t="s">
        <v>2917</v>
      </c>
      <c r="V235" s="306" t="s">
        <v>1013</v>
      </c>
      <c r="W235" s="306" t="s">
        <v>1013</v>
      </c>
      <c r="X235" s="306" t="s">
        <v>1013</v>
      </c>
      <c r="Y235" s="306" t="s">
        <v>2917</v>
      </c>
      <c r="Z235" s="306" t="s">
        <v>2456</v>
      </c>
      <c r="AA235" s="306" t="s">
        <v>1013</v>
      </c>
    </row>
    <row r="236" spans="1:27">
      <c r="A236" s="306" t="s">
        <v>494</v>
      </c>
      <c r="B236" s="306" t="s">
        <v>1003</v>
      </c>
      <c r="C236" s="306" t="s">
        <v>1004</v>
      </c>
      <c r="D236" s="306" t="s">
        <v>2480</v>
      </c>
      <c r="E236" s="306" t="s">
        <v>3271</v>
      </c>
      <c r="F236" s="306" t="s">
        <v>2486</v>
      </c>
      <c r="G236" s="308">
        <v>46009</v>
      </c>
      <c r="H236" s="308">
        <v>46009</v>
      </c>
      <c r="I236" s="309">
        <v>128.25</v>
      </c>
      <c r="J236" s="306" t="s">
        <v>1008</v>
      </c>
      <c r="K236" s="309">
        <v>128.25</v>
      </c>
      <c r="L236" s="306" t="s">
        <v>1008</v>
      </c>
      <c r="M236" s="306" t="s">
        <v>3272</v>
      </c>
      <c r="N236" s="306" t="s">
        <v>3273</v>
      </c>
      <c r="O236" s="306" t="s">
        <v>1013</v>
      </c>
      <c r="P236" s="306" t="s">
        <v>2916</v>
      </c>
      <c r="Q236" s="306" t="s">
        <v>1013</v>
      </c>
      <c r="R236" s="306" t="s">
        <v>1013</v>
      </c>
      <c r="S236" s="306" t="s">
        <v>1013</v>
      </c>
      <c r="T236" s="306" t="s">
        <v>1013</v>
      </c>
      <c r="U236" s="306" t="s">
        <v>2917</v>
      </c>
      <c r="V236" s="306" t="s">
        <v>1013</v>
      </c>
      <c r="W236" s="306" t="s">
        <v>1013</v>
      </c>
      <c r="X236" s="306" t="s">
        <v>1013</v>
      </c>
      <c r="Y236" s="306" t="s">
        <v>2917</v>
      </c>
      <c r="Z236" s="306" t="s">
        <v>2456</v>
      </c>
      <c r="AA236" s="306" t="s">
        <v>1013</v>
      </c>
    </row>
    <row r="237" spans="1:27">
      <c r="A237" s="306" t="s">
        <v>494</v>
      </c>
      <c r="B237" s="306" t="s">
        <v>1003</v>
      </c>
      <c r="C237" s="306" t="s">
        <v>1004</v>
      </c>
      <c r="D237" s="306" t="s">
        <v>2480</v>
      </c>
      <c r="E237" s="306" t="s">
        <v>3274</v>
      </c>
      <c r="F237" s="306" t="s">
        <v>2486</v>
      </c>
      <c r="G237" s="308">
        <v>46009</v>
      </c>
      <c r="H237" s="308">
        <v>46009</v>
      </c>
      <c r="I237" s="309">
        <v>394.58</v>
      </c>
      <c r="J237" s="306" t="s">
        <v>1008</v>
      </c>
      <c r="K237" s="309">
        <v>394.58</v>
      </c>
      <c r="L237" s="306" t="s">
        <v>1008</v>
      </c>
      <c r="M237" s="306" t="s">
        <v>3275</v>
      </c>
      <c r="N237" s="306" t="s">
        <v>3276</v>
      </c>
      <c r="O237" s="306" t="s">
        <v>1013</v>
      </c>
      <c r="P237" s="306" t="s">
        <v>2916</v>
      </c>
      <c r="Q237" s="306" t="s">
        <v>1013</v>
      </c>
      <c r="R237" s="306" t="s">
        <v>1013</v>
      </c>
      <c r="S237" s="306" t="s">
        <v>1013</v>
      </c>
      <c r="T237" s="306" t="s">
        <v>1013</v>
      </c>
      <c r="U237" s="306" t="s">
        <v>2917</v>
      </c>
      <c r="V237" s="306" t="s">
        <v>1013</v>
      </c>
      <c r="W237" s="306" t="s">
        <v>1013</v>
      </c>
      <c r="X237" s="306" t="s">
        <v>1013</v>
      </c>
      <c r="Y237" s="306" t="s">
        <v>2917</v>
      </c>
      <c r="Z237" s="306" t="s">
        <v>2456</v>
      </c>
      <c r="AA237" s="306" t="s">
        <v>1013</v>
      </c>
    </row>
    <row r="238" spans="1:27">
      <c r="A238" s="306" t="s">
        <v>494</v>
      </c>
      <c r="B238" s="306" t="s">
        <v>1003</v>
      </c>
      <c r="C238" s="306" t="s">
        <v>1004</v>
      </c>
      <c r="D238" s="306" t="s">
        <v>2480</v>
      </c>
      <c r="E238" s="306" t="s">
        <v>3277</v>
      </c>
      <c r="F238" s="306" t="s">
        <v>2486</v>
      </c>
      <c r="G238" s="308">
        <v>46009</v>
      </c>
      <c r="H238" s="308">
        <v>46009</v>
      </c>
      <c r="I238" s="309">
        <v>1025.67</v>
      </c>
      <c r="J238" s="306" t="s">
        <v>1008</v>
      </c>
      <c r="K238" s="309">
        <v>1025.67</v>
      </c>
      <c r="L238" s="306" t="s">
        <v>1008</v>
      </c>
      <c r="M238" s="306" t="s">
        <v>3278</v>
      </c>
      <c r="N238" s="306" t="s">
        <v>3279</v>
      </c>
      <c r="O238" s="306" t="s">
        <v>1013</v>
      </c>
      <c r="P238" s="306" t="s">
        <v>2916</v>
      </c>
      <c r="Q238" s="306" t="s">
        <v>1013</v>
      </c>
      <c r="R238" s="306" t="s">
        <v>1013</v>
      </c>
      <c r="S238" s="306" t="s">
        <v>1013</v>
      </c>
      <c r="T238" s="306" t="s">
        <v>1013</v>
      </c>
      <c r="U238" s="306" t="s">
        <v>2917</v>
      </c>
      <c r="V238" s="306" t="s">
        <v>1013</v>
      </c>
      <c r="W238" s="306" t="s">
        <v>1013</v>
      </c>
      <c r="X238" s="306" t="s">
        <v>1013</v>
      </c>
      <c r="Y238" s="306" t="s">
        <v>2917</v>
      </c>
      <c r="Z238" s="306" t="s">
        <v>2456</v>
      </c>
      <c r="AA238" s="306" t="s">
        <v>1013</v>
      </c>
    </row>
    <row r="239" spans="1:27">
      <c r="A239" s="306" t="s">
        <v>494</v>
      </c>
      <c r="B239" s="306" t="s">
        <v>1003</v>
      </c>
      <c r="C239" s="306" t="s">
        <v>1004</v>
      </c>
      <c r="D239" s="306" t="s">
        <v>2480</v>
      </c>
      <c r="E239" s="306" t="s">
        <v>3280</v>
      </c>
      <c r="F239" s="306" t="s">
        <v>2486</v>
      </c>
      <c r="G239" s="308">
        <v>46009</v>
      </c>
      <c r="H239" s="308">
        <v>46009</v>
      </c>
      <c r="I239" s="309">
        <v>1845.49</v>
      </c>
      <c r="J239" s="306" t="s">
        <v>1008</v>
      </c>
      <c r="K239" s="309">
        <v>1845.49</v>
      </c>
      <c r="L239" s="306" t="s">
        <v>1008</v>
      </c>
      <c r="M239" s="306" t="s">
        <v>3281</v>
      </c>
      <c r="N239" s="306" t="s">
        <v>3282</v>
      </c>
      <c r="O239" s="306" t="s">
        <v>1013</v>
      </c>
      <c r="P239" s="306" t="s">
        <v>2916</v>
      </c>
      <c r="Q239" s="306" t="s">
        <v>1013</v>
      </c>
      <c r="R239" s="306" t="s">
        <v>1013</v>
      </c>
      <c r="S239" s="306" t="s">
        <v>1013</v>
      </c>
      <c r="T239" s="306" t="s">
        <v>1013</v>
      </c>
      <c r="U239" s="306" t="s">
        <v>2917</v>
      </c>
      <c r="V239" s="306" t="s">
        <v>1013</v>
      </c>
      <c r="W239" s="306" t="s">
        <v>1013</v>
      </c>
      <c r="X239" s="306" t="s">
        <v>1013</v>
      </c>
      <c r="Y239" s="306" t="s">
        <v>2917</v>
      </c>
      <c r="Z239" s="306" t="s">
        <v>2456</v>
      </c>
      <c r="AA239" s="306" t="s">
        <v>1013</v>
      </c>
    </row>
    <row r="240" spans="1:27">
      <c r="A240" s="306" t="s">
        <v>494</v>
      </c>
      <c r="B240" s="306" t="s">
        <v>1003</v>
      </c>
      <c r="C240" s="306" t="s">
        <v>1004</v>
      </c>
      <c r="D240" s="306" t="s">
        <v>2480</v>
      </c>
      <c r="E240" s="306" t="s">
        <v>3283</v>
      </c>
      <c r="F240" s="306" t="s">
        <v>2482</v>
      </c>
      <c r="G240" s="308">
        <v>46001</v>
      </c>
      <c r="H240" s="308">
        <v>46010</v>
      </c>
      <c r="I240" s="309">
        <v>15281.5</v>
      </c>
      <c r="J240" s="306" t="s">
        <v>1008</v>
      </c>
      <c r="K240" s="309">
        <v>15281.5</v>
      </c>
      <c r="L240" s="306" t="s">
        <v>1008</v>
      </c>
      <c r="M240" s="306" t="s">
        <v>3284</v>
      </c>
      <c r="N240" s="306" t="s">
        <v>3284</v>
      </c>
      <c r="O240" s="306" t="s">
        <v>1013</v>
      </c>
      <c r="P240" s="306" t="s">
        <v>1013</v>
      </c>
      <c r="Q240" s="306" t="s">
        <v>1013</v>
      </c>
      <c r="R240" s="306" t="s">
        <v>1013</v>
      </c>
      <c r="S240" s="306" t="s">
        <v>1013</v>
      </c>
      <c r="T240" s="306" t="s">
        <v>1013</v>
      </c>
      <c r="U240" s="306" t="s">
        <v>3285</v>
      </c>
      <c r="V240" s="306" t="s">
        <v>1013</v>
      </c>
      <c r="W240" s="306" t="s">
        <v>1013</v>
      </c>
      <c r="X240" s="306" t="s">
        <v>1013</v>
      </c>
      <c r="Y240" s="306" t="s">
        <v>3285</v>
      </c>
      <c r="Z240" s="306" t="s">
        <v>2456</v>
      </c>
      <c r="AA240" s="306" t="s">
        <v>1013</v>
      </c>
    </row>
    <row r="241" spans="1:27">
      <c r="A241" s="306" t="s">
        <v>494</v>
      </c>
      <c r="B241" s="306" t="s">
        <v>1003</v>
      </c>
      <c r="C241" s="306" t="s">
        <v>1004</v>
      </c>
      <c r="D241" s="306" t="s">
        <v>2480</v>
      </c>
      <c r="E241" s="306" t="s">
        <v>3286</v>
      </c>
      <c r="F241" s="306" t="s">
        <v>2482</v>
      </c>
      <c r="G241" s="308">
        <v>46009</v>
      </c>
      <c r="H241" s="308">
        <v>46010</v>
      </c>
      <c r="I241" s="309">
        <v>55471.7</v>
      </c>
      <c r="J241" s="306" t="s">
        <v>1008</v>
      </c>
      <c r="K241" s="309">
        <v>55471.7</v>
      </c>
      <c r="L241" s="306" t="s">
        <v>1008</v>
      </c>
      <c r="M241" s="306" t="s">
        <v>3287</v>
      </c>
      <c r="N241" s="306" t="s">
        <v>3287</v>
      </c>
      <c r="O241" s="306" t="s">
        <v>1013</v>
      </c>
      <c r="P241" s="306" t="s">
        <v>1013</v>
      </c>
      <c r="Q241" s="306" t="s">
        <v>1013</v>
      </c>
      <c r="R241" s="306" t="s">
        <v>1013</v>
      </c>
      <c r="S241" s="306" t="s">
        <v>1013</v>
      </c>
      <c r="T241" s="306" t="s">
        <v>1013</v>
      </c>
      <c r="U241" s="306" t="s">
        <v>3288</v>
      </c>
      <c r="V241" s="306" t="s">
        <v>1013</v>
      </c>
      <c r="W241" s="306" t="s">
        <v>1013</v>
      </c>
      <c r="X241" s="306" t="s">
        <v>1013</v>
      </c>
      <c r="Y241" s="306" t="s">
        <v>3288</v>
      </c>
      <c r="Z241" s="306" t="s">
        <v>2456</v>
      </c>
      <c r="AA241" s="306" t="s">
        <v>1013</v>
      </c>
    </row>
    <row r="242" spans="1:27">
      <c r="A242" s="306" t="s">
        <v>494</v>
      </c>
      <c r="B242" s="306" t="s">
        <v>1003</v>
      </c>
      <c r="C242" s="306" t="s">
        <v>1004</v>
      </c>
      <c r="D242" s="306" t="s">
        <v>2480</v>
      </c>
      <c r="E242" s="306" t="s">
        <v>3289</v>
      </c>
      <c r="F242" s="306" t="s">
        <v>2482</v>
      </c>
      <c r="G242" s="308">
        <v>46009</v>
      </c>
      <c r="H242" s="308">
        <v>46010</v>
      </c>
      <c r="I242" s="309">
        <v>87735.85</v>
      </c>
      <c r="J242" s="306" t="s">
        <v>1008</v>
      </c>
      <c r="K242" s="309">
        <v>87735.85</v>
      </c>
      <c r="L242" s="306" t="s">
        <v>1008</v>
      </c>
      <c r="M242" s="306" t="s">
        <v>3290</v>
      </c>
      <c r="N242" s="306" t="s">
        <v>3290</v>
      </c>
      <c r="O242" s="306" t="s">
        <v>1013</v>
      </c>
      <c r="P242" s="306" t="s">
        <v>1013</v>
      </c>
      <c r="Q242" s="306" t="s">
        <v>1013</v>
      </c>
      <c r="R242" s="306" t="s">
        <v>1013</v>
      </c>
      <c r="S242" s="306" t="s">
        <v>1013</v>
      </c>
      <c r="T242" s="306" t="s">
        <v>1013</v>
      </c>
      <c r="U242" s="306" t="s">
        <v>3291</v>
      </c>
      <c r="V242" s="306" t="s">
        <v>1013</v>
      </c>
      <c r="W242" s="306" t="s">
        <v>1013</v>
      </c>
      <c r="X242" s="306" t="s">
        <v>1013</v>
      </c>
      <c r="Y242" s="306" t="s">
        <v>3291</v>
      </c>
      <c r="Z242" s="306" t="s">
        <v>2456</v>
      </c>
      <c r="AA242" s="306" t="s">
        <v>1013</v>
      </c>
    </row>
    <row r="243" spans="1:27">
      <c r="A243" s="306" t="s">
        <v>494</v>
      </c>
      <c r="B243" s="306" t="s">
        <v>1003</v>
      </c>
      <c r="C243" s="306" t="s">
        <v>1004</v>
      </c>
      <c r="D243" s="306" t="s">
        <v>2480</v>
      </c>
      <c r="E243" s="306" t="s">
        <v>3292</v>
      </c>
      <c r="F243" s="306" t="s">
        <v>2482</v>
      </c>
      <c r="G243" s="308">
        <v>45977</v>
      </c>
      <c r="H243" s="308">
        <v>46010</v>
      </c>
      <c r="I243" s="309">
        <v>34398.230000000003</v>
      </c>
      <c r="J243" s="306" t="s">
        <v>1008</v>
      </c>
      <c r="K243" s="309">
        <v>34398.230000000003</v>
      </c>
      <c r="L243" s="306" t="s">
        <v>1008</v>
      </c>
      <c r="M243" s="306" t="s">
        <v>3293</v>
      </c>
      <c r="N243" s="306" t="s">
        <v>3293</v>
      </c>
      <c r="O243" s="306" t="s">
        <v>1013</v>
      </c>
      <c r="P243" s="306" t="s">
        <v>1013</v>
      </c>
      <c r="Q243" s="306" t="s">
        <v>1013</v>
      </c>
      <c r="R243" s="306" t="s">
        <v>1013</v>
      </c>
      <c r="S243" s="306" t="s">
        <v>1013</v>
      </c>
      <c r="T243" s="306" t="s">
        <v>1013</v>
      </c>
      <c r="U243" s="306" t="s">
        <v>3294</v>
      </c>
      <c r="V243" s="306" t="s">
        <v>1013</v>
      </c>
      <c r="W243" s="306" t="s">
        <v>1013</v>
      </c>
      <c r="X243" s="306" t="s">
        <v>1013</v>
      </c>
      <c r="Y243" s="306" t="s">
        <v>3294</v>
      </c>
      <c r="Z243" s="306" t="s">
        <v>2456</v>
      </c>
      <c r="AA243" s="306" t="s">
        <v>1013</v>
      </c>
    </row>
    <row r="244" spans="1:27">
      <c r="A244" s="306" t="s">
        <v>494</v>
      </c>
      <c r="B244" s="306" t="s">
        <v>1003</v>
      </c>
      <c r="C244" s="306" t="s">
        <v>1004</v>
      </c>
      <c r="D244" s="306" t="s">
        <v>2480</v>
      </c>
      <c r="E244" s="306" t="s">
        <v>3295</v>
      </c>
      <c r="F244" s="306" t="s">
        <v>2482</v>
      </c>
      <c r="G244" s="308">
        <v>45978</v>
      </c>
      <c r="H244" s="308">
        <v>46010</v>
      </c>
      <c r="I244" s="309">
        <v>22053.55</v>
      </c>
      <c r="J244" s="306" t="s">
        <v>1008</v>
      </c>
      <c r="K244" s="309">
        <v>22053.55</v>
      </c>
      <c r="L244" s="306" t="s">
        <v>1008</v>
      </c>
      <c r="M244" s="306" t="s">
        <v>3296</v>
      </c>
      <c r="N244" s="306" t="s">
        <v>3296</v>
      </c>
      <c r="O244" s="306" t="s">
        <v>1013</v>
      </c>
      <c r="P244" s="306" t="s">
        <v>1013</v>
      </c>
      <c r="Q244" s="306" t="s">
        <v>1013</v>
      </c>
      <c r="R244" s="306" t="s">
        <v>1013</v>
      </c>
      <c r="S244" s="306" t="s">
        <v>1013</v>
      </c>
      <c r="T244" s="306" t="s">
        <v>1013</v>
      </c>
      <c r="U244" s="306" t="s">
        <v>3297</v>
      </c>
      <c r="V244" s="306" t="s">
        <v>1013</v>
      </c>
      <c r="W244" s="306" t="s">
        <v>1013</v>
      </c>
      <c r="X244" s="306" t="s">
        <v>1013</v>
      </c>
      <c r="Y244" s="306" t="s">
        <v>3297</v>
      </c>
      <c r="Z244" s="306" t="s">
        <v>2456</v>
      </c>
      <c r="AA244" s="306" t="s">
        <v>1013</v>
      </c>
    </row>
    <row r="245" spans="1:27">
      <c r="A245" s="306" t="s">
        <v>494</v>
      </c>
      <c r="B245" s="306" t="s">
        <v>1003</v>
      </c>
      <c r="C245" s="306" t="s">
        <v>1004</v>
      </c>
      <c r="D245" s="306" t="s">
        <v>2480</v>
      </c>
      <c r="E245" s="306" t="s">
        <v>3298</v>
      </c>
      <c r="F245" s="306" t="s">
        <v>2482</v>
      </c>
      <c r="G245" s="308">
        <v>45978</v>
      </c>
      <c r="H245" s="308">
        <v>46010</v>
      </c>
      <c r="I245" s="309">
        <v>27277</v>
      </c>
      <c r="J245" s="306" t="s">
        <v>1008</v>
      </c>
      <c r="K245" s="309">
        <v>27277</v>
      </c>
      <c r="L245" s="306" t="s">
        <v>1008</v>
      </c>
      <c r="M245" s="306" t="s">
        <v>3299</v>
      </c>
      <c r="N245" s="306" t="s">
        <v>3299</v>
      </c>
      <c r="O245" s="306" t="s">
        <v>1013</v>
      </c>
      <c r="P245" s="306" t="s">
        <v>1013</v>
      </c>
      <c r="Q245" s="306" t="s">
        <v>1013</v>
      </c>
      <c r="R245" s="306" t="s">
        <v>1013</v>
      </c>
      <c r="S245" s="306" t="s">
        <v>1013</v>
      </c>
      <c r="T245" s="306" t="s">
        <v>1013</v>
      </c>
      <c r="U245" s="306" t="s">
        <v>3300</v>
      </c>
      <c r="V245" s="306" t="s">
        <v>1013</v>
      </c>
      <c r="W245" s="306" t="s">
        <v>1013</v>
      </c>
      <c r="X245" s="306" t="s">
        <v>1013</v>
      </c>
      <c r="Y245" s="306" t="s">
        <v>3300</v>
      </c>
      <c r="Z245" s="306" t="s">
        <v>2456</v>
      </c>
      <c r="AA245" s="306" t="s">
        <v>1013</v>
      </c>
    </row>
    <row r="246" spans="1:27">
      <c r="A246" s="306" t="s">
        <v>494</v>
      </c>
      <c r="B246" s="306" t="s">
        <v>1003</v>
      </c>
      <c r="C246" s="306" t="s">
        <v>1004</v>
      </c>
      <c r="D246" s="306" t="s">
        <v>2480</v>
      </c>
      <c r="E246" s="306" t="s">
        <v>3301</v>
      </c>
      <c r="F246" s="306" t="s">
        <v>2482</v>
      </c>
      <c r="G246" s="308">
        <v>45978</v>
      </c>
      <c r="H246" s="308">
        <v>46010</v>
      </c>
      <c r="I246" s="309">
        <v>108749.44</v>
      </c>
      <c r="J246" s="306" t="s">
        <v>1008</v>
      </c>
      <c r="K246" s="309">
        <v>108749.44</v>
      </c>
      <c r="L246" s="306" t="s">
        <v>1008</v>
      </c>
      <c r="M246" s="306" t="s">
        <v>3302</v>
      </c>
      <c r="N246" s="306" t="s">
        <v>3302</v>
      </c>
      <c r="O246" s="306" t="s">
        <v>1013</v>
      </c>
      <c r="P246" s="306" t="s">
        <v>1013</v>
      </c>
      <c r="Q246" s="306" t="s">
        <v>1013</v>
      </c>
      <c r="R246" s="306" t="s">
        <v>1013</v>
      </c>
      <c r="S246" s="306" t="s">
        <v>1013</v>
      </c>
      <c r="T246" s="306" t="s">
        <v>1013</v>
      </c>
      <c r="U246" s="306" t="s">
        <v>3303</v>
      </c>
      <c r="V246" s="306" t="s">
        <v>1013</v>
      </c>
      <c r="W246" s="306" t="s">
        <v>1013</v>
      </c>
      <c r="X246" s="306" t="s">
        <v>1013</v>
      </c>
      <c r="Y246" s="306" t="s">
        <v>3303</v>
      </c>
      <c r="Z246" s="306" t="s">
        <v>2456</v>
      </c>
      <c r="AA246" s="306" t="s">
        <v>1013</v>
      </c>
    </row>
    <row r="247" spans="1:27">
      <c r="A247" s="306" t="s">
        <v>494</v>
      </c>
      <c r="B247" s="306" t="s">
        <v>1003</v>
      </c>
      <c r="C247" s="306" t="s">
        <v>1004</v>
      </c>
      <c r="D247" s="306" t="s">
        <v>2480</v>
      </c>
      <c r="E247" s="306" t="s">
        <v>3304</v>
      </c>
      <c r="F247" s="306" t="s">
        <v>2482</v>
      </c>
      <c r="G247" s="308">
        <v>46009</v>
      </c>
      <c r="H247" s="308">
        <v>46010</v>
      </c>
      <c r="I247" s="309">
        <v>618.14</v>
      </c>
      <c r="J247" s="306" t="s">
        <v>1008</v>
      </c>
      <c r="K247" s="309">
        <v>618.14</v>
      </c>
      <c r="L247" s="306" t="s">
        <v>1008</v>
      </c>
      <c r="M247" s="306" t="s">
        <v>3305</v>
      </c>
      <c r="N247" s="306" t="s">
        <v>3305</v>
      </c>
      <c r="O247" s="306" t="s">
        <v>1013</v>
      </c>
      <c r="P247" s="306" t="s">
        <v>1013</v>
      </c>
      <c r="Q247" s="306" t="s">
        <v>1013</v>
      </c>
      <c r="R247" s="306" t="s">
        <v>1013</v>
      </c>
      <c r="S247" s="306" t="s">
        <v>1013</v>
      </c>
      <c r="T247" s="306" t="s">
        <v>1013</v>
      </c>
      <c r="U247" s="306" t="s">
        <v>3306</v>
      </c>
      <c r="V247" s="306" t="s">
        <v>1013</v>
      </c>
      <c r="W247" s="306" t="s">
        <v>1013</v>
      </c>
      <c r="X247" s="306" t="s">
        <v>1013</v>
      </c>
      <c r="Y247" s="306" t="s">
        <v>3306</v>
      </c>
      <c r="Z247" s="306" t="s">
        <v>2456</v>
      </c>
      <c r="AA247" s="306" t="s">
        <v>1013</v>
      </c>
    </row>
    <row r="248" spans="1:27">
      <c r="A248" s="306" t="s">
        <v>494</v>
      </c>
      <c r="B248" s="306" t="s">
        <v>1003</v>
      </c>
      <c r="C248" s="306" t="s">
        <v>1004</v>
      </c>
      <c r="D248" s="306" t="s">
        <v>2480</v>
      </c>
      <c r="E248" s="306" t="s">
        <v>3307</v>
      </c>
      <c r="F248" s="306" t="s">
        <v>2486</v>
      </c>
      <c r="G248" s="308">
        <v>46010</v>
      </c>
      <c r="H248" s="308">
        <v>46010</v>
      </c>
      <c r="I248" s="309">
        <v>1266.3599999999999</v>
      </c>
      <c r="J248" s="306" t="s">
        <v>1008</v>
      </c>
      <c r="K248" s="309">
        <v>1266.3599999999999</v>
      </c>
      <c r="L248" s="306" t="s">
        <v>1008</v>
      </c>
      <c r="M248" s="306" t="s">
        <v>3308</v>
      </c>
      <c r="N248" s="306" t="s">
        <v>3309</v>
      </c>
      <c r="O248" s="306" t="s">
        <v>1013</v>
      </c>
      <c r="P248" s="306" t="s">
        <v>1013</v>
      </c>
      <c r="Q248" s="306" t="s">
        <v>1013</v>
      </c>
      <c r="R248" s="306" t="s">
        <v>1013</v>
      </c>
      <c r="S248" s="306" t="s">
        <v>1013</v>
      </c>
      <c r="T248" s="306" t="s">
        <v>1013</v>
      </c>
      <c r="U248" s="306" t="s">
        <v>3310</v>
      </c>
      <c r="V248" s="306" t="s">
        <v>1013</v>
      </c>
      <c r="W248" s="306" t="s">
        <v>1013</v>
      </c>
      <c r="X248" s="306" t="s">
        <v>1013</v>
      </c>
      <c r="Y248" s="306" t="s">
        <v>1406</v>
      </c>
      <c r="Z248" s="306" t="s">
        <v>2456</v>
      </c>
      <c r="AA248" s="306" t="s">
        <v>1013</v>
      </c>
    </row>
    <row r="249" spans="1:27">
      <c r="A249" s="306" t="s">
        <v>494</v>
      </c>
      <c r="B249" s="306" t="s">
        <v>1003</v>
      </c>
      <c r="C249" s="306" t="s">
        <v>1004</v>
      </c>
      <c r="D249" s="306" t="s">
        <v>2480</v>
      </c>
      <c r="E249" s="306" t="s">
        <v>3311</v>
      </c>
      <c r="F249" s="306" t="s">
        <v>2482</v>
      </c>
      <c r="G249" s="308">
        <v>46009</v>
      </c>
      <c r="H249" s="308">
        <v>46010</v>
      </c>
      <c r="I249" s="309">
        <v>165928.32000000001</v>
      </c>
      <c r="J249" s="306" t="s">
        <v>1008</v>
      </c>
      <c r="K249" s="309">
        <v>165928.32000000001</v>
      </c>
      <c r="L249" s="306" t="s">
        <v>1008</v>
      </c>
      <c r="M249" s="306" t="s">
        <v>3312</v>
      </c>
      <c r="N249" s="306" t="s">
        <v>3312</v>
      </c>
      <c r="O249" s="306" t="s">
        <v>1013</v>
      </c>
      <c r="P249" s="306" t="s">
        <v>1013</v>
      </c>
      <c r="Q249" s="306" t="s">
        <v>1013</v>
      </c>
      <c r="R249" s="306" t="s">
        <v>1013</v>
      </c>
      <c r="S249" s="306" t="s">
        <v>1013</v>
      </c>
      <c r="T249" s="306" t="s">
        <v>1013</v>
      </c>
      <c r="U249" s="306" t="s">
        <v>3313</v>
      </c>
      <c r="V249" s="306" t="s">
        <v>1013</v>
      </c>
      <c r="W249" s="306" t="s">
        <v>1013</v>
      </c>
      <c r="X249" s="306" t="s">
        <v>1013</v>
      </c>
      <c r="Y249" s="306" t="s">
        <v>3313</v>
      </c>
      <c r="Z249" s="306" t="s">
        <v>2456</v>
      </c>
      <c r="AA249" s="306" t="s">
        <v>1013</v>
      </c>
    </row>
    <row r="250" spans="1:27">
      <c r="A250" s="306" t="s">
        <v>494</v>
      </c>
      <c r="B250" s="306" t="s">
        <v>1003</v>
      </c>
      <c r="C250" s="306" t="s">
        <v>1004</v>
      </c>
      <c r="D250" s="306" t="s">
        <v>2480</v>
      </c>
      <c r="E250" s="306" t="s">
        <v>3314</v>
      </c>
      <c r="F250" s="306" t="s">
        <v>2482</v>
      </c>
      <c r="G250" s="308">
        <v>46010</v>
      </c>
      <c r="H250" s="308">
        <v>46010</v>
      </c>
      <c r="I250" s="309">
        <v>28573.4</v>
      </c>
      <c r="J250" s="306" t="s">
        <v>1008</v>
      </c>
      <c r="K250" s="309">
        <v>28573.4</v>
      </c>
      <c r="L250" s="306" t="s">
        <v>1008</v>
      </c>
      <c r="M250" s="306" t="s">
        <v>2745</v>
      </c>
      <c r="N250" s="306" t="s">
        <v>2745</v>
      </c>
      <c r="O250" s="306" t="s">
        <v>1013</v>
      </c>
      <c r="P250" s="306" t="s">
        <v>1013</v>
      </c>
      <c r="Q250" s="306" t="s">
        <v>1013</v>
      </c>
      <c r="R250" s="306" t="s">
        <v>1013</v>
      </c>
      <c r="S250" s="306" t="s">
        <v>1013</v>
      </c>
      <c r="T250" s="306" t="s">
        <v>1013</v>
      </c>
      <c r="U250" s="306" t="s">
        <v>3315</v>
      </c>
      <c r="V250" s="306" t="s">
        <v>1013</v>
      </c>
      <c r="W250" s="306" t="s">
        <v>1013</v>
      </c>
      <c r="X250" s="306" t="s">
        <v>1013</v>
      </c>
      <c r="Y250" s="306" t="s">
        <v>3315</v>
      </c>
      <c r="Z250" s="306" t="s">
        <v>2456</v>
      </c>
      <c r="AA250" s="306" t="s">
        <v>1013</v>
      </c>
    </row>
    <row r="251" spans="1:27">
      <c r="A251" s="306" t="s">
        <v>494</v>
      </c>
      <c r="B251" s="306" t="s">
        <v>1003</v>
      </c>
      <c r="C251" s="306" t="s">
        <v>1004</v>
      </c>
      <c r="D251" s="306" t="s">
        <v>2480</v>
      </c>
      <c r="E251" s="306" t="s">
        <v>3316</v>
      </c>
      <c r="F251" s="306" t="s">
        <v>2482</v>
      </c>
      <c r="G251" s="308">
        <v>46010</v>
      </c>
      <c r="H251" s="308">
        <v>46010</v>
      </c>
      <c r="I251" s="309">
        <v>27483.03</v>
      </c>
      <c r="J251" s="306" t="s">
        <v>1008</v>
      </c>
      <c r="K251" s="309">
        <v>27483.03</v>
      </c>
      <c r="L251" s="306" t="s">
        <v>1008</v>
      </c>
      <c r="M251" s="306" t="s">
        <v>2780</v>
      </c>
      <c r="N251" s="306" t="s">
        <v>2780</v>
      </c>
      <c r="O251" s="306" t="s">
        <v>1013</v>
      </c>
      <c r="P251" s="306" t="s">
        <v>1013</v>
      </c>
      <c r="Q251" s="306" t="s">
        <v>1013</v>
      </c>
      <c r="R251" s="306" t="s">
        <v>1013</v>
      </c>
      <c r="S251" s="306" t="s">
        <v>1013</v>
      </c>
      <c r="T251" s="306" t="s">
        <v>1013</v>
      </c>
      <c r="U251" s="306" t="s">
        <v>3317</v>
      </c>
      <c r="V251" s="306" t="s">
        <v>1013</v>
      </c>
      <c r="W251" s="306" t="s">
        <v>1013</v>
      </c>
      <c r="X251" s="306" t="s">
        <v>1013</v>
      </c>
      <c r="Y251" s="306" t="s">
        <v>3317</v>
      </c>
      <c r="Z251" s="306" t="s">
        <v>2456</v>
      </c>
      <c r="AA251" s="306" t="s">
        <v>1013</v>
      </c>
    </row>
    <row r="252" spans="1:27">
      <c r="A252" s="306" t="s">
        <v>494</v>
      </c>
      <c r="B252" s="306" t="s">
        <v>1003</v>
      </c>
      <c r="C252" s="306" t="s">
        <v>1004</v>
      </c>
      <c r="D252" s="306" t="s">
        <v>2480</v>
      </c>
      <c r="E252" s="306" t="s">
        <v>3318</v>
      </c>
      <c r="F252" s="306" t="s">
        <v>2482</v>
      </c>
      <c r="G252" s="308">
        <v>46010</v>
      </c>
      <c r="H252" s="308">
        <v>46010</v>
      </c>
      <c r="I252" s="309">
        <v>136033.1</v>
      </c>
      <c r="J252" s="306" t="s">
        <v>1008</v>
      </c>
      <c r="K252" s="309">
        <v>136033.1</v>
      </c>
      <c r="L252" s="306" t="s">
        <v>1008</v>
      </c>
      <c r="M252" s="306" t="s">
        <v>2783</v>
      </c>
      <c r="N252" s="306" t="s">
        <v>2783</v>
      </c>
      <c r="O252" s="306" t="s">
        <v>1013</v>
      </c>
      <c r="P252" s="306" t="s">
        <v>1013</v>
      </c>
      <c r="Q252" s="306" t="s">
        <v>1013</v>
      </c>
      <c r="R252" s="306" t="s">
        <v>1013</v>
      </c>
      <c r="S252" s="306" t="s">
        <v>1013</v>
      </c>
      <c r="T252" s="306" t="s">
        <v>1013</v>
      </c>
      <c r="U252" s="306" t="s">
        <v>3319</v>
      </c>
      <c r="V252" s="306" t="s">
        <v>1013</v>
      </c>
      <c r="W252" s="306" t="s">
        <v>1013</v>
      </c>
      <c r="X252" s="306" t="s">
        <v>1013</v>
      </c>
      <c r="Y252" s="306" t="s">
        <v>3319</v>
      </c>
      <c r="Z252" s="306" t="s">
        <v>2456</v>
      </c>
      <c r="AA252" s="306" t="s">
        <v>1013</v>
      </c>
    </row>
    <row r="253" spans="1:27">
      <c r="A253" s="306" t="s">
        <v>494</v>
      </c>
      <c r="B253" s="306" t="s">
        <v>1003</v>
      </c>
      <c r="C253" s="306" t="s">
        <v>1004</v>
      </c>
      <c r="D253" s="306" t="s">
        <v>2480</v>
      </c>
      <c r="E253" s="306" t="s">
        <v>3320</v>
      </c>
      <c r="F253" s="306" t="s">
        <v>2482</v>
      </c>
      <c r="G253" s="308">
        <v>45985</v>
      </c>
      <c r="H253" s="308">
        <v>46010</v>
      </c>
      <c r="I253" s="309">
        <v>794.44</v>
      </c>
      <c r="J253" s="306" t="s">
        <v>1008</v>
      </c>
      <c r="K253" s="309">
        <v>794.44</v>
      </c>
      <c r="L253" s="306" t="s">
        <v>1008</v>
      </c>
      <c r="M253" s="306" t="s">
        <v>3321</v>
      </c>
      <c r="N253" s="306" t="s">
        <v>3321</v>
      </c>
      <c r="O253" s="306" t="s">
        <v>1013</v>
      </c>
      <c r="P253" s="306" t="s">
        <v>1013</v>
      </c>
      <c r="Q253" s="306" t="s">
        <v>1013</v>
      </c>
      <c r="R253" s="306" t="s">
        <v>1013</v>
      </c>
      <c r="S253" s="306" t="s">
        <v>1013</v>
      </c>
      <c r="T253" s="306" t="s">
        <v>1013</v>
      </c>
      <c r="U253" s="306" t="s">
        <v>3322</v>
      </c>
      <c r="V253" s="306" t="s">
        <v>1013</v>
      </c>
      <c r="W253" s="306" t="s">
        <v>1013</v>
      </c>
      <c r="X253" s="306" t="s">
        <v>1013</v>
      </c>
      <c r="Y253" s="306" t="s">
        <v>3322</v>
      </c>
      <c r="Z253" s="306" t="s">
        <v>2456</v>
      </c>
      <c r="AA253" s="306" t="s">
        <v>1013</v>
      </c>
    </row>
    <row r="254" spans="1:27">
      <c r="A254" s="306" t="s">
        <v>494</v>
      </c>
      <c r="B254" s="306" t="s">
        <v>1003</v>
      </c>
      <c r="C254" s="306" t="s">
        <v>1004</v>
      </c>
      <c r="D254" s="306" t="s">
        <v>2480</v>
      </c>
      <c r="E254" s="306" t="s">
        <v>3323</v>
      </c>
      <c r="F254" s="306" t="s">
        <v>2482</v>
      </c>
      <c r="G254" s="308">
        <v>46010</v>
      </c>
      <c r="H254" s="308">
        <v>46010</v>
      </c>
      <c r="I254" s="309">
        <v>674442.8</v>
      </c>
      <c r="J254" s="306" t="s">
        <v>1008</v>
      </c>
      <c r="K254" s="309">
        <v>674442.8</v>
      </c>
      <c r="L254" s="306" t="s">
        <v>1008</v>
      </c>
      <c r="M254" s="306" t="s">
        <v>2591</v>
      </c>
      <c r="N254" s="306" t="s">
        <v>2591</v>
      </c>
      <c r="O254" s="306" t="s">
        <v>1013</v>
      </c>
      <c r="P254" s="306" t="s">
        <v>1013</v>
      </c>
      <c r="Q254" s="306" t="s">
        <v>1013</v>
      </c>
      <c r="R254" s="306" t="s">
        <v>1013</v>
      </c>
      <c r="S254" s="306" t="s">
        <v>1013</v>
      </c>
      <c r="T254" s="306" t="s">
        <v>1013</v>
      </c>
      <c r="U254" s="306" t="s">
        <v>3324</v>
      </c>
      <c r="V254" s="306" t="s">
        <v>1013</v>
      </c>
      <c r="W254" s="306" t="s">
        <v>1013</v>
      </c>
      <c r="X254" s="306" t="s">
        <v>1013</v>
      </c>
      <c r="Y254" s="306" t="s">
        <v>3324</v>
      </c>
      <c r="Z254" s="306" t="s">
        <v>2456</v>
      </c>
      <c r="AA254" s="306" t="s">
        <v>1013</v>
      </c>
    </row>
    <row r="255" spans="1:27">
      <c r="A255" s="306" t="s">
        <v>494</v>
      </c>
      <c r="B255" s="306" t="s">
        <v>1003</v>
      </c>
      <c r="C255" s="306" t="s">
        <v>1004</v>
      </c>
      <c r="D255" s="306" t="s">
        <v>2480</v>
      </c>
      <c r="E255" s="306" t="s">
        <v>3325</v>
      </c>
      <c r="F255" s="306" t="s">
        <v>2482</v>
      </c>
      <c r="G255" s="308">
        <v>46010</v>
      </c>
      <c r="H255" s="308">
        <v>46010</v>
      </c>
      <c r="I255" s="309">
        <v>401075.15</v>
      </c>
      <c r="J255" s="306" t="s">
        <v>1008</v>
      </c>
      <c r="K255" s="309">
        <v>401075.15</v>
      </c>
      <c r="L255" s="306" t="s">
        <v>1008</v>
      </c>
      <c r="M255" s="306" t="s">
        <v>2594</v>
      </c>
      <c r="N255" s="306" t="s">
        <v>2594</v>
      </c>
      <c r="O255" s="306" t="s">
        <v>1013</v>
      </c>
      <c r="P255" s="306" t="s">
        <v>1013</v>
      </c>
      <c r="Q255" s="306" t="s">
        <v>1013</v>
      </c>
      <c r="R255" s="306" t="s">
        <v>1013</v>
      </c>
      <c r="S255" s="306" t="s">
        <v>1013</v>
      </c>
      <c r="T255" s="306" t="s">
        <v>1013</v>
      </c>
      <c r="U255" s="306" t="s">
        <v>3326</v>
      </c>
      <c r="V255" s="306" t="s">
        <v>1013</v>
      </c>
      <c r="W255" s="306" t="s">
        <v>1013</v>
      </c>
      <c r="X255" s="306" t="s">
        <v>1013</v>
      </c>
      <c r="Y255" s="306" t="s">
        <v>3326</v>
      </c>
      <c r="Z255" s="306" t="s">
        <v>2456</v>
      </c>
      <c r="AA255" s="306" t="s">
        <v>1013</v>
      </c>
    </row>
    <row r="256" spans="1:27">
      <c r="A256" s="306" t="s">
        <v>494</v>
      </c>
      <c r="B256" s="306" t="s">
        <v>1003</v>
      </c>
      <c r="C256" s="306" t="s">
        <v>1004</v>
      </c>
      <c r="D256" s="306" t="s">
        <v>2480</v>
      </c>
      <c r="E256" s="306" t="s">
        <v>3327</v>
      </c>
      <c r="F256" s="306" t="s">
        <v>2486</v>
      </c>
      <c r="G256" s="308">
        <v>46010</v>
      </c>
      <c r="H256" s="308">
        <v>46010</v>
      </c>
      <c r="I256" s="309">
        <v>69.77</v>
      </c>
      <c r="J256" s="306" t="s">
        <v>1008</v>
      </c>
      <c r="K256" s="309">
        <v>69.77</v>
      </c>
      <c r="L256" s="306" t="s">
        <v>1008</v>
      </c>
      <c r="M256" s="306" t="s">
        <v>3328</v>
      </c>
      <c r="N256" s="306" t="s">
        <v>3329</v>
      </c>
      <c r="O256" s="306" t="s">
        <v>1013</v>
      </c>
      <c r="P256" s="306" t="s">
        <v>2916</v>
      </c>
      <c r="Q256" s="306" t="s">
        <v>1013</v>
      </c>
      <c r="R256" s="306" t="s">
        <v>1013</v>
      </c>
      <c r="S256" s="306" t="s">
        <v>1013</v>
      </c>
      <c r="T256" s="306" t="s">
        <v>1013</v>
      </c>
      <c r="U256" s="306" t="s">
        <v>2917</v>
      </c>
      <c r="V256" s="306" t="s">
        <v>1013</v>
      </c>
      <c r="W256" s="306" t="s">
        <v>1013</v>
      </c>
      <c r="X256" s="306" t="s">
        <v>1013</v>
      </c>
      <c r="Y256" s="306" t="s">
        <v>2917</v>
      </c>
      <c r="Z256" s="306" t="s">
        <v>2456</v>
      </c>
      <c r="AA256" s="306" t="s">
        <v>1013</v>
      </c>
    </row>
    <row r="257" spans="1:27">
      <c r="A257" s="306" t="s">
        <v>494</v>
      </c>
      <c r="B257" s="306" t="s">
        <v>1003</v>
      </c>
      <c r="C257" s="306" t="s">
        <v>1004</v>
      </c>
      <c r="D257" s="306" t="s">
        <v>2480</v>
      </c>
      <c r="E257" s="306" t="s">
        <v>3330</v>
      </c>
      <c r="F257" s="306" t="s">
        <v>2486</v>
      </c>
      <c r="G257" s="308">
        <v>46010</v>
      </c>
      <c r="H257" s="308">
        <v>46010</v>
      </c>
      <c r="I257" s="309">
        <v>1250.0999999999999</v>
      </c>
      <c r="J257" s="306" t="s">
        <v>1008</v>
      </c>
      <c r="K257" s="309">
        <v>1250.0999999999999</v>
      </c>
      <c r="L257" s="306" t="s">
        <v>1008</v>
      </c>
      <c r="M257" s="306" t="s">
        <v>3331</v>
      </c>
      <c r="N257" s="306" t="s">
        <v>3332</v>
      </c>
      <c r="O257" s="306" t="s">
        <v>1013</v>
      </c>
      <c r="P257" s="306" t="s">
        <v>1013</v>
      </c>
      <c r="Q257" s="306" t="s">
        <v>1013</v>
      </c>
      <c r="R257" s="306" t="s">
        <v>1013</v>
      </c>
      <c r="S257" s="306" t="s">
        <v>1013</v>
      </c>
      <c r="T257" s="306" t="s">
        <v>1013</v>
      </c>
      <c r="U257" s="306" t="s">
        <v>3333</v>
      </c>
      <c r="V257" s="306" t="s">
        <v>1013</v>
      </c>
      <c r="W257" s="306" t="s">
        <v>1013</v>
      </c>
      <c r="X257" s="306" t="s">
        <v>1013</v>
      </c>
      <c r="Y257" s="306" t="s">
        <v>1537</v>
      </c>
      <c r="Z257" s="306" t="s">
        <v>2456</v>
      </c>
      <c r="AA257" s="306" t="s">
        <v>1013</v>
      </c>
    </row>
    <row r="258" spans="1:27">
      <c r="A258" s="306" t="s">
        <v>494</v>
      </c>
      <c r="B258" s="306" t="s">
        <v>1003</v>
      </c>
      <c r="C258" s="306" t="s">
        <v>1004</v>
      </c>
      <c r="D258" s="306" t="s">
        <v>2480</v>
      </c>
      <c r="E258" s="306" t="s">
        <v>3334</v>
      </c>
      <c r="F258" s="306" t="s">
        <v>2486</v>
      </c>
      <c r="G258" s="308">
        <v>46010</v>
      </c>
      <c r="H258" s="308">
        <v>46010</v>
      </c>
      <c r="I258" s="309">
        <v>2242.7199999999998</v>
      </c>
      <c r="J258" s="306" t="s">
        <v>1008</v>
      </c>
      <c r="K258" s="309">
        <v>2242.7199999999998</v>
      </c>
      <c r="L258" s="306" t="s">
        <v>1008</v>
      </c>
      <c r="M258" s="306" t="s">
        <v>3335</v>
      </c>
      <c r="N258" s="306" t="s">
        <v>3336</v>
      </c>
      <c r="O258" s="306" t="s">
        <v>1013</v>
      </c>
      <c r="P258" s="306" t="s">
        <v>1013</v>
      </c>
      <c r="Q258" s="306" t="s">
        <v>1013</v>
      </c>
      <c r="R258" s="306" t="s">
        <v>1013</v>
      </c>
      <c r="S258" s="306" t="s">
        <v>1013</v>
      </c>
      <c r="T258" s="306" t="s">
        <v>1013</v>
      </c>
      <c r="U258" s="306" t="s">
        <v>3337</v>
      </c>
      <c r="V258" s="306" t="s">
        <v>1013</v>
      </c>
      <c r="W258" s="306" t="s">
        <v>1013</v>
      </c>
      <c r="X258" s="306" t="s">
        <v>1013</v>
      </c>
      <c r="Y258" s="306" t="s">
        <v>3338</v>
      </c>
      <c r="Z258" s="306" t="s">
        <v>2456</v>
      </c>
      <c r="AA258" s="306" t="s">
        <v>1013</v>
      </c>
    </row>
    <row r="259" spans="1:27">
      <c r="A259" s="306" t="s">
        <v>494</v>
      </c>
      <c r="B259" s="306" t="s">
        <v>1003</v>
      </c>
      <c r="C259" s="306" t="s">
        <v>1004</v>
      </c>
      <c r="D259" s="306" t="s">
        <v>2480</v>
      </c>
      <c r="E259" s="306" t="s">
        <v>3339</v>
      </c>
      <c r="F259" s="306" t="s">
        <v>2486</v>
      </c>
      <c r="G259" s="308">
        <v>46010</v>
      </c>
      <c r="H259" s="308">
        <v>46010</v>
      </c>
      <c r="I259" s="309">
        <v>396.23</v>
      </c>
      <c r="J259" s="306" t="s">
        <v>1008</v>
      </c>
      <c r="K259" s="309">
        <v>396.23</v>
      </c>
      <c r="L259" s="306" t="s">
        <v>1008</v>
      </c>
      <c r="M259" s="306" t="s">
        <v>3340</v>
      </c>
      <c r="N259" s="306" t="s">
        <v>3341</v>
      </c>
      <c r="O259" s="306" t="s">
        <v>1013</v>
      </c>
      <c r="P259" s="306" t="s">
        <v>1013</v>
      </c>
      <c r="Q259" s="306" t="s">
        <v>1013</v>
      </c>
      <c r="R259" s="306" t="s">
        <v>1013</v>
      </c>
      <c r="S259" s="306" t="s">
        <v>1013</v>
      </c>
      <c r="T259" s="306" t="s">
        <v>1013</v>
      </c>
      <c r="U259" s="306" t="s">
        <v>3342</v>
      </c>
      <c r="V259" s="306" t="s">
        <v>1013</v>
      </c>
      <c r="W259" s="306" t="s">
        <v>1013</v>
      </c>
      <c r="X259" s="306" t="s">
        <v>1013</v>
      </c>
      <c r="Y259" s="306" t="s">
        <v>2704</v>
      </c>
      <c r="Z259" s="306" t="s">
        <v>2456</v>
      </c>
      <c r="AA259" s="306" t="s">
        <v>1013</v>
      </c>
    </row>
    <row r="260" spans="1:27">
      <c r="A260" s="306" t="s">
        <v>494</v>
      </c>
      <c r="B260" s="306" t="s">
        <v>1003</v>
      </c>
      <c r="C260" s="306" t="s">
        <v>1004</v>
      </c>
      <c r="D260" s="306" t="s">
        <v>2480</v>
      </c>
      <c r="E260" s="306" t="s">
        <v>3339</v>
      </c>
      <c r="F260" s="306" t="s">
        <v>2486</v>
      </c>
      <c r="G260" s="308">
        <v>46010</v>
      </c>
      <c r="H260" s="308">
        <v>46010</v>
      </c>
      <c r="I260" s="309">
        <v>452.83</v>
      </c>
      <c r="J260" s="306" t="s">
        <v>1008</v>
      </c>
      <c r="K260" s="309">
        <v>452.83</v>
      </c>
      <c r="L260" s="306" t="s">
        <v>1008</v>
      </c>
      <c r="M260" s="306" t="s">
        <v>3343</v>
      </c>
      <c r="N260" s="306" t="s">
        <v>3341</v>
      </c>
      <c r="O260" s="306" t="s">
        <v>1013</v>
      </c>
      <c r="P260" s="306" t="s">
        <v>1013</v>
      </c>
      <c r="Q260" s="306" t="s">
        <v>1013</v>
      </c>
      <c r="R260" s="306" t="s">
        <v>1013</v>
      </c>
      <c r="S260" s="306" t="s">
        <v>1013</v>
      </c>
      <c r="T260" s="306" t="s">
        <v>1013</v>
      </c>
      <c r="U260" s="306" t="s">
        <v>3342</v>
      </c>
      <c r="V260" s="306" t="s">
        <v>1013</v>
      </c>
      <c r="W260" s="306" t="s">
        <v>1013</v>
      </c>
      <c r="X260" s="306" t="s">
        <v>1013</v>
      </c>
      <c r="Y260" s="306" t="s">
        <v>2704</v>
      </c>
      <c r="Z260" s="306" t="s">
        <v>2456</v>
      </c>
      <c r="AA260" s="306" t="s">
        <v>1013</v>
      </c>
    </row>
    <row r="261" spans="1:27">
      <c r="A261" s="306" t="s">
        <v>494</v>
      </c>
      <c r="B261" s="306" t="s">
        <v>1003</v>
      </c>
      <c r="C261" s="306" t="s">
        <v>1004</v>
      </c>
      <c r="D261" s="306" t="s">
        <v>2480</v>
      </c>
      <c r="E261" s="306" t="s">
        <v>3339</v>
      </c>
      <c r="F261" s="306" t="s">
        <v>2486</v>
      </c>
      <c r="G261" s="308">
        <v>46010</v>
      </c>
      <c r="H261" s="308">
        <v>46010</v>
      </c>
      <c r="I261" s="309">
        <v>566.04</v>
      </c>
      <c r="J261" s="306" t="s">
        <v>1008</v>
      </c>
      <c r="K261" s="309">
        <v>566.04</v>
      </c>
      <c r="L261" s="306" t="s">
        <v>1008</v>
      </c>
      <c r="M261" s="306" t="s">
        <v>3344</v>
      </c>
      <c r="N261" s="306" t="s">
        <v>3341</v>
      </c>
      <c r="O261" s="306" t="s">
        <v>1013</v>
      </c>
      <c r="P261" s="306" t="s">
        <v>1013</v>
      </c>
      <c r="Q261" s="306" t="s">
        <v>1013</v>
      </c>
      <c r="R261" s="306" t="s">
        <v>1013</v>
      </c>
      <c r="S261" s="306" t="s">
        <v>1013</v>
      </c>
      <c r="T261" s="306" t="s">
        <v>1013</v>
      </c>
      <c r="U261" s="306" t="s">
        <v>3342</v>
      </c>
      <c r="V261" s="306" t="s">
        <v>1013</v>
      </c>
      <c r="W261" s="306" t="s">
        <v>1013</v>
      </c>
      <c r="X261" s="306" t="s">
        <v>1013</v>
      </c>
      <c r="Y261" s="306" t="s">
        <v>2704</v>
      </c>
      <c r="Z261" s="306" t="s">
        <v>2456</v>
      </c>
      <c r="AA261" s="306" t="s">
        <v>1013</v>
      </c>
    </row>
    <row r="262" spans="1:27">
      <c r="A262" s="306" t="s">
        <v>494</v>
      </c>
      <c r="B262" s="306" t="s">
        <v>1003</v>
      </c>
      <c r="C262" s="306" t="s">
        <v>1004</v>
      </c>
      <c r="D262" s="306" t="s">
        <v>2480</v>
      </c>
      <c r="E262" s="306" t="s">
        <v>3339</v>
      </c>
      <c r="F262" s="306" t="s">
        <v>2486</v>
      </c>
      <c r="G262" s="308">
        <v>46010</v>
      </c>
      <c r="H262" s="308">
        <v>46010</v>
      </c>
      <c r="I262" s="309">
        <v>424.53</v>
      </c>
      <c r="J262" s="306" t="s">
        <v>1008</v>
      </c>
      <c r="K262" s="309">
        <v>424.53</v>
      </c>
      <c r="L262" s="306" t="s">
        <v>1008</v>
      </c>
      <c r="M262" s="306" t="s">
        <v>3345</v>
      </c>
      <c r="N262" s="306" t="s">
        <v>3341</v>
      </c>
      <c r="O262" s="306" t="s">
        <v>1013</v>
      </c>
      <c r="P262" s="306" t="s">
        <v>1013</v>
      </c>
      <c r="Q262" s="306" t="s">
        <v>1013</v>
      </c>
      <c r="R262" s="306" t="s">
        <v>1013</v>
      </c>
      <c r="S262" s="306" t="s">
        <v>1013</v>
      </c>
      <c r="T262" s="306" t="s">
        <v>1013</v>
      </c>
      <c r="U262" s="306" t="s">
        <v>3342</v>
      </c>
      <c r="V262" s="306" t="s">
        <v>1013</v>
      </c>
      <c r="W262" s="306" t="s">
        <v>1013</v>
      </c>
      <c r="X262" s="306" t="s">
        <v>1013</v>
      </c>
      <c r="Y262" s="306" t="s">
        <v>2704</v>
      </c>
      <c r="Z262" s="306" t="s">
        <v>2456</v>
      </c>
      <c r="AA262" s="306" t="s">
        <v>1013</v>
      </c>
    </row>
    <row r="263" spans="1:27">
      <c r="A263" s="306" t="s">
        <v>494</v>
      </c>
      <c r="B263" s="306" t="s">
        <v>1003</v>
      </c>
      <c r="C263" s="306" t="s">
        <v>1004</v>
      </c>
      <c r="D263" s="306" t="s">
        <v>2480</v>
      </c>
      <c r="E263" s="306" t="s">
        <v>3346</v>
      </c>
      <c r="F263" s="306" t="s">
        <v>2486</v>
      </c>
      <c r="G263" s="308">
        <v>46010</v>
      </c>
      <c r="H263" s="308">
        <v>46010</v>
      </c>
      <c r="I263" s="309">
        <v>1160.3800000000001</v>
      </c>
      <c r="J263" s="306" t="s">
        <v>1008</v>
      </c>
      <c r="K263" s="309">
        <v>1160.3800000000001</v>
      </c>
      <c r="L263" s="306" t="s">
        <v>1008</v>
      </c>
      <c r="M263" s="306" t="s">
        <v>3347</v>
      </c>
      <c r="N263" s="306" t="s">
        <v>3348</v>
      </c>
      <c r="O263" s="306" t="s">
        <v>1013</v>
      </c>
      <c r="P263" s="306" t="s">
        <v>1013</v>
      </c>
      <c r="Q263" s="306" t="s">
        <v>1013</v>
      </c>
      <c r="R263" s="306" t="s">
        <v>1013</v>
      </c>
      <c r="S263" s="306" t="s">
        <v>1013</v>
      </c>
      <c r="T263" s="306" t="s">
        <v>1013</v>
      </c>
      <c r="U263" s="306" t="s">
        <v>3349</v>
      </c>
      <c r="V263" s="306" t="s">
        <v>1013</v>
      </c>
      <c r="W263" s="306" t="s">
        <v>1013</v>
      </c>
      <c r="X263" s="306" t="s">
        <v>1013</v>
      </c>
      <c r="Y263" s="306" t="s">
        <v>2717</v>
      </c>
      <c r="Z263" s="306" t="s">
        <v>2456</v>
      </c>
      <c r="AA263" s="306" t="s">
        <v>1013</v>
      </c>
    </row>
    <row r="264" spans="1:27">
      <c r="A264" s="306" t="s">
        <v>494</v>
      </c>
      <c r="B264" s="306" t="s">
        <v>1003</v>
      </c>
      <c r="C264" s="306" t="s">
        <v>1004</v>
      </c>
      <c r="D264" s="306" t="s">
        <v>2480</v>
      </c>
      <c r="E264" s="306" t="s">
        <v>3350</v>
      </c>
      <c r="F264" s="306" t="s">
        <v>2486</v>
      </c>
      <c r="G264" s="308">
        <v>46010</v>
      </c>
      <c r="H264" s="308">
        <v>46010</v>
      </c>
      <c r="I264" s="309">
        <v>9320.39</v>
      </c>
      <c r="J264" s="306" t="s">
        <v>1008</v>
      </c>
      <c r="K264" s="309">
        <v>9320.39</v>
      </c>
      <c r="L264" s="306" t="s">
        <v>1008</v>
      </c>
      <c r="M264" s="306" t="s">
        <v>3351</v>
      </c>
      <c r="N264" s="306" t="s">
        <v>3352</v>
      </c>
      <c r="O264" s="306" t="s">
        <v>1013</v>
      </c>
      <c r="P264" s="306" t="s">
        <v>1013</v>
      </c>
      <c r="Q264" s="306" t="s">
        <v>1013</v>
      </c>
      <c r="R264" s="306" t="s">
        <v>1013</v>
      </c>
      <c r="S264" s="306" t="s">
        <v>1013</v>
      </c>
      <c r="T264" s="306" t="s">
        <v>1013</v>
      </c>
      <c r="U264" s="306" t="s">
        <v>3353</v>
      </c>
      <c r="V264" s="306" t="s">
        <v>1013</v>
      </c>
      <c r="W264" s="306" t="s">
        <v>1013</v>
      </c>
      <c r="X264" s="306" t="s">
        <v>1013</v>
      </c>
      <c r="Y264" s="306" t="s">
        <v>2717</v>
      </c>
      <c r="Z264" s="306" t="s">
        <v>2456</v>
      </c>
      <c r="AA264" s="306" t="s">
        <v>1013</v>
      </c>
    </row>
    <row r="265" spans="1:27">
      <c r="A265" s="306" t="s">
        <v>494</v>
      </c>
      <c r="B265" s="306" t="s">
        <v>1003</v>
      </c>
      <c r="C265" s="306" t="s">
        <v>1004</v>
      </c>
      <c r="D265" s="306" t="s">
        <v>2480</v>
      </c>
      <c r="E265" s="306" t="s">
        <v>3354</v>
      </c>
      <c r="F265" s="306" t="s">
        <v>2482</v>
      </c>
      <c r="G265" s="308">
        <v>46008</v>
      </c>
      <c r="H265" s="308">
        <v>46010</v>
      </c>
      <c r="I265" s="309">
        <v>107272.31</v>
      </c>
      <c r="J265" s="306" t="s">
        <v>1008</v>
      </c>
      <c r="K265" s="309">
        <v>107272.31</v>
      </c>
      <c r="L265" s="306" t="s">
        <v>1008</v>
      </c>
      <c r="M265" s="306" t="s">
        <v>3355</v>
      </c>
      <c r="N265" s="306" t="s">
        <v>3355</v>
      </c>
      <c r="O265" s="306" t="s">
        <v>1013</v>
      </c>
      <c r="P265" s="306" t="s">
        <v>1013</v>
      </c>
      <c r="Q265" s="306" t="s">
        <v>1013</v>
      </c>
      <c r="R265" s="306" t="s">
        <v>1013</v>
      </c>
      <c r="S265" s="306" t="s">
        <v>1013</v>
      </c>
      <c r="T265" s="306" t="s">
        <v>1013</v>
      </c>
      <c r="U265" s="306" t="s">
        <v>3356</v>
      </c>
      <c r="V265" s="306" t="s">
        <v>1013</v>
      </c>
      <c r="W265" s="306" t="s">
        <v>1013</v>
      </c>
      <c r="X265" s="306" t="s">
        <v>1013</v>
      </c>
      <c r="Y265" s="306" t="s">
        <v>3356</v>
      </c>
      <c r="Z265" s="306" t="s">
        <v>2456</v>
      </c>
      <c r="AA265" s="306" t="s">
        <v>1013</v>
      </c>
    </row>
    <row r="266" spans="1:27">
      <c r="A266" s="306" t="s">
        <v>494</v>
      </c>
      <c r="B266" s="306" t="s">
        <v>1003</v>
      </c>
      <c r="C266" s="306" t="s">
        <v>1004</v>
      </c>
      <c r="D266" s="306" t="s">
        <v>2480</v>
      </c>
      <c r="E266" s="306" t="s">
        <v>3357</v>
      </c>
      <c r="F266" s="306" t="s">
        <v>2482</v>
      </c>
      <c r="G266" s="308">
        <v>46008</v>
      </c>
      <c r="H266" s="308">
        <v>46010</v>
      </c>
      <c r="I266" s="309">
        <v>83899.47</v>
      </c>
      <c r="J266" s="306" t="s">
        <v>1008</v>
      </c>
      <c r="K266" s="309">
        <v>83899.47</v>
      </c>
      <c r="L266" s="306" t="s">
        <v>1008</v>
      </c>
      <c r="M266" s="306" t="s">
        <v>3358</v>
      </c>
      <c r="N266" s="306" t="s">
        <v>3358</v>
      </c>
      <c r="O266" s="306" t="s">
        <v>1013</v>
      </c>
      <c r="P266" s="306" t="s">
        <v>1013</v>
      </c>
      <c r="Q266" s="306" t="s">
        <v>1013</v>
      </c>
      <c r="R266" s="306" t="s">
        <v>1013</v>
      </c>
      <c r="S266" s="306" t="s">
        <v>1013</v>
      </c>
      <c r="T266" s="306" t="s">
        <v>1013</v>
      </c>
      <c r="U266" s="306" t="s">
        <v>3359</v>
      </c>
      <c r="V266" s="306" t="s">
        <v>1013</v>
      </c>
      <c r="W266" s="306" t="s">
        <v>1013</v>
      </c>
      <c r="X266" s="306" t="s">
        <v>1013</v>
      </c>
      <c r="Y266" s="306" t="s">
        <v>3359</v>
      </c>
      <c r="Z266" s="306" t="s">
        <v>2456</v>
      </c>
      <c r="AA266" s="306" t="s">
        <v>1013</v>
      </c>
    </row>
    <row r="267" spans="1:27">
      <c r="A267" s="306" t="s">
        <v>494</v>
      </c>
      <c r="B267" s="306" t="s">
        <v>1003</v>
      </c>
      <c r="C267" s="306" t="s">
        <v>1004</v>
      </c>
      <c r="D267" s="306" t="s">
        <v>2480</v>
      </c>
      <c r="E267" s="306" t="s">
        <v>3360</v>
      </c>
      <c r="F267" s="306" t="s">
        <v>2482</v>
      </c>
      <c r="G267" s="308">
        <v>46008</v>
      </c>
      <c r="H267" s="308">
        <v>46010</v>
      </c>
      <c r="I267" s="309">
        <v>64194.94</v>
      </c>
      <c r="J267" s="306" t="s">
        <v>1008</v>
      </c>
      <c r="K267" s="309">
        <v>64194.94</v>
      </c>
      <c r="L267" s="306" t="s">
        <v>1008</v>
      </c>
      <c r="M267" s="306" t="s">
        <v>3361</v>
      </c>
      <c r="N267" s="306" t="s">
        <v>3361</v>
      </c>
      <c r="O267" s="306" t="s">
        <v>1013</v>
      </c>
      <c r="P267" s="306" t="s">
        <v>1013</v>
      </c>
      <c r="Q267" s="306" t="s">
        <v>1013</v>
      </c>
      <c r="R267" s="306" t="s">
        <v>1013</v>
      </c>
      <c r="S267" s="306" t="s">
        <v>1013</v>
      </c>
      <c r="T267" s="306" t="s">
        <v>1013</v>
      </c>
      <c r="U267" s="306" t="s">
        <v>3362</v>
      </c>
      <c r="V267" s="306" t="s">
        <v>1013</v>
      </c>
      <c r="W267" s="306" t="s">
        <v>1013</v>
      </c>
      <c r="X267" s="306" t="s">
        <v>1013</v>
      </c>
      <c r="Y267" s="306" t="s">
        <v>3362</v>
      </c>
      <c r="Z267" s="306" t="s">
        <v>2456</v>
      </c>
      <c r="AA267" s="306" t="s">
        <v>1013</v>
      </c>
    </row>
    <row r="268" spans="1:27">
      <c r="A268" s="306" t="s">
        <v>494</v>
      </c>
      <c r="B268" s="306" t="s">
        <v>1003</v>
      </c>
      <c r="C268" s="306" t="s">
        <v>1004</v>
      </c>
      <c r="D268" s="306" t="s">
        <v>2480</v>
      </c>
      <c r="E268" s="306" t="s">
        <v>3363</v>
      </c>
      <c r="F268" s="306" t="s">
        <v>2482</v>
      </c>
      <c r="G268" s="308">
        <v>46008</v>
      </c>
      <c r="H268" s="308">
        <v>46010</v>
      </c>
      <c r="I268" s="309">
        <v>20425.18</v>
      </c>
      <c r="J268" s="306" t="s">
        <v>1008</v>
      </c>
      <c r="K268" s="309">
        <v>20425.18</v>
      </c>
      <c r="L268" s="306" t="s">
        <v>1008</v>
      </c>
      <c r="M268" s="306" t="s">
        <v>3364</v>
      </c>
      <c r="N268" s="306" t="s">
        <v>3364</v>
      </c>
      <c r="O268" s="306" t="s">
        <v>1013</v>
      </c>
      <c r="P268" s="306" t="s">
        <v>1013</v>
      </c>
      <c r="Q268" s="306" t="s">
        <v>1013</v>
      </c>
      <c r="R268" s="306" t="s">
        <v>1013</v>
      </c>
      <c r="S268" s="306" t="s">
        <v>1013</v>
      </c>
      <c r="T268" s="306" t="s">
        <v>1013</v>
      </c>
      <c r="U268" s="306" t="s">
        <v>3365</v>
      </c>
      <c r="V268" s="306" t="s">
        <v>1013</v>
      </c>
      <c r="W268" s="306" t="s">
        <v>1013</v>
      </c>
      <c r="X268" s="306" t="s">
        <v>1013</v>
      </c>
      <c r="Y268" s="306" t="s">
        <v>3365</v>
      </c>
      <c r="Z268" s="306" t="s">
        <v>2456</v>
      </c>
      <c r="AA268" s="306" t="s">
        <v>1013</v>
      </c>
    </row>
    <row r="269" spans="1:27">
      <c r="A269" s="306" t="s">
        <v>494</v>
      </c>
      <c r="B269" s="306" t="s">
        <v>1003</v>
      </c>
      <c r="C269" s="306" t="s">
        <v>1004</v>
      </c>
      <c r="D269" s="306" t="s">
        <v>2480</v>
      </c>
      <c r="E269" s="306" t="s">
        <v>3366</v>
      </c>
      <c r="F269" s="306" t="s">
        <v>2486</v>
      </c>
      <c r="G269" s="308">
        <v>46010</v>
      </c>
      <c r="H269" s="308">
        <v>46010</v>
      </c>
      <c r="I269" s="309">
        <v>6596.21</v>
      </c>
      <c r="J269" s="306" t="s">
        <v>1008</v>
      </c>
      <c r="K269" s="309">
        <v>6596.21</v>
      </c>
      <c r="L269" s="306" t="s">
        <v>1008</v>
      </c>
      <c r="M269" s="306" t="s">
        <v>3367</v>
      </c>
      <c r="N269" s="306" t="s">
        <v>3368</v>
      </c>
      <c r="O269" s="306" t="s">
        <v>1013</v>
      </c>
      <c r="P269" s="306" t="s">
        <v>1013</v>
      </c>
      <c r="Q269" s="306" t="s">
        <v>1013</v>
      </c>
      <c r="R269" s="306" t="s">
        <v>1013</v>
      </c>
      <c r="S269" s="306" t="s">
        <v>1013</v>
      </c>
      <c r="T269" s="306" t="s">
        <v>1013</v>
      </c>
      <c r="U269" s="306" t="s">
        <v>3369</v>
      </c>
      <c r="V269" s="306" t="s">
        <v>1013</v>
      </c>
      <c r="W269" s="306" t="s">
        <v>1013</v>
      </c>
      <c r="X269" s="306" t="s">
        <v>1013</v>
      </c>
      <c r="Y269" s="306" t="s">
        <v>3147</v>
      </c>
      <c r="Z269" s="306" t="s">
        <v>2456</v>
      </c>
      <c r="AA269" s="306" t="s">
        <v>1013</v>
      </c>
    </row>
    <row r="270" spans="1:27">
      <c r="A270" s="306" t="s">
        <v>494</v>
      </c>
      <c r="B270" s="306" t="s">
        <v>1003</v>
      </c>
      <c r="C270" s="306" t="s">
        <v>1004</v>
      </c>
      <c r="D270" s="306" t="s">
        <v>2480</v>
      </c>
      <c r="E270" s="306" t="s">
        <v>3370</v>
      </c>
      <c r="F270" s="306" t="s">
        <v>2486</v>
      </c>
      <c r="G270" s="308">
        <v>46010</v>
      </c>
      <c r="H270" s="308">
        <v>46010</v>
      </c>
      <c r="I270" s="309">
        <v>17867.89</v>
      </c>
      <c r="J270" s="306" t="s">
        <v>1008</v>
      </c>
      <c r="K270" s="309">
        <v>17867.89</v>
      </c>
      <c r="L270" s="306" t="s">
        <v>1008</v>
      </c>
      <c r="M270" s="306" t="s">
        <v>3371</v>
      </c>
      <c r="N270" s="306" t="s">
        <v>3372</v>
      </c>
      <c r="O270" s="306" t="s">
        <v>1013</v>
      </c>
      <c r="P270" s="306" t="s">
        <v>1013</v>
      </c>
      <c r="Q270" s="306" t="s">
        <v>1013</v>
      </c>
      <c r="R270" s="306" t="s">
        <v>1013</v>
      </c>
      <c r="S270" s="306" t="s">
        <v>1013</v>
      </c>
      <c r="T270" s="306" t="s">
        <v>1013</v>
      </c>
      <c r="U270" s="306" t="s">
        <v>3373</v>
      </c>
      <c r="V270" s="306" t="s">
        <v>1013</v>
      </c>
      <c r="W270" s="306" t="s">
        <v>1013</v>
      </c>
      <c r="X270" s="306" t="s">
        <v>1013</v>
      </c>
      <c r="Y270" s="306" t="s">
        <v>3374</v>
      </c>
      <c r="Z270" s="306" t="s">
        <v>2456</v>
      </c>
      <c r="AA270" s="306" t="s">
        <v>1013</v>
      </c>
    </row>
    <row r="271" spans="1:27">
      <c r="A271" s="306" t="s">
        <v>494</v>
      </c>
      <c r="B271" s="306" t="s">
        <v>1003</v>
      </c>
      <c r="C271" s="306" t="s">
        <v>1004</v>
      </c>
      <c r="D271" s="306" t="s">
        <v>2480</v>
      </c>
      <c r="E271" s="306" t="s">
        <v>3375</v>
      </c>
      <c r="F271" s="306" t="s">
        <v>2482</v>
      </c>
      <c r="G271" s="308">
        <v>46010</v>
      </c>
      <c r="H271" s="308">
        <v>46010</v>
      </c>
      <c r="I271" s="309">
        <v>672513.36</v>
      </c>
      <c r="J271" s="306" t="s">
        <v>1008</v>
      </c>
      <c r="K271" s="309">
        <v>672513.36</v>
      </c>
      <c r="L271" s="306" t="s">
        <v>1008</v>
      </c>
      <c r="M271" s="306" t="s">
        <v>2773</v>
      </c>
      <c r="N271" s="306" t="s">
        <v>2773</v>
      </c>
      <c r="O271" s="306" t="s">
        <v>1013</v>
      </c>
      <c r="P271" s="306" t="s">
        <v>1013</v>
      </c>
      <c r="Q271" s="306" t="s">
        <v>1013</v>
      </c>
      <c r="R271" s="306" t="s">
        <v>1013</v>
      </c>
      <c r="S271" s="306" t="s">
        <v>1013</v>
      </c>
      <c r="T271" s="306" t="s">
        <v>1013</v>
      </c>
      <c r="U271" s="306" t="s">
        <v>3376</v>
      </c>
      <c r="V271" s="306" t="s">
        <v>1013</v>
      </c>
      <c r="W271" s="306" t="s">
        <v>1013</v>
      </c>
      <c r="X271" s="306" t="s">
        <v>1013</v>
      </c>
      <c r="Y271" s="306" t="s">
        <v>3376</v>
      </c>
      <c r="Z271" s="306" t="s">
        <v>2456</v>
      </c>
      <c r="AA271" s="306" t="s">
        <v>1013</v>
      </c>
    </row>
    <row r="272" spans="1:27">
      <c r="A272" s="306" t="s">
        <v>494</v>
      </c>
      <c r="B272" s="306" t="s">
        <v>1003</v>
      </c>
      <c r="C272" s="306" t="s">
        <v>1004</v>
      </c>
      <c r="D272" s="306" t="s">
        <v>2480</v>
      </c>
      <c r="E272" s="306" t="s">
        <v>3377</v>
      </c>
      <c r="F272" s="306" t="s">
        <v>2482</v>
      </c>
      <c r="G272" s="308">
        <v>46010</v>
      </c>
      <c r="H272" s="308">
        <v>46010</v>
      </c>
      <c r="I272" s="309">
        <v>684242.95</v>
      </c>
      <c r="J272" s="306" t="s">
        <v>1008</v>
      </c>
      <c r="K272" s="309">
        <v>684242.95</v>
      </c>
      <c r="L272" s="306" t="s">
        <v>1008</v>
      </c>
      <c r="M272" s="306" t="s">
        <v>3378</v>
      </c>
      <c r="N272" s="306" t="s">
        <v>3379</v>
      </c>
      <c r="O272" s="306" t="s">
        <v>2087</v>
      </c>
      <c r="P272" s="306" t="s">
        <v>1069</v>
      </c>
      <c r="Q272" s="306" t="s">
        <v>1013</v>
      </c>
      <c r="R272" s="306" t="s">
        <v>1013</v>
      </c>
      <c r="S272" s="306" t="s">
        <v>1013</v>
      </c>
      <c r="T272" s="306" t="s">
        <v>1013</v>
      </c>
      <c r="U272" s="306" t="s">
        <v>3380</v>
      </c>
      <c r="V272" s="306" t="s">
        <v>1013</v>
      </c>
      <c r="W272" s="306" t="s">
        <v>1013</v>
      </c>
      <c r="X272" s="306" t="s">
        <v>1013</v>
      </c>
      <c r="Y272" s="306" t="s">
        <v>2077</v>
      </c>
      <c r="Z272" s="306" t="s">
        <v>3381</v>
      </c>
      <c r="AA272" s="306" t="s">
        <v>1013</v>
      </c>
    </row>
    <row r="273" spans="1:27">
      <c r="A273" s="306" t="s">
        <v>494</v>
      </c>
      <c r="B273" s="306" t="s">
        <v>1003</v>
      </c>
      <c r="C273" s="306" t="s">
        <v>1004</v>
      </c>
      <c r="D273" s="306" t="s">
        <v>2480</v>
      </c>
      <c r="E273" s="306" t="s">
        <v>3382</v>
      </c>
      <c r="F273" s="306" t="s">
        <v>2482</v>
      </c>
      <c r="G273" s="308">
        <v>46010</v>
      </c>
      <c r="H273" s="308">
        <v>46010</v>
      </c>
      <c r="I273" s="309">
        <v>461758.85</v>
      </c>
      <c r="J273" s="306" t="s">
        <v>1008</v>
      </c>
      <c r="K273" s="309">
        <v>461758.85</v>
      </c>
      <c r="L273" s="306" t="s">
        <v>1008</v>
      </c>
      <c r="M273" s="306" t="s">
        <v>3383</v>
      </c>
      <c r="N273" s="306" t="s">
        <v>3384</v>
      </c>
      <c r="O273" s="306" t="s">
        <v>1330</v>
      </c>
      <c r="P273" s="306" t="s">
        <v>1069</v>
      </c>
      <c r="Q273" s="306" t="s">
        <v>1013</v>
      </c>
      <c r="R273" s="306" t="s">
        <v>1013</v>
      </c>
      <c r="S273" s="306" t="s">
        <v>1013</v>
      </c>
      <c r="T273" s="306" t="s">
        <v>1013</v>
      </c>
      <c r="U273" s="306" t="s">
        <v>3385</v>
      </c>
      <c r="V273" s="306" t="s">
        <v>1013</v>
      </c>
      <c r="W273" s="306" t="s">
        <v>1013</v>
      </c>
      <c r="X273" s="306" t="s">
        <v>1013</v>
      </c>
      <c r="Y273" s="306" t="s">
        <v>1112</v>
      </c>
      <c r="Z273" s="306" t="s">
        <v>3381</v>
      </c>
      <c r="AA273" s="306" t="s">
        <v>1013</v>
      </c>
    </row>
    <row r="274" spans="1:27">
      <c r="A274" s="306" t="s">
        <v>494</v>
      </c>
      <c r="B274" s="306" t="s">
        <v>1003</v>
      </c>
      <c r="C274" s="306" t="s">
        <v>1004</v>
      </c>
      <c r="D274" s="306" t="s">
        <v>2480</v>
      </c>
      <c r="E274" s="306" t="s">
        <v>3386</v>
      </c>
      <c r="F274" s="306" t="s">
        <v>2482</v>
      </c>
      <c r="G274" s="308">
        <v>46010</v>
      </c>
      <c r="H274" s="308">
        <v>46010</v>
      </c>
      <c r="I274" s="309">
        <v>2585609.56</v>
      </c>
      <c r="J274" s="306" t="s">
        <v>1008</v>
      </c>
      <c r="K274" s="309">
        <v>2585609.56</v>
      </c>
      <c r="L274" s="306" t="s">
        <v>1008</v>
      </c>
      <c r="M274" s="306" t="s">
        <v>3387</v>
      </c>
      <c r="N274" s="306" t="s">
        <v>3388</v>
      </c>
      <c r="O274" s="306" t="s">
        <v>1319</v>
      </c>
      <c r="P274" s="306" t="s">
        <v>1069</v>
      </c>
      <c r="Q274" s="306" t="s">
        <v>1013</v>
      </c>
      <c r="R274" s="306" t="s">
        <v>1013</v>
      </c>
      <c r="S274" s="306" t="s">
        <v>1013</v>
      </c>
      <c r="T274" s="306" t="s">
        <v>1013</v>
      </c>
      <c r="U274" s="306" t="s">
        <v>3389</v>
      </c>
      <c r="V274" s="306" t="s">
        <v>1013</v>
      </c>
      <c r="W274" s="306" t="s">
        <v>1013</v>
      </c>
      <c r="X274" s="306" t="s">
        <v>1013</v>
      </c>
      <c r="Y274" s="306" t="s">
        <v>1112</v>
      </c>
      <c r="Z274" s="306" t="s">
        <v>3381</v>
      </c>
      <c r="AA274" s="306" t="s">
        <v>1013</v>
      </c>
    </row>
    <row r="275" spans="1:27">
      <c r="A275" s="306" t="s">
        <v>494</v>
      </c>
      <c r="B275" s="306" t="s">
        <v>1003</v>
      </c>
      <c r="C275" s="306" t="s">
        <v>1004</v>
      </c>
      <c r="D275" s="306" t="s">
        <v>2480</v>
      </c>
      <c r="E275" s="306" t="s">
        <v>3390</v>
      </c>
      <c r="F275" s="306" t="s">
        <v>2482</v>
      </c>
      <c r="G275" s="308">
        <v>46010</v>
      </c>
      <c r="H275" s="308">
        <v>46010</v>
      </c>
      <c r="I275" s="309">
        <v>568769.39</v>
      </c>
      <c r="J275" s="306" t="s">
        <v>1008</v>
      </c>
      <c r="K275" s="309">
        <v>568769.39</v>
      </c>
      <c r="L275" s="306" t="s">
        <v>1008</v>
      </c>
      <c r="M275" s="306" t="s">
        <v>3391</v>
      </c>
      <c r="N275" s="306" t="s">
        <v>3392</v>
      </c>
      <c r="O275" s="306" t="s">
        <v>1321</v>
      </c>
      <c r="P275" s="306" t="s">
        <v>1069</v>
      </c>
      <c r="Q275" s="306" t="s">
        <v>1013</v>
      </c>
      <c r="R275" s="306" t="s">
        <v>1013</v>
      </c>
      <c r="S275" s="306" t="s">
        <v>1013</v>
      </c>
      <c r="T275" s="306" t="s">
        <v>1013</v>
      </c>
      <c r="U275" s="306" t="s">
        <v>3389</v>
      </c>
      <c r="V275" s="306" t="s">
        <v>1013</v>
      </c>
      <c r="W275" s="306" t="s">
        <v>1013</v>
      </c>
      <c r="X275" s="306" t="s">
        <v>1013</v>
      </c>
      <c r="Y275" s="306" t="s">
        <v>1112</v>
      </c>
      <c r="Z275" s="306" t="s">
        <v>3381</v>
      </c>
      <c r="AA275" s="306" t="s">
        <v>1013</v>
      </c>
    </row>
    <row r="276" spans="1:27">
      <c r="A276" s="306" t="s">
        <v>494</v>
      </c>
      <c r="B276" s="306" t="s">
        <v>1003</v>
      </c>
      <c r="C276" s="306" t="s">
        <v>1004</v>
      </c>
      <c r="D276" s="306" t="s">
        <v>2480</v>
      </c>
      <c r="E276" s="306" t="s">
        <v>3393</v>
      </c>
      <c r="F276" s="306" t="s">
        <v>2482</v>
      </c>
      <c r="G276" s="308">
        <v>46010</v>
      </c>
      <c r="H276" s="308">
        <v>46010</v>
      </c>
      <c r="I276" s="309">
        <v>479519.55</v>
      </c>
      <c r="J276" s="306" t="s">
        <v>1008</v>
      </c>
      <c r="K276" s="309">
        <v>479519.55</v>
      </c>
      <c r="L276" s="306" t="s">
        <v>1008</v>
      </c>
      <c r="M276" s="306" t="s">
        <v>3394</v>
      </c>
      <c r="N276" s="306" t="s">
        <v>3395</v>
      </c>
      <c r="O276" s="306" t="s">
        <v>1323</v>
      </c>
      <c r="P276" s="306" t="s">
        <v>1069</v>
      </c>
      <c r="Q276" s="306" t="s">
        <v>1013</v>
      </c>
      <c r="R276" s="306" t="s">
        <v>1013</v>
      </c>
      <c r="S276" s="306" t="s">
        <v>1013</v>
      </c>
      <c r="T276" s="306" t="s">
        <v>1013</v>
      </c>
      <c r="U276" s="306" t="s">
        <v>3389</v>
      </c>
      <c r="V276" s="306" t="s">
        <v>1013</v>
      </c>
      <c r="W276" s="306" t="s">
        <v>1013</v>
      </c>
      <c r="X276" s="306" t="s">
        <v>1013</v>
      </c>
      <c r="Y276" s="306" t="s">
        <v>1112</v>
      </c>
      <c r="Z276" s="306" t="s">
        <v>3381</v>
      </c>
      <c r="AA276" s="306" t="s">
        <v>1013</v>
      </c>
    </row>
    <row r="277" spans="1:27">
      <c r="A277" s="306" t="s">
        <v>494</v>
      </c>
      <c r="B277" s="306" t="s">
        <v>1003</v>
      </c>
      <c r="C277" s="306" t="s">
        <v>1004</v>
      </c>
      <c r="D277" s="306" t="s">
        <v>2480</v>
      </c>
      <c r="E277" s="306" t="s">
        <v>3396</v>
      </c>
      <c r="F277" s="306" t="s">
        <v>2482</v>
      </c>
      <c r="G277" s="308">
        <v>46010</v>
      </c>
      <c r="H277" s="308">
        <v>46010</v>
      </c>
      <c r="I277" s="309">
        <v>520640.49</v>
      </c>
      <c r="J277" s="306" t="s">
        <v>1008</v>
      </c>
      <c r="K277" s="309">
        <v>520640.49</v>
      </c>
      <c r="L277" s="306" t="s">
        <v>1008</v>
      </c>
      <c r="M277" s="306" t="s">
        <v>3397</v>
      </c>
      <c r="N277" s="306" t="s">
        <v>3398</v>
      </c>
      <c r="O277" s="306" t="s">
        <v>1317</v>
      </c>
      <c r="P277" s="306" t="s">
        <v>1069</v>
      </c>
      <c r="Q277" s="306" t="s">
        <v>1013</v>
      </c>
      <c r="R277" s="306" t="s">
        <v>1013</v>
      </c>
      <c r="S277" s="306" t="s">
        <v>1013</v>
      </c>
      <c r="T277" s="306" t="s">
        <v>1013</v>
      </c>
      <c r="U277" s="306" t="s">
        <v>3389</v>
      </c>
      <c r="V277" s="306" t="s">
        <v>1013</v>
      </c>
      <c r="W277" s="306" t="s">
        <v>1013</v>
      </c>
      <c r="X277" s="306" t="s">
        <v>1013</v>
      </c>
      <c r="Y277" s="306" t="s">
        <v>1112</v>
      </c>
      <c r="Z277" s="306" t="s">
        <v>3381</v>
      </c>
      <c r="AA277" s="306" t="s">
        <v>1013</v>
      </c>
    </row>
    <row r="278" spans="1:27">
      <c r="A278" s="306" t="s">
        <v>494</v>
      </c>
      <c r="B278" s="306" t="s">
        <v>1003</v>
      </c>
      <c r="C278" s="306" t="s">
        <v>1004</v>
      </c>
      <c r="D278" s="306" t="s">
        <v>2480</v>
      </c>
      <c r="E278" s="306" t="s">
        <v>3399</v>
      </c>
      <c r="F278" s="306" t="s">
        <v>2482</v>
      </c>
      <c r="G278" s="308">
        <v>46010</v>
      </c>
      <c r="H278" s="308">
        <v>46010</v>
      </c>
      <c r="I278" s="309">
        <v>630837.39</v>
      </c>
      <c r="J278" s="306" t="s">
        <v>1008</v>
      </c>
      <c r="K278" s="309">
        <v>630837.39</v>
      </c>
      <c r="L278" s="306" t="s">
        <v>1008</v>
      </c>
      <c r="M278" s="306" t="s">
        <v>3400</v>
      </c>
      <c r="N278" s="306" t="s">
        <v>3401</v>
      </c>
      <c r="O278" s="306" t="s">
        <v>1315</v>
      </c>
      <c r="P278" s="306" t="s">
        <v>1069</v>
      </c>
      <c r="Q278" s="306" t="s">
        <v>1013</v>
      </c>
      <c r="R278" s="306" t="s">
        <v>1013</v>
      </c>
      <c r="S278" s="306" t="s">
        <v>1013</v>
      </c>
      <c r="T278" s="306" t="s">
        <v>1013</v>
      </c>
      <c r="U278" s="306" t="s">
        <v>3389</v>
      </c>
      <c r="V278" s="306" t="s">
        <v>1013</v>
      </c>
      <c r="W278" s="306" t="s">
        <v>1013</v>
      </c>
      <c r="X278" s="306" t="s">
        <v>1013</v>
      </c>
      <c r="Y278" s="306" t="s">
        <v>1112</v>
      </c>
      <c r="Z278" s="306" t="s">
        <v>3381</v>
      </c>
      <c r="AA278" s="306" t="s">
        <v>1013</v>
      </c>
    </row>
    <row r="279" spans="1:27">
      <c r="A279" s="306" t="s">
        <v>494</v>
      </c>
      <c r="B279" s="306" t="s">
        <v>1003</v>
      </c>
      <c r="C279" s="306" t="s">
        <v>1004</v>
      </c>
      <c r="D279" s="306" t="s">
        <v>2480</v>
      </c>
      <c r="E279" s="306" t="s">
        <v>3402</v>
      </c>
      <c r="F279" s="306" t="s">
        <v>2482</v>
      </c>
      <c r="G279" s="308">
        <v>46010</v>
      </c>
      <c r="H279" s="308">
        <v>46010</v>
      </c>
      <c r="I279" s="309">
        <v>104854.36</v>
      </c>
      <c r="J279" s="306" t="s">
        <v>1008</v>
      </c>
      <c r="K279" s="309">
        <v>104854.36</v>
      </c>
      <c r="L279" s="306" t="s">
        <v>1008</v>
      </c>
      <c r="M279" s="306" t="s">
        <v>3403</v>
      </c>
      <c r="N279" s="306" t="s">
        <v>3404</v>
      </c>
      <c r="O279" s="306" t="s">
        <v>1352</v>
      </c>
      <c r="P279" s="306" t="s">
        <v>1069</v>
      </c>
      <c r="Q279" s="306" t="s">
        <v>1013</v>
      </c>
      <c r="R279" s="306" t="s">
        <v>1013</v>
      </c>
      <c r="S279" s="306" t="s">
        <v>1013</v>
      </c>
      <c r="T279" s="306" t="s">
        <v>1013</v>
      </c>
      <c r="U279" s="306" t="s">
        <v>3389</v>
      </c>
      <c r="V279" s="306" t="s">
        <v>1013</v>
      </c>
      <c r="W279" s="306" t="s">
        <v>1013</v>
      </c>
      <c r="X279" s="306" t="s">
        <v>1013</v>
      </c>
      <c r="Y279" s="306" t="s">
        <v>1112</v>
      </c>
      <c r="Z279" s="306" t="s">
        <v>3381</v>
      </c>
      <c r="AA279" s="306" t="s">
        <v>1013</v>
      </c>
    </row>
    <row r="280" spans="1:27">
      <c r="A280" s="306" t="s">
        <v>494</v>
      </c>
      <c r="B280" s="306" t="s">
        <v>1003</v>
      </c>
      <c r="C280" s="306" t="s">
        <v>1004</v>
      </c>
      <c r="D280" s="306" t="s">
        <v>2480</v>
      </c>
      <c r="E280" s="306" t="s">
        <v>3405</v>
      </c>
      <c r="F280" s="306" t="s">
        <v>2482</v>
      </c>
      <c r="G280" s="308">
        <v>46010</v>
      </c>
      <c r="H280" s="308">
        <v>46010</v>
      </c>
      <c r="I280" s="309">
        <v>844982.58</v>
      </c>
      <c r="J280" s="306" t="s">
        <v>1008</v>
      </c>
      <c r="K280" s="309">
        <v>844982.58</v>
      </c>
      <c r="L280" s="306" t="s">
        <v>1008</v>
      </c>
      <c r="M280" s="306" t="s">
        <v>3406</v>
      </c>
      <c r="N280" s="306" t="s">
        <v>3406</v>
      </c>
      <c r="O280" s="306" t="s">
        <v>1013</v>
      </c>
      <c r="P280" s="306" t="s">
        <v>1013</v>
      </c>
      <c r="Q280" s="306" t="s">
        <v>1013</v>
      </c>
      <c r="R280" s="306" t="s">
        <v>1013</v>
      </c>
      <c r="S280" s="306" t="s">
        <v>1013</v>
      </c>
      <c r="T280" s="306" t="s">
        <v>1013</v>
      </c>
      <c r="U280" s="306" t="s">
        <v>3407</v>
      </c>
      <c r="V280" s="306" t="s">
        <v>1013</v>
      </c>
      <c r="W280" s="306" t="s">
        <v>1013</v>
      </c>
      <c r="X280" s="306" t="s">
        <v>1013</v>
      </c>
      <c r="Y280" s="306" t="s">
        <v>3407</v>
      </c>
      <c r="Z280" s="306" t="s">
        <v>2456</v>
      </c>
      <c r="AA280" s="306" t="s">
        <v>1013</v>
      </c>
    </row>
    <row r="281" spans="1:27">
      <c r="A281" s="306" t="s">
        <v>494</v>
      </c>
      <c r="B281" s="306" t="s">
        <v>1003</v>
      </c>
      <c r="C281" s="306" t="s">
        <v>1004</v>
      </c>
      <c r="D281" s="306" t="s">
        <v>2480</v>
      </c>
      <c r="E281" s="306" t="s">
        <v>3408</v>
      </c>
      <c r="F281" s="306" t="s">
        <v>2482</v>
      </c>
      <c r="G281" s="308">
        <v>46009</v>
      </c>
      <c r="H281" s="308">
        <v>46010</v>
      </c>
      <c r="I281" s="309">
        <v>503.65</v>
      </c>
      <c r="J281" s="306" t="s">
        <v>1008</v>
      </c>
      <c r="K281" s="309">
        <v>503.65</v>
      </c>
      <c r="L281" s="306" t="s">
        <v>1008</v>
      </c>
      <c r="M281" s="306" t="s">
        <v>3409</v>
      </c>
      <c r="N281" s="306" t="s">
        <v>3409</v>
      </c>
      <c r="O281" s="306" t="s">
        <v>1013</v>
      </c>
      <c r="P281" s="306" t="s">
        <v>1013</v>
      </c>
      <c r="Q281" s="306" t="s">
        <v>1013</v>
      </c>
      <c r="R281" s="306" t="s">
        <v>1013</v>
      </c>
      <c r="S281" s="306" t="s">
        <v>1013</v>
      </c>
      <c r="T281" s="306" t="s">
        <v>1013</v>
      </c>
      <c r="U281" s="306" t="s">
        <v>3410</v>
      </c>
      <c r="V281" s="306" t="s">
        <v>1013</v>
      </c>
      <c r="W281" s="306" t="s">
        <v>1013</v>
      </c>
      <c r="X281" s="306" t="s">
        <v>1013</v>
      </c>
      <c r="Y281" s="306" t="s">
        <v>3410</v>
      </c>
      <c r="Z281" s="306" t="s">
        <v>2456</v>
      </c>
      <c r="AA281" s="306" t="s">
        <v>1013</v>
      </c>
    </row>
    <row r="282" spans="1:27">
      <c r="A282" s="306" t="s">
        <v>494</v>
      </c>
      <c r="B282" s="306" t="s">
        <v>1003</v>
      </c>
      <c r="C282" s="306" t="s">
        <v>1004</v>
      </c>
      <c r="D282" s="306" t="s">
        <v>2480</v>
      </c>
      <c r="E282" s="306" t="s">
        <v>3411</v>
      </c>
      <c r="F282" s="306" t="s">
        <v>2482</v>
      </c>
      <c r="G282" s="308">
        <v>46009</v>
      </c>
      <c r="H282" s="308">
        <v>46010</v>
      </c>
      <c r="I282" s="309">
        <v>277.02999999999997</v>
      </c>
      <c r="J282" s="306" t="s">
        <v>1008</v>
      </c>
      <c r="K282" s="309">
        <v>277.02999999999997</v>
      </c>
      <c r="L282" s="306" t="s">
        <v>1008</v>
      </c>
      <c r="M282" s="306" t="s">
        <v>3412</v>
      </c>
      <c r="N282" s="306" t="s">
        <v>3412</v>
      </c>
      <c r="O282" s="306" t="s">
        <v>1013</v>
      </c>
      <c r="P282" s="306" t="s">
        <v>1013</v>
      </c>
      <c r="Q282" s="306" t="s">
        <v>1013</v>
      </c>
      <c r="R282" s="306" t="s">
        <v>1013</v>
      </c>
      <c r="S282" s="306" t="s">
        <v>1013</v>
      </c>
      <c r="T282" s="306" t="s">
        <v>1013</v>
      </c>
      <c r="U282" s="306" t="s">
        <v>3413</v>
      </c>
      <c r="V282" s="306" t="s">
        <v>1013</v>
      </c>
      <c r="W282" s="306" t="s">
        <v>1013</v>
      </c>
      <c r="X282" s="306" t="s">
        <v>1013</v>
      </c>
      <c r="Y282" s="306" t="s">
        <v>3413</v>
      </c>
      <c r="Z282" s="306" t="s">
        <v>2456</v>
      </c>
      <c r="AA282" s="306" t="s">
        <v>1013</v>
      </c>
    </row>
    <row r="283" spans="1:27">
      <c r="A283" s="306" t="s">
        <v>494</v>
      </c>
      <c r="B283" s="306" t="s">
        <v>1003</v>
      </c>
      <c r="C283" s="306" t="s">
        <v>1004</v>
      </c>
      <c r="D283" s="306" t="s">
        <v>2480</v>
      </c>
      <c r="E283" s="306" t="s">
        <v>3414</v>
      </c>
      <c r="F283" s="306" t="s">
        <v>2482</v>
      </c>
      <c r="G283" s="308">
        <v>46009</v>
      </c>
      <c r="H283" s="308">
        <v>46010</v>
      </c>
      <c r="I283" s="309">
        <v>282.95</v>
      </c>
      <c r="J283" s="306" t="s">
        <v>1008</v>
      </c>
      <c r="K283" s="309">
        <v>282.95</v>
      </c>
      <c r="L283" s="306" t="s">
        <v>1008</v>
      </c>
      <c r="M283" s="306" t="s">
        <v>3415</v>
      </c>
      <c r="N283" s="306" t="s">
        <v>3415</v>
      </c>
      <c r="O283" s="306" t="s">
        <v>1013</v>
      </c>
      <c r="P283" s="306" t="s">
        <v>1013</v>
      </c>
      <c r="Q283" s="306" t="s">
        <v>1013</v>
      </c>
      <c r="R283" s="306" t="s">
        <v>1013</v>
      </c>
      <c r="S283" s="306" t="s">
        <v>1013</v>
      </c>
      <c r="T283" s="306" t="s">
        <v>1013</v>
      </c>
      <c r="U283" s="306" t="s">
        <v>3416</v>
      </c>
      <c r="V283" s="306" t="s">
        <v>1013</v>
      </c>
      <c r="W283" s="306" t="s">
        <v>1013</v>
      </c>
      <c r="X283" s="306" t="s">
        <v>1013</v>
      </c>
      <c r="Y283" s="306" t="s">
        <v>3416</v>
      </c>
      <c r="Z283" s="306" t="s">
        <v>2456</v>
      </c>
      <c r="AA283" s="306" t="s">
        <v>1013</v>
      </c>
    </row>
    <row r="284" spans="1:27">
      <c r="A284" s="306" t="s">
        <v>494</v>
      </c>
      <c r="B284" s="306" t="s">
        <v>1003</v>
      </c>
      <c r="C284" s="306" t="s">
        <v>1004</v>
      </c>
      <c r="D284" s="306" t="s">
        <v>2480</v>
      </c>
      <c r="E284" s="306" t="s">
        <v>3417</v>
      </c>
      <c r="F284" s="306" t="s">
        <v>2482</v>
      </c>
      <c r="G284" s="308">
        <v>46008</v>
      </c>
      <c r="H284" s="308">
        <v>46013</v>
      </c>
      <c r="I284" s="309">
        <v>94761.95</v>
      </c>
      <c r="J284" s="306" t="s">
        <v>1008</v>
      </c>
      <c r="K284" s="309">
        <v>94761.95</v>
      </c>
      <c r="L284" s="306" t="s">
        <v>1008</v>
      </c>
      <c r="M284" s="306" t="s">
        <v>3418</v>
      </c>
      <c r="N284" s="306" t="s">
        <v>3418</v>
      </c>
      <c r="O284" s="306" t="s">
        <v>1013</v>
      </c>
      <c r="P284" s="306" t="s">
        <v>1013</v>
      </c>
      <c r="Q284" s="306" t="s">
        <v>1013</v>
      </c>
      <c r="R284" s="306" t="s">
        <v>1013</v>
      </c>
      <c r="S284" s="306" t="s">
        <v>1013</v>
      </c>
      <c r="T284" s="306" t="s">
        <v>1013</v>
      </c>
      <c r="U284" s="306" t="s">
        <v>3419</v>
      </c>
      <c r="V284" s="306" t="s">
        <v>1013</v>
      </c>
      <c r="W284" s="306" t="s">
        <v>1013</v>
      </c>
      <c r="X284" s="306" t="s">
        <v>1013</v>
      </c>
      <c r="Y284" s="306" t="s">
        <v>3419</v>
      </c>
      <c r="Z284" s="306" t="s">
        <v>2456</v>
      </c>
      <c r="AA284" s="306" t="s">
        <v>1013</v>
      </c>
    </row>
    <row r="285" spans="1:27">
      <c r="A285" s="306" t="s">
        <v>494</v>
      </c>
      <c r="B285" s="306" t="s">
        <v>1003</v>
      </c>
      <c r="C285" s="306" t="s">
        <v>1004</v>
      </c>
      <c r="D285" s="306" t="s">
        <v>2480</v>
      </c>
      <c r="E285" s="306" t="s">
        <v>3420</v>
      </c>
      <c r="F285" s="306" t="s">
        <v>2482</v>
      </c>
      <c r="G285" s="308">
        <v>46011</v>
      </c>
      <c r="H285" s="308">
        <v>46013</v>
      </c>
      <c r="I285" s="309">
        <v>930584.98</v>
      </c>
      <c r="J285" s="306" t="s">
        <v>1008</v>
      </c>
      <c r="K285" s="309">
        <v>930584.98</v>
      </c>
      <c r="L285" s="306" t="s">
        <v>1008</v>
      </c>
      <c r="M285" s="306" t="s">
        <v>2742</v>
      </c>
      <c r="N285" s="306" t="s">
        <v>2742</v>
      </c>
      <c r="O285" s="306" t="s">
        <v>1013</v>
      </c>
      <c r="P285" s="306" t="s">
        <v>1013</v>
      </c>
      <c r="Q285" s="306" t="s">
        <v>1013</v>
      </c>
      <c r="R285" s="306" t="s">
        <v>1013</v>
      </c>
      <c r="S285" s="306" t="s">
        <v>1013</v>
      </c>
      <c r="T285" s="306" t="s">
        <v>1013</v>
      </c>
      <c r="U285" s="306" t="s">
        <v>3421</v>
      </c>
      <c r="V285" s="306" t="s">
        <v>1013</v>
      </c>
      <c r="W285" s="306" t="s">
        <v>1013</v>
      </c>
      <c r="X285" s="306" t="s">
        <v>1013</v>
      </c>
      <c r="Y285" s="306" t="s">
        <v>3421</v>
      </c>
      <c r="Z285" s="306" t="s">
        <v>2456</v>
      </c>
      <c r="AA285" s="306" t="s">
        <v>1013</v>
      </c>
    </row>
    <row r="286" spans="1:27">
      <c r="A286" s="306" t="s">
        <v>494</v>
      </c>
      <c r="B286" s="306" t="s">
        <v>1003</v>
      </c>
      <c r="C286" s="306" t="s">
        <v>1004</v>
      </c>
      <c r="D286" s="306" t="s">
        <v>2480</v>
      </c>
      <c r="E286" s="306" t="s">
        <v>3422</v>
      </c>
      <c r="F286" s="306" t="s">
        <v>2482</v>
      </c>
      <c r="G286" s="308">
        <v>46010</v>
      </c>
      <c r="H286" s="308">
        <v>46013</v>
      </c>
      <c r="I286" s="309">
        <v>679285.24</v>
      </c>
      <c r="J286" s="306" t="s">
        <v>1008</v>
      </c>
      <c r="K286" s="309">
        <v>679285.24</v>
      </c>
      <c r="L286" s="306" t="s">
        <v>1008</v>
      </c>
      <c r="M286" s="306" t="s">
        <v>3423</v>
      </c>
      <c r="N286" s="306" t="s">
        <v>3423</v>
      </c>
      <c r="O286" s="306" t="s">
        <v>1013</v>
      </c>
      <c r="P286" s="306" t="s">
        <v>1013</v>
      </c>
      <c r="Q286" s="306" t="s">
        <v>1013</v>
      </c>
      <c r="R286" s="306" t="s">
        <v>1013</v>
      </c>
      <c r="S286" s="306" t="s">
        <v>1013</v>
      </c>
      <c r="T286" s="306" t="s">
        <v>1013</v>
      </c>
      <c r="U286" s="306" t="s">
        <v>3424</v>
      </c>
      <c r="V286" s="306" t="s">
        <v>1013</v>
      </c>
      <c r="W286" s="306" t="s">
        <v>1013</v>
      </c>
      <c r="X286" s="306" t="s">
        <v>1013</v>
      </c>
      <c r="Y286" s="306" t="s">
        <v>3424</v>
      </c>
      <c r="Z286" s="306" t="s">
        <v>2456</v>
      </c>
      <c r="AA286" s="306" t="s">
        <v>1013</v>
      </c>
    </row>
    <row r="287" spans="1:27">
      <c r="A287" s="306" t="s">
        <v>494</v>
      </c>
      <c r="B287" s="306" t="s">
        <v>1003</v>
      </c>
      <c r="C287" s="306" t="s">
        <v>1004</v>
      </c>
      <c r="D287" s="306" t="s">
        <v>2480</v>
      </c>
      <c r="E287" s="306" t="s">
        <v>3425</v>
      </c>
      <c r="F287" s="306" t="s">
        <v>2482</v>
      </c>
      <c r="G287" s="308">
        <v>46011</v>
      </c>
      <c r="H287" s="308">
        <v>46013</v>
      </c>
      <c r="I287" s="309">
        <v>415907.87</v>
      </c>
      <c r="J287" s="306" t="s">
        <v>1008</v>
      </c>
      <c r="K287" s="309">
        <v>415907.87</v>
      </c>
      <c r="L287" s="306" t="s">
        <v>1008</v>
      </c>
      <c r="M287" s="306" t="s">
        <v>3426</v>
      </c>
      <c r="N287" s="306" t="s">
        <v>3426</v>
      </c>
      <c r="O287" s="306" t="s">
        <v>1013</v>
      </c>
      <c r="P287" s="306" t="s">
        <v>1013</v>
      </c>
      <c r="Q287" s="306" t="s">
        <v>1013</v>
      </c>
      <c r="R287" s="306" t="s">
        <v>1013</v>
      </c>
      <c r="S287" s="306" t="s">
        <v>1013</v>
      </c>
      <c r="T287" s="306" t="s">
        <v>1013</v>
      </c>
      <c r="U287" s="306" t="s">
        <v>3427</v>
      </c>
      <c r="V287" s="306" t="s">
        <v>1013</v>
      </c>
      <c r="W287" s="306" t="s">
        <v>1013</v>
      </c>
      <c r="X287" s="306" t="s">
        <v>1013</v>
      </c>
      <c r="Y287" s="306" t="s">
        <v>3427</v>
      </c>
      <c r="Z287" s="306" t="s">
        <v>2456</v>
      </c>
      <c r="AA287" s="306" t="s">
        <v>1013</v>
      </c>
    </row>
    <row r="288" spans="1:27">
      <c r="A288" s="306" t="s">
        <v>494</v>
      </c>
      <c r="B288" s="306" t="s">
        <v>1003</v>
      </c>
      <c r="C288" s="306" t="s">
        <v>1004</v>
      </c>
      <c r="D288" s="306" t="s">
        <v>2480</v>
      </c>
      <c r="E288" s="306" t="s">
        <v>3428</v>
      </c>
      <c r="F288" s="306" t="s">
        <v>2482</v>
      </c>
      <c r="G288" s="308">
        <v>46002</v>
      </c>
      <c r="H288" s="308">
        <v>46013</v>
      </c>
      <c r="I288" s="309">
        <v>276182.90000000002</v>
      </c>
      <c r="J288" s="306" t="s">
        <v>1008</v>
      </c>
      <c r="K288" s="309">
        <v>276182.90000000002</v>
      </c>
      <c r="L288" s="306" t="s">
        <v>1008</v>
      </c>
      <c r="M288" s="306" t="s">
        <v>3429</v>
      </c>
      <c r="N288" s="306" t="s">
        <v>3429</v>
      </c>
      <c r="O288" s="306" t="s">
        <v>1013</v>
      </c>
      <c r="P288" s="306" t="s">
        <v>1013</v>
      </c>
      <c r="Q288" s="306" t="s">
        <v>1013</v>
      </c>
      <c r="R288" s="306" t="s">
        <v>1013</v>
      </c>
      <c r="S288" s="306" t="s">
        <v>1013</v>
      </c>
      <c r="T288" s="306" t="s">
        <v>1013</v>
      </c>
      <c r="U288" s="306" t="s">
        <v>3430</v>
      </c>
      <c r="V288" s="306" t="s">
        <v>1013</v>
      </c>
      <c r="W288" s="306" t="s">
        <v>1013</v>
      </c>
      <c r="X288" s="306" t="s">
        <v>1013</v>
      </c>
      <c r="Y288" s="306" t="s">
        <v>3430</v>
      </c>
      <c r="Z288" s="306" t="s">
        <v>2456</v>
      </c>
      <c r="AA288" s="306" t="s">
        <v>1013</v>
      </c>
    </row>
    <row r="289" spans="1:27">
      <c r="A289" s="306" t="s">
        <v>494</v>
      </c>
      <c r="B289" s="306" t="s">
        <v>1003</v>
      </c>
      <c r="C289" s="306" t="s">
        <v>1004</v>
      </c>
      <c r="D289" s="306" t="s">
        <v>2480</v>
      </c>
      <c r="E289" s="306" t="s">
        <v>3431</v>
      </c>
      <c r="F289" s="306" t="s">
        <v>2486</v>
      </c>
      <c r="G289" s="308">
        <v>46013</v>
      </c>
      <c r="H289" s="308">
        <v>46013</v>
      </c>
      <c r="I289" s="309">
        <v>5660.38</v>
      </c>
      <c r="J289" s="306" t="s">
        <v>1008</v>
      </c>
      <c r="K289" s="309">
        <v>5660.38</v>
      </c>
      <c r="L289" s="306" t="s">
        <v>1008</v>
      </c>
      <c r="M289" s="306" t="s">
        <v>3432</v>
      </c>
      <c r="N289" s="306" t="s">
        <v>3433</v>
      </c>
      <c r="O289" s="306" t="s">
        <v>1013</v>
      </c>
      <c r="P289" s="306" t="s">
        <v>1013</v>
      </c>
      <c r="Q289" s="306" t="s">
        <v>1013</v>
      </c>
      <c r="R289" s="306" t="s">
        <v>1013</v>
      </c>
      <c r="S289" s="306" t="s">
        <v>1013</v>
      </c>
      <c r="T289" s="306" t="s">
        <v>1013</v>
      </c>
      <c r="U289" s="306" t="s">
        <v>3434</v>
      </c>
      <c r="V289" s="306" t="s">
        <v>1013</v>
      </c>
      <c r="W289" s="306" t="s">
        <v>1013</v>
      </c>
      <c r="X289" s="306" t="s">
        <v>1013</v>
      </c>
      <c r="Y289" s="306" t="s">
        <v>2504</v>
      </c>
      <c r="Z289" s="306" t="s">
        <v>2456</v>
      </c>
      <c r="AA289" s="306" t="s">
        <v>1013</v>
      </c>
    </row>
    <row r="290" spans="1:27">
      <c r="A290" s="306" t="s">
        <v>494</v>
      </c>
      <c r="B290" s="306" t="s">
        <v>1003</v>
      </c>
      <c r="C290" s="306" t="s">
        <v>1004</v>
      </c>
      <c r="D290" s="306" t="s">
        <v>2480</v>
      </c>
      <c r="E290" s="306" t="s">
        <v>3435</v>
      </c>
      <c r="F290" s="306" t="s">
        <v>2486</v>
      </c>
      <c r="G290" s="308">
        <v>46013</v>
      </c>
      <c r="H290" s="308">
        <v>46013</v>
      </c>
      <c r="I290" s="309">
        <v>712.87</v>
      </c>
      <c r="J290" s="306" t="s">
        <v>1008</v>
      </c>
      <c r="K290" s="309">
        <v>712.87</v>
      </c>
      <c r="L290" s="306" t="s">
        <v>1008</v>
      </c>
      <c r="M290" s="306" t="s">
        <v>3436</v>
      </c>
      <c r="N290" s="306" t="s">
        <v>3437</v>
      </c>
      <c r="O290" s="306" t="s">
        <v>1013</v>
      </c>
      <c r="P290" s="306" t="s">
        <v>1013</v>
      </c>
      <c r="Q290" s="306" t="s">
        <v>1013</v>
      </c>
      <c r="R290" s="306" t="s">
        <v>1013</v>
      </c>
      <c r="S290" s="306" t="s">
        <v>1013</v>
      </c>
      <c r="T290" s="306" t="s">
        <v>1013</v>
      </c>
      <c r="U290" s="306" t="s">
        <v>3438</v>
      </c>
      <c r="V290" s="306" t="s">
        <v>1013</v>
      </c>
      <c r="W290" s="306" t="s">
        <v>1013</v>
      </c>
      <c r="X290" s="306" t="s">
        <v>1013</v>
      </c>
      <c r="Y290" s="306" t="s">
        <v>2499</v>
      </c>
      <c r="Z290" s="306" t="s">
        <v>2456</v>
      </c>
      <c r="AA290" s="306" t="s">
        <v>1013</v>
      </c>
    </row>
    <row r="291" spans="1:27">
      <c r="A291" s="306" t="s">
        <v>494</v>
      </c>
      <c r="B291" s="306" t="s">
        <v>1003</v>
      </c>
      <c r="C291" s="306" t="s">
        <v>1004</v>
      </c>
      <c r="D291" s="306" t="s">
        <v>2480</v>
      </c>
      <c r="E291" s="306" t="s">
        <v>3439</v>
      </c>
      <c r="F291" s="306" t="s">
        <v>2486</v>
      </c>
      <c r="G291" s="308">
        <v>46013</v>
      </c>
      <c r="H291" s="308">
        <v>46013</v>
      </c>
      <c r="I291" s="309">
        <v>712.87</v>
      </c>
      <c r="J291" s="306" t="s">
        <v>1008</v>
      </c>
      <c r="K291" s="309">
        <v>712.87</v>
      </c>
      <c r="L291" s="306" t="s">
        <v>1008</v>
      </c>
      <c r="M291" s="306" t="s">
        <v>3440</v>
      </c>
      <c r="N291" s="306" t="s">
        <v>3441</v>
      </c>
      <c r="O291" s="306" t="s">
        <v>1013</v>
      </c>
      <c r="P291" s="306" t="s">
        <v>1013</v>
      </c>
      <c r="Q291" s="306" t="s">
        <v>1013</v>
      </c>
      <c r="R291" s="306" t="s">
        <v>1013</v>
      </c>
      <c r="S291" s="306" t="s">
        <v>1013</v>
      </c>
      <c r="T291" s="306" t="s">
        <v>1013</v>
      </c>
      <c r="U291" s="306" t="s">
        <v>3442</v>
      </c>
      <c r="V291" s="306" t="s">
        <v>1013</v>
      </c>
      <c r="W291" s="306" t="s">
        <v>1013</v>
      </c>
      <c r="X291" s="306" t="s">
        <v>1013</v>
      </c>
      <c r="Y291" s="306" t="s">
        <v>2637</v>
      </c>
      <c r="Z291" s="306" t="s">
        <v>2456</v>
      </c>
      <c r="AA291" s="306" t="s">
        <v>1013</v>
      </c>
    </row>
    <row r="292" spans="1:27">
      <c r="A292" s="306" t="s">
        <v>494</v>
      </c>
      <c r="B292" s="306" t="s">
        <v>1003</v>
      </c>
      <c r="C292" s="306" t="s">
        <v>1004</v>
      </c>
      <c r="D292" s="306" t="s">
        <v>2480</v>
      </c>
      <c r="E292" s="306" t="s">
        <v>3443</v>
      </c>
      <c r="F292" s="306" t="s">
        <v>2486</v>
      </c>
      <c r="G292" s="308">
        <v>46013</v>
      </c>
      <c r="H292" s="308">
        <v>46013</v>
      </c>
      <c r="I292" s="309">
        <v>47064.22</v>
      </c>
      <c r="J292" s="306" t="s">
        <v>1008</v>
      </c>
      <c r="K292" s="309">
        <v>47064.22</v>
      </c>
      <c r="L292" s="306" t="s">
        <v>1008</v>
      </c>
      <c r="M292" s="306" t="s">
        <v>3444</v>
      </c>
      <c r="N292" s="306" t="s">
        <v>3445</v>
      </c>
      <c r="O292" s="306" t="s">
        <v>1013</v>
      </c>
      <c r="P292" s="306" t="s">
        <v>1013</v>
      </c>
      <c r="Q292" s="306" t="s">
        <v>1013</v>
      </c>
      <c r="R292" s="306" t="s">
        <v>1013</v>
      </c>
      <c r="S292" s="306" t="s">
        <v>1013</v>
      </c>
      <c r="T292" s="306" t="s">
        <v>1013</v>
      </c>
      <c r="U292" s="306" t="s">
        <v>3446</v>
      </c>
      <c r="V292" s="306" t="s">
        <v>1013</v>
      </c>
      <c r="W292" s="306" t="s">
        <v>1013</v>
      </c>
      <c r="X292" s="306" t="s">
        <v>1013</v>
      </c>
      <c r="Y292" s="306" t="s">
        <v>3447</v>
      </c>
      <c r="Z292" s="306" t="s">
        <v>2456</v>
      </c>
      <c r="AA292" s="306" t="s">
        <v>1013</v>
      </c>
    </row>
    <row r="293" spans="1:27">
      <c r="A293" s="306" t="s">
        <v>494</v>
      </c>
      <c r="B293" s="306" t="s">
        <v>1003</v>
      </c>
      <c r="C293" s="306" t="s">
        <v>1004</v>
      </c>
      <c r="D293" s="306" t="s">
        <v>2480</v>
      </c>
      <c r="E293" s="306" t="s">
        <v>3448</v>
      </c>
      <c r="F293" s="306" t="s">
        <v>2486</v>
      </c>
      <c r="G293" s="308">
        <v>46013</v>
      </c>
      <c r="H293" s="308">
        <v>46013</v>
      </c>
      <c r="I293" s="309">
        <v>1800</v>
      </c>
      <c r="J293" s="306" t="s">
        <v>1008</v>
      </c>
      <c r="K293" s="309">
        <v>1800</v>
      </c>
      <c r="L293" s="306" t="s">
        <v>1008</v>
      </c>
      <c r="M293" s="306" t="s">
        <v>3449</v>
      </c>
      <c r="N293" s="306" t="s">
        <v>3450</v>
      </c>
      <c r="O293" s="306" t="s">
        <v>1013</v>
      </c>
      <c r="P293" s="306" t="s">
        <v>1013</v>
      </c>
      <c r="Q293" s="306" t="s">
        <v>1013</v>
      </c>
      <c r="R293" s="306" t="s">
        <v>1013</v>
      </c>
      <c r="S293" s="306" t="s">
        <v>1013</v>
      </c>
      <c r="T293" s="306" t="s">
        <v>1013</v>
      </c>
      <c r="U293" s="306" t="s">
        <v>3451</v>
      </c>
      <c r="V293" s="306" t="s">
        <v>1013</v>
      </c>
      <c r="W293" s="306" t="s">
        <v>1013</v>
      </c>
      <c r="X293" s="306" t="s">
        <v>1013</v>
      </c>
      <c r="Y293" s="306" t="s">
        <v>2509</v>
      </c>
      <c r="Z293" s="306" t="s">
        <v>2456</v>
      </c>
      <c r="AA293" s="306" t="s">
        <v>1013</v>
      </c>
    </row>
    <row r="294" spans="1:27">
      <c r="A294" s="306" t="s">
        <v>494</v>
      </c>
      <c r="B294" s="306" t="s">
        <v>1003</v>
      </c>
      <c r="C294" s="306" t="s">
        <v>1004</v>
      </c>
      <c r="D294" s="306" t="s">
        <v>2480</v>
      </c>
      <c r="E294" s="306" t="s">
        <v>3452</v>
      </c>
      <c r="F294" s="306" t="s">
        <v>2482</v>
      </c>
      <c r="G294" s="308">
        <v>46013</v>
      </c>
      <c r="H294" s="308">
        <v>46013</v>
      </c>
      <c r="I294" s="309">
        <v>8574.43</v>
      </c>
      <c r="J294" s="306" t="s">
        <v>1008</v>
      </c>
      <c r="K294" s="309">
        <v>8574.43</v>
      </c>
      <c r="L294" s="306" t="s">
        <v>1008</v>
      </c>
      <c r="M294" s="306" t="s">
        <v>3453</v>
      </c>
      <c r="N294" s="306" t="s">
        <v>3453</v>
      </c>
      <c r="O294" s="306" t="s">
        <v>1013</v>
      </c>
      <c r="P294" s="306" t="s">
        <v>1013</v>
      </c>
      <c r="Q294" s="306" t="s">
        <v>1013</v>
      </c>
      <c r="R294" s="306" t="s">
        <v>1013</v>
      </c>
      <c r="S294" s="306" t="s">
        <v>1013</v>
      </c>
      <c r="T294" s="306" t="s">
        <v>1013</v>
      </c>
      <c r="U294" s="306" t="s">
        <v>3454</v>
      </c>
      <c r="V294" s="306" t="s">
        <v>1013</v>
      </c>
      <c r="W294" s="306" t="s">
        <v>1013</v>
      </c>
      <c r="X294" s="306" t="s">
        <v>1013</v>
      </c>
      <c r="Y294" s="306" t="s">
        <v>3454</v>
      </c>
      <c r="Z294" s="306" t="s">
        <v>2456</v>
      </c>
      <c r="AA294" s="306" t="s">
        <v>1013</v>
      </c>
    </row>
    <row r="295" spans="1:27">
      <c r="A295" s="306" t="s">
        <v>494</v>
      </c>
      <c r="B295" s="306" t="s">
        <v>1003</v>
      </c>
      <c r="C295" s="306" t="s">
        <v>1004</v>
      </c>
      <c r="D295" s="306" t="s">
        <v>2480</v>
      </c>
      <c r="E295" s="306" t="s">
        <v>3455</v>
      </c>
      <c r="F295" s="306" t="s">
        <v>2482</v>
      </c>
      <c r="G295" s="308">
        <v>46013</v>
      </c>
      <c r="H295" s="308">
        <v>46013</v>
      </c>
      <c r="I295" s="309">
        <v>57973.38</v>
      </c>
      <c r="J295" s="306" t="s">
        <v>1008</v>
      </c>
      <c r="K295" s="309">
        <v>57973.38</v>
      </c>
      <c r="L295" s="306" t="s">
        <v>1008</v>
      </c>
      <c r="M295" s="306" t="s">
        <v>3456</v>
      </c>
      <c r="N295" s="306" t="s">
        <v>3456</v>
      </c>
      <c r="O295" s="306" t="s">
        <v>1013</v>
      </c>
      <c r="P295" s="306" t="s">
        <v>1013</v>
      </c>
      <c r="Q295" s="306" t="s">
        <v>1013</v>
      </c>
      <c r="R295" s="306" t="s">
        <v>1013</v>
      </c>
      <c r="S295" s="306" t="s">
        <v>1013</v>
      </c>
      <c r="T295" s="306" t="s">
        <v>1013</v>
      </c>
      <c r="U295" s="306" t="s">
        <v>3457</v>
      </c>
      <c r="V295" s="306" t="s">
        <v>1013</v>
      </c>
      <c r="W295" s="306" t="s">
        <v>1013</v>
      </c>
      <c r="X295" s="306" t="s">
        <v>1013</v>
      </c>
      <c r="Y295" s="306" t="s">
        <v>3457</v>
      </c>
      <c r="Z295" s="306" t="s">
        <v>2456</v>
      </c>
      <c r="AA295" s="306" t="s">
        <v>1013</v>
      </c>
    </row>
    <row r="296" spans="1:27">
      <c r="A296" s="306" t="s">
        <v>494</v>
      </c>
      <c r="B296" s="306" t="s">
        <v>1003</v>
      </c>
      <c r="C296" s="306" t="s">
        <v>1004</v>
      </c>
      <c r="D296" s="306" t="s">
        <v>2480</v>
      </c>
      <c r="E296" s="306" t="s">
        <v>3458</v>
      </c>
      <c r="F296" s="306" t="s">
        <v>2482</v>
      </c>
      <c r="G296" s="308">
        <v>46013</v>
      </c>
      <c r="H296" s="308">
        <v>46013</v>
      </c>
      <c r="I296" s="309">
        <v>71677.759999999995</v>
      </c>
      <c r="J296" s="306" t="s">
        <v>1008</v>
      </c>
      <c r="K296" s="309">
        <v>71677.759999999995</v>
      </c>
      <c r="L296" s="306" t="s">
        <v>1008</v>
      </c>
      <c r="M296" s="306" t="s">
        <v>3459</v>
      </c>
      <c r="N296" s="306" t="s">
        <v>3459</v>
      </c>
      <c r="O296" s="306" t="s">
        <v>1013</v>
      </c>
      <c r="P296" s="306" t="s">
        <v>1013</v>
      </c>
      <c r="Q296" s="306" t="s">
        <v>1013</v>
      </c>
      <c r="R296" s="306" t="s">
        <v>1013</v>
      </c>
      <c r="S296" s="306" t="s">
        <v>1013</v>
      </c>
      <c r="T296" s="306" t="s">
        <v>1013</v>
      </c>
      <c r="U296" s="306" t="s">
        <v>3460</v>
      </c>
      <c r="V296" s="306" t="s">
        <v>1013</v>
      </c>
      <c r="W296" s="306" t="s">
        <v>1013</v>
      </c>
      <c r="X296" s="306" t="s">
        <v>1013</v>
      </c>
      <c r="Y296" s="306" t="s">
        <v>3460</v>
      </c>
      <c r="Z296" s="306" t="s">
        <v>2456</v>
      </c>
      <c r="AA296" s="306" t="s">
        <v>1013</v>
      </c>
    </row>
    <row r="297" spans="1:27">
      <c r="A297" s="306" t="s">
        <v>494</v>
      </c>
      <c r="B297" s="306" t="s">
        <v>1003</v>
      </c>
      <c r="C297" s="306" t="s">
        <v>1004</v>
      </c>
      <c r="D297" s="306" t="s">
        <v>2480</v>
      </c>
      <c r="E297" s="306" t="s">
        <v>3461</v>
      </c>
      <c r="F297" s="306" t="s">
        <v>2482</v>
      </c>
      <c r="G297" s="308">
        <v>46013</v>
      </c>
      <c r="H297" s="308">
        <v>46013</v>
      </c>
      <c r="I297" s="309">
        <v>12919.07</v>
      </c>
      <c r="J297" s="306" t="s">
        <v>1008</v>
      </c>
      <c r="K297" s="309">
        <v>12919.07</v>
      </c>
      <c r="L297" s="306" t="s">
        <v>1008</v>
      </c>
      <c r="M297" s="306" t="s">
        <v>3462</v>
      </c>
      <c r="N297" s="306" t="s">
        <v>3462</v>
      </c>
      <c r="O297" s="306" t="s">
        <v>1013</v>
      </c>
      <c r="P297" s="306" t="s">
        <v>1013</v>
      </c>
      <c r="Q297" s="306" t="s">
        <v>1013</v>
      </c>
      <c r="R297" s="306" t="s">
        <v>1013</v>
      </c>
      <c r="S297" s="306" t="s">
        <v>1013</v>
      </c>
      <c r="T297" s="306" t="s">
        <v>1013</v>
      </c>
      <c r="U297" s="306" t="s">
        <v>3463</v>
      </c>
      <c r="V297" s="306" t="s">
        <v>1013</v>
      </c>
      <c r="W297" s="306" t="s">
        <v>1013</v>
      </c>
      <c r="X297" s="306" t="s">
        <v>1013</v>
      </c>
      <c r="Y297" s="306" t="s">
        <v>3463</v>
      </c>
      <c r="Z297" s="306" t="s">
        <v>2456</v>
      </c>
      <c r="AA297" s="306" t="s">
        <v>1013</v>
      </c>
    </row>
    <row r="298" spans="1:27">
      <c r="A298" s="306" t="s">
        <v>494</v>
      </c>
      <c r="B298" s="306" t="s">
        <v>1003</v>
      </c>
      <c r="C298" s="306" t="s">
        <v>1004</v>
      </c>
      <c r="D298" s="306" t="s">
        <v>2480</v>
      </c>
      <c r="E298" s="306" t="s">
        <v>3464</v>
      </c>
      <c r="F298" s="306" t="s">
        <v>2482</v>
      </c>
      <c r="G298" s="308">
        <v>46011</v>
      </c>
      <c r="H298" s="308">
        <v>46013</v>
      </c>
      <c r="I298" s="309">
        <v>415733.94</v>
      </c>
      <c r="J298" s="306" t="s">
        <v>1008</v>
      </c>
      <c r="K298" s="309">
        <v>415733.94</v>
      </c>
      <c r="L298" s="306" t="s">
        <v>1008</v>
      </c>
      <c r="M298" s="306" t="s">
        <v>3465</v>
      </c>
      <c r="N298" s="306" t="s">
        <v>3465</v>
      </c>
      <c r="O298" s="306" t="s">
        <v>1013</v>
      </c>
      <c r="P298" s="306" t="s">
        <v>1013</v>
      </c>
      <c r="Q298" s="306" t="s">
        <v>1013</v>
      </c>
      <c r="R298" s="306" t="s">
        <v>1013</v>
      </c>
      <c r="S298" s="306" t="s">
        <v>1013</v>
      </c>
      <c r="T298" s="306" t="s">
        <v>1013</v>
      </c>
      <c r="U298" s="306" t="s">
        <v>3466</v>
      </c>
      <c r="V298" s="306" t="s">
        <v>1013</v>
      </c>
      <c r="W298" s="306" t="s">
        <v>1013</v>
      </c>
      <c r="X298" s="306" t="s">
        <v>1013</v>
      </c>
      <c r="Y298" s="306" t="s">
        <v>3466</v>
      </c>
      <c r="Z298" s="306" t="s">
        <v>2456</v>
      </c>
      <c r="AA298" s="306" t="s">
        <v>1013</v>
      </c>
    </row>
    <row r="299" spans="1:27">
      <c r="A299" s="306" t="s">
        <v>494</v>
      </c>
      <c r="B299" s="306" t="s">
        <v>1003</v>
      </c>
      <c r="C299" s="306" t="s">
        <v>1004</v>
      </c>
      <c r="D299" s="306" t="s">
        <v>2480</v>
      </c>
      <c r="E299" s="306" t="s">
        <v>3467</v>
      </c>
      <c r="F299" s="306" t="s">
        <v>2486</v>
      </c>
      <c r="G299" s="308">
        <v>46013</v>
      </c>
      <c r="H299" s="308">
        <v>46013</v>
      </c>
      <c r="I299" s="309">
        <v>201.33</v>
      </c>
      <c r="J299" s="306" t="s">
        <v>1008</v>
      </c>
      <c r="K299" s="309">
        <v>201.33</v>
      </c>
      <c r="L299" s="306" t="s">
        <v>1008</v>
      </c>
      <c r="M299" s="306" t="s">
        <v>3468</v>
      </c>
      <c r="N299" s="306" t="s">
        <v>3469</v>
      </c>
      <c r="O299" s="306" t="s">
        <v>1013</v>
      </c>
      <c r="P299" s="306" t="s">
        <v>1013</v>
      </c>
      <c r="Q299" s="306" t="s">
        <v>1013</v>
      </c>
      <c r="R299" s="306" t="s">
        <v>1013</v>
      </c>
      <c r="S299" s="306" t="s">
        <v>1013</v>
      </c>
      <c r="T299" s="306" t="s">
        <v>1013</v>
      </c>
      <c r="U299" s="306" t="s">
        <v>3470</v>
      </c>
      <c r="V299" s="306" t="s">
        <v>1013</v>
      </c>
      <c r="W299" s="306" t="s">
        <v>1013</v>
      </c>
      <c r="X299" s="306" t="s">
        <v>1013</v>
      </c>
      <c r="Y299" s="306" t="s">
        <v>2509</v>
      </c>
      <c r="Z299" s="306" t="s">
        <v>2456</v>
      </c>
      <c r="AA299" s="306" t="s">
        <v>1013</v>
      </c>
    </row>
    <row r="300" spans="1:27">
      <c r="A300" s="306" t="s">
        <v>494</v>
      </c>
      <c r="B300" s="306" t="s">
        <v>1003</v>
      </c>
      <c r="C300" s="306" t="s">
        <v>1004</v>
      </c>
      <c r="D300" s="306" t="s">
        <v>2480</v>
      </c>
      <c r="E300" s="306" t="s">
        <v>3471</v>
      </c>
      <c r="F300" s="306" t="s">
        <v>2482</v>
      </c>
      <c r="G300" s="308">
        <v>46013</v>
      </c>
      <c r="H300" s="308">
        <v>46013</v>
      </c>
      <c r="I300" s="309">
        <v>679.68</v>
      </c>
      <c r="J300" s="306" t="s">
        <v>1008</v>
      </c>
      <c r="K300" s="309">
        <v>679.68</v>
      </c>
      <c r="L300" s="306" t="s">
        <v>1008</v>
      </c>
      <c r="M300" s="306" t="s">
        <v>3472</v>
      </c>
      <c r="N300" s="306" t="s">
        <v>3472</v>
      </c>
      <c r="O300" s="306" t="s">
        <v>1013</v>
      </c>
      <c r="P300" s="306" t="s">
        <v>1013</v>
      </c>
      <c r="Q300" s="306" t="s">
        <v>1013</v>
      </c>
      <c r="R300" s="306" t="s">
        <v>1013</v>
      </c>
      <c r="S300" s="306" t="s">
        <v>1013</v>
      </c>
      <c r="T300" s="306" t="s">
        <v>1013</v>
      </c>
      <c r="U300" s="306" t="s">
        <v>3473</v>
      </c>
      <c r="V300" s="306" t="s">
        <v>1013</v>
      </c>
      <c r="W300" s="306" t="s">
        <v>1013</v>
      </c>
      <c r="X300" s="306" t="s">
        <v>1013</v>
      </c>
      <c r="Y300" s="306" t="s">
        <v>3473</v>
      </c>
      <c r="Z300" s="306" t="s">
        <v>2456</v>
      </c>
      <c r="AA300" s="306" t="s">
        <v>1013</v>
      </c>
    </row>
    <row r="301" spans="1:27">
      <c r="A301" s="306" t="s">
        <v>494</v>
      </c>
      <c r="B301" s="306" t="s">
        <v>1003</v>
      </c>
      <c r="C301" s="306" t="s">
        <v>1004</v>
      </c>
      <c r="D301" s="306" t="s">
        <v>2480</v>
      </c>
      <c r="E301" s="306" t="s">
        <v>3474</v>
      </c>
      <c r="F301" s="306" t="s">
        <v>2482</v>
      </c>
      <c r="G301" s="308">
        <v>46013</v>
      </c>
      <c r="H301" s="308">
        <v>46013</v>
      </c>
      <c r="I301" s="309">
        <v>73795.820000000007</v>
      </c>
      <c r="J301" s="306" t="s">
        <v>1008</v>
      </c>
      <c r="K301" s="309">
        <v>73795.820000000007</v>
      </c>
      <c r="L301" s="306" t="s">
        <v>1008</v>
      </c>
      <c r="M301" s="306" t="s">
        <v>3475</v>
      </c>
      <c r="N301" s="306" t="s">
        <v>3475</v>
      </c>
      <c r="O301" s="306" t="s">
        <v>1013</v>
      </c>
      <c r="P301" s="306" t="s">
        <v>1013</v>
      </c>
      <c r="Q301" s="306" t="s">
        <v>1013</v>
      </c>
      <c r="R301" s="306" t="s">
        <v>1013</v>
      </c>
      <c r="S301" s="306" t="s">
        <v>1013</v>
      </c>
      <c r="T301" s="306" t="s">
        <v>1013</v>
      </c>
      <c r="U301" s="306" t="s">
        <v>3476</v>
      </c>
      <c r="V301" s="306" t="s">
        <v>1013</v>
      </c>
      <c r="W301" s="306" t="s">
        <v>1013</v>
      </c>
      <c r="X301" s="306" t="s">
        <v>1013</v>
      </c>
      <c r="Y301" s="306" t="s">
        <v>3476</v>
      </c>
      <c r="Z301" s="306" t="s">
        <v>2456</v>
      </c>
      <c r="AA301" s="306" t="s">
        <v>1013</v>
      </c>
    </row>
    <row r="302" spans="1:27">
      <c r="A302" s="306" t="s">
        <v>494</v>
      </c>
      <c r="B302" s="306" t="s">
        <v>1003</v>
      </c>
      <c r="C302" s="306" t="s">
        <v>1004</v>
      </c>
      <c r="D302" s="306" t="s">
        <v>2480</v>
      </c>
      <c r="E302" s="306" t="s">
        <v>3477</v>
      </c>
      <c r="F302" s="306" t="s">
        <v>2482</v>
      </c>
      <c r="G302" s="308">
        <v>46013</v>
      </c>
      <c r="H302" s="308">
        <v>46013</v>
      </c>
      <c r="I302" s="309">
        <v>284967.06</v>
      </c>
      <c r="J302" s="306" t="s">
        <v>1008</v>
      </c>
      <c r="K302" s="309">
        <v>284967.06</v>
      </c>
      <c r="L302" s="306" t="s">
        <v>1008</v>
      </c>
      <c r="M302" s="306" t="s">
        <v>3478</v>
      </c>
      <c r="N302" s="306" t="s">
        <v>3478</v>
      </c>
      <c r="O302" s="306" t="s">
        <v>1013</v>
      </c>
      <c r="P302" s="306" t="s">
        <v>1013</v>
      </c>
      <c r="Q302" s="306" t="s">
        <v>1013</v>
      </c>
      <c r="R302" s="306" t="s">
        <v>1013</v>
      </c>
      <c r="S302" s="306" t="s">
        <v>1013</v>
      </c>
      <c r="T302" s="306" t="s">
        <v>1013</v>
      </c>
      <c r="U302" s="306" t="s">
        <v>3479</v>
      </c>
      <c r="V302" s="306" t="s">
        <v>1013</v>
      </c>
      <c r="W302" s="306" t="s">
        <v>1013</v>
      </c>
      <c r="X302" s="306" t="s">
        <v>1013</v>
      </c>
      <c r="Y302" s="306" t="s">
        <v>3479</v>
      </c>
      <c r="Z302" s="306" t="s">
        <v>2456</v>
      </c>
      <c r="AA302" s="306" t="s">
        <v>1013</v>
      </c>
    </row>
    <row r="303" spans="1:27">
      <c r="A303" s="306" t="s">
        <v>494</v>
      </c>
      <c r="B303" s="306" t="s">
        <v>1003</v>
      </c>
      <c r="C303" s="306" t="s">
        <v>1004</v>
      </c>
      <c r="D303" s="306" t="s">
        <v>2480</v>
      </c>
      <c r="E303" s="306" t="s">
        <v>3480</v>
      </c>
      <c r="F303" s="306" t="s">
        <v>2486</v>
      </c>
      <c r="G303" s="308">
        <v>46013</v>
      </c>
      <c r="H303" s="308">
        <v>46013</v>
      </c>
      <c r="I303" s="309">
        <v>201.33</v>
      </c>
      <c r="J303" s="306" t="s">
        <v>1008</v>
      </c>
      <c r="K303" s="309">
        <v>201.33</v>
      </c>
      <c r="L303" s="306" t="s">
        <v>1008</v>
      </c>
      <c r="M303" s="306" t="s">
        <v>3481</v>
      </c>
      <c r="N303" s="306" t="s">
        <v>3482</v>
      </c>
      <c r="O303" s="306" t="s">
        <v>1013</v>
      </c>
      <c r="P303" s="306" t="s">
        <v>1013</v>
      </c>
      <c r="Q303" s="306" t="s">
        <v>1013</v>
      </c>
      <c r="R303" s="306" t="s">
        <v>1013</v>
      </c>
      <c r="S303" s="306" t="s">
        <v>1013</v>
      </c>
      <c r="T303" s="306" t="s">
        <v>1013</v>
      </c>
      <c r="U303" s="306" t="s">
        <v>3483</v>
      </c>
      <c r="V303" s="306" t="s">
        <v>1013</v>
      </c>
      <c r="W303" s="306" t="s">
        <v>1013</v>
      </c>
      <c r="X303" s="306" t="s">
        <v>1013</v>
      </c>
      <c r="Y303" s="306" t="s">
        <v>2814</v>
      </c>
      <c r="Z303" s="306" t="s">
        <v>2456</v>
      </c>
      <c r="AA303" s="306" t="s">
        <v>1013</v>
      </c>
    </row>
    <row r="304" spans="1:27">
      <c r="A304" s="306" t="s">
        <v>494</v>
      </c>
      <c r="B304" s="306" t="s">
        <v>1003</v>
      </c>
      <c r="C304" s="306" t="s">
        <v>1004</v>
      </c>
      <c r="D304" s="306" t="s">
        <v>2480</v>
      </c>
      <c r="E304" s="306" t="s">
        <v>3484</v>
      </c>
      <c r="F304" s="306" t="s">
        <v>2486</v>
      </c>
      <c r="G304" s="308">
        <v>46013</v>
      </c>
      <c r="H304" s="308">
        <v>46013</v>
      </c>
      <c r="I304" s="309">
        <v>2.39</v>
      </c>
      <c r="J304" s="306" t="s">
        <v>1008</v>
      </c>
      <c r="K304" s="309">
        <v>2.39</v>
      </c>
      <c r="L304" s="306" t="s">
        <v>1008</v>
      </c>
      <c r="M304" s="306" t="s">
        <v>3485</v>
      </c>
      <c r="N304" s="306" t="s">
        <v>3486</v>
      </c>
      <c r="O304" s="306" t="s">
        <v>1013</v>
      </c>
      <c r="P304" s="306" t="s">
        <v>1013</v>
      </c>
      <c r="Q304" s="306" t="s">
        <v>1013</v>
      </c>
      <c r="R304" s="306" t="s">
        <v>1013</v>
      </c>
      <c r="S304" s="306" t="s">
        <v>1013</v>
      </c>
      <c r="T304" s="306" t="s">
        <v>1013</v>
      </c>
      <c r="U304" s="306" t="s">
        <v>3487</v>
      </c>
      <c r="V304" s="306" t="s">
        <v>1013</v>
      </c>
      <c r="W304" s="306" t="s">
        <v>1013</v>
      </c>
      <c r="X304" s="306" t="s">
        <v>1013</v>
      </c>
      <c r="Y304" s="306" t="s">
        <v>3488</v>
      </c>
      <c r="Z304" s="306" t="s">
        <v>2456</v>
      </c>
      <c r="AA304" s="306" t="s">
        <v>1013</v>
      </c>
    </row>
    <row r="305" spans="1:27">
      <c r="A305" s="306" t="s">
        <v>494</v>
      </c>
      <c r="B305" s="306" t="s">
        <v>1003</v>
      </c>
      <c r="C305" s="306" t="s">
        <v>1004</v>
      </c>
      <c r="D305" s="306" t="s">
        <v>2480</v>
      </c>
      <c r="E305" s="306" t="s">
        <v>3489</v>
      </c>
      <c r="F305" s="306" t="s">
        <v>2482</v>
      </c>
      <c r="G305" s="308">
        <v>46013</v>
      </c>
      <c r="H305" s="308">
        <v>46013</v>
      </c>
      <c r="I305" s="309">
        <v>926537.63</v>
      </c>
      <c r="J305" s="306" t="s">
        <v>1008</v>
      </c>
      <c r="K305" s="309">
        <v>926537.63</v>
      </c>
      <c r="L305" s="306" t="s">
        <v>1008</v>
      </c>
      <c r="M305" s="306" t="s">
        <v>3490</v>
      </c>
      <c r="N305" s="306" t="s">
        <v>3490</v>
      </c>
      <c r="O305" s="306" t="s">
        <v>1013</v>
      </c>
      <c r="P305" s="306" t="s">
        <v>1013</v>
      </c>
      <c r="Q305" s="306" t="s">
        <v>1013</v>
      </c>
      <c r="R305" s="306" t="s">
        <v>1013</v>
      </c>
      <c r="S305" s="306" t="s">
        <v>1013</v>
      </c>
      <c r="T305" s="306" t="s">
        <v>1013</v>
      </c>
      <c r="U305" s="306" t="s">
        <v>3491</v>
      </c>
      <c r="V305" s="306" t="s">
        <v>1013</v>
      </c>
      <c r="W305" s="306" t="s">
        <v>1013</v>
      </c>
      <c r="X305" s="306" t="s">
        <v>1013</v>
      </c>
      <c r="Y305" s="306" t="s">
        <v>3491</v>
      </c>
      <c r="Z305" s="306" t="s">
        <v>2456</v>
      </c>
      <c r="AA305" s="306" t="s">
        <v>1013</v>
      </c>
    </row>
    <row r="306" spans="1:27">
      <c r="A306" s="306" t="s">
        <v>494</v>
      </c>
      <c r="B306" s="306" t="s">
        <v>1003</v>
      </c>
      <c r="C306" s="306" t="s">
        <v>1004</v>
      </c>
      <c r="D306" s="306" t="s">
        <v>2480</v>
      </c>
      <c r="E306" s="306" t="s">
        <v>3492</v>
      </c>
      <c r="F306" s="306" t="s">
        <v>1007</v>
      </c>
      <c r="G306" s="308">
        <v>46013</v>
      </c>
      <c r="H306" s="308">
        <v>46014</v>
      </c>
      <c r="I306" s="309">
        <v>43341.4</v>
      </c>
      <c r="J306" s="306" t="s">
        <v>1008</v>
      </c>
      <c r="K306" s="309">
        <v>43341.4</v>
      </c>
      <c r="L306" s="306" t="s">
        <v>1008</v>
      </c>
      <c r="M306" s="306" t="s">
        <v>3493</v>
      </c>
      <c r="N306" s="306" t="s">
        <v>3494</v>
      </c>
      <c r="O306" s="306" t="s">
        <v>3495</v>
      </c>
      <c r="P306" s="306" t="s">
        <v>1013</v>
      </c>
      <c r="Q306" s="306" t="s">
        <v>1013</v>
      </c>
      <c r="R306" s="306" t="s">
        <v>1013</v>
      </c>
      <c r="S306" s="306" t="s">
        <v>1013</v>
      </c>
      <c r="T306" s="306" t="s">
        <v>1013</v>
      </c>
      <c r="U306" s="306" t="s">
        <v>2604</v>
      </c>
      <c r="V306" s="306" t="s">
        <v>1013</v>
      </c>
      <c r="W306" s="306" t="s">
        <v>1013</v>
      </c>
      <c r="X306" s="306" t="s">
        <v>1013</v>
      </c>
      <c r="Y306" s="306" t="s">
        <v>2604</v>
      </c>
      <c r="Z306" s="306" t="s">
        <v>2456</v>
      </c>
      <c r="AA306" s="306" t="s">
        <v>1013</v>
      </c>
    </row>
    <row r="307" spans="1:27">
      <c r="A307" s="306" t="s">
        <v>494</v>
      </c>
      <c r="B307" s="306" t="s">
        <v>1003</v>
      </c>
      <c r="C307" s="306" t="s">
        <v>1004</v>
      </c>
      <c r="D307" s="306" t="s">
        <v>2480</v>
      </c>
      <c r="E307" s="306" t="s">
        <v>3496</v>
      </c>
      <c r="F307" s="306" t="s">
        <v>2482</v>
      </c>
      <c r="G307" s="308">
        <v>46013</v>
      </c>
      <c r="H307" s="308">
        <v>46014</v>
      </c>
      <c r="I307" s="309">
        <v>-43341.4</v>
      </c>
      <c r="J307" s="306" t="s">
        <v>1008</v>
      </c>
      <c r="K307" s="309">
        <v>-43341.4</v>
      </c>
      <c r="L307" s="306" t="s">
        <v>1008</v>
      </c>
      <c r="M307" s="306" t="s">
        <v>1013</v>
      </c>
      <c r="N307" s="306" t="s">
        <v>1013</v>
      </c>
      <c r="O307" s="306" t="s">
        <v>1013</v>
      </c>
      <c r="P307" s="306" t="s">
        <v>1013</v>
      </c>
      <c r="Q307" s="306" t="s">
        <v>1013</v>
      </c>
      <c r="R307" s="306" t="s">
        <v>1013</v>
      </c>
      <c r="S307" s="306" t="s">
        <v>1013</v>
      </c>
      <c r="T307" s="306" t="s">
        <v>1013</v>
      </c>
      <c r="U307" s="306" t="s">
        <v>3497</v>
      </c>
      <c r="V307" s="306" t="s">
        <v>1013</v>
      </c>
      <c r="W307" s="306" t="s">
        <v>1013</v>
      </c>
      <c r="X307" s="306" t="s">
        <v>1013</v>
      </c>
      <c r="Y307" s="306" t="s">
        <v>3497</v>
      </c>
      <c r="Z307" s="306" t="s">
        <v>2654</v>
      </c>
      <c r="AA307" s="306" t="s">
        <v>1013</v>
      </c>
    </row>
    <row r="308" spans="1:27">
      <c r="A308" s="306" t="s">
        <v>494</v>
      </c>
      <c r="B308" s="306" t="s">
        <v>1003</v>
      </c>
      <c r="C308" s="306" t="s">
        <v>1004</v>
      </c>
      <c r="D308" s="306" t="s">
        <v>2480</v>
      </c>
      <c r="E308" s="306" t="s">
        <v>3498</v>
      </c>
      <c r="F308" s="306" t="s">
        <v>2482</v>
      </c>
      <c r="G308" s="308">
        <v>46014</v>
      </c>
      <c r="H308" s="308">
        <v>46014</v>
      </c>
      <c r="I308" s="309">
        <v>165928.32000000001</v>
      </c>
      <c r="J308" s="306" t="s">
        <v>1008</v>
      </c>
      <c r="K308" s="309">
        <v>165928.32000000001</v>
      </c>
      <c r="L308" s="306" t="s">
        <v>1008</v>
      </c>
      <c r="M308" s="306" t="s">
        <v>3499</v>
      </c>
      <c r="N308" s="306" t="s">
        <v>3499</v>
      </c>
      <c r="O308" s="306" t="s">
        <v>1013</v>
      </c>
      <c r="P308" s="306" t="s">
        <v>1013</v>
      </c>
      <c r="Q308" s="306" t="s">
        <v>1013</v>
      </c>
      <c r="R308" s="306" t="s">
        <v>1013</v>
      </c>
      <c r="S308" s="306" t="s">
        <v>1013</v>
      </c>
      <c r="T308" s="306" t="s">
        <v>1013</v>
      </c>
      <c r="U308" s="306" t="s">
        <v>3500</v>
      </c>
      <c r="V308" s="306" t="s">
        <v>1013</v>
      </c>
      <c r="W308" s="306" t="s">
        <v>1013</v>
      </c>
      <c r="X308" s="306" t="s">
        <v>1013</v>
      </c>
      <c r="Y308" s="306" t="s">
        <v>3500</v>
      </c>
      <c r="Z308" s="306" t="s">
        <v>2456</v>
      </c>
      <c r="AA308" s="306" t="s">
        <v>1013</v>
      </c>
    </row>
    <row r="309" spans="1:27">
      <c r="A309" s="306" t="s">
        <v>494</v>
      </c>
      <c r="B309" s="306" t="s">
        <v>1003</v>
      </c>
      <c r="C309" s="306" t="s">
        <v>1004</v>
      </c>
      <c r="D309" s="306" t="s">
        <v>2480</v>
      </c>
      <c r="E309" s="306" t="s">
        <v>3501</v>
      </c>
      <c r="F309" s="306" t="s">
        <v>2486</v>
      </c>
      <c r="G309" s="308">
        <v>46014</v>
      </c>
      <c r="H309" s="308">
        <v>46014</v>
      </c>
      <c r="I309" s="309">
        <v>818933.94</v>
      </c>
      <c r="J309" s="306" t="s">
        <v>1008</v>
      </c>
      <c r="K309" s="309">
        <v>818933.94</v>
      </c>
      <c r="L309" s="306" t="s">
        <v>1008</v>
      </c>
      <c r="M309" s="306" t="s">
        <v>3502</v>
      </c>
      <c r="N309" s="306" t="s">
        <v>3503</v>
      </c>
      <c r="O309" s="306" t="s">
        <v>3504</v>
      </c>
      <c r="P309" s="306" t="s">
        <v>1013</v>
      </c>
      <c r="Q309" s="306" t="s">
        <v>1013</v>
      </c>
      <c r="R309" s="306" t="s">
        <v>1013</v>
      </c>
      <c r="S309" s="306" t="s">
        <v>1013</v>
      </c>
      <c r="T309" s="306" t="s">
        <v>1013</v>
      </c>
      <c r="U309" s="306" t="s">
        <v>3505</v>
      </c>
      <c r="V309" s="306" t="s">
        <v>1013</v>
      </c>
      <c r="W309" s="306" t="s">
        <v>1013</v>
      </c>
      <c r="X309" s="306" t="s">
        <v>1013</v>
      </c>
      <c r="Y309" s="306" t="s">
        <v>2509</v>
      </c>
      <c r="Z309" s="306" t="s">
        <v>2456</v>
      </c>
      <c r="AA309" s="306" t="s">
        <v>1013</v>
      </c>
    </row>
    <row r="310" spans="1:27">
      <c r="A310" s="306" t="s">
        <v>494</v>
      </c>
      <c r="B310" s="306" t="s">
        <v>1003</v>
      </c>
      <c r="C310" s="306" t="s">
        <v>1004</v>
      </c>
      <c r="D310" s="306" t="s">
        <v>2480</v>
      </c>
      <c r="E310" s="306" t="s">
        <v>3506</v>
      </c>
      <c r="F310" s="306" t="s">
        <v>2486</v>
      </c>
      <c r="G310" s="308">
        <v>46014</v>
      </c>
      <c r="H310" s="308">
        <v>46014</v>
      </c>
      <c r="I310" s="309">
        <v>2.89</v>
      </c>
      <c r="J310" s="306" t="s">
        <v>1008</v>
      </c>
      <c r="K310" s="309">
        <v>2.89</v>
      </c>
      <c r="L310" s="306" t="s">
        <v>1008</v>
      </c>
      <c r="M310" s="306" t="s">
        <v>3507</v>
      </c>
      <c r="N310" s="306" t="s">
        <v>3508</v>
      </c>
      <c r="O310" s="306" t="s">
        <v>1013</v>
      </c>
      <c r="P310" s="306" t="s">
        <v>1013</v>
      </c>
      <c r="Q310" s="306" t="s">
        <v>1013</v>
      </c>
      <c r="R310" s="306" t="s">
        <v>1013</v>
      </c>
      <c r="S310" s="306" t="s">
        <v>1013</v>
      </c>
      <c r="T310" s="306" t="s">
        <v>1013</v>
      </c>
      <c r="U310" s="306" t="s">
        <v>3509</v>
      </c>
      <c r="V310" s="306" t="s">
        <v>1013</v>
      </c>
      <c r="W310" s="306" t="s">
        <v>1013</v>
      </c>
      <c r="X310" s="306" t="s">
        <v>1013</v>
      </c>
      <c r="Y310" s="306" t="s">
        <v>3118</v>
      </c>
      <c r="Z310" s="306" t="s">
        <v>2456</v>
      </c>
      <c r="AA310" s="306" t="s">
        <v>1013</v>
      </c>
    </row>
    <row r="311" spans="1:27">
      <c r="A311" s="306" t="s">
        <v>494</v>
      </c>
      <c r="B311" s="306" t="s">
        <v>1003</v>
      </c>
      <c r="C311" s="306" t="s">
        <v>1004</v>
      </c>
      <c r="D311" s="306" t="s">
        <v>2480</v>
      </c>
      <c r="E311" s="306" t="s">
        <v>3510</v>
      </c>
      <c r="F311" s="306" t="s">
        <v>2486</v>
      </c>
      <c r="G311" s="308">
        <v>46014</v>
      </c>
      <c r="H311" s="308">
        <v>46014</v>
      </c>
      <c r="I311" s="309">
        <v>813.2</v>
      </c>
      <c r="J311" s="306" t="s">
        <v>1008</v>
      </c>
      <c r="K311" s="309">
        <v>813.2</v>
      </c>
      <c r="L311" s="306" t="s">
        <v>1008</v>
      </c>
      <c r="M311" s="306" t="s">
        <v>3511</v>
      </c>
      <c r="N311" s="306" t="s">
        <v>3512</v>
      </c>
      <c r="O311" s="306" t="s">
        <v>1013</v>
      </c>
      <c r="P311" s="306" t="s">
        <v>1013</v>
      </c>
      <c r="Q311" s="306" t="s">
        <v>1013</v>
      </c>
      <c r="R311" s="306" t="s">
        <v>1013</v>
      </c>
      <c r="S311" s="306" t="s">
        <v>1013</v>
      </c>
      <c r="T311" s="306" t="s">
        <v>1013</v>
      </c>
      <c r="U311" s="306" t="s">
        <v>3513</v>
      </c>
      <c r="V311" s="306" t="s">
        <v>1013</v>
      </c>
      <c r="W311" s="306" t="s">
        <v>1013</v>
      </c>
      <c r="X311" s="306" t="s">
        <v>1013</v>
      </c>
      <c r="Y311" s="306" t="s">
        <v>1537</v>
      </c>
      <c r="Z311" s="306" t="s">
        <v>2456</v>
      </c>
      <c r="AA311" s="306" t="s">
        <v>1013</v>
      </c>
    </row>
    <row r="312" spans="1:27">
      <c r="A312" s="306" t="s">
        <v>494</v>
      </c>
      <c r="B312" s="306" t="s">
        <v>1003</v>
      </c>
      <c r="C312" s="306" t="s">
        <v>1004</v>
      </c>
      <c r="D312" s="306" t="s">
        <v>2480</v>
      </c>
      <c r="E312" s="306" t="s">
        <v>3514</v>
      </c>
      <c r="F312" s="306" t="s">
        <v>2486</v>
      </c>
      <c r="G312" s="308">
        <v>46014</v>
      </c>
      <c r="H312" s="308">
        <v>46014</v>
      </c>
      <c r="I312" s="309">
        <v>1161.52</v>
      </c>
      <c r="J312" s="306" t="s">
        <v>1008</v>
      </c>
      <c r="K312" s="309">
        <v>1161.52</v>
      </c>
      <c r="L312" s="306" t="s">
        <v>1008</v>
      </c>
      <c r="M312" s="306" t="s">
        <v>3515</v>
      </c>
      <c r="N312" s="306" t="s">
        <v>3516</v>
      </c>
      <c r="O312" s="306" t="s">
        <v>1013</v>
      </c>
      <c r="P312" s="306" t="s">
        <v>1013</v>
      </c>
      <c r="Q312" s="306" t="s">
        <v>1013</v>
      </c>
      <c r="R312" s="306" t="s">
        <v>1013</v>
      </c>
      <c r="S312" s="306" t="s">
        <v>1013</v>
      </c>
      <c r="T312" s="306" t="s">
        <v>1013</v>
      </c>
      <c r="U312" s="306" t="s">
        <v>3517</v>
      </c>
      <c r="V312" s="306" t="s">
        <v>1013</v>
      </c>
      <c r="W312" s="306" t="s">
        <v>1013</v>
      </c>
      <c r="X312" s="306" t="s">
        <v>1013</v>
      </c>
      <c r="Y312" s="306" t="s">
        <v>1537</v>
      </c>
      <c r="Z312" s="306" t="s">
        <v>2456</v>
      </c>
      <c r="AA312" s="306" t="s">
        <v>1013</v>
      </c>
    </row>
    <row r="313" spans="1:27">
      <c r="A313" s="306" t="s">
        <v>494</v>
      </c>
      <c r="B313" s="306" t="s">
        <v>1003</v>
      </c>
      <c r="C313" s="306" t="s">
        <v>1004</v>
      </c>
      <c r="D313" s="306" t="s">
        <v>2480</v>
      </c>
      <c r="E313" s="306" t="s">
        <v>3518</v>
      </c>
      <c r="F313" s="306" t="s">
        <v>2486</v>
      </c>
      <c r="G313" s="308">
        <v>46014</v>
      </c>
      <c r="H313" s="308">
        <v>46014</v>
      </c>
      <c r="I313" s="309">
        <v>329.25</v>
      </c>
      <c r="J313" s="306" t="s">
        <v>1008</v>
      </c>
      <c r="K313" s="309">
        <v>329.25</v>
      </c>
      <c r="L313" s="306" t="s">
        <v>1008</v>
      </c>
      <c r="M313" s="306" t="s">
        <v>3519</v>
      </c>
      <c r="N313" s="306" t="s">
        <v>3520</v>
      </c>
      <c r="O313" s="306" t="s">
        <v>1013</v>
      </c>
      <c r="P313" s="306" t="s">
        <v>1013</v>
      </c>
      <c r="Q313" s="306" t="s">
        <v>1013</v>
      </c>
      <c r="R313" s="306" t="s">
        <v>1013</v>
      </c>
      <c r="S313" s="306" t="s">
        <v>1013</v>
      </c>
      <c r="T313" s="306" t="s">
        <v>1013</v>
      </c>
      <c r="U313" s="306" t="s">
        <v>3521</v>
      </c>
      <c r="V313" s="306" t="s">
        <v>1013</v>
      </c>
      <c r="W313" s="306" t="s">
        <v>1013</v>
      </c>
      <c r="X313" s="306" t="s">
        <v>1013</v>
      </c>
      <c r="Y313" s="306" t="s">
        <v>1406</v>
      </c>
      <c r="Z313" s="306" t="s">
        <v>2456</v>
      </c>
      <c r="AA313" s="306" t="s">
        <v>1013</v>
      </c>
    </row>
    <row r="314" spans="1:27">
      <c r="A314" s="306" t="s">
        <v>494</v>
      </c>
      <c r="B314" s="306" t="s">
        <v>1003</v>
      </c>
      <c r="C314" s="306" t="s">
        <v>1004</v>
      </c>
      <c r="D314" s="306" t="s">
        <v>2480</v>
      </c>
      <c r="E314" s="306" t="s">
        <v>3522</v>
      </c>
      <c r="F314" s="306" t="s">
        <v>2486</v>
      </c>
      <c r="G314" s="308">
        <v>46014</v>
      </c>
      <c r="H314" s="308">
        <v>46014</v>
      </c>
      <c r="I314" s="309">
        <v>241.41</v>
      </c>
      <c r="J314" s="306" t="s">
        <v>1008</v>
      </c>
      <c r="K314" s="309">
        <v>241.41</v>
      </c>
      <c r="L314" s="306" t="s">
        <v>1008</v>
      </c>
      <c r="M314" s="306" t="s">
        <v>3523</v>
      </c>
      <c r="N314" s="306" t="s">
        <v>3524</v>
      </c>
      <c r="O314" s="306" t="s">
        <v>1013</v>
      </c>
      <c r="P314" s="306" t="s">
        <v>1013</v>
      </c>
      <c r="Q314" s="306" t="s">
        <v>1013</v>
      </c>
      <c r="R314" s="306" t="s">
        <v>1013</v>
      </c>
      <c r="S314" s="306" t="s">
        <v>1013</v>
      </c>
      <c r="T314" s="306" t="s">
        <v>1013</v>
      </c>
      <c r="U314" s="306" t="s">
        <v>3525</v>
      </c>
      <c r="V314" s="306" t="s">
        <v>1013</v>
      </c>
      <c r="W314" s="306" t="s">
        <v>1013</v>
      </c>
      <c r="X314" s="306" t="s">
        <v>1013</v>
      </c>
      <c r="Y314" s="306" t="s">
        <v>1406</v>
      </c>
      <c r="Z314" s="306" t="s">
        <v>2456</v>
      </c>
      <c r="AA314" s="306" t="s">
        <v>1013</v>
      </c>
    </row>
    <row r="315" spans="1:27">
      <c r="A315" s="306" t="s">
        <v>494</v>
      </c>
      <c r="B315" s="306" t="s">
        <v>1003</v>
      </c>
      <c r="C315" s="306" t="s">
        <v>1004</v>
      </c>
      <c r="D315" s="306" t="s">
        <v>2480</v>
      </c>
      <c r="E315" s="306" t="s">
        <v>3526</v>
      </c>
      <c r="F315" s="306" t="s">
        <v>2486</v>
      </c>
      <c r="G315" s="308">
        <v>46014</v>
      </c>
      <c r="H315" s="308">
        <v>46014</v>
      </c>
      <c r="I315" s="309">
        <v>330.59</v>
      </c>
      <c r="J315" s="306" t="s">
        <v>1008</v>
      </c>
      <c r="K315" s="309">
        <v>330.59</v>
      </c>
      <c r="L315" s="306" t="s">
        <v>1008</v>
      </c>
      <c r="M315" s="306" t="s">
        <v>3527</v>
      </c>
      <c r="N315" s="306" t="s">
        <v>3528</v>
      </c>
      <c r="O315" s="306" t="s">
        <v>1013</v>
      </c>
      <c r="P315" s="306" t="s">
        <v>1013</v>
      </c>
      <c r="Q315" s="306" t="s">
        <v>1013</v>
      </c>
      <c r="R315" s="306" t="s">
        <v>1013</v>
      </c>
      <c r="S315" s="306" t="s">
        <v>1013</v>
      </c>
      <c r="T315" s="306" t="s">
        <v>1013</v>
      </c>
      <c r="U315" s="306" t="s">
        <v>3529</v>
      </c>
      <c r="V315" s="306" t="s">
        <v>1013</v>
      </c>
      <c r="W315" s="306" t="s">
        <v>1013</v>
      </c>
      <c r="X315" s="306" t="s">
        <v>1013</v>
      </c>
      <c r="Y315" s="306" t="s">
        <v>1406</v>
      </c>
      <c r="Z315" s="306" t="s">
        <v>2456</v>
      </c>
      <c r="AA315" s="306" t="s">
        <v>1013</v>
      </c>
    </row>
    <row r="316" spans="1:27">
      <c r="A316" s="306" t="s">
        <v>494</v>
      </c>
      <c r="B316" s="306" t="s">
        <v>1003</v>
      </c>
      <c r="C316" s="306" t="s">
        <v>1004</v>
      </c>
      <c r="D316" s="306" t="s">
        <v>2480</v>
      </c>
      <c r="E316" s="306" t="s">
        <v>3530</v>
      </c>
      <c r="F316" s="306" t="s">
        <v>2486</v>
      </c>
      <c r="G316" s="308">
        <v>46014</v>
      </c>
      <c r="H316" s="308">
        <v>46014</v>
      </c>
      <c r="I316" s="309">
        <v>236.65</v>
      </c>
      <c r="J316" s="306" t="s">
        <v>1008</v>
      </c>
      <c r="K316" s="309">
        <v>236.65</v>
      </c>
      <c r="L316" s="306" t="s">
        <v>1008</v>
      </c>
      <c r="M316" s="306" t="s">
        <v>3531</v>
      </c>
      <c r="N316" s="306" t="s">
        <v>3532</v>
      </c>
      <c r="O316" s="306" t="s">
        <v>1013</v>
      </c>
      <c r="P316" s="306" t="s">
        <v>1013</v>
      </c>
      <c r="Q316" s="306" t="s">
        <v>1013</v>
      </c>
      <c r="R316" s="306" t="s">
        <v>1013</v>
      </c>
      <c r="S316" s="306" t="s">
        <v>1013</v>
      </c>
      <c r="T316" s="306" t="s">
        <v>1013</v>
      </c>
      <c r="U316" s="306" t="s">
        <v>3533</v>
      </c>
      <c r="V316" s="306" t="s">
        <v>1013</v>
      </c>
      <c r="W316" s="306" t="s">
        <v>1013</v>
      </c>
      <c r="X316" s="306" t="s">
        <v>1013</v>
      </c>
      <c r="Y316" s="306" t="s">
        <v>1153</v>
      </c>
      <c r="Z316" s="306" t="s">
        <v>2456</v>
      </c>
      <c r="AA316" s="306" t="s">
        <v>1013</v>
      </c>
    </row>
    <row r="317" spans="1:27">
      <c r="A317" s="306" t="s">
        <v>494</v>
      </c>
      <c r="B317" s="306" t="s">
        <v>1003</v>
      </c>
      <c r="C317" s="306" t="s">
        <v>1004</v>
      </c>
      <c r="D317" s="306" t="s">
        <v>2480</v>
      </c>
      <c r="E317" s="306" t="s">
        <v>3534</v>
      </c>
      <c r="F317" s="306" t="s">
        <v>2486</v>
      </c>
      <c r="G317" s="308">
        <v>46014</v>
      </c>
      <c r="H317" s="308">
        <v>46014</v>
      </c>
      <c r="I317" s="309">
        <v>832.93</v>
      </c>
      <c r="J317" s="306" t="s">
        <v>1008</v>
      </c>
      <c r="K317" s="309">
        <v>832.93</v>
      </c>
      <c r="L317" s="306" t="s">
        <v>1008</v>
      </c>
      <c r="M317" s="306" t="s">
        <v>3535</v>
      </c>
      <c r="N317" s="306" t="s">
        <v>3536</v>
      </c>
      <c r="O317" s="306" t="s">
        <v>1013</v>
      </c>
      <c r="P317" s="306" t="s">
        <v>1013</v>
      </c>
      <c r="Q317" s="306" t="s">
        <v>1013</v>
      </c>
      <c r="R317" s="306" t="s">
        <v>1013</v>
      </c>
      <c r="S317" s="306" t="s">
        <v>1013</v>
      </c>
      <c r="T317" s="306" t="s">
        <v>1013</v>
      </c>
      <c r="U317" s="306" t="s">
        <v>3537</v>
      </c>
      <c r="V317" s="306" t="s">
        <v>1013</v>
      </c>
      <c r="W317" s="306" t="s">
        <v>1013</v>
      </c>
      <c r="X317" s="306" t="s">
        <v>1013</v>
      </c>
      <c r="Y317" s="306" t="s">
        <v>1153</v>
      </c>
      <c r="Z317" s="306" t="s">
        <v>2456</v>
      </c>
      <c r="AA317" s="306" t="s">
        <v>1013</v>
      </c>
    </row>
    <row r="318" spans="1:27">
      <c r="A318" s="306" t="s">
        <v>494</v>
      </c>
      <c r="B318" s="306" t="s">
        <v>1003</v>
      </c>
      <c r="C318" s="306" t="s">
        <v>1004</v>
      </c>
      <c r="D318" s="306" t="s">
        <v>2480</v>
      </c>
      <c r="E318" s="306" t="s">
        <v>3538</v>
      </c>
      <c r="F318" s="306" t="s">
        <v>2486</v>
      </c>
      <c r="G318" s="308">
        <v>46014</v>
      </c>
      <c r="H318" s="308">
        <v>46014</v>
      </c>
      <c r="I318" s="309">
        <v>1218</v>
      </c>
      <c r="J318" s="306" t="s">
        <v>1008</v>
      </c>
      <c r="K318" s="309">
        <v>1218</v>
      </c>
      <c r="L318" s="306" t="s">
        <v>1008</v>
      </c>
      <c r="M318" s="306" t="s">
        <v>3539</v>
      </c>
      <c r="N318" s="306" t="s">
        <v>3540</v>
      </c>
      <c r="O318" s="306" t="s">
        <v>1013</v>
      </c>
      <c r="P318" s="306" t="s">
        <v>1013</v>
      </c>
      <c r="Q318" s="306" t="s">
        <v>1013</v>
      </c>
      <c r="R318" s="306" t="s">
        <v>1013</v>
      </c>
      <c r="S318" s="306" t="s">
        <v>1013</v>
      </c>
      <c r="T318" s="306" t="s">
        <v>1013</v>
      </c>
      <c r="U318" s="306" t="s">
        <v>3541</v>
      </c>
      <c r="V318" s="306" t="s">
        <v>1013</v>
      </c>
      <c r="W318" s="306" t="s">
        <v>1013</v>
      </c>
      <c r="X318" s="306" t="s">
        <v>1013</v>
      </c>
      <c r="Y318" s="306" t="s">
        <v>1153</v>
      </c>
      <c r="Z318" s="306" t="s">
        <v>2456</v>
      </c>
      <c r="AA318" s="306" t="s">
        <v>1013</v>
      </c>
    </row>
    <row r="319" spans="1:27">
      <c r="A319" s="306" t="s">
        <v>494</v>
      </c>
      <c r="B319" s="306" t="s">
        <v>1003</v>
      </c>
      <c r="C319" s="306" t="s">
        <v>1004</v>
      </c>
      <c r="D319" s="306" t="s">
        <v>2480</v>
      </c>
      <c r="E319" s="306" t="s">
        <v>3542</v>
      </c>
      <c r="F319" s="306" t="s">
        <v>2486</v>
      </c>
      <c r="G319" s="308">
        <v>46014</v>
      </c>
      <c r="H319" s="308">
        <v>46014</v>
      </c>
      <c r="I319" s="309">
        <v>98980.42</v>
      </c>
      <c r="J319" s="306" t="s">
        <v>1008</v>
      </c>
      <c r="K319" s="309">
        <v>98980.42</v>
      </c>
      <c r="L319" s="306" t="s">
        <v>1008</v>
      </c>
      <c r="M319" s="306" t="s">
        <v>3543</v>
      </c>
      <c r="N319" s="306" t="s">
        <v>3544</v>
      </c>
      <c r="O319" s="306" t="s">
        <v>1013</v>
      </c>
      <c r="P319" s="306" t="s">
        <v>1013</v>
      </c>
      <c r="Q319" s="306" t="s">
        <v>1013</v>
      </c>
      <c r="R319" s="306" t="s">
        <v>1013</v>
      </c>
      <c r="S319" s="306" t="s">
        <v>1013</v>
      </c>
      <c r="T319" s="306" t="s">
        <v>1013</v>
      </c>
      <c r="U319" s="306" t="s">
        <v>3545</v>
      </c>
      <c r="V319" s="306" t="s">
        <v>1013</v>
      </c>
      <c r="W319" s="306" t="s">
        <v>1013</v>
      </c>
      <c r="X319" s="306" t="s">
        <v>1013</v>
      </c>
      <c r="Y319" s="306" t="s">
        <v>1153</v>
      </c>
      <c r="Z319" s="306" t="s">
        <v>2456</v>
      </c>
      <c r="AA319" s="306" t="s">
        <v>1013</v>
      </c>
    </row>
    <row r="320" spans="1:27">
      <c r="A320" s="306" t="s">
        <v>494</v>
      </c>
      <c r="B320" s="306" t="s">
        <v>1003</v>
      </c>
      <c r="C320" s="306" t="s">
        <v>1004</v>
      </c>
      <c r="D320" s="306" t="s">
        <v>2480</v>
      </c>
      <c r="E320" s="306" t="s">
        <v>3546</v>
      </c>
      <c r="F320" s="306" t="s">
        <v>2486</v>
      </c>
      <c r="G320" s="308">
        <v>46014</v>
      </c>
      <c r="H320" s="308">
        <v>46014</v>
      </c>
      <c r="I320" s="309">
        <v>109857.64</v>
      </c>
      <c r="J320" s="306" t="s">
        <v>1008</v>
      </c>
      <c r="K320" s="309">
        <v>109857.64</v>
      </c>
      <c r="L320" s="306" t="s">
        <v>1008</v>
      </c>
      <c r="M320" s="306" t="s">
        <v>3547</v>
      </c>
      <c r="N320" s="306" t="s">
        <v>3548</v>
      </c>
      <c r="O320" s="306" t="s">
        <v>1013</v>
      </c>
      <c r="P320" s="306" t="s">
        <v>1013</v>
      </c>
      <c r="Q320" s="306" t="s">
        <v>1013</v>
      </c>
      <c r="R320" s="306" t="s">
        <v>1013</v>
      </c>
      <c r="S320" s="306" t="s">
        <v>1013</v>
      </c>
      <c r="T320" s="306" t="s">
        <v>1013</v>
      </c>
      <c r="U320" s="306" t="s">
        <v>3549</v>
      </c>
      <c r="V320" s="306" t="s">
        <v>1013</v>
      </c>
      <c r="W320" s="306" t="s">
        <v>1013</v>
      </c>
      <c r="X320" s="306" t="s">
        <v>1013</v>
      </c>
      <c r="Y320" s="306" t="s">
        <v>1153</v>
      </c>
      <c r="Z320" s="306" t="s">
        <v>2456</v>
      </c>
      <c r="AA320" s="306" t="s">
        <v>1013</v>
      </c>
    </row>
    <row r="321" spans="1:27">
      <c r="A321" s="306" t="s">
        <v>494</v>
      </c>
      <c r="B321" s="306" t="s">
        <v>1003</v>
      </c>
      <c r="C321" s="306" t="s">
        <v>1004</v>
      </c>
      <c r="D321" s="306" t="s">
        <v>2480</v>
      </c>
      <c r="E321" s="306" t="s">
        <v>3550</v>
      </c>
      <c r="F321" s="306" t="s">
        <v>2486</v>
      </c>
      <c r="G321" s="308">
        <v>46014</v>
      </c>
      <c r="H321" s="308">
        <v>46014</v>
      </c>
      <c r="I321" s="309">
        <v>72</v>
      </c>
      <c r="J321" s="306" t="s">
        <v>1008</v>
      </c>
      <c r="K321" s="309">
        <v>72</v>
      </c>
      <c r="L321" s="306" t="s">
        <v>1008</v>
      </c>
      <c r="M321" s="306" t="s">
        <v>3551</v>
      </c>
      <c r="N321" s="306" t="s">
        <v>3552</v>
      </c>
      <c r="O321" s="306" t="s">
        <v>1013</v>
      </c>
      <c r="P321" s="306" t="s">
        <v>1013</v>
      </c>
      <c r="Q321" s="306" t="s">
        <v>1013</v>
      </c>
      <c r="R321" s="306" t="s">
        <v>1013</v>
      </c>
      <c r="S321" s="306" t="s">
        <v>1013</v>
      </c>
      <c r="T321" s="306" t="s">
        <v>1013</v>
      </c>
      <c r="U321" s="306" t="s">
        <v>3553</v>
      </c>
      <c r="V321" s="306" t="s">
        <v>1013</v>
      </c>
      <c r="W321" s="306" t="s">
        <v>1013</v>
      </c>
      <c r="X321" s="306" t="s">
        <v>1013</v>
      </c>
      <c r="Y321" s="306" t="s">
        <v>3156</v>
      </c>
      <c r="Z321" s="306" t="s">
        <v>2456</v>
      </c>
      <c r="AA321" s="306" t="s">
        <v>1013</v>
      </c>
    </row>
    <row r="322" spans="1:27">
      <c r="A322" s="306" t="s">
        <v>494</v>
      </c>
      <c r="B322" s="306" t="s">
        <v>1003</v>
      </c>
      <c r="C322" s="306" t="s">
        <v>1004</v>
      </c>
      <c r="D322" s="306" t="s">
        <v>2480</v>
      </c>
      <c r="E322" s="306" t="s">
        <v>3554</v>
      </c>
      <c r="F322" s="306" t="s">
        <v>2486</v>
      </c>
      <c r="G322" s="308">
        <v>46014</v>
      </c>
      <c r="H322" s="308">
        <v>46014</v>
      </c>
      <c r="I322" s="309">
        <v>1.66</v>
      </c>
      <c r="J322" s="306" t="s">
        <v>1008</v>
      </c>
      <c r="K322" s="309">
        <v>1.66</v>
      </c>
      <c r="L322" s="306" t="s">
        <v>1008</v>
      </c>
      <c r="M322" s="306" t="s">
        <v>3555</v>
      </c>
      <c r="N322" s="306" t="s">
        <v>3556</v>
      </c>
      <c r="O322" s="306" t="s">
        <v>1013</v>
      </c>
      <c r="P322" s="306" t="s">
        <v>1013</v>
      </c>
      <c r="Q322" s="306" t="s">
        <v>1013</v>
      </c>
      <c r="R322" s="306" t="s">
        <v>1013</v>
      </c>
      <c r="S322" s="306" t="s">
        <v>1013</v>
      </c>
      <c r="T322" s="306" t="s">
        <v>1013</v>
      </c>
      <c r="U322" s="306" t="s">
        <v>3557</v>
      </c>
      <c r="V322" s="306" t="s">
        <v>1013</v>
      </c>
      <c r="W322" s="306" t="s">
        <v>1013</v>
      </c>
      <c r="X322" s="306" t="s">
        <v>1013</v>
      </c>
      <c r="Y322" s="306" t="s">
        <v>3558</v>
      </c>
      <c r="Z322" s="306" t="s">
        <v>2456</v>
      </c>
      <c r="AA322" s="306" t="s">
        <v>1013</v>
      </c>
    </row>
    <row r="323" spans="1:27">
      <c r="A323" s="306" t="s">
        <v>494</v>
      </c>
      <c r="B323" s="306" t="s">
        <v>1003</v>
      </c>
      <c r="C323" s="306" t="s">
        <v>1004</v>
      </c>
      <c r="D323" s="306" t="s">
        <v>2480</v>
      </c>
      <c r="E323" s="306" t="s">
        <v>3559</v>
      </c>
      <c r="F323" s="306" t="s">
        <v>2486</v>
      </c>
      <c r="G323" s="308">
        <v>46014</v>
      </c>
      <c r="H323" s="308">
        <v>46014</v>
      </c>
      <c r="I323" s="309">
        <v>16.57</v>
      </c>
      <c r="J323" s="306" t="s">
        <v>1008</v>
      </c>
      <c r="K323" s="309">
        <v>16.57</v>
      </c>
      <c r="L323" s="306" t="s">
        <v>1008</v>
      </c>
      <c r="M323" s="306" t="s">
        <v>3560</v>
      </c>
      <c r="N323" s="306" t="s">
        <v>3561</v>
      </c>
      <c r="O323" s="306" t="s">
        <v>1013</v>
      </c>
      <c r="P323" s="306" t="s">
        <v>1013</v>
      </c>
      <c r="Q323" s="306" t="s">
        <v>1013</v>
      </c>
      <c r="R323" s="306" t="s">
        <v>1013</v>
      </c>
      <c r="S323" s="306" t="s">
        <v>1013</v>
      </c>
      <c r="T323" s="306" t="s">
        <v>1013</v>
      </c>
      <c r="U323" s="306" t="s">
        <v>3562</v>
      </c>
      <c r="V323" s="306" t="s">
        <v>1013</v>
      </c>
      <c r="W323" s="306" t="s">
        <v>1013</v>
      </c>
      <c r="X323" s="306" t="s">
        <v>1013</v>
      </c>
      <c r="Y323" s="306" t="s">
        <v>1112</v>
      </c>
      <c r="Z323" s="306" t="s">
        <v>2456</v>
      </c>
      <c r="AA323" s="306" t="s">
        <v>1013</v>
      </c>
    </row>
    <row r="324" spans="1:27">
      <c r="A324" s="306" t="s">
        <v>494</v>
      </c>
      <c r="B324" s="306" t="s">
        <v>1003</v>
      </c>
      <c r="C324" s="306" t="s">
        <v>1004</v>
      </c>
      <c r="D324" s="306" t="s">
        <v>2480</v>
      </c>
      <c r="E324" s="306" t="s">
        <v>3563</v>
      </c>
      <c r="F324" s="306" t="s">
        <v>2486</v>
      </c>
      <c r="G324" s="308">
        <v>46014</v>
      </c>
      <c r="H324" s="308">
        <v>46014</v>
      </c>
      <c r="I324" s="309">
        <v>201.33</v>
      </c>
      <c r="J324" s="306" t="s">
        <v>1008</v>
      </c>
      <c r="K324" s="309">
        <v>201.33</v>
      </c>
      <c r="L324" s="306" t="s">
        <v>1008</v>
      </c>
      <c r="M324" s="306" t="s">
        <v>3564</v>
      </c>
      <c r="N324" s="306" t="s">
        <v>3565</v>
      </c>
      <c r="O324" s="306" t="s">
        <v>1013</v>
      </c>
      <c r="P324" s="306" t="s">
        <v>1013</v>
      </c>
      <c r="Q324" s="306" t="s">
        <v>1013</v>
      </c>
      <c r="R324" s="306" t="s">
        <v>1013</v>
      </c>
      <c r="S324" s="306" t="s">
        <v>1013</v>
      </c>
      <c r="T324" s="306" t="s">
        <v>1013</v>
      </c>
      <c r="U324" s="306" t="s">
        <v>3566</v>
      </c>
      <c r="V324" s="306" t="s">
        <v>1013</v>
      </c>
      <c r="W324" s="306" t="s">
        <v>1013</v>
      </c>
      <c r="X324" s="306" t="s">
        <v>1013</v>
      </c>
      <c r="Y324" s="306" t="s">
        <v>1812</v>
      </c>
      <c r="Z324" s="306" t="s">
        <v>2456</v>
      </c>
      <c r="AA324" s="306" t="s">
        <v>1013</v>
      </c>
    </row>
    <row r="325" spans="1:27">
      <c r="A325" s="306" t="s">
        <v>494</v>
      </c>
      <c r="B325" s="306" t="s">
        <v>1003</v>
      </c>
      <c r="C325" s="306" t="s">
        <v>1004</v>
      </c>
      <c r="D325" s="306" t="s">
        <v>2480</v>
      </c>
      <c r="E325" s="306" t="s">
        <v>3567</v>
      </c>
      <c r="F325" s="306" t="s">
        <v>1007</v>
      </c>
      <c r="G325" s="308">
        <v>46014</v>
      </c>
      <c r="H325" s="308">
        <v>46015</v>
      </c>
      <c r="I325" s="309">
        <v>25471.7</v>
      </c>
      <c r="J325" s="306" t="s">
        <v>1008</v>
      </c>
      <c r="K325" s="309">
        <v>25471.7</v>
      </c>
      <c r="L325" s="306" t="s">
        <v>1008</v>
      </c>
      <c r="M325" s="306" t="s">
        <v>3568</v>
      </c>
      <c r="N325" s="306" t="s">
        <v>3569</v>
      </c>
      <c r="O325" s="306" t="s">
        <v>3570</v>
      </c>
      <c r="P325" s="306" t="s">
        <v>1013</v>
      </c>
      <c r="Q325" s="306" t="s">
        <v>1013</v>
      </c>
      <c r="R325" s="306" t="s">
        <v>1013</v>
      </c>
      <c r="S325" s="306" t="s">
        <v>1013</v>
      </c>
      <c r="T325" s="306" t="s">
        <v>1013</v>
      </c>
      <c r="U325" s="306" t="s">
        <v>2604</v>
      </c>
      <c r="V325" s="306" t="s">
        <v>1013</v>
      </c>
      <c r="W325" s="306" t="s">
        <v>1013</v>
      </c>
      <c r="X325" s="306" t="s">
        <v>1013</v>
      </c>
      <c r="Y325" s="306" t="s">
        <v>2604</v>
      </c>
      <c r="Z325" s="306" t="s">
        <v>2456</v>
      </c>
      <c r="AA325" s="306" t="s">
        <v>1013</v>
      </c>
    </row>
    <row r="326" spans="1:27">
      <c r="A326" s="306" t="s">
        <v>494</v>
      </c>
      <c r="B326" s="306" t="s">
        <v>1003</v>
      </c>
      <c r="C326" s="306" t="s">
        <v>1004</v>
      </c>
      <c r="D326" s="306" t="s">
        <v>2480</v>
      </c>
      <c r="E326" s="306" t="s">
        <v>3571</v>
      </c>
      <c r="F326" s="306" t="s">
        <v>2482</v>
      </c>
      <c r="G326" s="308">
        <v>46014</v>
      </c>
      <c r="H326" s="308">
        <v>46015</v>
      </c>
      <c r="I326" s="309">
        <v>253.89</v>
      </c>
      <c r="J326" s="306" t="s">
        <v>1008</v>
      </c>
      <c r="K326" s="309">
        <v>253.89</v>
      </c>
      <c r="L326" s="306" t="s">
        <v>1008</v>
      </c>
      <c r="M326" s="306" t="s">
        <v>3572</v>
      </c>
      <c r="N326" s="306" t="s">
        <v>3572</v>
      </c>
      <c r="O326" s="306" t="s">
        <v>1013</v>
      </c>
      <c r="P326" s="306" t="s">
        <v>1013</v>
      </c>
      <c r="Q326" s="306" t="s">
        <v>1013</v>
      </c>
      <c r="R326" s="306" t="s">
        <v>1013</v>
      </c>
      <c r="S326" s="306" t="s">
        <v>1013</v>
      </c>
      <c r="T326" s="306" t="s">
        <v>1013</v>
      </c>
      <c r="U326" s="306" t="s">
        <v>3573</v>
      </c>
      <c r="V326" s="306" t="s">
        <v>1013</v>
      </c>
      <c r="W326" s="306" t="s">
        <v>1013</v>
      </c>
      <c r="X326" s="306" t="s">
        <v>1013</v>
      </c>
      <c r="Y326" s="306" t="s">
        <v>3573</v>
      </c>
      <c r="Z326" s="306" t="s">
        <v>2456</v>
      </c>
      <c r="AA326" s="306" t="s">
        <v>1013</v>
      </c>
    </row>
    <row r="327" spans="1:27">
      <c r="A327" s="306" t="s">
        <v>494</v>
      </c>
      <c r="B327" s="306" t="s">
        <v>1003</v>
      </c>
      <c r="C327" s="306" t="s">
        <v>1004</v>
      </c>
      <c r="D327" s="306" t="s">
        <v>2480</v>
      </c>
      <c r="E327" s="306" t="s">
        <v>3574</v>
      </c>
      <c r="F327" s="306" t="s">
        <v>2486</v>
      </c>
      <c r="G327" s="308">
        <v>46015</v>
      </c>
      <c r="H327" s="308">
        <v>46015</v>
      </c>
      <c r="I327" s="309">
        <v>566037.74</v>
      </c>
      <c r="J327" s="306" t="s">
        <v>1008</v>
      </c>
      <c r="K327" s="309">
        <v>566037.74</v>
      </c>
      <c r="L327" s="306" t="s">
        <v>1008</v>
      </c>
      <c r="M327" s="306" t="s">
        <v>3575</v>
      </c>
      <c r="N327" s="306" t="s">
        <v>3576</v>
      </c>
      <c r="O327" s="306" t="s">
        <v>3577</v>
      </c>
      <c r="P327" s="306" t="s">
        <v>1013</v>
      </c>
      <c r="Q327" s="306" t="s">
        <v>1013</v>
      </c>
      <c r="R327" s="306" t="s">
        <v>1013</v>
      </c>
      <c r="S327" s="306" t="s">
        <v>1013</v>
      </c>
      <c r="T327" s="306" t="s">
        <v>1013</v>
      </c>
      <c r="U327" s="306" t="s">
        <v>3578</v>
      </c>
      <c r="V327" s="306" t="s">
        <v>1013</v>
      </c>
      <c r="W327" s="306" t="s">
        <v>1013</v>
      </c>
      <c r="X327" s="306" t="s">
        <v>1013</v>
      </c>
      <c r="Y327" s="306" t="s">
        <v>2509</v>
      </c>
      <c r="Z327" s="306" t="s">
        <v>2456</v>
      </c>
      <c r="AA327" s="306" t="s">
        <v>1013</v>
      </c>
    </row>
    <row r="328" spans="1:27">
      <c r="A328" s="306" t="s">
        <v>494</v>
      </c>
      <c r="B328" s="306" t="s">
        <v>1003</v>
      </c>
      <c r="C328" s="306" t="s">
        <v>1004</v>
      </c>
      <c r="D328" s="306" t="s">
        <v>2480</v>
      </c>
      <c r="E328" s="306" t="s">
        <v>3579</v>
      </c>
      <c r="F328" s="306" t="s">
        <v>2482</v>
      </c>
      <c r="G328" s="308">
        <v>46014</v>
      </c>
      <c r="H328" s="308">
        <v>46015</v>
      </c>
      <c r="I328" s="309">
        <v>281.38</v>
      </c>
      <c r="J328" s="306" t="s">
        <v>1008</v>
      </c>
      <c r="K328" s="309">
        <v>281.38</v>
      </c>
      <c r="L328" s="306" t="s">
        <v>1008</v>
      </c>
      <c r="M328" s="306" t="s">
        <v>3580</v>
      </c>
      <c r="N328" s="306" t="s">
        <v>3580</v>
      </c>
      <c r="O328" s="306" t="s">
        <v>1013</v>
      </c>
      <c r="P328" s="306" t="s">
        <v>1013</v>
      </c>
      <c r="Q328" s="306" t="s">
        <v>1013</v>
      </c>
      <c r="R328" s="306" t="s">
        <v>1013</v>
      </c>
      <c r="S328" s="306" t="s">
        <v>1013</v>
      </c>
      <c r="T328" s="306" t="s">
        <v>1013</v>
      </c>
      <c r="U328" s="306" t="s">
        <v>3581</v>
      </c>
      <c r="V328" s="306" t="s">
        <v>1013</v>
      </c>
      <c r="W328" s="306" t="s">
        <v>1013</v>
      </c>
      <c r="X328" s="306" t="s">
        <v>1013</v>
      </c>
      <c r="Y328" s="306" t="s">
        <v>3581</v>
      </c>
      <c r="Z328" s="306" t="s">
        <v>2456</v>
      </c>
      <c r="AA328" s="306" t="s">
        <v>1013</v>
      </c>
    </row>
    <row r="329" spans="1:27">
      <c r="A329" s="306" t="s">
        <v>494</v>
      </c>
      <c r="B329" s="306" t="s">
        <v>1003</v>
      </c>
      <c r="C329" s="306" t="s">
        <v>1004</v>
      </c>
      <c r="D329" s="306" t="s">
        <v>2480</v>
      </c>
      <c r="E329" s="306" t="s">
        <v>3582</v>
      </c>
      <c r="F329" s="306" t="s">
        <v>2482</v>
      </c>
      <c r="G329" s="308">
        <v>46014</v>
      </c>
      <c r="H329" s="308">
        <v>46015</v>
      </c>
      <c r="I329" s="309">
        <v>-25471.7</v>
      </c>
      <c r="J329" s="306" t="s">
        <v>1008</v>
      </c>
      <c r="K329" s="309">
        <v>-25471.7</v>
      </c>
      <c r="L329" s="306" t="s">
        <v>1008</v>
      </c>
      <c r="M329" s="306" t="s">
        <v>1013</v>
      </c>
      <c r="N329" s="306" t="s">
        <v>1013</v>
      </c>
      <c r="O329" s="306" t="s">
        <v>1013</v>
      </c>
      <c r="P329" s="306" t="s">
        <v>1013</v>
      </c>
      <c r="Q329" s="306" t="s">
        <v>1013</v>
      </c>
      <c r="R329" s="306" t="s">
        <v>1013</v>
      </c>
      <c r="S329" s="306" t="s">
        <v>1013</v>
      </c>
      <c r="T329" s="306" t="s">
        <v>1013</v>
      </c>
      <c r="U329" s="306" t="s">
        <v>3583</v>
      </c>
      <c r="V329" s="306" t="s">
        <v>1013</v>
      </c>
      <c r="W329" s="306" t="s">
        <v>1013</v>
      </c>
      <c r="X329" s="306" t="s">
        <v>1013</v>
      </c>
      <c r="Y329" s="306" t="s">
        <v>3583</v>
      </c>
      <c r="Z329" s="306" t="s">
        <v>2654</v>
      </c>
      <c r="AA329" s="306" t="s">
        <v>1013</v>
      </c>
    </row>
    <row r="330" spans="1:27">
      <c r="A330" s="306" t="s">
        <v>494</v>
      </c>
      <c r="B330" s="306" t="s">
        <v>1003</v>
      </c>
      <c r="C330" s="306" t="s">
        <v>1004</v>
      </c>
      <c r="D330" s="306" t="s">
        <v>2480</v>
      </c>
      <c r="E330" s="306" t="s">
        <v>3584</v>
      </c>
      <c r="F330" s="306" t="s">
        <v>2486</v>
      </c>
      <c r="G330" s="308">
        <v>46015</v>
      </c>
      <c r="H330" s="308">
        <v>46015</v>
      </c>
      <c r="I330" s="309">
        <v>67.53</v>
      </c>
      <c r="J330" s="306" t="s">
        <v>1008</v>
      </c>
      <c r="K330" s="309">
        <v>67.53</v>
      </c>
      <c r="L330" s="306" t="s">
        <v>1008</v>
      </c>
      <c r="M330" s="306" t="s">
        <v>3585</v>
      </c>
      <c r="N330" s="306" t="s">
        <v>3586</v>
      </c>
      <c r="O330" s="306" t="s">
        <v>1013</v>
      </c>
      <c r="P330" s="306" t="s">
        <v>1013</v>
      </c>
      <c r="Q330" s="306" t="s">
        <v>1013</v>
      </c>
      <c r="R330" s="306" t="s">
        <v>1013</v>
      </c>
      <c r="S330" s="306" t="s">
        <v>1013</v>
      </c>
      <c r="T330" s="306" t="s">
        <v>1013</v>
      </c>
      <c r="U330" s="306" t="s">
        <v>3587</v>
      </c>
      <c r="V330" s="306" t="s">
        <v>1013</v>
      </c>
      <c r="W330" s="306" t="s">
        <v>1013</v>
      </c>
      <c r="X330" s="306" t="s">
        <v>1013</v>
      </c>
      <c r="Y330" s="306" t="s">
        <v>3587</v>
      </c>
      <c r="Z330" s="306" t="s">
        <v>2456</v>
      </c>
      <c r="AA330" s="306" t="s">
        <v>1013</v>
      </c>
    </row>
    <row r="331" spans="1:27">
      <c r="A331" s="306" t="s">
        <v>494</v>
      </c>
      <c r="B331" s="306" t="s">
        <v>1003</v>
      </c>
      <c r="C331" s="306" t="s">
        <v>1004</v>
      </c>
      <c r="D331" s="306" t="s">
        <v>2480</v>
      </c>
      <c r="E331" s="306" t="s">
        <v>3584</v>
      </c>
      <c r="F331" s="306" t="s">
        <v>2486</v>
      </c>
      <c r="G331" s="308">
        <v>46015</v>
      </c>
      <c r="H331" s="308">
        <v>46015</v>
      </c>
      <c r="I331" s="309">
        <v>85.47</v>
      </c>
      <c r="J331" s="306" t="s">
        <v>1008</v>
      </c>
      <c r="K331" s="309">
        <v>85.47</v>
      </c>
      <c r="L331" s="306" t="s">
        <v>1008</v>
      </c>
      <c r="M331" s="306" t="s">
        <v>3588</v>
      </c>
      <c r="N331" s="306" t="s">
        <v>3586</v>
      </c>
      <c r="O331" s="306" t="s">
        <v>1013</v>
      </c>
      <c r="P331" s="306" t="s">
        <v>1013</v>
      </c>
      <c r="Q331" s="306" t="s">
        <v>1013</v>
      </c>
      <c r="R331" s="306" t="s">
        <v>1013</v>
      </c>
      <c r="S331" s="306" t="s">
        <v>1013</v>
      </c>
      <c r="T331" s="306" t="s">
        <v>1013</v>
      </c>
      <c r="U331" s="306" t="s">
        <v>3587</v>
      </c>
      <c r="V331" s="306" t="s">
        <v>1013</v>
      </c>
      <c r="W331" s="306" t="s">
        <v>1013</v>
      </c>
      <c r="X331" s="306" t="s">
        <v>1013</v>
      </c>
      <c r="Y331" s="306" t="s">
        <v>3587</v>
      </c>
      <c r="Z331" s="306" t="s">
        <v>2456</v>
      </c>
      <c r="AA331" s="306" t="s">
        <v>1013</v>
      </c>
    </row>
    <row r="332" spans="1:27">
      <c r="A332" s="306" t="s">
        <v>494</v>
      </c>
      <c r="B332" s="306" t="s">
        <v>1003</v>
      </c>
      <c r="C332" s="306" t="s">
        <v>1004</v>
      </c>
      <c r="D332" s="306" t="s">
        <v>2480</v>
      </c>
      <c r="E332" s="306" t="s">
        <v>3584</v>
      </c>
      <c r="F332" s="306" t="s">
        <v>2486</v>
      </c>
      <c r="G332" s="308">
        <v>46015</v>
      </c>
      <c r="H332" s="308">
        <v>46015</v>
      </c>
      <c r="I332" s="309">
        <v>76.42</v>
      </c>
      <c r="J332" s="306" t="s">
        <v>1008</v>
      </c>
      <c r="K332" s="309">
        <v>76.42</v>
      </c>
      <c r="L332" s="306" t="s">
        <v>1008</v>
      </c>
      <c r="M332" s="306" t="s">
        <v>3589</v>
      </c>
      <c r="N332" s="306" t="s">
        <v>3586</v>
      </c>
      <c r="O332" s="306" t="s">
        <v>1013</v>
      </c>
      <c r="P332" s="306" t="s">
        <v>1013</v>
      </c>
      <c r="Q332" s="306" t="s">
        <v>1013</v>
      </c>
      <c r="R332" s="306" t="s">
        <v>1013</v>
      </c>
      <c r="S332" s="306" t="s">
        <v>1013</v>
      </c>
      <c r="T332" s="306" t="s">
        <v>1013</v>
      </c>
      <c r="U332" s="306" t="s">
        <v>3587</v>
      </c>
      <c r="V332" s="306" t="s">
        <v>1013</v>
      </c>
      <c r="W332" s="306" t="s">
        <v>1013</v>
      </c>
      <c r="X332" s="306" t="s">
        <v>1013</v>
      </c>
      <c r="Y332" s="306" t="s">
        <v>3587</v>
      </c>
      <c r="Z332" s="306" t="s">
        <v>2456</v>
      </c>
      <c r="AA332" s="306" t="s">
        <v>1013</v>
      </c>
    </row>
    <row r="333" spans="1:27">
      <c r="A333" s="306" t="s">
        <v>494</v>
      </c>
      <c r="B333" s="306" t="s">
        <v>1003</v>
      </c>
      <c r="C333" s="306" t="s">
        <v>1004</v>
      </c>
      <c r="D333" s="306" t="s">
        <v>2480</v>
      </c>
      <c r="E333" s="306" t="s">
        <v>3584</v>
      </c>
      <c r="F333" s="306" t="s">
        <v>2486</v>
      </c>
      <c r="G333" s="308">
        <v>46015</v>
      </c>
      <c r="H333" s="308">
        <v>46015</v>
      </c>
      <c r="I333" s="309">
        <v>2872.42</v>
      </c>
      <c r="J333" s="306" t="s">
        <v>1008</v>
      </c>
      <c r="K333" s="309">
        <v>2872.42</v>
      </c>
      <c r="L333" s="306" t="s">
        <v>1008</v>
      </c>
      <c r="M333" s="306" t="s">
        <v>3590</v>
      </c>
      <c r="N333" s="306" t="s">
        <v>3586</v>
      </c>
      <c r="O333" s="306" t="s">
        <v>1013</v>
      </c>
      <c r="P333" s="306" t="s">
        <v>1013</v>
      </c>
      <c r="Q333" s="306" t="s">
        <v>1013</v>
      </c>
      <c r="R333" s="306" t="s">
        <v>1013</v>
      </c>
      <c r="S333" s="306" t="s">
        <v>1013</v>
      </c>
      <c r="T333" s="306" t="s">
        <v>1013</v>
      </c>
      <c r="U333" s="306" t="s">
        <v>3587</v>
      </c>
      <c r="V333" s="306" t="s">
        <v>1013</v>
      </c>
      <c r="W333" s="306" t="s">
        <v>1013</v>
      </c>
      <c r="X333" s="306" t="s">
        <v>1013</v>
      </c>
      <c r="Y333" s="306" t="s">
        <v>3587</v>
      </c>
      <c r="Z333" s="306" t="s">
        <v>2456</v>
      </c>
      <c r="AA333" s="306" t="s">
        <v>1013</v>
      </c>
    </row>
    <row r="334" spans="1:27">
      <c r="A334" s="306" t="s">
        <v>494</v>
      </c>
      <c r="B334" s="306" t="s">
        <v>1003</v>
      </c>
      <c r="C334" s="306" t="s">
        <v>1004</v>
      </c>
      <c r="D334" s="306" t="s">
        <v>2480</v>
      </c>
      <c r="E334" s="306" t="s">
        <v>3591</v>
      </c>
      <c r="F334" s="306" t="s">
        <v>2482</v>
      </c>
      <c r="G334" s="308">
        <v>46014</v>
      </c>
      <c r="H334" s="308">
        <v>46015</v>
      </c>
      <c r="I334" s="309">
        <v>1304.26</v>
      </c>
      <c r="J334" s="306" t="s">
        <v>1008</v>
      </c>
      <c r="K334" s="309">
        <v>1304.26</v>
      </c>
      <c r="L334" s="306" t="s">
        <v>1008</v>
      </c>
      <c r="M334" s="306" t="s">
        <v>3592</v>
      </c>
      <c r="N334" s="306" t="s">
        <v>3592</v>
      </c>
      <c r="O334" s="306" t="s">
        <v>1013</v>
      </c>
      <c r="P334" s="306" t="s">
        <v>1013</v>
      </c>
      <c r="Q334" s="306" t="s">
        <v>1013</v>
      </c>
      <c r="R334" s="306" t="s">
        <v>1013</v>
      </c>
      <c r="S334" s="306" t="s">
        <v>1013</v>
      </c>
      <c r="T334" s="306" t="s">
        <v>1013</v>
      </c>
      <c r="U334" s="306" t="s">
        <v>3593</v>
      </c>
      <c r="V334" s="306" t="s">
        <v>1013</v>
      </c>
      <c r="W334" s="306" t="s">
        <v>1013</v>
      </c>
      <c r="X334" s="306" t="s">
        <v>1013</v>
      </c>
      <c r="Y334" s="306" t="s">
        <v>3593</v>
      </c>
      <c r="Z334" s="306" t="s">
        <v>2456</v>
      </c>
      <c r="AA334" s="306" t="s">
        <v>1013</v>
      </c>
    </row>
    <row r="335" spans="1:27">
      <c r="A335" s="306" t="s">
        <v>494</v>
      </c>
      <c r="B335" s="306" t="s">
        <v>1003</v>
      </c>
      <c r="C335" s="306" t="s">
        <v>1004</v>
      </c>
      <c r="D335" s="306" t="s">
        <v>2480</v>
      </c>
      <c r="E335" s="306" t="s">
        <v>3594</v>
      </c>
      <c r="F335" s="306" t="s">
        <v>2482</v>
      </c>
      <c r="G335" s="308">
        <v>46013</v>
      </c>
      <c r="H335" s="308">
        <v>46015</v>
      </c>
      <c r="I335" s="309">
        <v>73071.14</v>
      </c>
      <c r="J335" s="306" t="s">
        <v>1008</v>
      </c>
      <c r="K335" s="309">
        <v>73071.14</v>
      </c>
      <c r="L335" s="306" t="s">
        <v>1008</v>
      </c>
      <c r="M335" s="306" t="s">
        <v>3595</v>
      </c>
      <c r="N335" s="306" t="s">
        <v>3595</v>
      </c>
      <c r="O335" s="306" t="s">
        <v>1013</v>
      </c>
      <c r="P335" s="306" t="s">
        <v>1013</v>
      </c>
      <c r="Q335" s="306" t="s">
        <v>1013</v>
      </c>
      <c r="R335" s="306" t="s">
        <v>1013</v>
      </c>
      <c r="S335" s="306" t="s">
        <v>1013</v>
      </c>
      <c r="T335" s="306" t="s">
        <v>1013</v>
      </c>
      <c r="U335" s="306" t="s">
        <v>3596</v>
      </c>
      <c r="V335" s="306" t="s">
        <v>1013</v>
      </c>
      <c r="W335" s="306" t="s">
        <v>1013</v>
      </c>
      <c r="X335" s="306" t="s">
        <v>1013</v>
      </c>
      <c r="Y335" s="306" t="s">
        <v>3596</v>
      </c>
      <c r="Z335" s="306" t="s">
        <v>2456</v>
      </c>
      <c r="AA335" s="306" t="s">
        <v>1013</v>
      </c>
    </row>
    <row r="336" spans="1:27">
      <c r="A336" s="306" t="s">
        <v>494</v>
      </c>
      <c r="B336" s="306" t="s">
        <v>1003</v>
      </c>
      <c r="C336" s="306" t="s">
        <v>1004</v>
      </c>
      <c r="D336" s="306" t="s">
        <v>2480</v>
      </c>
      <c r="E336" s="306" t="s">
        <v>3597</v>
      </c>
      <c r="F336" s="306" t="s">
        <v>2482</v>
      </c>
      <c r="G336" s="308">
        <v>46013</v>
      </c>
      <c r="H336" s="308">
        <v>46015</v>
      </c>
      <c r="I336" s="309">
        <v>59730.22</v>
      </c>
      <c r="J336" s="306" t="s">
        <v>1008</v>
      </c>
      <c r="K336" s="309">
        <v>59730.22</v>
      </c>
      <c r="L336" s="306" t="s">
        <v>1008</v>
      </c>
      <c r="M336" s="306" t="s">
        <v>3598</v>
      </c>
      <c r="N336" s="306" t="s">
        <v>3598</v>
      </c>
      <c r="O336" s="306" t="s">
        <v>1013</v>
      </c>
      <c r="P336" s="306" t="s">
        <v>1013</v>
      </c>
      <c r="Q336" s="306" t="s">
        <v>1013</v>
      </c>
      <c r="R336" s="306" t="s">
        <v>1013</v>
      </c>
      <c r="S336" s="306" t="s">
        <v>1013</v>
      </c>
      <c r="T336" s="306" t="s">
        <v>1013</v>
      </c>
      <c r="U336" s="306" t="s">
        <v>3599</v>
      </c>
      <c r="V336" s="306" t="s">
        <v>1013</v>
      </c>
      <c r="W336" s="306" t="s">
        <v>1013</v>
      </c>
      <c r="X336" s="306" t="s">
        <v>1013</v>
      </c>
      <c r="Y336" s="306" t="s">
        <v>3599</v>
      </c>
      <c r="Z336" s="306" t="s">
        <v>2456</v>
      </c>
      <c r="AA336" s="306" t="s">
        <v>1013</v>
      </c>
    </row>
    <row r="337" spans="1:27">
      <c r="A337" s="306" t="s">
        <v>494</v>
      </c>
      <c r="B337" s="306" t="s">
        <v>1003</v>
      </c>
      <c r="C337" s="306" t="s">
        <v>1004</v>
      </c>
      <c r="D337" s="306" t="s">
        <v>2480</v>
      </c>
      <c r="E337" s="306" t="s">
        <v>3600</v>
      </c>
      <c r="F337" s="306" t="s">
        <v>2482</v>
      </c>
      <c r="G337" s="308">
        <v>46014</v>
      </c>
      <c r="H337" s="308">
        <v>46015</v>
      </c>
      <c r="I337" s="309">
        <v>1746.83</v>
      </c>
      <c r="J337" s="306" t="s">
        <v>1008</v>
      </c>
      <c r="K337" s="309">
        <v>1746.83</v>
      </c>
      <c r="L337" s="306" t="s">
        <v>1008</v>
      </c>
      <c r="M337" s="306" t="s">
        <v>3601</v>
      </c>
      <c r="N337" s="306" t="s">
        <v>3601</v>
      </c>
      <c r="O337" s="306" t="s">
        <v>1013</v>
      </c>
      <c r="P337" s="306" t="s">
        <v>1013</v>
      </c>
      <c r="Q337" s="306" t="s">
        <v>1013</v>
      </c>
      <c r="R337" s="306" t="s">
        <v>1013</v>
      </c>
      <c r="S337" s="306" t="s">
        <v>1013</v>
      </c>
      <c r="T337" s="306" t="s">
        <v>1013</v>
      </c>
      <c r="U337" s="306" t="s">
        <v>3602</v>
      </c>
      <c r="V337" s="306" t="s">
        <v>1013</v>
      </c>
      <c r="W337" s="306" t="s">
        <v>1013</v>
      </c>
      <c r="X337" s="306" t="s">
        <v>1013</v>
      </c>
      <c r="Y337" s="306" t="s">
        <v>3602</v>
      </c>
      <c r="Z337" s="306" t="s">
        <v>2456</v>
      </c>
      <c r="AA337" s="306" t="s">
        <v>1013</v>
      </c>
    </row>
    <row r="338" spans="1:27">
      <c r="A338" s="306" t="s">
        <v>494</v>
      </c>
      <c r="B338" s="306" t="s">
        <v>1003</v>
      </c>
      <c r="C338" s="306" t="s">
        <v>1004</v>
      </c>
      <c r="D338" s="306" t="s">
        <v>2480</v>
      </c>
      <c r="E338" s="306" t="s">
        <v>3603</v>
      </c>
      <c r="F338" s="306" t="s">
        <v>2482</v>
      </c>
      <c r="G338" s="308">
        <v>46014</v>
      </c>
      <c r="H338" s="308">
        <v>46016</v>
      </c>
      <c r="I338" s="309">
        <v>109.41</v>
      </c>
      <c r="J338" s="306" t="s">
        <v>1008</v>
      </c>
      <c r="K338" s="309">
        <v>109.41</v>
      </c>
      <c r="L338" s="306" t="s">
        <v>1008</v>
      </c>
      <c r="M338" s="306" t="s">
        <v>3604</v>
      </c>
      <c r="N338" s="306" t="s">
        <v>3604</v>
      </c>
      <c r="O338" s="306" t="s">
        <v>1013</v>
      </c>
      <c r="P338" s="306" t="s">
        <v>1013</v>
      </c>
      <c r="Q338" s="306" t="s">
        <v>1013</v>
      </c>
      <c r="R338" s="306" t="s">
        <v>1013</v>
      </c>
      <c r="S338" s="306" t="s">
        <v>1013</v>
      </c>
      <c r="T338" s="306" t="s">
        <v>1013</v>
      </c>
      <c r="U338" s="306" t="s">
        <v>3605</v>
      </c>
      <c r="V338" s="306" t="s">
        <v>1013</v>
      </c>
      <c r="W338" s="306" t="s">
        <v>1013</v>
      </c>
      <c r="X338" s="306" t="s">
        <v>1013</v>
      </c>
      <c r="Y338" s="306" t="s">
        <v>3605</v>
      </c>
      <c r="Z338" s="306" t="s">
        <v>2456</v>
      </c>
      <c r="AA338" s="306" t="s">
        <v>1013</v>
      </c>
    </row>
    <row r="339" spans="1:27">
      <c r="A339" s="306" t="s">
        <v>494</v>
      </c>
      <c r="B339" s="306" t="s">
        <v>1003</v>
      </c>
      <c r="C339" s="306" t="s">
        <v>1004</v>
      </c>
      <c r="D339" s="306" t="s">
        <v>2480</v>
      </c>
      <c r="E339" s="306" t="s">
        <v>3606</v>
      </c>
      <c r="F339" s="306" t="s">
        <v>2482</v>
      </c>
      <c r="G339" s="308">
        <v>46014</v>
      </c>
      <c r="H339" s="308">
        <v>46016</v>
      </c>
      <c r="I339" s="309">
        <v>57.98</v>
      </c>
      <c r="J339" s="306" t="s">
        <v>1008</v>
      </c>
      <c r="K339" s="309">
        <v>57.98</v>
      </c>
      <c r="L339" s="306" t="s">
        <v>1008</v>
      </c>
      <c r="M339" s="306" t="s">
        <v>3607</v>
      </c>
      <c r="N339" s="306" t="s">
        <v>3607</v>
      </c>
      <c r="O339" s="306" t="s">
        <v>1013</v>
      </c>
      <c r="P339" s="306" t="s">
        <v>1013</v>
      </c>
      <c r="Q339" s="306" t="s">
        <v>1013</v>
      </c>
      <c r="R339" s="306" t="s">
        <v>1013</v>
      </c>
      <c r="S339" s="306" t="s">
        <v>1013</v>
      </c>
      <c r="T339" s="306" t="s">
        <v>1013</v>
      </c>
      <c r="U339" s="306" t="s">
        <v>3608</v>
      </c>
      <c r="V339" s="306" t="s">
        <v>1013</v>
      </c>
      <c r="W339" s="306" t="s">
        <v>1013</v>
      </c>
      <c r="X339" s="306" t="s">
        <v>1013</v>
      </c>
      <c r="Y339" s="306" t="s">
        <v>3608</v>
      </c>
      <c r="Z339" s="306" t="s">
        <v>2456</v>
      </c>
      <c r="AA339" s="306" t="s">
        <v>1013</v>
      </c>
    </row>
    <row r="340" spans="1:27">
      <c r="A340" s="306" t="s">
        <v>494</v>
      </c>
      <c r="B340" s="306" t="s">
        <v>1003</v>
      </c>
      <c r="C340" s="306" t="s">
        <v>1004</v>
      </c>
      <c r="D340" s="306" t="s">
        <v>2480</v>
      </c>
      <c r="E340" s="306" t="s">
        <v>3609</v>
      </c>
      <c r="F340" s="306" t="s">
        <v>2482</v>
      </c>
      <c r="G340" s="308">
        <v>46014</v>
      </c>
      <c r="H340" s="308">
        <v>46016</v>
      </c>
      <c r="I340" s="309">
        <v>113.78</v>
      </c>
      <c r="J340" s="306" t="s">
        <v>1008</v>
      </c>
      <c r="K340" s="309">
        <v>113.78</v>
      </c>
      <c r="L340" s="306" t="s">
        <v>1008</v>
      </c>
      <c r="M340" s="306" t="s">
        <v>3610</v>
      </c>
      <c r="N340" s="306" t="s">
        <v>3610</v>
      </c>
      <c r="O340" s="306" t="s">
        <v>1013</v>
      </c>
      <c r="P340" s="306" t="s">
        <v>1013</v>
      </c>
      <c r="Q340" s="306" t="s">
        <v>1013</v>
      </c>
      <c r="R340" s="306" t="s">
        <v>1013</v>
      </c>
      <c r="S340" s="306" t="s">
        <v>1013</v>
      </c>
      <c r="T340" s="306" t="s">
        <v>1013</v>
      </c>
      <c r="U340" s="306" t="s">
        <v>3611</v>
      </c>
      <c r="V340" s="306" t="s">
        <v>1013</v>
      </c>
      <c r="W340" s="306" t="s">
        <v>1013</v>
      </c>
      <c r="X340" s="306" t="s">
        <v>1013</v>
      </c>
      <c r="Y340" s="306" t="s">
        <v>3611</v>
      </c>
      <c r="Z340" s="306" t="s">
        <v>2456</v>
      </c>
      <c r="AA340" s="306" t="s">
        <v>1013</v>
      </c>
    </row>
    <row r="341" spans="1:27">
      <c r="A341" s="306" t="s">
        <v>494</v>
      </c>
      <c r="B341" s="306" t="s">
        <v>1003</v>
      </c>
      <c r="C341" s="306" t="s">
        <v>1004</v>
      </c>
      <c r="D341" s="306" t="s">
        <v>2480</v>
      </c>
      <c r="E341" s="306" t="s">
        <v>3612</v>
      </c>
      <c r="F341" s="306" t="s">
        <v>2482</v>
      </c>
      <c r="G341" s="308">
        <v>46014</v>
      </c>
      <c r="H341" s="308">
        <v>46016</v>
      </c>
      <c r="I341" s="309">
        <v>113.78</v>
      </c>
      <c r="J341" s="306" t="s">
        <v>1008</v>
      </c>
      <c r="K341" s="309">
        <v>113.78</v>
      </c>
      <c r="L341" s="306" t="s">
        <v>1008</v>
      </c>
      <c r="M341" s="306" t="s">
        <v>3613</v>
      </c>
      <c r="N341" s="306" t="s">
        <v>3613</v>
      </c>
      <c r="O341" s="306" t="s">
        <v>1013</v>
      </c>
      <c r="P341" s="306" t="s">
        <v>1013</v>
      </c>
      <c r="Q341" s="306" t="s">
        <v>1013</v>
      </c>
      <c r="R341" s="306" t="s">
        <v>1013</v>
      </c>
      <c r="S341" s="306" t="s">
        <v>1013</v>
      </c>
      <c r="T341" s="306" t="s">
        <v>1013</v>
      </c>
      <c r="U341" s="306" t="s">
        <v>3614</v>
      </c>
      <c r="V341" s="306" t="s">
        <v>1013</v>
      </c>
      <c r="W341" s="306" t="s">
        <v>1013</v>
      </c>
      <c r="X341" s="306" t="s">
        <v>1013</v>
      </c>
      <c r="Y341" s="306" t="s">
        <v>3614</v>
      </c>
      <c r="Z341" s="306" t="s">
        <v>2456</v>
      </c>
      <c r="AA341" s="306" t="s">
        <v>1013</v>
      </c>
    </row>
    <row r="342" spans="1:27">
      <c r="A342" s="306" t="s">
        <v>494</v>
      </c>
      <c r="B342" s="306" t="s">
        <v>1003</v>
      </c>
      <c r="C342" s="306" t="s">
        <v>1004</v>
      </c>
      <c r="D342" s="306" t="s">
        <v>2480</v>
      </c>
      <c r="E342" s="306" t="s">
        <v>3615</v>
      </c>
      <c r="F342" s="306" t="s">
        <v>2482</v>
      </c>
      <c r="G342" s="308">
        <v>46014</v>
      </c>
      <c r="H342" s="308">
        <v>46016</v>
      </c>
      <c r="I342" s="309">
        <v>244.12</v>
      </c>
      <c r="J342" s="306" t="s">
        <v>1008</v>
      </c>
      <c r="K342" s="309">
        <v>244.12</v>
      </c>
      <c r="L342" s="306" t="s">
        <v>1008</v>
      </c>
      <c r="M342" s="306" t="s">
        <v>3616</v>
      </c>
      <c r="N342" s="306" t="s">
        <v>3616</v>
      </c>
      <c r="O342" s="306" t="s">
        <v>1013</v>
      </c>
      <c r="P342" s="306" t="s">
        <v>1013</v>
      </c>
      <c r="Q342" s="306" t="s">
        <v>1013</v>
      </c>
      <c r="R342" s="306" t="s">
        <v>1013</v>
      </c>
      <c r="S342" s="306" t="s">
        <v>1013</v>
      </c>
      <c r="T342" s="306" t="s">
        <v>1013</v>
      </c>
      <c r="U342" s="306" t="s">
        <v>3617</v>
      </c>
      <c r="V342" s="306" t="s">
        <v>1013</v>
      </c>
      <c r="W342" s="306" t="s">
        <v>1013</v>
      </c>
      <c r="X342" s="306" t="s">
        <v>1013</v>
      </c>
      <c r="Y342" s="306" t="s">
        <v>3617</v>
      </c>
      <c r="Z342" s="306" t="s">
        <v>2456</v>
      </c>
      <c r="AA342" s="306" t="s">
        <v>1013</v>
      </c>
    </row>
    <row r="343" spans="1:27">
      <c r="A343" s="306" t="s">
        <v>494</v>
      </c>
      <c r="B343" s="306" t="s">
        <v>1003</v>
      </c>
      <c r="C343" s="306" t="s">
        <v>1004</v>
      </c>
      <c r="D343" s="306" t="s">
        <v>2480</v>
      </c>
      <c r="E343" s="306" t="s">
        <v>3618</v>
      </c>
      <c r="F343" s="306" t="s">
        <v>2482</v>
      </c>
      <c r="G343" s="308">
        <v>46015</v>
      </c>
      <c r="H343" s="308">
        <v>46016</v>
      </c>
      <c r="I343" s="309">
        <v>62103.24</v>
      </c>
      <c r="J343" s="306" t="s">
        <v>1008</v>
      </c>
      <c r="K343" s="309">
        <v>62103.24</v>
      </c>
      <c r="L343" s="306" t="s">
        <v>1008</v>
      </c>
      <c r="M343" s="306" t="s">
        <v>3619</v>
      </c>
      <c r="N343" s="306" t="s">
        <v>3619</v>
      </c>
      <c r="O343" s="306" t="s">
        <v>1013</v>
      </c>
      <c r="P343" s="306" t="s">
        <v>1013</v>
      </c>
      <c r="Q343" s="306" t="s">
        <v>1013</v>
      </c>
      <c r="R343" s="306" t="s">
        <v>1013</v>
      </c>
      <c r="S343" s="306" t="s">
        <v>1013</v>
      </c>
      <c r="T343" s="306" t="s">
        <v>1013</v>
      </c>
      <c r="U343" s="306" t="s">
        <v>3620</v>
      </c>
      <c r="V343" s="306" t="s">
        <v>1013</v>
      </c>
      <c r="W343" s="306" t="s">
        <v>1013</v>
      </c>
      <c r="X343" s="306" t="s">
        <v>1013</v>
      </c>
      <c r="Y343" s="306" t="s">
        <v>3620</v>
      </c>
      <c r="Z343" s="306" t="s">
        <v>2456</v>
      </c>
      <c r="AA343" s="306" t="s">
        <v>1013</v>
      </c>
    </row>
    <row r="344" spans="1:27">
      <c r="A344" s="306" t="s">
        <v>494</v>
      </c>
      <c r="B344" s="306" t="s">
        <v>1003</v>
      </c>
      <c r="C344" s="306" t="s">
        <v>1004</v>
      </c>
      <c r="D344" s="306" t="s">
        <v>2480</v>
      </c>
      <c r="E344" s="306" t="s">
        <v>3621</v>
      </c>
      <c r="F344" s="306" t="s">
        <v>2482</v>
      </c>
      <c r="G344" s="308">
        <v>46015</v>
      </c>
      <c r="H344" s="308">
        <v>46016</v>
      </c>
      <c r="I344" s="309">
        <v>271692.33</v>
      </c>
      <c r="J344" s="306" t="s">
        <v>1008</v>
      </c>
      <c r="K344" s="309">
        <v>271692.33</v>
      </c>
      <c r="L344" s="306" t="s">
        <v>1008</v>
      </c>
      <c r="M344" s="306" t="s">
        <v>3622</v>
      </c>
      <c r="N344" s="306" t="s">
        <v>3622</v>
      </c>
      <c r="O344" s="306" t="s">
        <v>1013</v>
      </c>
      <c r="P344" s="306" t="s">
        <v>1013</v>
      </c>
      <c r="Q344" s="306" t="s">
        <v>1013</v>
      </c>
      <c r="R344" s="306" t="s">
        <v>1013</v>
      </c>
      <c r="S344" s="306" t="s">
        <v>1013</v>
      </c>
      <c r="T344" s="306" t="s">
        <v>1013</v>
      </c>
      <c r="U344" s="306" t="s">
        <v>3623</v>
      </c>
      <c r="V344" s="306" t="s">
        <v>1013</v>
      </c>
      <c r="W344" s="306" t="s">
        <v>1013</v>
      </c>
      <c r="X344" s="306" t="s">
        <v>1013</v>
      </c>
      <c r="Y344" s="306" t="s">
        <v>3623</v>
      </c>
      <c r="Z344" s="306" t="s">
        <v>2456</v>
      </c>
      <c r="AA344" s="306" t="s">
        <v>1013</v>
      </c>
    </row>
    <row r="345" spans="1:27">
      <c r="A345" s="306" t="s">
        <v>494</v>
      </c>
      <c r="B345" s="306" t="s">
        <v>1003</v>
      </c>
      <c r="C345" s="306" t="s">
        <v>1004</v>
      </c>
      <c r="D345" s="306" t="s">
        <v>2480</v>
      </c>
      <c r="E345" s="306" t="s">
        <v>3624</v>
      </c>
      <c r="F345" s="306" t="s">
        <v>2482</v>
      </c>
      <c r="G345" s="308">
        <v>46015</v>
      </c>
      <c r="H345" s="308">
        <v>46016</v>
      </c>
      <c r="I345" s="309">
        <v>1019.52</v>
      </c>
      <c r="J345" s="306" t="s">
        <v>1008</v>
      </c>
      <c r="K345" s="309">
        <v>1019.52</v>
      </c>
      <c r="L345" s="306" t="s">
        <v>1008</v>
      </c>
      <c r="M345" s="306" t="s">
        <v>3625</v>
      </c>
      <c r="N345" s="306" t="s">
        <v>3625</v>
      </c>
      <c r="O345" s="306" t="s">
        <v>1013</v>
      </c>
      <c r="P345" s="306" t="s">
        <v>1013</v>
      </c>
      <c r="Q345" s="306" t="s">
        <v>1013</v>
      </c>
      <c r="R345" s="306" t="s">
        <v>1013</v>
      </c>
      <c r="S345" s="306" t="s">
        <v>1013</v>
      </c>
      <c r="T345" s="306" t="s">
        <v>1013</v>
      </c>
      <c r="U345" s="306" t="s">
        <v>3626</v>
      </c>
      <c r="V345" s="306" t="s">
        <v>1013</v>
      </c>
      <c r="W345" s="306" t="s">
        <v>1013</v>
      </c>
      <c r="X345" s="306" t="s">
        <v>1013</v>
      </c>
      <c r="Y345" s="306" t="s">
        <v>3626</v>
      </c>
      <c r="Z345" s="306" t="s">
        <v>2456</v>
      </c>
      <c r="AA345" s="306" t="s">
        <v>1013</v>
      </c>
    </row>
    <row r="346" spans="1:27">
      <c r="A346" s="306" t="s">
        <v>494</v>
      </c>
      <c r="B346" s="306" t="s">
        <v>1003</v>
      </c>
      <c r="C346" s="306" t="s">
        <v>1004</v>
      </c>
      <c r="D346" s="306" t="s">
        <v>2480</v>
      </c>
      <c r="E346" s="306" t="s">
        <v>3627</v>
      </c>
      <c r="F346" s="306" t="s">
        <v>2482</v>
      </c>
      <c r="G346" s="308">
        <v>46015</v>
      </c>
      <c r="H346" s="308">
        <v>46016</v>
      </c>
      <c r="I346" s="309">
        <v>29110.57</v>
      </c>
      <c r="J346" s="306" t="s">
        <v>1008</v>
      </c>
      <c r="K346" s="309">
        <v>29110.57</v>
      </c>
      <c r="L346" s="306" t="s">
        <v>1008</v>
      </c>
      <c r="M346" s="306" t="s">
        <v>3628</v>
      </c>
      <c r="N346" s="306" t="s">
        <v>3628</v>
      </c>
      <c r="O346" s="306" t="s">
        <v>1013</v>
      </c>
      <c r="P346" s="306" t="s">
        <v>1013</v>
      </c>
      <c r="Q346" s="306" t="s">
        <v>1013</v>
      </c>
      <c r="R346" s="306" t="s">
        <v>1013</v>
      </c>
      <c r="S346" s="306" t="s">
        <v>1013</v>
      </c>
      <c r="T346" s="306" t="s">
        <v>1013</v>
      </c>
      <c r="U346" s="306" t="s">
        <v>3629</v>
      </c>
      <c r="V346" s="306" t="s">
        <v>1013</v>
      </c>
      <c r="W346" s="306" t="s">
        <v>1013</v>
      </c>
      <c r="X346" s="306" t="s">
        <v>1013</v>
      </c>
      <c r="Y346" s="306" t="s">
        <v>3629</v>
      </c>
      <c r="Z346" s="306" t="s">
        <v>2456</v>
      </c>
      <c r="AA346" s="306" t="s">
        <v>1013</v>
      </c>
    </row>
    <row r="347" spans="1:27">
      <c r="A347" s="306" t="s">
        <v>494</v>
      </c>
      <c r="B347" s="306" t="s">
        <v>1003</v>
      </c>
      <c r="C347" s="306" t="s">
        <v>1004</v>
      </c>
      <c r="D347" s="306" t="s">
        <v>2480</v>
      </c>
      <c r="E347" s="306" t="s">
        <v>3630</v>
      </c>
      <c r="F347" s="306" t="s">
        <v>2482</v>
      </c>
      <c r="G347" s="308">
        <v>46015</v>
      </c>
      <c r="H347" s="308">
        <v>46016</v>
      </c>
      <c r="I347" s="309">
        <v>170803.71</v>
      </c>
      <c r="J347" s="306" t="s">
        <v>1008</v>
      </c>
      <c r="K347" s="309">
        <v>170803.71</v>
      </c>
      <c r="L347" s="306" t="s">
        <v>1008</v>
      </c>
      <c r="M347" s="306" t="s">
        <v>3631</v>
      </c>
      <c r="N347" s="306" t="s">
        <v>3631</v>
      </c>
      <c r="O347" s="306" t="s">
        <v>1013</v>
      </c>
      <c r="P347" s="306" t="s">
        <v>1013</v>
      </c>
      <c r="Q347" s="306" t="s">
        <v>1013</v>
      </c>
      <c r="R347" s="306" t="s">
        <v>1013</v>
      </c>
      <c r="S347" s="306" t="s">
        <v>1013</v>
      </c>
      <c r="T347" s="306" t="s">
        <v>1013</v>
      </c>
      <c r="U347" s="306" t="s">
        <v>3632</v>
      </c>
      <c r="V347" s="306" t="s">
        <v>1013</v>
      </c>
      <c r="W347" s="306" t="s">
        <v>1013</v>
      </c>
      <c r="X347" s="306" t="s">
        <v>1013</v>
      </c>
      <c r="Y347" s="306" t="s">
        <v>3632</v>
      </c>
      <c r="Z347" s="306" t="s">
        <v>2456</v>
      </c>
      <c r="AA347" s="306" t="s">
        <v>1013</v>
      </c>
    </row>
    <row r="348" spans="1:27">
      <c r="A348" s="306" t="s">
        <v>494</v>
      </c>
      <c r="B348" s="306" t="s">
        <v>1003</v>
      </c>
      <c r="C348" s="306" t="s">
        <v>1004</v>
      </c>
      <c r="D348" s="306" t="s">
        <v>2480</v>
      </c>
      <c r="E348" s="306" t="s">
        <v>3633</v>
      </c>
      <c r="F348" s="306" t="s">
        <v>2482</v>
      </c>
      <c r="G348" s="308">
        <v>46015</v>
      </c>
      <c r="H348" s="308">
        <v>46016</v>
      </c>
      <c r="I348" s="309">
        <v>25941.86</v>
      </c>
      <c r="J348" s="306" t="s">
        <v>1008</v>
      </c>
      <c r="K348" s="309">
        <v>25941.86</v>
      </c>
      <c r="L348" s="306" t="s">
        <v>1008</v>
      </c>
      <c r="M348" s="306" t="s">
        <v>3634</v>
      </c>
      <c r="N348" s="306" t="s">
        <v>3634</v>
      </c>
      <c r="O348" s="306" t="s">
        <v>1013</v>
      </c>
      <c r="P348" s="306" t="s">
        <v>1013</v>
      </c>
      <c r="Q348" s="306" t="s">
        <v>1013</v>
      </c>
      <c r="R348" s="306" t="s">
        <v>1013</v>
      </c>
      <c r="S348" s="306" t="s">
        <v>1013</v>
      </c>
      <c r="T348" s="306" t="s">
        <v>1013</v>
      </c>
      <c r="U348" s="306" t="s">
        <v>3635</v>
      </c>
      <c r="V348" s="306" t="s">
        <v>1013</v>
      </c>
      <c r="W348" s="306" t="s">
        <v>1013</v>
      </c>
      <c r="X348" s="306" t="s">
        <v>1013</v>
      </c>
      <c r="Y348" s="306" t="s">
        <v>3635</v>
      </c>
      <c r="Z348" s="306" t="s">
        <v>2456</v>
      </c>
      <c r="AA348" s="306" t="s">
        <v>1013</v>
      </c>
    </row>
    <row r="349" spans="1:27">
      <c r="A349" s="306" t="s">
        <v>494</v>
      </c>
      <c r="B349" s="306" t="s">
        <v>1003</v>
      </c>
      <c r="C349" s="306" t="s">
        <v>1004</v>
      </c>
      <c r="D349" s="306" t="s">
        <v>2480</v>
      </c>
      <c r="E349" s="306" t="s">
        <v>3636</v>
      </c>
      <c r="F349" s="306" t="s">
        <v>2482</v>
      </c>
      <c r="G349" s="308">
        <v>46015</v>
      </c>
      <c r="H349" s="308">
        <v>46016</v>
      </c>
      <c r="I349" s="309">
        <v>58269.75</v>
      </c>
      <c r="J349" s="306" t="s">
        <v>1008</v>
      </c>
      <c r="K349" s="309">
        <v>58269.75</v>
      </c>
      <c r="L349" s="306" t="s">
        <v>1008</v>
      </c>
      <c r="M349" s="306" t="s">
        <v>3637</v>
      </c>
      <c r="N349" s="306" t="s">
        <v>3637</v>
      </c>
      <c r="O349" s="306" t="s">
        <v>1013</v>
      </c>
      <c r="P349" s="306" t="s">
        <v>1013</v>
      </c>
      <c r="Q349" s="306" t="s">
        <v>1013</v>
      </c>
      <c r="R349" s="306" t="s">
        <v>1013</v>
      </c>
      <c r="S349" s="306" t="s">
        <v>1013</v>
      </c>
      <c r="T349" s="306" t="s">
        <v>1013</v>
      </c>
      <c r="U349" s="306" t="s">
        <v>3638</v>
      </c>
      <c r="V349" s="306" t="s">
        <v>1013</v>
      </c>
      <c r="W349" s="306" t="s">
        <v>1013</v>
      </c>
      <c r="X349" s="306" t="s">
        <v>1013</v>
      </c>
      <c r="Y349" s="306" t="s">
        <v>3638</v>
      </c>
      <c r="Z349" s="306" t="s">
        <v>2456</v>
      </c>
      <c r="AA349" s="306" t="s">
        <v>1013</v>
      </c>
    </row>
    <row r="350" spans="1:27">
      <c r="A350" s="306" t="s">
        <v>494</v>
      </c>
      <c r="B350" s="306" t="s">
        <v>1003</v>
      </c>
      <c r="C350" s="306" t="s">
        <v>1004</v>
      </c>
      <c r="D350" s="306" t="s">
        <v>2480</v>
      </c>
      <c r="E350" s="306" t="s">
        <v>3639</v>
      </c>
      <c r="F350" s="306" t="s">
        <v>2482</v>
      </c>
      <c r="G350" s="308">
        <v>46015</v>
      </c>
      <c r="H350" s="308">
        <v>46016</v>
      </c>
      <c r="I350" s="309">
        <v>260435.14</v>
      </c>
      <c r="J350" s="306" t="s">
        <v>1008</v>
      </c>
      <c r="K350" s="309">
        <v>260435.14</v>
      </c>
      <c r="L350" s="306" t="s">
        <v>1008</v>
      </c>
      <c r="M350" s="306" t="s">
        <v>3640</v>
      </c>
      <c r="N350" s="306" t="s">
        <v>3640</v>
      </c>
      <c r="O350" s="306" t="s">
        <v>1013</v>
      </c>
      <c r="P350" s="306" t="s">
        <v>1013</v>
      </c>
      <c r="Q350" s="306" t="s">
        <v>1013</v>
      </c>
      <c r="R350" s="306" t="s">
        <v>1013</v>
      </c>
      <c r="S350" s="306" t="s">
        <v>1013</v>
      </c>
      <c r="T350" s="306" t="s">
        <v>1013</v>
      </c>
      <c r="U350" s="306" t="s">
        <v>3641</v>
      </c>
      <c r="V350" s="306" t="s">
        <v>1013</v>
      </c>
      <c r="W350" s="306" t="s">
        <v>1013</v>
      </c>
      <c r="X350" s="306" t="s">
        <v>1013</v>
      </c>
      <c r="Y350" s="306" t="s">
        <v>3641</v>
      </c>
      <c r="Z350" s="306" t="s">
        <v>2456</v>
      </c>
      <c r="AA350" s="306" t="s">
        <v>1013</v>
      </c>
    </row>
    <row r="351" spans="1:27">
      <c r="A351" s="306" t="s">
        <v>494</v>
      </c>
      <c r="B351" s="306" t="s">
        <v>1003</v>
      </c>
      <c r="C351" s="306" t="s">
        <v>1004</v>
      </c>
      <c r="D351" s="306" t="s">
        <v>2480</v>
      </c>
      <c r="E351" s="306" t="s">
        <v>3642</v>
      </c>
      <c r="F351" s="306" t="s">
        <v>2482</v>
      </c>
      <c r="G351" s="308">
        <v>46015</v>
      </c>
      <c r="H351" s="308">
        <v>46016</v>
      </c>
      <c r="I351" s="309">
        <v>221236.44</v>
      </c>
      <c r="J351" s="306" t="s">
        <v>1008</v>
      </c>
      <c r="K351" s="309">
        <v>221236.44</v>
      </c>
      <c r="L351" s="306" t="s">
        <v>1008</v>
      </c>
      <c r="M351" s="306" t="s">
        <v>3643</v>
      </c>
      <c r="N351" s="306" t="s">
        <v>3643</v>
      </c>
      <c r="O351" s="306" t="s">
        <v>1013</v>
      </c>
      <c r="P351" s="306" t="s">
        <v>1013</v>
      </c>
      <c r="Q351" s="306" t="s">
        <v>1013</v>
      </c>
      <c r="R351" s="306" t="s">
        <v>1013</v>
      </c>
      <c r="S351" s="306" t="s">
        <v>1013</v>
      </c>
      <c r="T351" s="306" t="s">
        <v>1013</v>
      </c>
      <c r="U351" s="306" t="s">
        <v>3644</v>
      </c>
      <c r="V351" s="306" t="s">
        <v>1013</v>
      </c>
      <c r="W351" s="306" t="s">
        <v>1013</v>
      </c>
      <c r="X351" s="306" t="s">
        <v>1013</v>
      </c>
      <c r="Y351" s="306" t="s">
        <v>3644</v>
      </c>
      <c r="Z351" s="306" t="s">
        <v>2456</v>
      </c>
      <c r="AA351" s="306" t="s">
        <v>1013</v>
      </c>
    </row>
    <row r="352" spans="1:27">
      <c r="A352" s="306" t="s">
        <v>494</v>
      </c>
      <c r="B352" s="306" t="s">
        <v>1003</v>
      </c>
      <c r="C352" s="306" t="s">
        <v>1004</v>
      </c>
      <c r="D352" s="306" t="s">
        <v>2480</v>
      </c>
      <c r="E352" s="306" t="s">
        <v>3645</v>
      </c>
      <c r="F352" s="306" t="s">
        <v>2482</v>
      </c>
      <c r="G352" s="308">
        <v>46014</v>
      </c>
      <c r="H352" s="308">
        <v>46016</v>
      </c>
      <c r="I352" s="309">
        <v>580.63</v>
      </c>
      <c r="J352" s="306" t="s">
        <v>1008</v>
      </c>
      <c r="K352" s="309">
        <v>580.63</v>
      </c>
      <c r="L352" s="306" t="s">
        <v>1008</v>
      </c>
      <c r="M352" s="306" t="s">
        <v>3646</v>
      </c>
      <c r="N352" s="306" t="s">
        <v>3646</v>
      </c>
      <c r="O352" s="306" t="s">
        <v>1013</v>
      </c>
      <c r="P352" s="306" t="s">
        <v>1013</v>
      </c>
      <c r="Q352" s="306" t="s">
        <v>1013</v>
      </c>
      <c r="R352" s="306" t="s">
        <v>1013</v>
      </c>
      <c r="S352" s="306" t="s">
        <v>1013</v>
      </c>
      <c r="T352" s="306" t="s">
        <v>1013</v>
      </c>
      <c r="U352" s="306" t="s">
        <v>3647</v>
      </c>
      <c r="V352" s="306" t="s">
        <v>1013</v>
      </c>
      <c r="W352" s="306" t="s">
        <v>1013</v>
      </c>
      <c r="X352" s="306" t="s">
        <v>1013</v>
      </c>
      <c r="Y352" s="306" t="s">
        <v>3647</v>
      </c>
      <c r="Z352" s="306" t="s">
        <v>2456</v>
      </c>
      <c r="AA352" s="306" t="s">
        <v>1013</v>
      </c>
    </row>
    <row r="353" spans="1:27">
      <c r="A353" s="306" t="s">
        <v>494</v>
      </c>
      <c r="B353" s="306" t="s">
        <v>1003</v>
      </c>
      <c r="C353" s="306" t="s">
        <v>1004</v>
      </c>
      <c r="D353" s="306" t="s">
        <v>2480</v>
      </c>
      <c r="E353" s="306" t="s">
        <v>3648</v>
      </c>
      <c r="F353" s="306" t="s">
        <v>2482</v>
      </c>
      <c r="G353" s="308">
        <v>46015</v>
      </c>
      <c r="H353" s="308">
        <v>46016</v>
      </c>
      <c r="I353" s="309">
        <v>170530.09</v>
      </c>
      <c r="J353" s="306" t="s">
        <v>1008</v>
      </c>
      <c r="K353" s="309">
        <v>170530.09</v>
      </c>
      <c r="L353" s="306" t="s">
        <v>1008</v>
      </c>
      <c r="M353" s="306" t="s">
        <v>3649</v>
      </c>
      <c r="N353" s="306" t="s">
        <v>3649</v>
      </c>
      <c r="O353" s="306" t="s">
        <v>1013</v>
      </c>
      <c r="P353" s="306" t="s">
        <v>1013</v>
      </c>
      <c r="Q353" s="306" t="s">
        <v>1013</v>
      </c>
      <c r="R353" s="306" t="s">
        <v>1013</v>
      </c>
      <c r="S353" s="306" t="s">
        <v>1013</v>
      </c>
      <c r="T353" s="306" t="s">
        <v>1013</v>
      </c>
      <c r="U353" s="306" t="s">
        <v>3650</v>
      </c>
      <c r="V353" s="306" t="s">
        <v>1013</v>
      </c>
      <c r="W353" s="306" t="s">
        <v>1013</v>
      </c>
      <c r="X353" s="306" t="s">
        <v>1013</v>
      </c>
      <c r="Y353" s="306" t="s">
        <v>3650</v>
      </c>
      <c r="Z353" s="306" t="s">
        <v>2456</v>
      </c>
      <c r="AA353" s="306" t="s">
        <v>1013</v>
      </c>
    </row>
    <row r="354" spans="1:27">
      <c r="A354" s="306" t="s">
        <v>494</v>
      </c>
      <c r="B354" s="306" t="s">
        <v>1003</v>
      </c>
      <c r="C354" s="306" t="s">
        <v>1004</v>
      </c>
      <c r="D354" s="306" t="s">
        <v>2480</v>
      </c>
      <c r="E354" s="306" t="s">
        <v>3651</v>
      </c>
      <c r="F354" s="306" t="s">
        <v>2486</v>
      </c>
      <c r="G354" s="308">
        <v>46016</v>
      </c>
      <c r="H354" s="308">
        <v>46016</v>
      </c>
      <c r="I354" s="309">
        <v>213491</v>
      </c>
      <c r="J354" s="306" t="s">
        <v>1008</v>
      </c>
      <c r="K354" s="309">
        <v>213491</v>
      </c>
      <c r="L354" s="306" t="s">
        <v>1008</v>
      </c>
      <c r="M354" s="306" t="s">
        <v>3652</v>
      </c>
      <c r="N354" s="306" t="s">
        <v>3653</v>
      </c>
      <c r="O354" s="306" t="s">
        <v>1013</v>
      </c>
      <c r="P354" s="306" t="s">
        <v>1013</v>
      </c>
      <c r="Q354" s="306" t="s">
        <v>1013</v>
      </c>
      <c r="R354" s="306" t="s">
        <v>1013</v>
      </c>
      <c r="S354" s="306" t="s">
        <v>1013</v>
      </c>
      <c r="T354" s="306" t="s">
        <v>1013</v>
      </c>
      <c r="U354" s="306" t="s">
        <v>3654</v>
      </c>
      <c r="V354" s="306" t="s">
        <v>1013</v>
      </c>
      <c r="W354" s="306" t="s">
        <v>1013</v>
      </c>
      <c r="X354" s="306" t="s">
        <v>1013</v>
      </c>
      <c r="Y354" s="306" t="s">
        <v>2499</v>
      </c>
      <c r="Z354" s="306" t="s">
        <v>2456</v>
      </c>
      <c r="AA354" s="306" t="s">
        <v>1013</v>
      </c>
    </row>
    <row r="355" spans="1:27">
      <c r="A355" s="306" t="s">
        <v>494</v>
      </c>
      <c r="B355" s="306" t="s">
        <v>1003</v>
      </c>
      <c r="C355" s="306" t="s">
        <v>1004</v>
      </c>
      <c r="D355" s="306" t="s">
        <v>2480</v>
      </c>
      <c r="E355" s="306" t="s">
        <v>3655</v>
      </c>
      <c r="F355" s="306" t="s">
        <v>2486</v>
      </c>
      <c r="G355" s="308">
        <v>46016</v>
      </c>
      <c r="H355" s="308">
        <v>46016</v>
      </c>
      <c r="I355" s="309">
        <v>16903.73</v>
      </c>
      <c r="J355" s="306" t="s">
        <v>1008</v>
      </c>
      <c r="K355" s="309">
        <v>16903.73</v>
      </c>
      <c r="L355" s="306" t="s">
        <v>1008</v>
      </c>
      <c r="M355" s="306" t="s">
        <v>3656</v>
      </c>
      <c r="N355" s="306" t="s">
        <v>3657</v>
      </c>
      <c r="O355" s="306" t="s">
        <v>1013</v>
      </c>
      <c r="P355" s="306" t="s">
        <v>2916</v>
      </c>
      <c r="Q355" s="306" t="s">
        <v>1013</v>
      </c>
      <c r="R355" s="306" t="s">
        <v>1013</v>
      </c>
      <c r="S355" s="306" t="s">
        <v>1013</v>
      </c>
      <c r="T355" s="306" t="s">
        <v>1013</v>
      </c>
      <c r="U355" s="306" t="s">
        <v>2917</v>
      </c>
      <c r="V355" s="306" t="s">
        <v>1013</v>
      </c>
      <c r="W355" s="306" t="s">
        <v>1013</v>
      </c>
      <c r="X355" s="306" t="s">
        <v>1013</v>
      </c>
      <c r="Y355" s="306" t="s">
        <v>2917</v>
      </c>
      <c r="Z355" s="306" t="s">
        <v>2456</v>
      </c>
      <c r="AA355" s="306" t="s">
        <v>1013</v>
      </c>
    </row>
    <row r="356" spans="1:27">
      <c r="A356" s="306" t="s">
        <v>494</v>
      </c>
      <c r="B356" s="306" t="s">
        <v>1003</v>
      </c>
      <c r="C356" s="306" t="s">
        <v>1004</v>
      </c>
      <c r="D356" s="306" t="s">
        <v>2480</v>
      </c>
      <c r="E356" s="306" t="s">
        <v>3658</v>
      </c>
      <c r="F356" s="306" t="s">
        <v>2486</v>
      </c>
      <c r="G356" s="308">
        <v>46016</v>
      </c>
      <c r="H356" s="308">
        <v>46016</v>
      </c>
      <c r="I356" s="309">
        <v>17017.18</v>
      </c>
      <c r="J356" s="306" t="s">
        <v>1008</v>
      </c>
      <c r="K356" s="309">
        <v>17017.18</v>
      </c>
      <c r="L356" s="306" t="s">
        <v>1008</v>
      </c>
      <c r="M356" s="306" t="s">
        <v>3659</v>
      </c>
      <c r="N356" s="306" t="s">
        <v>3660</v>
      </c>
      <c r="O356" s="306" t="s">
        <v>1013</v>
      </c>
      <c r="P356" s="306" t="s">
        <v>2916</v>
      </c>
      <c r="Q356" s="306" t="s">
        <v>1013</v>
      </c>
      <c r="R356" s="306" t="s">
        <v>1013</v>
      </c>
      <c r="S356" s="306" t="s">
        <v>1013</v>
      </c>
      <c r="T356" s="306" t="s">
        <v>1013</v>
      </c>
      <c r="U356" s="306" t="s">
        <v>2917</v>
      </c>
      <c r="V356" s="306" t="s">
        <v>1013</v>
      </c>
      <c r="W356" s="306" t="s">
        <v>1013</v>
      </c>
      <c r="X356" s="306" t="s">
        <v>1013</v>
      </c>
      <c r="Y356" s="306" t="s">
        <v>2917</v>
      </c>
      <c r="Z356" s="306" t="s">
        <v>2456</v>
      </c>
      <c r="AA356" s="306" t="s">
        <v>1013</v>
      </c>
    </row>
    <row r="357" spans="1:27">
      <c r="A357" s="306" t="s">
        <v>494</v>
      </c>
      <c r="B357" s="306" t="s">
        <v>1003</v>
      </c>
      <c r="C357" s="306" t="s">
        <v>1004</v>
      </c>
      <c r="D357" s="306" t="s">
        <v>2480</v>
      </c>
      <c r="E357" s="306" t="s">
        <v>3661</v>
      </c>
      <c r="F357" s="306" t="s">
        <v>2486</v>
      </c>
      <c r="G357" s="308">
        <v>46016</v>
      </c>
      <c r="H357" s="308">
        <v>46016</v>
      </c>
      <c r="I357" s="309">
        <v>27356.14</v>
      </c>
      <c r="J357" s="306" t="s">
        <v>1008</v>
      </c>
      <c r="K357" s="309">
        <v>27356.14</v>
      </c>
      <c r="L357" s="306" t="s">
        <v>1008</v>
      </c>
      <c r="M357" s="306" t="s">
        <v>3662</v>
      </c>
      <c r="N357" s="306" t="s">
        <v>3663</v>
      </c>
      <c r="O357" s="306" t="s">
        <v>1013</v>
      </c>
      <c r="P357" s="306" t="s">
        <v>2916</v>
      </c>
      <c r="Q357" s="306" t="s">
        <v>1013</v>
      </c>
      <c r="R357" s="306" t="s">
        <v>1013</v>
      </c>
      <c r="S357" s="306" t="s">
        <v>1013</v>
      </c>
      <c r="T357" s="306" t="s">
        <v>1013</v>
      </c>
      <c r="U357" s="306" t="s">
        <v>2917</v>
      </c>
      <c r="V357" s="306" t="s">
        <v>1013</v>
      </c>
      <c r="W357" s="306" t="s">
        <v>1013</v>
      </c>
      <c r="X357" s="306" t="s">
        <v>1013</v>
      </c>
      <c r="Y357" s="306" t="s">
        <v>2917</v>
      </c>
      <c r="Z357" s="306" t="s">
        <v>2456</v>
      </c>
      <c r="AA357" s="306" t="s">
        <v>1013</v>
      </c>
    </row>
    <row r="358" spans="1:27">
      <c r="A358" s="306" t="s">
        <v>494</v>
      </c>
      <c r="B358" s="306" t="s">
        <v>1003</v>
      </c>
      <c r="C358" s="306" t="s">
        <v>1004</v>
      </c>
      <c r="D358" s="306" t="s">
        <v>2480</v>
      </c>
      <c r="E358" s="306" t="s">
        <v>3664</v>
      </c>
      <c r="F358" s="306" t="s">
        <v>2486</v>
      </c>
      <c r="G358" s="308">
        <v>46016</v>
      </c>
      <c r="H358" s="308">
        <v>46016</v>
      </c>
      <c r="I358" s="309">
        <v>27356.14</v>
      </c>
      <c r="J358" s="306" t="s">
        <v>1008</v>
      </c>
      <c r="K358" s="309">
        <v>27356.14</v>
      </c>
      <c r="L358" s="306" t="s">
        <v>1008</v>
      </c>
      <c r="M358" s="306" t="s">
        <v>3665</v>
      </c>
      <c r="N358" s="306" t="s">
        <v>3666</v>
      </c>
      <c r="O358" s="306" t="s">
        <v>1013</v>
      </c>
      <c r="P358" s="306" t="s">
        <v>2916</v>
      </c>
      <c r="Q358" s="306" t="s">
        <v>1013</v>
      </c>
      <c r="R358" s="306" t="s">
        <v>1013</v>
      </c>
      <c r="S358" s="306" t="s">
        <v>1013</v>
      </c>
      <c r="T358" s="306" t="s">
        <v>1013</v>
      </c>
      <c r="U358" s="306" t="s">
        <v>2917</v>
      </c>
      <c r="V358" s="306" t="s">
        <v>1013</v>
      </c>
      <c r="W358" s="306" t="s">
        <v>1013</v>
      </c>
      <c r="X358" s="306" t="s">
        <v>1013</v>
      </c>
      <c r="Y358" s="306" t="s">
        <v>2917</v>
      </c>
      <c r="Z358" s="306" t="s">
        <v>2456</v>
      </c>
      <c r="AA358" s="306" t="s">
        <v>1013</v>
      </c>
    </row>
    <row r="359" spans="1:27">
      <c r="A359" s="306" t="s">
        <v>494</v>
      </c>
      <c r="B359" s="306" t="s">
        <v>1003</v>
      </c>
      <c r="C359" s="306" t="s">
        <v>1004</v>
      </c>
      <c r="D359" s="306" t="s">
        <v>2480</v>
      </c>
      <c r="E359" s="306" t="s">
        <v>3667</v>
      </c>
      <c r="F359" s="306" t="s">
        <v>2486</v>
      </c>
      <c r="G359" s="308">
        <v>46016</v>
      </c>
      <c r="H359" s="308">
        <v>46016</v>
      </c>
      <c r="I359" s="309">
        <v>27356.14</v>
      </c>
      <c r="J359" s="306" t="s">
        <v>1008</v>
      </c>
      <c r="K359" s="309">
        <v>27356.14</v>
      </c>
      <c r="L359" s="306" t="s">
        <v>1008</v>
      </c>
      <c r="M359" s="306" t="s">
        <v>3668</v>
      </c>
      <c r="N359" s="306" t="s">
        <v>3669</v>
      </c>
      <c r="O359" s="306" t="s">
        <v>1013</v>
      </c>
      <c r="P359" s="306" t="s">
        <v>2916</v>
      </c>
      <c r="Q359" s="306" t="s">
        <v>1013</v>
      </c>
      <c r="R359" s="306" t="s">
        <v>1013</v>
      </c>
      <c r="S359" s="306" t="s">
        <v>1013</v>
      </c>
      <c r="T359" s="306" t="s">
        <v>1013</v>
      </c>
      <c r="U359" s="306" t="s">
        <v>2917</v>
      </c>
      <c r="V359" s="306" t="s">
        <v>1013</v>
      </c>
      <c r="W359" s="306" t="s">
        <v>1013</v>
      </c>
      <c r="X359" s="306" t="s">
        <v>1013</v>
      </c>
      <c r="Y359" s="306" t="s">
        <v>2917</v>
      </c>
      <c r="Z359" s="306" t="s">
        <v>2456</v>
      </c>
      <c r="AA359" s="306" t="s">
        <v>1013</v>
      </c>
    </row>
    <row r="360" spans="1:27">
      <c r="A360" s="306" t="s">
        <v>494</v>
      </c>
      <c r="B360" s="306" t="s">
        <v>1003</v>
      </c>
      <c r="C360" s="306" t="s">
        <v>1004</v>
      </c>
      <c r="D360" s="306" t="s">
        <v>2480</v>
      </c>
      <c r="E360" s="306" t="s">
        <v>3670</v>
      </c>
      <c r="F360" s="306" t="s">
        <v>2486</v>
      </c>
      <c r="G360" s="308">
        <v>46016</v>
      </c>
      <c r="H360" s="308">
        <v>46016</v>
      </c>
      <c r="I360" s="309">
        <v>27356.14</v>
      </c>
      <c r="J360" s="306" t="s">
        <v>1008</v>
      </c>
      <c r="K360" s="309">
        <v>27356.14</v>
      </c>
      <c r="L360" s="306" t="s">
        <v>1008</v>
      </c>
      <c r="M360" s="306" t="s">
        <v>3671</v>
      </c>
      <c r="N360" s="306" t="s">
        <v>3672</v>
      </c>
      <c r="O360" s="306" t="s">
        <v>1013</v>
      </c>
      <c r="P360" s="306" t="s">
        <v>2916</v>
      </c>
      <c r="Q360" s="306" t="s">
        <v>1013</v>
      </c>
      <c r="R360" s="306" t="s">
        <v>1013</v>
      </c>
      <c r="S360" s="306" t="s">
        <v>1013</v>
      </c>
      <c r="T360" s="306" t="s">
        <v>1013</v>
      </c>
      <c r="U360" s="306" t="s">
        <v>2917</v>
      </c>
      <c r="V360" s="306" t="s">
        <v>1013</v>
      </c>
      <c r="W360" s="306" t="s">
        <v>1013</v>
      </c>
      <c r="X360" s="306" t="s">
        <v>1013</v>
      </c>
      <c r="Y360" s="306" t="s">
        <v>2917</v>
      </c>
      <c r="Z360" s="306" t="s">
        <v>2456</v>
      </c>
      <c r="AA360" s="306" t="s">
        <v>1013</v>
      </c>
    </row>
    <row r="361" spans="1:27">
      <c r="A361" s="306" t="s">
        <v>494</v>
      </c>
      <c r="B361" s="306" t="s">
        <v>1003</v>
      </c>
      <c r="C361" s="306" t="s">
        <v>1004</v>
      </c>
      <c r="D361" s="306" t="s">
        <v>2480</v>
      </c>
      <c r="E361" s="306" t="s">
        <v>3673</v>
      </c>
      <c r="F361" s="306" t="s">
        <v>2486</v>
      </c>
      <c r="G361" s="308">
        <v>46016</v>
      </c>
      <c r="H361" s="308">
        <v>46016</v>
      </c>
      <c r="I361" s="309">
        <v>17605.64</v>
      </c>
      <c r="J361" s="306" t="s">
        <v>1008</v>
      </c>
      <c r="K361" s="309">
        <v>17605.64</v>
      </c>
      <c r="L361" s="306" t="s">
        <v>1008</v>
      </c>
      <c r="M361" s="306" t="s">
        <v>3674</v>
      </c>
      <c r="N361" s="306" t="s">
        <v>3675</v>
      </c>
      <c r="O361" s="306" t="s">
        <v>1013</v>
      </c>
      <c r="P361" s="306" t="s">
        <v>2916</v>
      </c>
      <c r="Q361" s="306" t="s">
        <v>1013</v>
      </c>
      <c r="R361" s="306" t="s">
        <v>1013</v>
      </c>
      <c r="S361" s="306" t="s">
        <v>1013</v>
      </c>
      <c r="T361" s="306" t="s">
        <v>1013</v>
      </c>
      <c r="U361" s="306" t="s">
        <v>2917</v>
      </c>
      <c r="V361" s="306" t="s">
        <v>1013</v>
      </c>
      <c r="W361" s="306" t="s">
        <v>1013</v>
      </c>
      <c r="X361" s="306" t="s">
        <v>1013</v>
      </c>
      <c r="Y361" s="306" t="s">
        <v>2917</v>
      </c>
      <c r="Z361" s="306" t="s">
        <v>2456</v>
      </c>
      <c r="AA361" s="306" t="s">
        <v>1013</v>
      </c>
    </row>
    <row r="362" spans="1:27">
      <c r="A362" s="306" t="s">
        <v>494</v>
      </c>
      <c r="B362" s="306" t="s">
        <v>1003</v>
      </c>
      <c r="C362" s="306" t="s">
        <v>1004</v>
      </c>
      <c r="D362" s="306" t="s">
        <v>2480</v>
      </c>
      <c r="E362" s="306" t="s">
        <v>3676</v>
      </c>
      <c r="F362" s="306" t="s">
        <v>2486</v>
      </c>
      <c r="G362" s="308">
        <v>46016</v>
      </c>
      <c r="H362" s="308">
        <v>46016</v>
      </c>
      <c r="I362" s="309">
        <v>17008.63</v>
      </c>
      <c r="J362" s="306" t="s">
        <v>1008</v>
      </c>
      <c r="K362" s="309">
        <v>17008.63</v>
      </c>
      <c r="L362" s="306" t="s">
        <v>1008</v>
      </c>
      <c r="M362" s="306" t="s">
        <v>3677</v>
      </c>
      <c r="N362" s="306" t="s">
        <v>3678</v>
      </c>
      <c r="O362" s="306" t="s">
        <v>1013</v>
      </c>
      <c r="P362" s="306" t="s">
        <v>2916</v>
      </c>
      <c r="Q362" s="306" t="s">
        <v>1013</v>
      </c>
      <c r="R362" s="306" t="s">
        <v>1013</v>
      </c>
      <c r="S362" s="306" t="s">
        <v>1013</v>
      </c>
      <c r="T362" s="306" t="s">
        <v>1013</v>
      </c>
      <c r="U362" s="306" t="s">
        <v>2917</v>
      </c>
      <c r="V362" s="306" t="s">
        <v>1013</v>
      </c>
      <c r="W362" s="306" t="s">
        <v>1013</v>
      </c>
      <c r="X362" s="306" t="s">
        <v>1013</v>
      </c>
      <c r="Y362" s="306" t="s">
        <v>2917</v>
      </c>
      <c r="Z362" s="306" t="s">
        <v>2456</v>
      </c>
      <c r="AA362" s="306" t="s">
        <v>1013</v>
      </c>
    </row>
    <row r="363" spans="1:27">
      <c r="A363" s="306" t="s">
        <v>494</v>
      </c>
      <c r="B363" s="306" t="s">
        <v>1003</v>
      </c>
      <c r="C363" s="306" t="s">
        <v>1004</v>
      </c>
      <c r="D363" s="306" t="s">
        <v>2480</v>
      </c>
      <c r="E363" s="306" t="s">
        <v>3679</v>
      </c>
      <c r="F363" s="306" t="s">
        <v>2486</v>
      </c>
      <c r="G363" s="308">
        <v>46016</v>
      </c>
      <c r="H363" s="308">
        <v>46016</v>
      </c>
      <c r="I363" s="309">
        <v>17238.650000000001</v>
      </c>
      <c r="J363" s="306" t="s">
        <v>1008</v>
      </c>
      <c r="K363" s="309">
        <v>17238.650000000001</v>
      </c>
      <c r="L363" s="306" t="s">
        <v>1008</v>
      </c>
      <c r="M363" s="306" t="s">
        <v>3680</v>
      </c>
      <c r="N363" s="306" t="s">
        <v>3681</v>
      </c>
      <c r="O363" s="306" t="s">
        <v>1013</v>
      </c>
      <c r="P363" s="306" t="s">
        <v>2916</v>
      </c>
      <c r="Q363" s="306" t="s">
        <v>1013</v>
      </c>
      <c r="R363" s="306" t="s">
        <v>1013</v>
      </c>
      <c r="S363" s="306" t="s">
        <v>1013</v>
      </c>
      <c r="T363" s="306" t="s">
        <v>1013</v>
      </c>
      <c r="U363" s="306" t="s">
        <v>2917</v>
      </c>
      <c r="V363" s="306" t="s">
        <v>1013</v>
      </c>
      <c r="W363" s="306" t="s">
        <v>1013</v>
      </c>
      <c r="X363" s="306" t="s">
        <v>1013</v>
      </c>
      <c r="Y363" s="306" t="s">
        <v>2917</v>
      </c>
      <c r="Z363" s="306" t="s">
        <v>2456</v>
      </c>
      <c r="AA363" s="306" t="s">
        <v>1013</v>
      </c>
    </row>
    <row r="364" spans="1:27">
      <c r="A364" s="306" t="s">
        <v>494</v>
      </c>
      <c r="B364" s="306" t="s">
        <v>1003</v>
      </c>
      <c r="C364" s="306" t="s">
        <v>1004</v>
      </c>
      <c r="D364" s="306" t="s">
        <v>2480</v>
      </c>
      <c r="E364" s="306" t="s">
        <v>3682</v>
      </c>
      <c r="F364" s="306" t="s">
        <v>2486</v>
      </c>
      <c r="G364" s="308">
        <v>46016</v>
      </c>
      <c r="H364" s="308">
        <v>46016</v>
      </c>
      <c r="I364" s="309">
        <v>17430.080000000002</v>
      </c>
      <c r="J364" s="306" t="s">
        <v>1008</v>
      </c>
      <c r="K364" s="309">
        <v>17430.080000000002</v>
      </c>
      <c r="L364" s="306" t="s">
        <v>1008</v>
      </c>
      <c r="M364" s="306" t="s">
        <v>3683</v>
      </c>
      <c r="N364" s="306" t="s">
        <v>3684</v>
      </c>
      <c r="O364" s="306" t="s">
        <v>1013</v>
      </c>
      <c r="P364" s="306" t="s">
        <v>2916</v>
      </c>
      <c r="Q364" s="306" t="s">
        <v>1013</v>
      </c>
      <c r="R364" s="306" t="s">
        <v>1013</v>
      </c>
      <c r="S364" s="306" t="s">
        <v>1013</v>
      </c>
      <c r="T364" s="306" t="s">
        <v>1013</v>
      </c>
      <c r="U364" s="306" t="s">
        <v>2917</v>
      </c>
      <c r="V364" s="306" t="s">
        <v>1013</v>
      </c>
      <c r="W364" s="306" t="s">
        <v>1013</v>
      </c>
      <c r="X364" s="306" t="s">
        <v>1013</v>
      </c>
      <c r="Y364" s="306" t="s">
        <v>2917</v>
      </c>
      <c r="Z364" s="306" t="s">
        <v>2456</v>
      </c>
      <c r="AA364" s="306" t="s">
        <v>1013</v>
      </c>
    </row>
    <row r="365" spans="1:27">
      <c r="A365" s="306" t="s">
        <v>494</v>
      </c>
      <c r="B365" s="306" t="s">
        <v>1003</v>
      </c>
      <c r="C365" s="306" t="s">
        <v>1004</v>
      </c>
      <c r="D365" s="306" t="s">
        <v>2480</v>
      </c>
      <c r="E365" s="306" t="s">
        <v>3685</v>
      </c>
      <c r="F365" s="306" t="s">
        <v>2486</v>
      </c>
      <c r="G365" s="308">
        <v>46016</v>
      </c>
      <c r="H365" s="308">
        <v>46016</v>
      </c>
      <c r="I365" s="309">
        <v>17171.78</v>
      </c>
      <c r="J365" s="306" t="s">
        <v>1008</v>
      </c>
      <c r="K365" s="309">
        <v>17171.78</v>
      </c>
      <c r="L365" s="306" t="s">
        <v>1008</v>
      </c>
      <c r="M365" s="306" t="s">
        <v>3686</v>
      </c>
      <c r="N365" s="306" t="s">
        <v>3687</v>
      </c>
      <c r="O365" s="306" t="s">
        <v>1013</v>
      </c>
      <c r="P365" s="306" t="s">
        <v>2916</v>
      </c>
      <c r="Q365" s="306" t="s">
        <v>1013</v>
      </c>
      <c r="R365" s="306" t="s">
        <v>1013</v>
      </c>
      <c r="S365" s="306" t="s">
        <v>1013</v>
      </c>
      <c r="T365" s="306" t="s">
        <v>1013</v>
      </c>
      <c r="U365" s="306" t="s">
        <v>2917</v>
      </c>
      <c r="V365" s="306" t="s">
        <v>1013</v>
      </c>
      <c r="W365" s="306" t="s">
        <v>1013</v>
      </c>
      <c r="X365" s="306" t="s">
        <v>1013</v>
      </c>
      <c r="Y365" s="306" t="s">
        <v>2917</v>
      </c>
      <c r="Z365" s="306" t="s">
        <v>2456</v>
      </c>
      <c r="AA365" s="306" t="s">
        <v>1013</v>
      </c>
    </row>
    <row r="366" spans="1:27">
      <c r="A366" s="306" t="s">
        <v>494</v>
      </c>
      <c r="B366" s="306" t="s">
        <v>1003</v>
      </c>
      <c r="C366" s="306" t="s">
        <v>1004</v>
      </c>
      <c r="D366" s="306" t="s">
        <v>2480</v>
      </c>
      <c r="E366" s="306" t="s">
        <v>3688</v>
      </c>
      <c r="F366" s="306" t="s">
        <v>2486</v>
      </c>
      <c r="G366" s="308">
        <v>46016</v>
      </c>
      <c r="H366" s="308">
        <v>46016</v>
      </c>
      <c r="I366" s="309">
        <v>16869.330000000002</v>
      </c>
      <c r="J366" s="306" t="s">
        <v>1008</v>
      </c>
      <c r="K366" s="309">
        <v>16869.330000000002</v>
      </c>
      <c r="L366" s="306" t="s">
        <v>1008</v>
      </c>
      <c r="M366" s="306" t="s">
        <v>3689</v>
      </c>
      <c r="N366" s="306" t="s">
        <v>3690</v>
      </c>
      <c r="O366" s="306" t="s">
        <v>1013</v>
      </c>
      <c r="P366" s="306" t="s">
        <v>2916</v>
      </c>
      <c r="Q366" s="306" t="s">
        <v>1013</v>
      </c>
      <c r="R366" s="306" t="s">
        <v>1013</v>
      </c>
      <c r="S366" s="306" t="s">
        <v>1013</v>
      </c>
      <c r="T366" s="306" t="s">
        <v>1013</v>
      </c>
      <c r="U366" s="306" t="s">
        <v>2917</v>
      </c>
      <c r="V366" s="306" t="s">
        <v>1013</v>
      </c>
      <c r="W366" s="306" t="s">
        <v>1013</v>
      </c>
      <c r="X366" s="306" t="s">
        <v>1013</v>
      </c>
      <c r="Y366" s="306" t="s">
        <v>2917</v>
      </c>
      <c r="Z366" s="306" t="s">
        <v>2456</v>
      </c>
      <c r="AA366" s="306" t="s">
        <v>1013</v>
      </c>
    </row>
    <row r="367" spans="1:27">
      <c r="A367" s="306" t="s">
        <v>494</v>
      </c>
      <c r="B367" s="306" t="s">
        <v>1003</v>
      </c>
      <c r="C367" s="306" t="s">
        <v>1004</v>
      </c>
      <c r="D367" s="306" t="s">
        <v>2480</v>
      </c>
      <c r="E367" s="306" t="s">
        <v>3691</v>
      </c>
      <c r="F367" s="306" t="s">
        <v>2486</v>
      </c>
      <c r="G367" s="308">
        <v>46016</v>
      </c>
      <c r="H367" s="308">
        <v>46016</v>
      </c>
      <c r="I367" s="309">
        <v>16711.97</v>
      </c>
      <c r="J367" s="306" t="s">
        <v>1008</v>
      </c>
      <c r="K367" s="309">
        <v>16711.97</v>
      </c>
      <c r="L367" s="306" t="s">
        <v>1008</v>
      </c>
      <c r="M367" s="306" t="s">
        <v>3692</v>
      </c>
      <c r="N367" s="306" t="s">
        <v>3693</v>
      </c>
      <c r="O367" s="306" t="s">
        <v>1013</v>
      </c>
      <c r="P367" s="306" t="s">
        <v>2916</v>
      </c>
      <c r="Q367" s="306" t="s">
        <v>1013</v>
      </c>
      <c r="R367" s="306" t="s">
        <v>1013</v>
      </c>
      <c r="S367" s="306" t="s">
        <v>1013</v>
      </c>
      <c r="T367" s="306" t="s">
        <v>1013</v>
      </c>
      <c r="U367" s="306" t="s">
        <v>2917</v>
      </c>
      <c r="V367" s="306" t="s">
        <v>1013</v>
      </c>
      <c r="W367" s="306" t="s">
        <v>1013</v>
      </c>
      <c r="X367" s="306" t="s">
        <v>1013</v>
      </c>
      <c r="Y367" s="306" t="s">
        <v>2917</v>
      </c>
      <c r="Z367" s="306" t="s">
        <v>2456</v>
      </c>
      <c r="AA367" s="306" t="s">
        <v>1013</v>
      </c>
    </row>
    <row r="368" spans="1:27">
      <c r="A368" s="306" t="s">
        <v>494</v>
      </c>
      <c r="B368" s="306" t="s">
        <v>1003</v>
      </c>
      <c r="C368" s="306" t="s">
        <v>1004</v>
      </c>
      <c r="D368" s="306" t="s">
        <v>2480</v>
      </c>
      <c r="E368" s="306" t="s">
        <v>3694</v>
      </c>
      <c r="F368" s="306" t="s">
        <v>2486</v>
      </c>
      <c r="G368" s="308">
        <v>46016</v>
      </c>
      <c r="H368" s="308">
        <v>46016</v>
      </c>
      <c r="I368" s="309">
        <v>30424.53</v>
      </c>
      <c r="J368" s="306" t="s">
        <v>1008</v>
      </c>
      <c r="K368" s="309">
        <v>30424.53</v>
      </c>
      <c r="L368" s="306" t="s">
        <v>1008</v>
      </c>
      <c r="M368" s="306" t="s">
        <v>3695</v>
      </c>
      <c r="N368" s="306" t="s">
        <v>3696</v>
      </c>
      <c r="O368" s="306" t="s">
        <v>1013</v>
      </c>
      <c r="P368" s="306" t="s">
        <v>1013</v>
      </c>
      <c r="Q368" s="306" t="s">
        <v>1013</v>
      </c>
      <c r="R368" s="306" t="s">
        <v>1013</v>
      </c>
      <c r="S368" s="306" t="s">
        <v>1013</v>
      </c>
      <c r="T368" s="306" t="s">
        <v>1013</v>
      </c>
      <c r="U368" s="306" t="s">
        <v>3697</v>
      </c>
      <c r="V368" s="306" t="s">
        <v>1013</v>
      </c>
      <c r="W368" s="306" t="s">
        <v>1013</v>
      </c>
      <c r="X368" s="306" t="s">
        <v>1013</v>
      </c>
      <c r="Y368" s="306" t="s">
        <v>3102</v>
      </c>
      <c r="Z368" s="306" t="s">
        <v>2456</v>
      </c>
      <c r="AA368" s="306" t="s">
        <v>1013</v>
      </c>
    </row>
    <row r="369" spans="1:27">
      <c r="A369" s="306" t="s">
        <v>494</v>
      </c>
      <c r="B369" s="306" t="s">
        <v>1003</v>
      </c>
      <c r="C369" s="306" t="s">
        <v>1004</v>
      </c>
      <c r="D369" s="306" t="s">
        <v>2480</v>
      </c>
      <c r="E369" s="306" t="s">
        <v>3698</v>
      </c>
      <c r="F369" s="306" t="s">
        <v>2486</v>
      </c>
      <c r="G369" s="308">
        <v>46016</v>
      </c>
      <c r="H369" s="308">
        <v>46016</v>
      </c>
      <c r="I369" s="309">
        <v>831.68</v>
      </c>
      <c r="J369" s="306" t="s">
        <v>1008</v>
      </c>
      <c r="K369" s="309">
        <v>831.68</v>
      </c>
      <c r="L369" s="306" t="s">
        <v>1008</v>
      </c>
      <c r="M369" s="306" t="s">
        <v>3699</v>
      </c>
      <c r="N369" s="306" t="s">
        <v>3700</v>
      </c>
      <c r="O369" s="306" t="s">
        <v>1013</v>
      </c>
      <c r="P369" s="306" t="s">
        <v>1013</v>
      </c>
      <c r="Q369" s="306" t="s">
        <v>1013</v>
      </c>
      <c r="R369" s="306" t="s">
        <v>1013</v>
      </c>
      <c r="S369" s="306" t="s">
        <v>1013</v>
      </c>
      <c r="T369" s="306" t="s">
        <v>1013</v>
      </c>
      <c r="U369" s="306" t="s">
        <v>3701</v>
      </c>
      <c r="V369" s="306" t="s">
        <v>1013</v>
      </c>
      <c r="W369" s="306" t="s">
        <v>1013</v>
      </c>
      <c r="X369" s="306" t="s">
        <v>1013</v>
      </c>
      <c r="Y369" s="306" t="s">
        <v>2047</v>
      </c>
      <c r="Z369" s="306" t="s">
        <v>2456</v>
      </c>
      <c r="AA369" s="306" t="s">
        <v>1013</v>
      </c>
    </row>
    <row r="370" spans="1:27">
      <c r="A370" s="306" t="s">
        <v>494</v>
      </c>
      <c r="B370" s="306" t="s">
        <v>1003</v>
      </c>
      <c r="C370" s="306" t="s">
        <v>1004</v>
      </c>
      <c r="D370" s="306" t="s">
        <v>2480</v>
      </c>
      <c r="E370" s="306" t="s">
        <v>3702</v>
      </c>
      <c r="F370" s="306" t="s">
        <v>2486</v>
      </c>
      <c r="G370" s="308">
        <v>46016</v>
      </c>
      <c r="H370" s="308">
        <v>46016</v>
      </c>
      <c r="I370" s="309">
        <v>16256.47</v>
      </c>
      <c r="J370" s="306" t="s">
        <v>1008</v>
      </c>
      <c r="K370" s="309">
        <v>16256.47</v>
      </c>
      <c r="L370" s="306" t="s">
        <v>1008</v>
      </c>
      <c r="M370" s="306" t="s">
        <v>3703</v>
      </c>
      <c r="N370" s="306" t="s">
        <v>3704</v>
      </c>
      <c r="O370" s="306" t="s">
        <v>1013</v>
      </c>
      <c r="P370" s="306" t="s">
        <v>2916</v>
      </c>
      <c r="Q370" s="306" t="s">
        <v>1013</v>
      </c>
      <c r="R370" s="306" t="s">
        <v>1013</v>
      </c>
      <c r="S370" s="306" t="s">
        <v>1013</v>
      </c>
      <c r="T370" s="306" t="s">
        <v>1013</v>
      </c>
      <c r="U370" s="306" t="s">
        <v>3705</v>
      </c>
      <c r="V370" s="306" t="s">
        <v>1013</v>
      </c>
      <c r="W370" s="306" t="s">
        <v>1013</v>
      </c>
      <c r="X370" s="306" t="s">
        <v>1013</v>
      </c>
      <c r="Y370" s="306" t="s">
        <v>3705</v>
      </c>
      <c r="Z370" s="306" t="s">
        <v>2456</v>
      </c>
      <c r="AA370" s="306" t="s">
        <v>1013</v>
      </c>
    </row>
    <row r="371" spans="1:27">
      <c r="A371" s="306" t="s">
        <v>494</v>
      </c>
      <c r="B371" s="306" t="s">
        <v>1003</v>
      </c>
      <c r="C371" s="306" t="s">
        <v>1004</v>
      </c>
      <c r="D371" s="306" t="s">
        <v>2480</v>
      </c>
      <c r="E371" s="306" t="s">
        <v>3706</v>
      </c>
      <c r="F371" s="306" t="s">
        <v>2486</v>
      </c>
      <c r="G371" s="308">
        <v>46016</v>
      </c>
      <c r="H371" s="308">
        <v>46016</v>
      </c>
      <c r="I371" s="309">
        <v>5840.02</v>
      </c>
      <c r="J371" s="306" t="s">
        <v>1008</v>
      </c>
      <c r="K371" s="309">
        <v>5840.02</v>
      </c>
      <c r="L371" s="306" t="s">
        <v>1008</v>
      </c>
      <c r="M371" s="306" t="s">
        <v>3707</v>
      </c>
      <c r="N371" s="306" t="s">
        <v>3708</v>
      </c>
      <c r="O371" s="306" t="s">
        <v>1013</v>
      </c>
      <c r="P371" s="306" t="s">
        <v>2916</v>
      </c>
      <c r="Q371" s="306" t="s">
        <v>1013</v>
      </c>
      <c r="R371" s="306" t="s">
        <v>1013</v>
      </c>
      <c r="S371" s="306" t="s">
        <v>1013</v>
      </c>
      <c r="T371" s="306" t="s">
        <v>1013</v>
      </c>
      <c r="U371" s="306" t="s">
        <v>3705</v>
      </c>
      <c r="V371" s="306" t="s">
        <v>1013</v>
      </c>
      <c r="W371" s="306" t="s">
        <v>1013</v>
      </c>
      <c r="X371" s="306" t="s">
        <v>1013</v>
      </c>
      <c r="Y371" s="306" t="s">
        <v>3705</v>
      </c>
      <c r="Z371" s="306" t="s">
        <v>2456</v>
      </c>
      <c r="AA371" s="306" t="s">
        <v>1013</v>
      </c>
    </row>
    <row r="372" spans="1:27">
      <c r="A372" s="306" t="s">
        <v>494</v>
      </c>
      <c r="B372" s="306" t="s">
        <v>1003</v>
      </c>
      <c r="C372" s="306" t="s">
        <v>1004</v>
      </c>
      <c r="D372" s="306" t="s">
        <v>2480</v>
      </c>
      <c r="E372" s="306" t="s">
        <v>3709</v>
      </c>
      <c r="F372" s="306" t="s">
        <v>2486</v>
      </c>
      <c r="G372" s="308">
        <v>46016</v>
      </c>
      <c r="H372" s="308">
        <v>46016</v>
      </c>
      <c r="I372" s="309">
        <v>3991.22</v>
      </c>
      <c r="J372" s="306" t="s">
        <v>1008</v>
      </c>
      <c r="K372" s="309">
        <v>3991.22</v>
      </c>
      <c r="L372" s="306" t="s">
        <v>1008</v>
      </c>
      <c r="M372" s="306" t="s">
        <v>3710</v>
      </c>
      <c r="N372" s="306" t="s">
        <v>3711</v>
      </c>
      <c r="O372" s="306" t="s">
        <v>1013</v>
      </c>
      <c r="P372" s="306" t="s">
        <v>2916</v>
      </c>
      <c r="Q372" s="306" t="s">
        <v>1013</v>
      </c>
      <c r="R372" s="306" t="s">
        <v>1013</v>
      </c>
      <c r="S372" s="306" t="s">
        <v>1013</v>
      </c>
      <c r="T372" s="306" t="s">
        <v>1013</v>
      </c>
      <c r="U372" s="306" t="s">
        <v>3705</v>
      </c>
      <c r="V372" s="306" t="s">
        <v>1013</v>
      </c>
      <c r="W372" s="306" t="s">
        <v>1013</v>
      </c>
      <c r="X372" s="306" t="s">
        <v>1013</v>
      </c>
      <c r="Y372" s="306" t="s">
        <v>3705</v>
      </c>
      <c r="Z372" s="306" t="s">
        <v>2456</v>
      </c>
      <c r="AA372" s="306" t="s">
        <v>1013</v>
      </c>
    </row>
    <row r="373" spans="1:27">
      <c r="A373" s="306" t="s">
        <v>494</v>
      </c>
      <c r="B373" s="306" t="s">
        <v>1003</v>
      </c>
      <c r="C373" s="306" t="s">
        <v>1004</v>
      </c>
      <c r="D373" s="306" t="s">
        <v>2480</v>
      </c>
      <c r="E373" s="306" t="s">
        <v>3712</v>
      </c>
      <c r="F373" s="306" t="s">
        <v>2486</v>
      </c>
      <c r="G373" s="308">
        <v>46016</v>
      </c>
      <c r="H373" s="308">
        <v>46016</v>
      </c>
      <c r="I373" s="309">
        <v>11517.39</v>
      </c>
      <c r="J373" s="306" t="s">
        <v>1008</v>
      </c>
      <c r="K373" s="309">
        <v>11517.39</v>
      </c>
      <c r="L373" s="306" t="s">
        <v>1008</v>
      </c>
      <c r="M373" s="306" t="s">
        <v>3713</v>
      </c>
      <c r="N373" s="306" t="s">
        <v>3714</v>
      </c>
      <c r="O373" s="306" t="s">
        <v>1013</v>
      </c>
      <c r="P373" s="306" t="s">
        <v>2916</v>
      </c>
      <c r="Q373" s="306" t="s">
        <v>1013</v>
      </c>
      <c r="R373" s="306" t="s">
        <v>1013</v>
      </c>
      <c r="S373" s="306" t="s">
        <v>1013</v>
      </c>
      <c r="T373" s="306" t="s">
        <v>1013</v>
      </c>
      <c r="U373" s="306" t="s">
        <v>3705</v>
      </c>
      <c r="V373" s="306" t="s">
        <v>1013</v>
      </c>
      <c r="W373" s="306" t="s">
        <v>1013</v>
      </c>
      <c r="X373" s="306" t="s">
        <v>1013</v>
      </c>
      <c r="Y373" s="306" t="s">
        <v>3705</v>
      </c>
      <c r="Z373" s="306" t="s">
        <v>2456</v>
      </c>
      <c r="AA373" s="306" t="s">
        <v>1013</v>
      </c>
    </row>
    <row r="374" spans="1:27">
      <c r="A374" s="306" t="s">
        <v>494</v>
      </c>
      <c r="B374" s="306" t="s">
        <v>1003</v>
      </c>
      <c r="C374" s="306" t="s">
        <v>1004</v>
      </c>
      <c r="D374" s="306" t="s">
        <v>2480</v>
      </c>
      <c r="E374" s="306" t="s">
        <v>3715</v>
      </c>
      <c r="F374" s="306" t="s">
        <v>2486</v>
      </c>
      <c r="G374" s="308">
        <v>46016</v>
      </c>
      <c r="H374" s="308">
        <v>46016</v>
      </c>
      <c r="I374" s="309">
        <v>3024.63</v>
      </c>
      <c r="J374" s="306" t="s">
        <v>1008</v>
      </c>
      <c r="K374" s="309">
        <v>3024.63</v>
      </c>
      <c r="L374" s="306" t="s">
        <v>1008</v>
      </c>
      <c r="M374" s="306" t="s">
        <v>3716</v>
      </c>
      <c r="N374" s="306" t="s">
        <v>3717</v>
      </c>
      <c r="O374" s="306" t="s">
        <v>1013</v>
      </c>
      <c r="P374" s="306" t="s">
        <v>2916</v>
      </c>
      <c r="Q374" s="306" t="s">
        <v>1013</v>
      </c>
      <c r="R374" s="306" t="s">
        <v>1013</v>
      </c>
      <c r="S374" s="306" t="s">
        <v>1013</v>
      </c>
      <c r="T374" s="306" t="s">
        <v>1013</v>
      </c>
      <c r="U374" s="306" t="s">
        <v>3705</v>
      </c>
      <c r="V374" s="306" t="s">
        <v>1013</v>
      </c>
      <c r="W374" s="306" t="s">
        <v>1013</v>
      </c>
      <c r="X374" s="306" t="s">
        <v>1013</v>
      </c>
      <c r="Y374" s="306" t="s">
        <v>3705</v>
      </c>
      <c r="Z374" s="306" t="s">
        <v>2456</v>
      </c>
      <c r="AA374" s="306" t="s">
        <v>1013</v>
      </c>
    </row>
    <row r="375" spans="1:27">
      <c r="A375" s="306" t="s">
        <v>494</v>
      </c>
      <c r="B375" s="306" t="s">
        <v>1003</v>
      </c>
      <c r="C375" s="306" t="s">
        <v>1004</v>
      </c>
      <c r="D375" s="306" t="s">
        <v>2480</v>
      </c>
      <c r="E375" s="306" t="s">
        <v>3718</v>
      </c>
      <c r="F375" s="306" t="s">
        <v>2486</v>
      </c>
      <c r="G375" s="308">
        <v>46016</v>
      </c>
      <c r="H375" s="308">
        <v>46016</v>
      </c>
      <c r="I375" s="309">
        <v>21933.96</v>
      </c>
      <c r="J375" s="306" t="s">
        <v>1008</v>
      </c>
      <c r="K375" s="309">
        <v>21933.96</v>
      </c>
      <c r="L375" s="306" t="s">
        <v>1008</v>
      </c>
      <c r="M375" s="306" t="s">
        <v>3719</v>
      </c>
      <c r="N375" s="306" t="s">
        <v>3720</v>
      </c>
      <c r="O375" s="306" t="s">
        <v>1013</v>
      </c>
      <c r="P375" s="306" t="s">
        <v>1013</v>
      </c>
      <c r="Q375" s="306" t="s">
        <v>1013</v>
      </c>
      <c r="R375" s="306" t="s">
        <v>1013</v>
      </c>
      <c r="S375" s="306" t="s">
        <v>1013</v>
      </c>
      <c r="T375" s="306" t="s">
        <v>1013</v>
      </c>
      <c r="U375" s="306" t="s">
        <v>3721</v>
      </c>
      <c r="V375" s="306" t="s">
        <v>1013</v>
      </c>
      <c r="W375" s="306" t="s">
        <v>1013</v>
      </c>
      <c r="X375" s="306" t="s">
        <v>1013</v>
      </c>
      <c r="Y375" s="306" t="s">
        <v>2047</v>
      </c>
      <c r="Z375" s="306" t="s">
        <v>2456</v>
      </c>
      <c r="AA375" s="306" t="s">
        <v>1013</v>
      </c>
    </row>
    <row r="376" spans="1:27">
      <c r="A376" s="306" t="s">
        <v>494</v>
      </c>
      <c r="B376" s="306" t="s">
        <v>1003</v>
      </c>
      <c r="C376" s="306" t="s">
        <v>1004</v>
      </c>
      <c r="D376" s="306" t="s">
        <v>2480</v>
      </c>
      <c r="E376" s="306" t="s">
        <v>3718</v>
      </c>
      <c r="F376" s="306" t="s">
        <v>2486</v>
      </c>
      <c r="G376" s="308">
        <v>46016</v>
      </c>
      <c r="H376" s="308">
        <v>46016</v>
      </c>
      <c r="I376" s="309">
        <v>23773.58</v>
      </c>
      <c r="J376" s="306" t="s">
        <v>1008</v>
      </c>
      <c r="K376" s="309">
        <v>23773.58</v>
      </c>
      <c r="L376" s="306" t="s">
        <v>1008</v>
      </c>
      <c r="M376" s="306" t="s">
        <v>3722</v>
      </c>
      <c r="N376" s="306" t="s">
        <v>3720</v>
      </c>
      <c r="O376" s="306" t="s">
        <v>1013</v>
      </c>
      <c r="P376" s="306" t="s">
        <v>1013</v>
      </c>
      <c r="Q376" s="306" t="s">
        <v>1013</v>
      </c>
      <c r="R376" s="306" t="s">
        <v>1013</v>
      </c>
      <c r="S376" s="306" t="s">
        <v>1013</v>
      </c>
      <c r="T376" s="306" t="s">
        <v>1013</v>
      </c>
      <c r="U376" s="306" t="s">
        <v>3721</v>
      </c>
      <c r="V376" s="306" t="s">
        <v>1013</v>
      </c>
      <c r="W376" s="306" t="s">
        <v>1013</v>
      </c>
      <c r="X376" s="306" t="s">
        <v>1013</v>
      </c>
      <c r="Y376" s="306" t="s">
        <v>2047</v>
      </c>
      <c r="Z376" s="306" t="s">
        <v>2456</v>
      </c>
      <c r="AA376" s="306" t="s">
        <v>1013</v>
      </c>
    </row>
    <row r="377" spans="1:27">
      <c r="A377" s="306" t="s">
        <v>494</v>
      </c>
      <c r="B377" s="306" t="s">
        <v>1003</v>
      </c>
      <c r="C377" s="306" t="s">
        <v>1004</v>
      </c>
      <c r="D377" s="306" t="s">
        <v>2480</v>
      </c>
      <c r="E377" s="306" t="s">
        <v>3723</v>
      </c>
      <c r="F377" s="306" t="s">
        <v>2486</v>
      </c>
      <c r="G377" s="308">
        <v>46016</v>
      </c>
      <c r="H377" s="308">
        <v>46016</v>
      </c>
      <c r="I377" s="309">
        <v>2300.89</v>
      </c>
      <c r="J377" s="306" t="s">
        <v>1008</v>
      </c>
      <c r="K377" s="309">
        <v>2300.89</v>
      </c>
      <c r="L377" s="306" t="s">
        <v>1008</v>
      </c>
      <c r="M377" s="306" t="s">
        <v>3724</v>
      </c>
      <c r="N377" s="306" t="s">
        <v>3725</v>
      </c>
      <c r="O377" s="306" t="s">
        <v>1770</v>
      </c>
      <c r="P377" s="306" t="s">
        <v>1013</v>
      </c>
      <c r="Q377" s="306" t="s">
        <v>1013</v>
      </c>
      <c r="R377" s="306" t="s">
        <v>1013</v>
      </c>
      <c r="S377" s="306" t="s">
        <v>1013</v>
      </c>
      <c r="T377" s="306" t="s">
        <v>1013</v>
      </c>
      <c r="U377" s="306" t="s">
        <v>3726</v>
      </c>
      <c r="V377" s="306" t="s">
        <v>1013</v>
      </c>
      <c r="W377" s="306" t="s">
        <v>1013</v>
      </c>
      <c r="X377" s="306" t="s">
        <v>1013</v>
      </c>
      <c r="Y377" s="306" t="s">
        <v>1697</v>
      </c>
      <c r="Z377" s="306" t="s">
        <v>2456</v>
      </c>
      <c r="AA377" s="306" t="s">
        <v>1013</v>
      </c>
    </row>
    <row r="378" spans="1:27">
      <c r="A378" s="306" t="s">
        <v>494</v>
      </c>
      <c r="B378" s="306" t="s">
        <v>1003</v>
      </c>
      <c r="C378" s="306" t="s">
        <v>1004</v>
      </c>
      <c r="D378" s="306" t="s">
        <v>2480</v>
      </c>
      <c r="E378" s="306" t="s">
        <v>3727</v>
      </c>
      <c r="F378" s="306" t="s">
        <v>2486</v>
      </c>
      <c r="G378" s="308">
        <v>46016</v>
      </c>
      <c r="H378" s="308">
        <v>46016</v>
      </c>
      <c r="I378" s="309">
        <v>93359.79</v>
      </c>
      <c r="J378" s="306" t="s">
        <v>1008</v>
      </c>
      <c r="K378" s="309">
        <v>93359.79</v>
      </c>
      <c r="L378" s="306" t="s">
        <v>1008</v>
      </c>
      <c r="M378" s="306" t="s">
        <v>3728</v>
      </c>
      <c r="N378" s="306" t="s">
        <v>3729</v>
      </c>
      <c r="O378" s="306" t="s">
        <v>1013</v>
      </c>
      <c r="P378" s="306" t="s">
        <v>2916</v>
      </c>
      <c r="Q378" s="306" t="s">
        <v>1013</v>
      </c>
      <c r="R378" s="306" t="s">
        <v>1013</v>
      </c>
      <c r="S378" s="306" t="s">
        <v>1013</v>
      </c>
      <c r="T378" s="306" t="s">
        <v>1013</v>
      </c>
      <c r="U378" s="306" t="s">
        <v>2917</v>
      </c>
      <c r="V378" s="306" t="s">
        <v>1013</v>
      </c>
      <c r="W378" s="306" t="s">
        <v>1013</v>
      </c>
      <c r="X378" s="306" t="s">
        <v>1013</v>
      </c>
      <c r="Y378" s="306" t="s">
        <v>2917</v>
      </c>
      <c r="Z378" s="306" t="s">
        <v>2456</v>
      </c>
      <c r="AA378" s="306" t="s">
        <v>1013</v>
      </c>
    </row>
    <row r="379" spans="1:27">
      <c r="A379" s="306" t="s">
        <v>494</v>
      </c>
      <c r="B379" s="306" t="s">
        <v>1003</v>
      </c>
      <c r="C379" s="306" t="s">
        <v>1004</v>
      </c>
      <c r="D379" s="306" t="s">
        <v>2480</v>
      </c>
      <c r="E379" s="306" t="s">
        <v>3730</v>
      </c>
      <c r="F379" s="306" t="s">
        <v>2486</v>
      </c>
      <c r="G379" s="308">
        <v>46016</v>
      </c>
      <c r="H379" s="308">
        <v>46016</v>
      </c>
      <c r="I379" s="309">
        <v>47401.19</v>
      </c>
      <c r="J379" s="306" t="s">
        <v>1008</v>
      </c>
      <c r="K379" s="309">
        <v>47401.19</v>
      </c>
      <c r="L379" s="306" t="s">
        <v>1008</v>
      </c>
      <c r="M379" s="306" t="s">
        <v>3731</v>
      </c>
      <c r="N379" s="306" t="s">
        <v>3732</v>
      </c>
      <c r="O379" s="306" t="s">
        <v>1013</v>
      </c>
      <c r="P379" s="306" t="s">
        <v>2916</v>
      </c>
      <c r="Q379" s="306" t="s">
        <v>1013</v>
      </c>
      <c r="R379" s="306" t="s">
        <v>1013</v>
      </c>
      <c r="S379" s="306" t="s">
        <v>1013</v>
      </c>
      <c r="T379" s="306" t="s">
        <v>1013</v>
      </c>
      <c r="U379" s="306" t="s">
        <v>2917</v>
      </c>
      <c r="V379" s="306" t="s">
        <v>1013</v>
      </c>
      <c r="W379" s="306" t="s">
        <v>1013</v>
      </c>
      <c r="X379" s="306" t="s">
        <v>1013</v>
      </c>
      <c r="Y379" s="306" t="s">
        <v>2917</v>
      </c>
      <c r="Z379" s="306" t="s">
        <v>2456</v>
      </c>
      <c r="AA379" s="306" t="s">
        <v>1013</v>
      </c>
    </row>
    <row r="380" spans="1:27">
      <c r="A380" s="306" t="s">
        <v>494</v>
      </c>
      <c r="B380" s="306" t="s">
        <v>1003</v>
      </c>
      <c r="C380" s="306" t="s">
        <v>1004</v>
      </c>
      <c r="D380" s="306" t="s">
        <v>2480</v>
      </c>
      <c r="E380" s="306" t="s">
        <v>3733</v>
      </c>
      <c r="F380" s="306" t="s">
        <v>2486</v>
      </c>
      <c r="G380" s="308">
        <v>46016</v>
      </c>
      <c r="H380" s="308">
        <v>46016</v>
      </c>
      <c r="I380" s="309">
        <v>47424.15</v>
      </c>
      <c r="J380" s="306" t="s">
        <v>1008</v>
      </c>
      <c r="K380" s="309">
        <v>47424.15</v>
      </c>
      <c r="L380" s="306" t="s">
        <v>1008</v>
      </c>
      <c r="M380" s="306" t="s">
        <v>3734</v>
      </c>
      <c r="N380" s="306" t="s">
        <v>3735</v>
      </c>
      <c r="O380" s="306" t="s">
        <v>1013</v>
      </c>
      <c r="P380" s="306" t="s">
        <v>2916</v>
      </c>
      <c r="Q380" s="306" t="s">
        <v>1013</v>
      </c>
      <c r="R380" s="306" t="s">
        <v>1013</v>
      </c>
      <c r="S380" s="306" t="s">
        <v>1013</v>
      </c>
      <c r="T380" s="306" t="s">
        <v>1013</v>
      </c>
      <c r="U380" s="306" t="s">
        <v>2917</v>
      </c>
      <c r="V380" s="306" t="s">
        <v>1013</v>
      </c>
      <c r="W380" s="306" t="s">
        <v>1013</v>
      </c>
      <c r="X380" s="306" t="s">
        <v>1013</v>
      </c>
      <c r="Y380" s="306" t="s">
        <v>2917</v>
      </c>
      <c r="Z380" s="306" t="s">
        <v>2456</v>
      </c>
      <c r="AA380" s="306" t="s">
        <v>1013</v>
      </c>
    </row>
    <row r="381" spans="1:27">
      <c r="A381" s="306" t="s">
        <v>494</v>
      </c>
      <c r="B381" s="306" t="s">
        <v>1003</v>
      </c>
      <c r="C381" s="306" t="s">
        <v>1004</v>
      </c>
      <c r="D381" s="306" t="s">
        <v>2480</v>
      </c>
      <c r="E381" s="306" t="s">
        <v>3736</v>
      </c>
      <c r="F381" s="306" t="s">
        <v>2486</v>
      </c>
      <c r="G381" s="308">
        <v>46016</v>
      </c>
      <c r="H381" s="308">
        <v>46016</v>
      </c>
      <c r="I381" s="309">
        <v>36363.82</v>
      </c>
      <c r="J381" s="306" t="s">
        <v>1008</v>
      </c>
      <c r="K381" s="309">
        <v>36363.82</v>
      </c>
      <c r="L381" s="306" t="s">
        <v>1008</v>
      </c>
      <c r="M381" s="306" t="s">
        <v>3737</v>
      </c>
      <c r="N381" s="306" t="s">
        <v>3738</v>
      </c>
      <c r="O381" s="306" t="s">
        <v>1013</v>
      </c>
      <c r="P381" s="306" t="s">
        <v>2916</v>
      </c>
      <c r="Q381" s="306" t="s">
        <v>1013</v>
      </c>
      <c r="R381" s="306" t="s">
        <v>1013</v>
      </c>
      <c r="S381" s="306" t="s">
        <v>1013</v>
      </c>
      <c r="T381" s="306" t="s">
        <v>1013</v>
      </c>
      <c r="U381" s="306" t="s">
        <v>2917</v>
      </c>
      <c r="V381" s="306" t="s">
        <v>1013</v>
      </c>
      <c r="W381" s="306" t="s">
        <v>1013</v>
      </c>
      <c r="X381" s="306" t="s">
        <v>1013</v>
      </c>
      <c r="Y381" s="306" t="s">
        <v>2917</v>
      </c>
      <c r="Z381" s="306" t="s">
        <v>2456</v>
      </c>
      <c r="AA381" s="306" t="s">
        <v>1013</v>
      </c>
    </row>
    <row r="382" spans="1:27">
      <c r="A382" s="306" t="s">
        <v>494</v>
      </c>
      <c r="B382" s="306" t="s">
        <v>1003</v>
      </c>
      <c r="C382" s="306" t="s">
        <v>1004</v>
      </c>
      <c r="D382" s="306" t="s">
        <v>2480</v>
      </c>
      <c r="E382" s="306" t="s">
        <v>3739</v>
      </c>
      <c r="F382" s="306" t="s">
        <v>2486</v>
      </c>
      <c r="G382" s="308">
        <v>46016</v>
      </c>
      <c r="H382" s="308">
        <v>46016</v>
      </c>
      <c r="I382" s="309">
        <v>36080.54</v>
      </c>
      <c r="J382" s="306" t="s">
        <v>1008</v>
      </c>
      <c r="K382" s="309">
        <v>36080.54</v>
      </c>
      <c r="L382" s="306" t="s">
        <v>1008</v>
      </c>
      <c r="M382" s="306" t="s">
        <v>3740</v>
      </c>
      <c r="N382" s="306" t="s">
        <v>3741</v>
      </c>
      <c r="O382" s="306" t="s">
        <v>1013</v>
      </c>
      <c r="P382" s="306" t="s">
        <v>2916</v>
      </c>
      <c r="Q382" s="306" t="s">
        <v>1013</v>
      </c>
      <c r="R382" s="306" t="s">
        <v>1013</v>
      </c>
      <c r="S382" s="306" t="s">
        <v>1013</v>
      </c>
      <c r="T382" s="306" t="s">
        <v>1013</v>
      </c>
      <c r="U382" s="306" t="s">
        <v>2917</v>
      </c>
      <c r="V382" s="306" t="s">
        <v>1013</v>
      </c>
      <c r="W382" s="306" t="s">
        <v>1013</v>
      </c>
      <c r="X382" s="306" t="s">
        <v>1013</v>
      </c>
      <c r="Y382" s="306" t="s">
        <v>2917</v>
      </c>
      <c r="Z382" s="306" t="s">
        <v>2456</v>
      </c>
      <c r="AA382" s="306" t="s">
        <v>1013</v>
      </c>
    </row>
    <row r="383" spans="1:27">
      <c r="A383" s="306" t="s">
        <v>494</v>
      </c>
      <c r="B383" s="306" t="s">
        <v>1003</v>
      </c>
      <c r="C383" s="306" t="s">
        <v>1004</v>
      </c>
      <c r="D383" s="306" t="s">
        <v>2480</v>
      </c>
      <c r="E383" s="306" t="s">
        <v>3742</v>
      </c>
      <c r="F383" s="306" t="s">
        <v>2486</v>
      </c>
      <c r="G383" s="308">
        <v>46016</v>
      </c>
      <c r="H383" s="308">
        <v>46016</v>
      </c>
      <c r="I383" s="309">
        <v>50814.86</v>
      </c>
      <c r="J383" s="306" t="s">
        <v>1008</v>
      </c>
      <c r="K383" s="309">
        <v>50814.86</v>
      </c>
      <c r="L383" s="306" t="s">
        <v>1008</v>
      </c>
      <c r="M383" s="306" t="s">
        <v>3743</v>
      </c>
      <c r="N383" s="306" t="s">
        <v>3744</v>
      </c>
      <c r="O383" s="306" t="s">
        <v>1013</v>
      </c>
      <c r="P383" s="306" t="s">
        <v>2916</v>
      </c>
      <c r="Q383" s="306" t="s">
        <v>1013</v>
      </c>
      <c r="R383" s="306" t="s">
        <v>1013</v>
      </c>
      <c r="S383" s="306" t="s">
        <v>1013</v>
      </c>
      <c r="T383" s="306" t="s">
        <v>1013</v>
      </c>
      <c r="U383" s="306" t="s">
        <v>2917</v>
      </c>
      <c r="V383" s="306" t="s">
        <v>1013</v>
      </c>
      <c r="W383" s="306" t="s">
        <v>1013</v>
      </c>
      <c r="X383" s="306" t="s">
        <v>1013</v>
      </c>
      <c r="Y383" s="306" t="s">
        <v>2917</v>
      </c>
      <c r="Z383" s="306" t="s">
        <v>2456</v>
      </c>
      <c r="AA383" s="306" t="s">
        <v>1013</v>
      </c>
    </row>
    <row r="384" spans="1:27">
      <c r="A384" s="306" t="s">
        <v>494</v>
      </c>
      <c r="B384" s="306" t="s">
        <v>1003</v>
      </c>
      <c r="C384" s="306" t="s">
        <v>1004</v>
      </c>
      <c r="D384" s="306" t="s">
        <v>2480</v>
      </c>
      <c r="E384" s="306" t="s">
        <v>3745</v>
      </c>
      <c r="F384" s="306" t="s">
        <v>2482</v>
      </c>
      <c r="G384" s="308">
        <v>46016</v>
      </c>
      <c r="H384" s="308">
        <v>46017</v>
      </c>
      <c r="I384" s="309">
        <v>8428.91</v>
      </c>
      <c r="J384" s="306" t="s">
        <v>1008</v>
      </c>
      <c r="K384" s="309">
        <v>8428.91</v>
      </c>
      <c r="L384" s="306" t="s">
        <v>1008</v>
      </c>
      <c r="M384" s="306" t="s">
        <v>3746</v>
      </c>
      <c r="N384" s="306" t="s">
        <v>3746</v>
      </c>
      <c r="O384" s="306" t="s">
        <v>1013</v>
      </c>
      <c r="P384" s="306" t="s">
        <v>1013</v>
      </c>
      <c r="Q384" s="306" t="s">
        <v>1013</v>
      </c>
      <c r="R384" s="306" t="s">
        <v>1013</v>
      </c>
      <c r="S384" s="306" t="s">
        <v>1013</v>
      </c>
      <c r="T384" s="306" t="s">
        <v>1013</v>
      </c>
      <c r="U384" s="306" t="s">
        <v>3747</v>
      </c>
      <c r="V384" s="306" t="s">
        <v>1013</v>
      </c>
      <c r="W384" s="306" t="s">
        <v>1013</v>
      </c>
      <c r="X384" s="306" t="s">
        <v>1013</v>
      </c>
      <c r="Y384" s="306" t="s">
        <v>3747</v>
      </c>
      <c r="Z384" s="306" t="s">
        <v>2456</v>
      </c>
      <c r="AA384" s="306" t="s">
        <v>1013</v>
      </c>
    </row>
    <row r="385" spans="1:27">
      <c r="A385" s="306" t="s">
        <v>494</v>
      </c>
      <c r="B385" s="306" t="s">
        <v>1003</v>
      </c>
      <c r="C385" s="306" t="s">
        <v>1004</v>
      </c>
      <c r="D385" s="306" t="s">
        <v>2480</v>
      </c>
      <c r="E385" s="306" t="s">
        <v>3748</v>
      </c>
      <c r="F385" s="306" t="s">
        <v>2486</v>
      </c>
      <c r="G385" s="308">
        <v>46017</v>
      </c>
      <c r="H385" s="308">
        <v>46017</v>
      </c>
      <c r="I385" s="309">
        <v>2984.85</v>
      </c>
      <c r="J385" s="306" t="s">
        <v>1008</v>
      </c>
      <c r="K385" s="309">
        <v>2984.85</v>
      </c>
      <c r="L385" s="306" t="s">
        <v>1008</v>
      </c>
      <c r="M385" s="306" t="s">
        <v>3749</v>
      </c>
      <c r="N385" s="306" t="s">
        <v>3750</v>
      </c>
      <c r="O385" s="306" t="s">
        <v>3751</v>
      </c>
      <c r="P385" s="306" t="s">
        <v>1013</v>
      </c>
      <c r="Q385" s="306" t="s">
        <v>1013</v>
      </c>
      <c r="R385" s="306" t="s">
        <v>1013</v>
      </c>
      <c r="S385" s="306" t="s">
        <v>1013</v>
      </c>
      <c r="T385" s="306" t="s">
        <v>1013</v>
      </c>
      <c r="U385" s="306" t="s">
        <v>3752</v>
      </c>
      <c r="V385" s="306" t="s">
        <v>1013</v>
      </c>
      <c r="W385" s="306" t="s">
        <v>1013</v>
      </c>
      <c r="X385" s="306" t="s">
        <v>1013</v>
      </c>
      <c r="Y385" s="306" t="s">
        <v>3753</v>
      </c>
      <c r="Z385" s="306" t="s">
        <v>2456</v>
      </c>
      <c r="AA385" s="306" t="s">
        <v>1013</v>
      </c>
    </row>
    <row r="386" spans="1:27">
      <c r="A386" s="306" t="s">
        <v>494</v>
      </c>
      <c r="B386" s="306" t="s">
        <v>1003</v>
      </c>
      <c r="C386" s="306" t="s">
        <v>1004</v>
      </c>
      <c r="D386" s="306" t="s">
        <v>2480</v>
      </c>
      <c r="E386" s="306" t="s">
        <v>3754</v>
      </c>
      <c r="F386" s="306" t="s">
        <v>2482</v>
      </c>
      <c r="G386" s="308">
        <v>46016</v>
      </c>
      <c r="H386" s="308">
        <v>46018</v>
      </c>
      <c r="I386" s="309">
        <v>80116.679999999993</v>
      </c>
      <c r="J386" s="306" t="s">
        <v>1008</v>
      </c>
      <c r="K386" s="309">
        <v>80116.679999999993</v>
      </c>
      <c r="L386" s="306" t="s">
        <v>1008</v>
      </c>
      <c r="M386" s="306" t="s">
        <v>3755</v>
      </c>
      <c r="N386" s="306" t="s">
        <v>3755</v>
      </c>
      <c r="O386" s="306" t="s">
        <v>1013</v>
      </c>
      <c r="P386" s="306" t="s">
        <v>1013</v>
      </c>
      <c r="Q386" s="306" t="s">
        <v>1013</v>
      </c>
      <c r="R386" s="306" t="s">
        <v>1013</v>
      </c>
      <c r="S386" s="306" t="s">
        <v>1013</v>
      </c>
      <c r="T386" s="306" t="s">
        <v>1013</v>
      </c>
      <c r="U386" s="306" t="s">
        <v>3756</v>
      </c>
      <c r="V386" s="306" t="s">
        <v>1013</v>
      </c>
      <c r="W386" s="306" t="s">
        <v>1013</v>
      </c>
      <c r="X386" s="306" t="s">
        <v>1013</v>
      </c>
      <c r="Y386" s="306" t="s">
        <v>3756</v>
      </c>
      <c r="Z386" s="306" t="s">
        <v>2456</v>
      </c>
      <c r="AA386" s="306" t="s">
        <v>1013</v>
      </c>
    </row>
    <row r="387" spans="1:27">
      <c r="A387" s="306" t="s">
        <v>494</v>
      </c>
      <c r="B387" s="306" t="s">
        <v>1003</v>
      </c>
      <c r="C387" s="306" t="s">
        <v>1004</v>
      </c>
      <c r="D387" s="306" t="s">
        <v>2480</v>
      </c>
      <c r="E387" s="306" t="s">
        <v>3757</v>
      </c>
      <c r="F387" s="306" t="s">
        <v>2482</v>
      </c>
      <c r="G387" s="308">
        <v>46010</v>
      </c>
      <c r="H387" s="308">
        <v>46018</v>
      </c>
      <c r="I387" s="309">
        <v>43560.42</v>
      </c>
      <c r="J387" s="306" t="s">
        <v>1008</v>
      </c>
      <c r="K387" s="309">
        <v>43560.42</v>
      </c>
      <c r="L387" s="306" t="s">
        <v>1008</v>
      </c>
      <c r="M387" s="306" t="s">
        <v>3758</v>
      </c>
      <c r="N387" s="306" t="s">
        <v>3758</v>
      </c>
      <c r="O387" s="306" t="s">
        <v>1013</v>
      </c>
      <c r="P387" s="306" t="s">
        <v>1013</v>
      </c>
      <c r="Q387" s="306" t="s">
        <v>1013</v>
      </c>
      <c r="R387" s="306" t="s">
        <v>1013</v>
      </c>
      <c r="S387" s="306" t="s">
        <v>1013</v>
      </c>
      <c r="T387" s="306" t="s">
        <v>1013</v>
      </c>
      <c r="U387" s="306" t="s">
        <v>3759</v>
      </c>
      <c r="V387" s="306" t="s">
        <v>1013</v>
      </c>
      <c r="W387" s="306" t="s">
        <v>1013</v>
      </c>
      <c r="X387" s="306" t="s">
        <v>1013</v>
      </c>
      <c r="Y387" s="306" t="s">
        <v>3759</v>
      </c>
      <c r="Z387" s="306" t="s">
        <v>2456</v>
      </c>
      <c r="AA387" s="306" t="s">
        <v>1013</v>
      </c>
    </row>
    <row r="388" spans="1:27">
      <c r="A388" s="306" t="s">
        <v>494</v>
      </c>
      <c r="B388" s="306" t="s">
        <v>1003</v>
      </c>
      <c r="C388" s="306" t="s">
        <v>1004</v>
      </c>
      <c r="D388" s="306" t="s">
        <v>2480</v>
      </c>
      <c r="E388" s="306" t="s">
        <v>3760</v>
      </c>
      <c r="F388" s="306" t="s">
        <v>2486</v>
      </c>
      <c r="G388" s="308">
        <v>46018</v>
      </c>
      <c r="H388" s="308">
        <v>46018</v>
      </c>
      <c r="I388" s="309">
        <v>185.57</v>
      </c>
      <c r="J388" s="306" t="s">
        <v>1008</v>
      </c>
      <c r="K388" s="309">
        <v>185.57</v>
      </c>
      <c r="L388" s="306" t="s">
        <v>1008</v>
      </c>
      <c r="M388" s="306" t="s">
        <v>3761</v>
      </c>
      <c r="N388" s="306" t="s">
        <v>3762</v>
      </c>
      <c r="O388" s="306" t="s">
        <v>1013</v>
      </c>
      <c r="P388" s="306" t="s">
        <v>1013</v>
      </c>
      <c r="Q388" s="306" t="s">
        <v>1013</v>
      </c>
      <c r="R388" s="306" t="s">
        <v>1013</v>
      </c>
      <c r="S388" s="306" t="s">
        <v>1013</v>
      </c>
      <c r="T388" s="306" t="s">
        <v>1013</v>
      </c>
      <c r="U388" s="306" t="s">
        <v>3763</v>
      </c>
      <c r="V388" s="306" t="s">
        <v>1013</v>
      </c>
      <c r="W388" s="306" t="s">
        <v>1013</v>
      </c>
      <c r="X388" s="306" t="s">
        <v>1013</v>
      </c>
      <c r="Y388" s="306" t="s">
        <v>1697</v>
      </c>
      <c r="Z388" s="306" t="s">
        <v>2456</v>
      </c>
      <c r="AA388" s="306" t="s">
        <v>1013</v>
      </c>
    </row>
    <row r="389" spans="1:27">
      <c r="A389" s="306" t="s">
        <v>494</v>
      </c>
      <c r="B389" s="306" t="s">
        <v>1003</v>
      </c>
      <c r="C389" s="306" t="s">
        <v>1004</v>
      </c>
      <c r="D389" s="306" t="s">
        <v>2480</v>
      </c>
      <c r="E389" s="306" t="s">
        <v>3764</v>
      </c>
      <c r="F389" s="306" t="s">
        <v>2482</v>
      </c>
      <c r="G389" s="308">
        <v>46017</v>
      </c>
      <c r="H389" s="308">
        <v>46018</v>
      </c>
      <c r="I389" s="309">
        <v>29724.77</v>
      </c>
      <c r="J389" s="306" t="s">
        <v>1008</v>
      </c>
      <c r="K389" s="309">
        <v>29724.77</v>
      </c>
      <c r="L389" s="306" t="s">
        <v>1008</v>
      </c>
      <c r="M389" s="306" t="s">
        <v>3765</v>
      </c>
      <c r="N389" s="306" t="s">
        <v>3765</v>
      </c>
      <c r="O389" s="306" t="s">
        <v>1013</v>
      </c>
      <c r="P389" s="306" t="s">
        <v>1013</v>
      </c>
      <c r="Q389" s="306" t="s">
        <v>1013</v>
      </c>
      <c r="R389" s="306" t="s">
        <v>1013</v>
      </c>
      <c r="S389" s="306" t="s">
        <v>1013</v>
      </c>
      <c r="T389" s="306" t="s">
        <v>1013</v>
      </c>
      <c r="U389" s="306" t="s">
        <v>3766</v>
      </c>
      <c r="V389" s="306" t="s">
        <v>1013</v>
      </c>
      <c r="W389" s="306" t="s">
        <v>1013</v>
      </c>
      <c r="X389" s="306" t="s">
        <v>1013</v>
      </c>
      <c r="Y389" s="306" t="s">
        <v>3766</v>
      </c>
      <c r="Z389" s="306" t="s">
        <v>2456</v>
      </c>
      <c r="AA389" s="306" t="s">
        <v>1013</v>
      </c>
    </row>
    <row r="390" spans="1:27">
      <c r="A390" s="306" t="s">
        <v>494</v>
      </c>
      <c r="B390" s="306" t="s">
        <v>1003</v>
      </c>
      <c r="C390" s="306" t="s">
        <v>1004</v>
      </c>
      <c r="D390" s="306" t="s">
        <v>2480</v>
      </c>
      <c r="E390" s="306" t="s">
        <v>3767</v>
      </c>
      <c r="F390" s="306" t="s">
        <v>2486</v>
      </c>
      <c r="G390" s="308">
        <v>46018</v>
      </c>
      <c r="H390" s="308">
        <v>46018</v>
      </c>
      <c r="I390" s="309">
        <v>946.33</v>
      </c>
      <c r="J390" s="306" t="s">
        <v>1008</v>
      </c>
      <c r="K390" s="309">
        <v>946.33</v>
      </c>
      <c r="L390" s="306" t="s">
        <v>1008</v>
      </c>
      <c r="M390" s="306" t="s">
        <v>3768</v>
      </c>
      <c r="N390" s="306" t="s">
        <v>3769</v>
      </c>
      <c r="O390" s="306" t="s">
        <v>1013</v>
      </c>
      <c r="P390" s="306" t="s">
        <v>1013</v>
      </c>
      <c r="Q390" s="306" t="s">
        <v>1013</v>
      </c>
      <c r="R390" s="306" t="s">
        <v>1013</v>
      </c>
      <c r="S390" s="306" t="s">
        <v>1013</v>
      </c>
      <c r="T390" s="306" t="s">
        <v>1013</v>
      </c>
      <c r="U390" s="306" t="s">
        <v>3770</v>
      </c>
      <c r="V390" s="306" t="s">
        <v>1013</v>
      </c>
      <c r="W390" s="306" t="s">
        <v>1013</v>
      </c>
      <c r="X390" s="306" t="s">
        <v>1013</v>
      </c>
      <c r="Y390" s="306" t="s">
        <v>1697</v>
      </c>
      <c r="Z390" s="306" t="s">
        <v>2456</v>
      </c>
      <c r="AA390" s="306" t="s">
        <v>1013</v>
      </c>
    </row>
    <row r="391" spans="1:27">
      <c r="A391" s="306" t="s">
        <v>494</v>
      </c>
      <c r="B391" s="306" t="s">
        <v>1003</v>
      </c>
      <c r="C391" s="306" t="s">
        <v>1004</v>
      </c>
      <c r="D391" s="306" t="s">
        <v>2480</v>
      </c>
      <c r="E391" s="306" t="s">
        <v>3771</v>
      </c>
      <c r="F391" s="306" t="s">
        <v>2486</v>
      </c>
      <c r="G391" s="308">
        <v>46018</v>
      </c>
      <c r="H391" s="308">
        <v>46018</v>
      </c>
      <c r="I391" s="309">
        <v>115.39</v>
      </c>
      <c r="J391" s="306" t="s">
        <v>1008</v>
      </c>
      <c r="K391" s="309">
        <v>115.39</v>
      </c>
      <c r="L391" s="306" t="s">
        <v>1008</v>
      </c>
      <c r="M391" s="306" t="s">
        <v>3772</v>
      </c>
      <c r="N391" s="306" t="s">
        <v>3773</v>
      </c>
      <c r="O391" s="306" t="s">
        <v>1013</v>
      </c>
      <c r="P391" s="306" t="s">
        <v>1013</v>
      </c>
      <c r="Q391" s="306" t="s">
        <v>1013</v>
      </c>
      <c r="R391" s="306" t="s">
        <v>1013</v>
      </c>
      <c r="S391" s="306" t="s">
        <v>1013</v>
      </c>
      <c r="T391" s="306" t="s">
        <v>1013</v>
      </c>
      <c r="U391" s="306" t="s">
        <v>3774</v>
      </c>
      <c r="V391" s="306" t="s">
        <v>1013</v>
      </c>
      <c r="W391" s="306" t="s">
        <v>1013</v>
      </c>
      <c r="X391" s="306" t="s">
        <v>1013</v>
      </c>
      <c r="Y391" s="306" t="s">
        <v>1697</v>
      </c>
      <c r="Z391" s="306" t="s">
        <v>2456</v>
      </c>
      <c r="AA391" s="306" t="s">
        <v>1013</v>
      </c>
    </row>
    <row r="392" spans="1:27">
      <c r="A392" s="306" t="s">
        <v>494</v>
      </c>
      <c r="B392" s="306" t="s">
        <v>1003</v>
      </c>
      <c r="C392" s="306" t="s">
        <v>1004</v>
      </c>
      <c r="D392" s="306" t="s">
        <v>2480</v>
      </c>
      <c r="E392" s="306" t="s">
        <v>3775</v>
      </c>
      <c r="F392" s="306" t="s">
        <v>2486</v>
      </c>
      <c r="G392" s="308">
        <v>46018</v>
      </c>
      <c r="H392" s="308">
        <v>46018</v>
      </c>
      <c r="I392" s="309">
        <v>205.81</v>
      </c>
      <c r="J392" s="306" t="s">
        <v>1008</v>
      </c>
      <c r="K392" s="309">
        <v>205.81</v>
      </c>
      <c r="L392" s="306" t="s">
        <v>1008</v>
      </c>
      <c r="M392" s="306" t="s">
        <v>3776</v>
      </c>
      <c r="N392" s="306" t="s">
        <v>3777</v>
      </c>
      <c r="O392" s="306" t="s">
        <v>1013</v>
      </c>
      <c r="P392" s="306" t="s">
        <v>1013</v>
      </c>
      <c r="Q392" s="306" t="s">
        <v>1013</v>
      </c>
      <c r="R392" s="306" t="s">
        <v>1013</v>
      </c>
      <c r="S392" s="306" t="s">
        <v>1013</v>
      </c>
      <c r="T392" s="306" t="s">
        <v>1013</v>
      </c>
      <c r="U392" s="306" t="s">
        <v>3778</v>
      </c>
      <c r="V392" s="306" t="s">
        <v>1013</v>
      </c>
      <c r="W392" s="306" t="s">
        <v>1013</v>
      </c>
      <c r="X392" s="306" t="s">
        <v>1013</v>
      </c>
      <c r="Y392" s="306" t="s">
        <v>1697</v>
      </c>
      <c r="Z392" s="306" t="s">
        <v>2456</v>
      </c>
      <c r="AA392" s="306" t="s">
        <v>1013</v>
      </c>
    </row>
    <row r="393" spans="1:27">
      <c r="A393" s="306" t="s">
        <v>494</v>
      </c>
      <c r="B393" s="306" t="s">
        <v>1003</v>
      </c>
      <c r="C393" s="306" t="s">
        <v>1004</v>
      </c>
      <c r="D393" s="306" t="s">
        <v>2480</v>
      </c>
      <c r="E393" s="306" t="s">
        <v>3779</v>
      </c>
      <c r="F393" s="306" t="s">
        <v>2486</v>
      </c>
      <c r="G393" s="308">
        <v>46018</v>
      </c>
      <c r="H393" s="308">
        <v>46018</v>
      </c>
      <c r="I393" s="309">
        <v>619.87</v>
      </c>
      <c r="J393" s="306" t="s">
        <v>1008</v>
      </c>
      <c r="K393" s="309">
        <v>619.87</v>
      </c>
      <c r="L393" s="306" t="s">
        <v>1008</v>
      </c>
      <c r="M393" s="306" t="s">
        <v>3780</v>
      </c>
      <c r="N393" s="306" t="s">
        <v>3781</v>
      </c>
      <c r="O393" s="306" t="s">
        <v>1013</v>
      </c>
      <c r="P393" s="306" t="s">
        <v>1013</v>
      </c>
      <c r="Q393" s="306" t="s">
        <v>1013</v>
      </c>
      <c r="R393" s="306" t="s">
        <v>1013</v>
      </c>
      <c r="S393" s="306" t="s">
        <v>1013</v>
      </c>
      <c r="T393" s="306" t="s">
        <v>1013</v>
      </c>
      <c r="U393" s="306" t="s">
        <v>3782</v>
      </c>
      <c r="V393" s="306" t="s">
        <v>1013</v>
      </c>
      <c r="W393" s="306" t="s">
        <v>1013</v>
      </c>
      <c r="X393" s="306" t="s">
        <v>1013</v>
      </c>
      <c r="Y393" s="306" t="s">
        <v>1812</v>
      </c>
      <c r="Z393" s="306" t="s">
        <v>2456</v>
      </c>
      <c r="AA393" s="306" t="s">
        <v>1013</v>
      </c>
    </row>
    <row r="394" spans="1:27">
      <c r="A394" s="306" t="s">
        <v>494</v>
      </c>
      <c r="B394" s="306" t="s">
        <v>1003</v>
      </c>
      <c r="C394" s="306" t="s">
        <v>1004</v>
      </c>
      <c r="D394" s="306" t="s">
        <v>2480</v>
      </c>
      <c r="E394" s="306" t="s">
        <v>3783</v>
      </c>
      <c r="F394" s="306" t="s">
        <v>2486</v>
      </c>
      <c r="G394" s="308">
        <v>46018</v>
      </c>
      <c r="H394" s="308">
        <v>46018</v>
      </c>
      <c r="I394" s="309">
        <v>597.57000000000005</v>
      </c>
      <c r="J394" s="306" t="s">
        <v>1008</v>
      </c>
      <c r="K394" s="309">
        <v>597.57000000000005</v>
      </c>
      <c r="L394" s="306" t="s">
        <v>1008</v>
      </c>
      <c r="M394" s="306" t="s">
        <v>3784</v>
      </c>
      <c r="N394" s="306" t="s">
        <v>3785</v>
      </c>
      <c r="O394" s="306" t="s">
        <v>1013</v>
      </c>
      <c r="P394" s="306" t="s">
        <v>1013</v>
      </c>
      <c r="Q394" s="306" t="s">
        <v>1013</v>
      </c>
      <c r="R394" s="306" t="s">
        <v>1013</v>
      </c>
      <c r="S394" s="306" t="s">
        <v>1013</v>
      </c>
      <c r="T394" s="306" t="s">
        <v>1013</v>
      </c>
      <c r="U394" s="306" t="s">
        <v>3786</v>
      </c>
      <c r="V394" s="306" t="s">
        <v>1013</v>
      </c>
      <c r="W394" s="306" t="s">
        <v>1013</v>
      </c>
      <c r="X394" s="306" t="s">
        <v>1013</v>
      </c>
      <c r="Y394" s="306" t="s">
        <v>2509</v>
      </c>
      <c r="Z394" s="306" t="s">
        <v>2456</v>
      </c>
      <c r="AA394" s="306" t="s">
        <v>1013</v>
      </c>
    </row>
    <row r="395" spans="1:27">
      <c r="A395" s="306" t="s">
        <v>494</v>
      </c>
      <c r="B395" s="306" t="s">
        <v>1003</v>
      </c>
      <c r="C395" s="306" t="s">
        <v>1004</v>
      </c>
      <c r="D395" s="306" t="s">
        <v>2480</v>
      </c>
      <c r="E395" s="306" t="s">
        <v>3787</v>
      </c>
      <c r="F395" s="306" t="s">
        <v>2486</v>
      </c>
      <c r="G395" s="308">
        <v>46018</v>
      </c>
      <c r="H395" s="308">
        <v>46018</v>
      </c>
      <c r="I395" s="309">
        <v>3012.41</v>
      </c>
      <c r="J395" s="306" t="s">
        <v>1008</v>
      </c>
      <c r="K395" s="309">
        <v>3012.41</v>
      </c>
      <c r="L395" s="306" t="s">
        <v>1008</v>
      </c>
      <c r="M395" s="306" t="s">
        <v>3788</v>
      </c>
      <c r="N395" s="306" t="s">
        <v>3789</v>
      </c>
      <c r="O395" s="306" t="s">
        <v>1013</v>
      </c>
      <c r="P395" s="306" t="s">
        <v>1013</v>
      </c>
      <c r="Q395" s="306" t="s">
        <v>1013</v>
      </c>
      <c r="R395" s="306" t="s">
        <v>1013</v>
      </c>
      <c r="S395" s="306" t="s">
        <v>1013</v>
      </c>
      <c r="T395" s="306" t="s">
        <v>1013</v>
      </c>
      <c r="U395" s="306" t="s">
        <v>3790</v>
      </c>
      <c r="V395" s="306" t="s">
        <v>1013</v>
      </c>
      <c r="W395" s="306" t="s">
        <v>1013</v>
      </c>
      <c r="X395" s="306" t="s">
        <v>1013</v>
      </c>
      <c r="Y395" s="306" t="s">
        <v>2509</v>
      </c>
      <c r="Z395" s="306" t="s">
        <v>2456</v>
      </c>
      <c r="AA395" s="306" t="s">
        <v>1013</v>
      </c>
    </row>
    <row r="396" spans="1:27">
      <c r="A396" s="306" t="s">
        <v>494</v>
      </c>
      <c r="B396" s="306" t="s">
        <v>1003</v>
      </c>
      <c r="C396" s="306" t="s">
        <v>1004</v>
      </c>
      <c r="D396" s="306" t="s">
        <v>2480</v>
      </c>
      <c r="E396" s="306" t="s">
        <v>3791</v>
      </c>
      <c r="F396" s="306" t="s">
        <v>2486</v>
      </c>
      <c r="G396" s="308">
        <v>46018</v>
      </c>
      <c r="H396" s="308">
        <v>46018</v>
      </c>
      <c r="I396" s="309">
        <v>236.69</v>
      </c>
      <c r="J396" s="306" t="s">
        <v>1008</v>
      </c>
      <c r="K396" s="309">
        <v>236.69</v>
      </c>
      <c r="L396" s="306" t="s">
        <v>1008</v>
      </c>
      <c r="M396" s="306" t="s">
        <v>3792</v>
      </c>
      <c r="N396" s="306" t="s">
        <v>3793</v>
      </c>
      <c r="O396" s="306" t="s">
        <v>1013</v>
      </c>
      <c r="P396" s="306" t="s">
        <v>1013</v>
      </c>
      <c r="Q396" s="306" t="s">
        <v>1013</v>
      </c>
      <c r="R396" s="306" t="s">
        <v>1013</v>
      </c>
      <c r="S396" s="306" t="s">
        <v>1013</v>
      </c>
      <c r="T396" s="306" t="s">
        <v>1013</v>
      </c>
      <c r="U396" s="306" t="s">
        <v>3794</v>
      </c>
      <c r="V396" s="306" t="s">
        <v>1013</v>
      </c>
      <c r="W396" s="306" t="s">
        <v>1013</v>
      </c>
      <c r="X396" s="306" t="s">
        <v>1013</v>
      </c>
      <c r="Y396" s="306" t="s">
        <v>1153</v>
      </c>
      <c r="Z396" s="306" t="s">
        <v>2456</v>
      </c>
      <c r="AA396" s="306" t="s">
        <v>1013</v>
      </c>
    </row>
    <row r="397" spans="1:27">
      <c r="A397" s="306" t="s">
        <v>494</v>
      </c>
      <c r="B397" s="306" t="s">
        <v>1003</v>
      </c>
      <c r="C397" s="306" t="s">
        <v>1004</v>
      </c>
      <c r="D397" s="306" t="s">
        <v>2480</v>
      </c>
      <c r="E397" s="306" t="s">
        <v>3795</v>
      </c>
      <c r="F397" s="306" t="s">
        <v>2486</v>
      </c>
      <c r="G397" s="308">
        <v>46020</v>
      </c>
      <c r="H397" s="308">
        <v>46020</v>
      </c>
      <c r="I397" s="309">
        <v>2240.48</v>
      </c>
      <c r="J397" s="306" t="s">
        <v>1008</v>
      </c>
      <c r="K397" s="309">
        <v>2240.48</v>
      </c>
      <c r="L397" s="306" t="s">
        <v>1008</v>
      </c>
      <c r="M397" s="306" t="s">
        <v>3796</v>
      </c>
      <c r="N397" s="306" t="s">
        <v>3797</v>
      </c>
      <c r="O397" s="306" t="s">
        <v>1013</v>
      </c>
      <c r="P397" s="306" t="s">
        <v>1013</v>
      </c>
      <c r="Q397" s="306" t="s">
        <v>1013</v>
      </c>
      <c r="R397" s="306" t="s">
        <v>1013</v>
      </c>
      <c r="S397" s="306" t="s">
        <v>1013</v>
      </c>
      <c r="T397" s="306" t="s">
        <v>1013</v>
      </c>
      <c r="U397" s="306" t="s">
        <v>3798</v>
      </c>
      <c r="V397" s="306" t="s">
        <v>1013</v>
      </c>
      <c r="W397" s="306" t="s">
        <v>1013</v>
      </c>
      <c r="X397" s="306" t="s">
        <v>1013</v>
      </c>
      <c r="Y397" s="306" t="s">
        <v>2642</v>
      </c>
      <c r="Z397" s="306" t="s">
        <v>2456</v>
      </c>
      <c r="AA397" s="306" t="s">
        <v>1013</v>
      </c>
    </row>
    <row r="398" spans="1:27">
      <c r="A398" s="306" t="s">
        <v>494</v>
      </c>
      <c r="B398" s="306" t="s">
        <v>1003</v>
      </c>
      <c r="C398" s="306" t="s">
        <v>1004</v>
      </c>
      <c r="D398" s="306" t="s">
        <v>2480</v>
      </c>
      <c r="E398" s="306" t="s">
        <v>3799</v>
      </c>
      <c r="F398" s="306" t="s">
        <v>2482</v>
      </c>
      <c r="G398" s="308">
        <v>46017</v>
      </c>
      <c r="H398" s="308">
        <v>46020</v>
      </c>
      <c r="I398" s="309">
        <v>47265.24</v>
      </c>
      <c r="J398" s="306" t="s">
        <v>1008</v>
      </c>
      <c r="K398" s="309">
        <v>47265.24</v>
      </c>
      <c r="L398" s="306" t="s">
        <v>1008</v>
      </c>
      <c r="M398" s="306" t="s">
        <v>3800</v>
      </c>
      <c r="N398" s="306" t="s">
        <v>3800</v>
      </c>
      <c r="O398" s="306" t="s">
        <v>1013</v>
      </c>
      <c r="P398" s="306" t="s">
        <v>1013</v>
      </c>
      <c r="Q398" s="306" t="s">
        <v>1013</v>
      </c>
      <c r="R398" s="306" t="s">
        <v>1013</v>
      </c>
      <c r="S398" s="306" t="s">
        <v>1013</v>
      </c>
      <c r="T398" s="306" t="s">
        <v>1013</v>
      </c>
      <c r="U398" s="306" t="s">
        <v>3801</v>
      </c>
      <c r="V398" s="306" t="s">
        <v>1013</v>
      </c>
      <c r="W398" s="306" t="s">
        <v>1013</v>
      </c>
      <c r="X398" s="306" t="s">
        <v>1013</v>
      </c>
      <c r="Y398" s="306" t="s">
        <v>3801</v>
      </c>
      <c r="Z398" s="306" t="s">
        <v>2456</v>
      </c>
      <c r="AA398" s="306" t="s">
        <v>1013</v>
      </c>
    </row>
    <row r="399" spans="1:27">
      <c r="A399" s="306" t="s">
        <v>494</v>
      </c>
      <c r="B399" s="306" t="s">
        <v>1003</v>
      </c>
      <c r="C399" s="306" t="s">
        <v>1004</v>
      </c>
      <c r="D399" s="306" t="s">
        <v>2480</v>
      </c>
      <c r="E399" s="306" t="s">
        <v>3802</v>
      </c>
      <c r="F399" s="306" t="s">
        <v>2486</v>
      </c>
      <c r="G399" s="308">
        <v>46020</v>
      </c>
      <c r="H399" s="308">
        <v>46020</v>
      </c>
      <c r="I399" s="309">
        <v>338.28</v>
      </c>
      <c r="J399" s="306" t="s">
        <v>1008</v>
      </c>
      <c r="K399" s="309">
        <v>338.28</v>
      </c>
      <c r="L399" s="306" t="s">
        <v>1008</v>
      </c>
      <c r="M399" s="306" t="s">
        <v>3803</v>
      </c>
      <c r="N399" s="306" t="s">
        <v>3804</v>
      </c>
      <c r="O399" s="306" t="s">
        <v>1013</v>
      </c>
      <c r="P399" s="306" t="s">
        <v>2916</v>
      </c>
      <c r="Q399" s="306" t="s">
        <v>1013</v>
      </c>
      <c r="R399" s="306" t="s">
        <v>1013</v>
      </c>
      <c r="S399" s="306" t="s">
        <v>1013</v>
      </c>
      <c r="T399" s="306" t="s">
        <v>1013</v>
      </c>
      <c r="U399" s="306" t="s">
        <v>2917</v>
      </c>
      <c r="V399" s="306" t="s">
        <v>1013</v>
      </c>
      <c r="W399" s="306" t="s">
        <v>1013</v>
      </c>
      <c r="X399" s="306" t="s">
        <v>1013</v>
      </c>
      <c r="Y399" s="306" t="s">
        <v>2917</v>
      </c>
      <c r="Z399" s="306" t="s">
        <v>2456</v>
      </c>
      <c r="AA399" s="306" t="s">
        <v>1013</v>
      </c>
    </row>
    <row r="400" spans="1:27">
      <c r="A400" s="306" t="s">
        <v>494</v>
      </c>
      <c r="B400" s="306" t="s">
        <v>1003</v>
      </c>
      <c r="C400" s="306" t="s">
        <v>1004</v>
      </c>
      <c r="D400" s="306" t="s">
        <v>2480</v>
      </c>
      <c r="E400" s="306" t="s">
        <v>3805</v>
      </c>
      <c r="F400" s="306" t="s">
        <v>2486</v>
      </c>
      <c r="G400" s="308">
        <v>46020</v>
      </c>
      <c r="H400" s="308">
        <v>46020</v>
      </c>
      <c r="I400" s="309">
        <v>68172.94</v>
      </c>
      <c r="J400" s="306" t="s">
        <v>1008</v>
      </c>
      <c r="K400" s="309">
        <v>68172.94</v>
      </c>
      <c r="L400" s="306" t="s">
        <v>1008</v>
      </c>
      <c r="M400" s="306" t="s">
        <v>3806</v>
      </c>
      <c r="N400" s="306" t="s">
        <v>3807</v>
      </c>
      <c r="O400" s="306" t="s">
        <v>1013</v>
      </c>
      <c r="P400" s="306" t="s">
        <v>1013</v>
      </c>
      <c r="Q400" s="306" t="s">
        <v>1013</v>
      </c>
      <c r="R400" s="306" t="s">
        <v>1013</v>
      </c>
      <c r="S400" s="306" t="s">
        <v>1013</v>
      </c>
      <c r="T400" s="306" t="s">
        <v>1013</v>
      </c>
      <c r="U400" s="306" t="s">
        <v>3808</v>
      </c>
      <c r="V400" s="306" t="s">
        <v>1013</v>
      </c>
      <c r="W400" s="306" t="s">
        <v>1013</v>
      </c>
      <c r="X400" s="306" t="s">
        <v>1013</v>
      </c>
      <c r="Y400" s="306" t="s">
        <v>3102</v>
      </c>
      <c r="Z400" s="306" t="s">
        <v>2456</v>
      </c>
      <c r="AA400" s="306" t="s">
        <v>1013</v>
      </c>
    </row>
    <row r="401" spans="1:27">
      <c r="A401" s="306" t="s">
        <v>494</v>
      </c>
      <c r="B401" s="306" t="s">
        <v>1003</v>
      </c>
      <c r="C401" s="306" t="s">
        <v>1004</v>
      </c>
      <c r="D401" s="306" t="s">
        <v>2480</v>
      </c>
      <c r="E401" s="306" t="s">
        <v>3809</v>
      </c>
      <c r="F401" s="306" t="s">
        <v>2482</v>
      </c>
      <c r="G401" s="308">
        <v>46020</v>
      </c>
      <c r="H401" s="308">
        <v>46021</v>
      </c>
      <c r="I401" s="309">
        <v>4716.8100000000004</v>
      </c>
      <c r="J401" s="306" t="s">
        <v>1008</v>
      </c>
      <c r="K401" s="309">
        <v>4716.8100000000004</v>
      </c>
      <c r="L401" s="306" t="s">
        <v>1008</v>
      </c>
      <c r="M401" s="306" t="s">
        <v>3810</v>
      </c>
      <c r="N401" s="306" t="s">
        <v>3810</v>
      </c>
      <c r="O401" s="306" t="s">
        <v>1013</v>
      </c>
      <c r="P401" s="306" t="s">
        <v>1013</v>
      </c>
      <c r="Q401" s="306" t="s">
        <v>1013</v>
      </c>
      <c r="R401" s="306" t="s">
        <v>1013</v>
      </c>
      <c r="S401" s="306" t="s">
        <v>1013</v>
      </c>
      <c r="T401" s="306" t="s">
        <v>1013</v>
      </c>
      <c r="U401" s="306" t="s">
        <v>3811</v>
      </c>
      <c r="V401" s="306" t="s">
        <v>1013</v>
      </c>
      <c r="W401" s="306" t="s">
        <v>1013</v>
      </c>
      <c r="X401" s="306" t="s">
        <v>1013</v>
      </c>
      <c r="Y401" s="306" t="s">
        <v>3811</v>
      </c>
      <c r="Z401" s="306" t="s">
        <v>2456</v>
      </c>
      <c r="AA401" s="306" t="s">
        <v>1013</v>
      </c>
    </row>
    <row r="402" spans="1:27">
      <c r="A402" s="306" t="s">
        <v>494</v>
      </c>
      <c r="B402" s="306" t="s">
        <v>1003</v>
      </c>
      <c r="C402" s="306" t="s">
        <v>1004</v>
      </c>
      <c r="D402" s="306" t="s">
        <v>2480</v>
      </c>
      <c r="E402" s="306" t="s">
        <v>3812</v>
      </c>
      <c r="F402" s="306" t="s">
        <v>2482</v>
      </c>
      <c r="G402" s="308">
        <v>46020</v>
      </c>
      <c r="H402" s="308">
        <v>46021</v>
      </c>
      <c r="I402" s="309">
        <v>253691.66</v>
      </c>
      <c r="J402" s="306" t="s">
        <v>1008</v>
      </c>
      <c r="K402" s="309">
        <v>253691.66</v>
      </c>
      <c r="L402" s="306" t="s">
        <v>1008</v>
      </c>
      <c r="M402" s="306" t="s">
        <v>3813</v>
      </c>
      <c r="N402" s="306" t="s">
        <v>3813</v>
      </c>
      <c r="O402" s="306" t="s">
        <v>1013</v>
      </c>
      <c r="P402" s="306" t="s">
        <v>1013</v>
      </c>
      <c r="Q402" s="306" t="s">
        <v>1013</v>
      </c>
      <c r="R402" s="306" t="s">
        <v>1013</v>
      </c>
      <c r="S402" s="306" t="s">
        <v>1013</v>
      </c>
      <c r="T402" s="306" t="s">
        <v>1013</v>
      </c>
      <c r="U402" s="306" t="s">
        <v>3814</v>
      </c>
      <c r="V402" s="306" t="s">
        <v>1013</v>
      </c>
      <c r="W402" s="306" t="s">
        <v>1013</v>
      </c>
      <c r="X402" s="306" t="s">
        <v>1013</v>
      </c>
      <c r="Y402" s="306" t="s">
        <v>3814</v>
      </c>
      <c r="Z402" s="306" t="s">
        <v>2456</v>
      </c>
      <c r="AA402" s="306" t="s">
        <v>1013</v>
      </c>
    </row>
    <row r="403" spans="1:27">
      <c r="A403" s="306" t="s">
        <v>494</v>
      </c>
      <c r="B403" s="306" t="s">
        <v>1003</v>
      </c>
      <c r="C403" s="306" t="s">
        <v>1004</v>
      </c>
      <c r="D403" s="306" t="s">
        <v>2480</v>
      </c>
      <c r="E403" s="306" t="s">
        <v>3815</v>
      </c>
      <c r="F403" s="306" t="s">
        <v>2482</v>
      </c>
      <c r="G403" s="308">
        <v>46017</v>
      </c>
      <c r="H403" s="308">
        <v>46021</v>
      </c>
      <c r="I403" s="309">
        <v>579.71</v>
      </c>
      <c r="J403" s="306" t="s">
        <v>1008</v>
      </c>
      <c r="K403" s="309">
        <v>579.71</v>
      </c>
      <c r="L403" s="306" t="s">
        <v>1008</v>
      </c>
      <c r="M403" s="306" t="s">
        <v>3816</v>
      </c>
      <c r="N403" s="306" t="s">
        <v>3816</v>
      </c>
      <c r="O403" s="306" t="s">
        <v>1013</v>
      </c>
      <c r="P403" s="306" t="s">
        <v>1013</v>
      </c>
      <c r="Q403" s="306" t="s">
        <v>1013</v>
      </c>
      <c r="R403" s="306" t="s">
        <v>1013</v>
      </c>
      <c r="S403" s="306" t="s">
        <v>1013</v>
      </c>
      <c r="T403" s="306" t="s">
        <v>1013</v>
      </c>
      <c r="U403" s="306" t="s">
        <v>3817</v>
      </c>
      <c r="V403" s="306" t="s">
        <v>1013</v>
      </c>
      <c r="W403" s="306" t="s">
        <v>1013</v>
      </c>
      <c r="X403" s="306" t="s">
        <v>1013</v>
      </c>
      <c r="Y403" s="306" t="s">
        <v>3817</v>
      </c>
      <c r="Z403" s="306" t="s">
        <v>2456</v>
      </c>
      <c r="AA403" s="306" t="s">
        <v>1013</v>
      </c>
    </row>
    <row r="404" spans="1:27">
      <c r="A404" s="306" t="s">
        <v>494</v>
      </c>
      <c r="B404" s="306" t="s">
        <v>1003</v>
      </c>
      <c r="C404" s="306" t="s">
        <v>1004</v>
      </c>
      <c r="D404" s="306" t="s">
        <v>2480</v>
      </c>
      <c r="E404" s="306" t="s">
        <v>3818</v>
      </c>
      <c r="F404" s="306" t="s">
        <v>2486</v>
      </c>
      <c r="G404" s="308">
        <v>46021</v>
      </c>
      <c r="H404" s="308">
        <v>46021</v>
      </c>
      <c r="I404" s="309">
        <v>1039.5999999999999</v>
      </c>
      <c r="J404" s="306" t="s">
        <v>1008</v>
      </c>
      <c r="K404" s="309">
        <v>1039.5999999999999</v>
      </c>
      <c r="L404" s="306" t="s">
        <v>1008</v>
      </c>
      <c r="M404" s="306" t="s">
        <v>3819</v>
      </c>
      <c r="N404" s="306" t="s">
        <v>3820</v>
      </c>
      <c r="O404" s="306" t="s">
        <v>1013</v>
      </c>
      <c r="P404" s="306" t="s">
        <v>1013</v>
      </c>
      <c r="Q404" s="306" t="s">
        <v>1013</v>
      </c>
      <c r="R404" s="306" t="s">
        <v>1013</v>
      </c>
      <c r="S404" s="306" t="s">
        <v>1013</v>
      </c>
      <c r="T404" s="306" t="s">
        <v>1013</v>
      </c>
      <c r="U404" s="306" t="s">
        <v>3821</v>
      </c>
      <c r="V404" s="306" t="s">
        <v>1013</v>
      </c>
      <c r="W404" s="306" t="s">
        <v>1013</v>
      </c>
      <c r="X404" s="306" t="s">
        <v>1013</v>
      </c>
      <c r="Y404" s="306" t="s">
        <v>3156</v>
      </c>
      <c r="Z404" s="306" t="s">
        <v>2456</v>
      </c>
      <c r="AA404" s="306" t="s">
        <v>1013</v>
      </c>
    </row>
    <row r="405" spans="1:27">
      <c r="A405" s="306" t="s">
        <v>494</v>
      </c>
      <c r="B405" s="306" t="s">
        <v>1003</v>
      </c>
      <c r="C405" s="306" t="s">
        <v>1004</v>
      </c>
      <c r="D405" s="306" t="s">
        <v>2480</v>
      </c>
      <c r="E405" s="306" t="s">
        <v>3818</v>
      </c>
      <c r="F405" s="306" t="s">
        <v>2486</v>
      </c>
      <c r="G405" s="308">
        <v>46021</v>
      </c>
      <c r="H405" s="308">
        <v>46021</v>
      </c>
      <c r="I405" s="309">
        <v>1039.5999999999999</v>
      </c>
      <c r="J405" s="306" t="s">
        <v>1008</v>
      </c>
      <c r="K405" s="309">
        <v>1039.5999999999999</v>
      </c>
      <c r="L405" s="306" t="s">
        <v>1008</v>
      </c>
      <c r="M405" s="306" t="s">
        <v>3822</v>
      </c>
      <c r="N405" s="306" t="s">
        <v>3820</v>
      </c>
      <c r="O405" s="306" t="s">
        <v>1013</v>
      </c>
      <c r="P405" s="306" t="s">
        <v>1013</v>
      </c>
      <c r="Q405" s="306" t="s">
        <v>1013</v>
      </c>
      <c r="R405" s="306" t="s">
        <v>1013</v>
      </c>
      <c r="S405" s="306" t="s">
        <v>1013</v>
      </c>
      <c r="T405" s="306" t="s">
        <v>1013</v>
      </c>
      <c r="U405" s="306" t="s">
        <v>3821</v>
      </c>
      <c r="V405" s="306" t="s">
        <v>1013</v>
      </c>
      <c r="W405" s="306" t="s">
        <v>1013</v>
      </c>
      <c r="X405" s="306" t="s">
        <v>1013</v>
      </c>
      <c r="Y405" s="306" t="s">
        <v>3156</v>
      </c>
      <c r="Z405" s="306" t="s">
        <v>2456</v>
      </c>
      <c r="AA405" s="306" t="s">
        <v>1013</v>
      </c>
    </row>
    <row r="406" spans="1:27">
      <c r="A406" s="306" t="s">
        <v>494</v>
      </c>
      <c r="B406" s="306" t="s">
        <v>1003</v>
      </c>
      <c r="C406" s="306" t="s">
        <v>1004</v>
      </c>
      <c r="D406" s="306" t="s">
        <v>2480</v>
      </c>
      <c r="E406" s="306" t="s">
        <v>3818</v>
      </c>
      <c r="F406" s="306" t="s">
        <v>2486</v>
      </c>
      <c r="G406" s="308">
        <v>46021</v>
      </c>
      <c r="H406" s="308">
        <v>46021</v>
      </c>
      <c r="I406" s="309">
        <v>792.08</v>
      </c>
      <c r="J406" s="306" t="s">
        <v>1008</v>
      </c>
      <c r="K406" s="309">
        <v>792.08</v>
      </c>
      <c r="L406" s="306" t="s">
        <v>1008</v>
      </c>
      <c r="M406" s="306" t="s">
        <v>3823</v>
      </c>
      <c r="N406" s="306" t="s">
        <v>3820</v>
      </c>
      <c r="O406" s="306" t="s">
        <v>1013</v>
      </c>
      <c r="P406" s="306" t="s">
        <v>1013</v>
      </c>
      <c r="Q406" s="306" t="s">
        <v>1013</v>
      </c>
      <c r="R406" s="306" t="s">
        <v>1013</v>
      </c>
      <c r="S406" s="306" t="s">
        <v>1013</v>
      </c>
      <c r="T406" s="306" t="s">
        <v>1013</v>
      </c>
      <c r="U406" s="306" t="s">
        <v>3821</v>
      </c>
      <c r="V406" s="306" t="s">
        <v>1013</v>
      </c>
      <c r="W406" s="306" t="s">
        <v>1013</v>
      </c>
      <c r="X406" s="306" t="s">
        <v>1013</v>
      </c>
      <c r="Y406" s="306" t="s">
        <v>3156</v>
      </c>
      <c r="Z406" s="306" t="s">
        <v>2456</v>
      </c>
      <c r="AA406" s="306" t="s">
        <v>1013</v>
      </c>
    </row>
    <row r="407" spans="1:27">
      <c r="A407" s="306" t="s">
        <v>494</v>
      </c>
      <c r="B407" s="306" t="s">
        <v>1003</v>
      </c>
      <c r="C407" s="306" t="s">
        <v>1004</v>
      </c>
      <c r="D407" s="306" t="s">
        <v>2480</v>
      </c>
      <c r="E407" s="306" t="s">
        <v>3824</v>
      </c>
      <c r="F407" s="306" t="s">
        <v>2486</v>
      </c>
      <c r="G407" s="308">
        <v>46021</v>
      </c>
      <c r="H407" s="308">
        <v>46021</v>
      </c>
      <c r="I407" s="309">
        <v>671.82</v>
      </c>
      <c r="J407" s="306" t="s">
        <v>1008</v>
      </c>
      <c r="K407" s="309">
        <v>671.82</v>
      </c>
      <c r="L407" s="306" t="s">
        <v>1008</v>
      </c>
      <c r="M407" s="306" t="s">
        <v>3825</v>
      </c>
      <c r="N407" s="306" t="s">
        <v>3826</v>
      </c>
      <c r="O407" s="306" t="s">
        <v>1013</v>
      </c>
      <c r="P407" s="306" t="s">
        <v>1013</v>
      </c>
      <c r="Q407" s="306" t="s">
        <v>1013</v>
      </c>
      <c r="R407" s="306" t="s">
        <v>1013</v>
      </c>
      <c r="S407" s="306" t="s">
        <v>1013</v>
      </c>
      <c r="T407" s="306" t="s">
        <v>1013</v>
      </c>
      <c r="U407" s="306" t="s">
        <v>3827</v>
      </c>
      <c r="V407" s="306" t="s">
        <v>1013</v>
      </c>
      <c r="W407" s="306" t="s">
        <v>1013</v>
      </c>
      <c r="X407" s="306" t="s">
        <v>1013</v>
      </c>
      <c r="Y407" s="306" t="s">
        <v>2509</v>
      </c>
      <c r="Z407" s="306" t="s">
        <v>2456</v>
      </c>
      <c r="AA407" s="306" t="s">
        <v>1013</v>
      </c>
    </row>
    <row r="408" spans="1:27">
      <c r="A408" s="306" t="s">
        <v>494</v>
      </c>
      <c r="B408" s="306" t="s">
        <v>1003</v>
      </c>
      <c r="C408" s="306" t="s">
        <v>1004</v>
      </c>
      <c r="D408" s="306" t="s">
        <v>2480</v>
      </c>
      <c r="E408" s="306" t="s">
        <v>3828</v>
      </c>
      <c r="F408" s="306" t="s">
        <v>2486</v>
      </c>
      <c r="G408" s="308">
        <v>46021</v>
      </c>
      <c r="H408" s="308">
        <v>46021</v>
      </c>
      <c r="I408" s="309">
        <v>3267.33</v>
      </c>
      <c r="J408" s="306" t="s">
        <v>1008</v>
      </c>
      <c r="K408" s="309">
        <v>3267.33</v>
      </c>
      <c r="L408" s="306" t="s">
        <v>1008</v>
      </c>
      <c r="M408" s="306" t="s">
        <v>3829</v>
      </c>
      <c r="N408" s="306" t="s">
        <v>3830</v>
      </c>
      <c r="O408" s="306" t="s">
        <v>1013</v>
      </c>
      <c r="P408" s="306" t="s">
        <v>1013</v>
      </c>
      <c r="Q408" s="306" t="s">
        <v>1013</v>
      </c>
      <c r="R408" s="306" t="s">
        <v>1013</v>
      </c>
      <c r="S408" s="306" t="s">
        <v>1013</v>
      </c>
      <c r="T408" s="306" t="s">
        <v>1013</v>
      </c>
      <c r="U408" s="306" t="s">
        <v>3831</v>
      </c>
      <c r="V408" s="306" t="s">
        <v>1013</v>
      </c>
      <c r="W408" s="306" t="s">
        <v>1013</v>
      </c>
      <c r="X408" s="306" t="s">
        <v>1013</v>
      </c>
      <c r="Y408" s="306" t="s">
        <v>3488</v>
      </c>
      <c r="Z408" s="306" t="s">
        <v>2456</v>
      </c>
      <c r="AA408" s="306" t="s">
        <v>1013</v>
      </c>
    </row>
    <row r="409" spans="1:27">
      <c r="A409" s="306" t="s">
        <v>494</v>
      </c>
      <c r="B409" s="306" t="s">
        <v>1003</v>
      </c>
      <c r="C409" s="306" t="s">
        <v>1004</v>
      </c>
      <c r="D409" s="306" t="s">
        <v>2480</v>
      </c>
      <c r="E409" s="306" t="s">
        <v>3832</v>
      </c>
      <c r="F409" s="306" t="s">
        <v>2482</v>
      </c>
      <c r="G409" s="308">
        <v>46021</v>
      </c>
      <c r="H409" s="308">
        <v>46021</v>
      </c>
      <c r="I409" s="309">
        <v>2094.34</v>
      </c>
      <c r="J409" s="306" t="s">
        <v>1008</v>
      </c>
      <c r="K409" s="309">
        <v>2094.34</v>
      </c>
      <c r="L409" s="306" t="s">
        <v>1008</v>
      </c>
      <c r="M409" s="306" t="s">
        <v>3833</v>
      </c>
      <c r="N409" s="306" t="s">
        <v>3834</v>
      </c>
      <c r="O409" s="306" t="s">
        <v>1310</v>
      </c>
      <c r="P409" s="306" t="s">
        <v>1069</v>
      </c>
      <c r="Q409" s="306" t="s">
        <v>1013</v>
      </c>
      <c r="R409" s="306" t="s">
        <v>1013</v>
      </c>
      <c r="S409" s="306" t="s">
        <v>1013</v>
      </c>
      <c r="T409" s="306" t="s">
        <v>1013</v>
      </c>
      <c r="U409" s="306" t="s">
        <v>3835</v>
      </c>
      <c r="V409" s="306" t="s">
        <v>1013</v>
      </c>
      <c r="W409" s="306" t="s">
        <v>1013</v>
      </c>
      <c r="X409" s="306" t="s">
        <v>1013</v>
      </c>
      <c r="Y409" s="306" t="s">
        <v>1112</v>
      </c>
      <c r="Z409" s="306" t="s">
        <v>3381</v>
      </c>
      <c r="AA409" s="306" t="s">
        <v>1013</v>
      </c>
    </row>
    <row r="410" spans="1:27">
      <c r="A410" s="306" t="s">
        <v>494</v>
      </c>
      <c r="B410" s="306" t="s">
        <v>1003</v>
      </c>
      <c r="C410" s="306" t="s">
        <v>1004</v>
      </c>
      <c r="D410" s="306" t="s">
        <v>2480</v>
      </c>
      <c r="E410" s="306" t="s">
        <v>3836</v>
      </c>
      <c r="F410" s="306" t="s">
        <v>2482</v>
      </c>
      <c r="G410" s="308">
        <v>46021</v>
      </c>
      <c r="H410" s="308">
        <v>46021</v>
      </c>
      <c r="I410" s="309">
        <v>1981.13</v>
      </c>
      <c r="J410" s="306" t="s">
        <v>1008</v>
      </c>
      <c r="K410" s="309">
        <v>1981.13</v>
      </c>
      <c r="L410" s="306" t="s">
        <v>1008</v>
      </c>
      <c r="M410" s="306" t="s">
        <v>3837</v>
      </c>
      <c r="N410" s="306" t="s">
        <v>3838</v>
      </c>
      <c r="O410" s="306" t="s">
        <v>1312</v>
      </c>
      <c r="P410" s="306" t="s">
        <v>1069</v>
      </c>
      <c r="Q410" s="306" t="s">
        <v>1013</v>
      </c>
      <c r="R410" s="306" t="s">
        <v>1013</v>
      </c>
      <c r="S410" s="306" t="s">
        <v>1013</v>
      </c>
      <c r="T410" s="306" t="s">
        <v>1013</v>
      </c>
      <c r="U410" s="306" t="s">
        <v>3835</v>
      </c>
      <c r="V410" s="306" t="s">
        <v>1013</v>
      </c>
      <c r="W410" s="306" t="s">
        <v>1013</v>
      </c>
      <c r="X410" s="306" t="s">
        <v>1013</v>
      </c>
      <c r="Y410" s="306" t="s">
        <v>1112</v>
      </c>
      <c r="Z410" s="306" t="s">
        <v>3381</v>
      </c>
      <c r="AA410" s="306" t="s">
        <v>1013</v>
      </c>
    </row>
    <row r="411" spans="1:27">
      <c r="A411" s="306" t="s">
        <v>494</v>
      </c>
      <c r="B411" s="306" t="s">
        <v>1003</v>
      </c>
      <c r="C411" s="306" t="s">
        <v>1004</v>
      </c>
      <c r="D411" s="306" t="s">
        <v>2480</v>
      </c>
      <c r="E411" s="306" t="s">
        <v>3839</v>
      </c>
      <c r="F411" s="306" t="s">
        <v>2482</v>
      </c>
      <c r="G411" s="308">
        <v>46021</v>
      </c>
      <c r="H411" s="308">
        <v>46021</v>
      </c>
      <c r="I411" s="309">
        <v>53729.93</v>
      </c>
      <c r="J411" s="306" t="s">
        <v>1008</v>
      </c>
      <c r="K411" s="309">
        <v>53729.93</v>
      </c>
      <c r="L411" s="306" t="s">
        <v>1008</v>
      </c>
      <c r="M411" s="306" t="s">
        <v>3840</v>
      </c>
      <c r="N411" s="306" t="s">
        <v>3841</v>
      </c>
      <c r="O411" s="306" t="s">
        <v>1315</v>
      </c>
      <c r="P411" s="306" t="s">
        <v>1069</v>
      </c>
      <c r="Q411" s="306" t="s">
        <v>1013</v>
      </c>
      <c r="R411" s="306" t="s">
        <v>1013</v>
      </c>
      <c r="S411" s="306" t="s">
        <v>1013</v>
      </c>
      <c r="T411" s="306" t="s">
        <v>1013</v>
      </c>
      <c r="U411" s="306" t="s">
        <v>3389</v>
      </c>
      <c r="V411" s="306" t="s">
        <v>1013</v>
      </c>
      <c r="W411" s="306" t="s">
        <v>1013</v>
      </c>
      <c r="X411" s="306" t="s">
        <v>1013</v>
      </c>
      <c r="Y411" s="306" t="s">
        <v>1112</v>
      </c>
      <c r="Z411" s="306" t="s">
        <v>3381</v>
      </c>
      <c r="AA411" s="306" t="s">
        <v>1013</v>
      </c>
    </row>
    <row r="412" spans="1:27">
      <c r="A412" s="306" t="s">
        <v>494</v>
      </c>
      <c r="B412" s="306" t="s">
        <v>1003</v>
      </c>
      <c r="C412" s="306" t="s">
        <v>1004</v>
      </c>
      <c r="D412" s="306" t="s">
        <v>2480</v>
      </c>
      <c r="E412" s="306" t="s">
        <v>3842</v>
      </c>
      <c r="F412" s="306" t="s">
        <v>2482</v>
      </c>
      <c r="G412" s="308">
        <v>46021</v>
      </c>
      <c r="H412" s="308">
        <v>46021</v>
      </c>
      <c r="I412" s="309">
        <v>56941.87</v>
      </c>
      <c r="J412" s="306" t="s">
        <v>1008</v>
      </c>
      <c r="K412" s="309">
        <v>56941.87</v>
      </c>
      <c r="L412" s="306" t="s">
        <v>1008</v>
      </c>
      <c r="M412" s="306" t="s">
        <v>3843</v>
      </c>
      <c r="N412" s="306" t="s">
        <v>3844</v>
      </c>
      <c r="O412" s="306" t="s">
        <v>1317</v>
      </c>
      <c r="P412" s="306" t="s">
        <v>1069</v>
      </c>
      <c r="Q412" s="306" t="s">
        <v>1013</v>
      </c>
      <c r="R412" s="306" t="s">
        <v>1013</v>
      </c>
      <c r="S412" s="306" t="s">
        <v>1013</v>
      </c>
      <c r="T412" s="306" t="s">
        <v>1013</v>
      </c>
      <c r="U412" s="306" t="s">
        <v>3389</v>
      </c>
      <c r="V412" s="306" t="s">
        <v>1013</v>
      </c>
      <c r="W412" s="306" t="s">
        <v>1013</v>
      </c>
      <c r="X412" s="306" t="s">
        <v>1013</v>
      </c>
      <c r="Y412" s="306" t="s">
        <v>1112</v>
      </c>
      <c r="Z412" s="306" t="s">
        <v>3381</v>
      </c>
      <c r="AA412" s="306" t="s">
        <v>1013</v>
      </c>
    </row>
    <row r="413" spans="1:27">
      <c r="A413" s="306" t="s">
        <v>494</v>
      </c>
      <c r="B413" s="306" t="s">
        <v>1003</v>
      </c>
      <c r="C413" s="306" t="s">
        <v>1004</v>
      </c>
      <c r="D413" s="306" t="s">
        <v>2480</v>
      </c>
      <c r="E413" s="306" t="s">
        <v>3845</v>
      </c>
      <c r="F413" s="306" t="s">
        <v>2482</v>
      </c>
      <c r="G413" s="308">
        <v>46021</v>
      </c>
      <c r="H413" s="308">
        <v>46021</v>
      </c>
      <c r="I413" s="309">
        <v>84836.15</v>
      </c>
      <c r="J413" s="306" t="s">
        <v>1008</v>
      </c>
      <c r="K413" s="309">
        <v>84836.15</v>
      </c>
      <c r="L413" s="306" t="s">
        <v>1008</v>
      </c>
      <c r="M413" s="306" t="s">
        <v>3846</v>
      </c>
      <c r="N413" s="306" t="s">
        <v>3847</v>
      </c>
      <c r="O413" s="306" t="s">
        <v>1319</v>
      </c>
      <c r="P413" s="306" t="s">
        <v>1069</v>
      </c>
      <c r="Q413" s="306" t="s">
        <v>1013</v>
      </c>
      <c r="R413" s="306" t="s">
        <v>1013</v>
      </c>
      <c r="S413" s="306" t="s">
        <v>1013</v>
      </c>
      <c r="T413" s="306" t="s">
        <v>1013</v>
      </c>
      <c r="U413" s="306" t="s">
        <v>3389</v>
      </c>
      <c r="V413" s="306" t="s">
        <v>1013</v>
      </c>
      <c r="W413" s="306" t="s">
        <v>1013</v>
      </c>
      <c r="X413" s="306" t="s">
        <v>1013</v>
      </c>
      <c r="Y413" s="306" t="s">
        <v>1112</v>
      </c>
      <c r="Z413" s="306" t="s">
        <v>3381</v>
      </c>
      <c r="AA413" s="306" t="s">
        <v>1013</v>
      </c>
    </row>
    <row r="414" spans="1:27">
      <c r="A414" s="306" t="s">
        <v>494</v>
      </c>
      <c r="B414" s="306" t="s">
        <v>1003</v>
      </c>
      <c r="C414" s="306" t="s">
        <v>1004</v>
      </c>
      <c r="D414" s="306" t="s">
        <v>2480</v>
      </c>
      <c r="E414" s="306" t="s">
        <v>3848</v>
      </c>
      <c r="F414" s="306" t="s">
        <v>2482</v>
      </c>
      <c r="G414" s="308">
        <v>46021</v>
      </c>
      <c r="H414" s="308">
        <v>46021</v>
      </c>
      <c r="I414" s="309">
        <v>145218.29</v>
      </c>
      <c r="J414" s="306" t="s">
        <v>1008</v>
      </c>
      <c r="K414" s="309">
        <v>145218.29</v>
      </c>
      <c r="L414" s="306" t="s">
        <v>1008</v>
      </c>
      <c r="M414" s="306" t="s">
        <v>3849</v>
      </c>
      <c r="N414" s="306" t="s">
        <v>3850</v>
      </c>
      <c r="O414" s="306" t="s">
        <v>1321</v>
      </c>
      <c r="P414" s="306" t="s">
        <v>1069</v>
      </c>
      <c r="Q414" s="306" t="s">
        <v>1013</v>
      </c>
      <c r="R414" s="306" t="s">
        <v>1013</v>
      </c>
      <c r="S414" s="306" t="s">
        <v>1013</v>
      </c>
      <c r="T414" s="306" t="s">
        <v>1013</v>
      </c>
      <c r="U414" s="306" t="s">
        <v>3389</v>
      </c>
      <c r="V414" s="306" t="s">
        <v>1013</v>
      </c>
      <c r="W414" s="306" t="s">
        <v>1013</v>
      </c>
      <c r="X414" s="306" t="s">
        <v>1013</v>
      </c>
      <c r="Y414" s="306" t="s">
        <v>1112</v>
      </c>
      <c r="Z414" s="306" t="s">
        <v>3381</v>
      </c>
      <c r="AA414" s="306" t="s">
        <v>1013</v>
      </c>
    </row>
    <row r="415" spans="1:27">
      <c r="A415" s="306" t="s">
        <v>494</v>
      </c>
      <c r="B415" s="306" t="s">
        <v>1003</v>
      </c>
      <c r="C415" s="306" t="s">
        <v>1004</v>
      </c>
      <c r="D415" s="306" t="s">
        <v>2480</v>
      </c>
      <c r="E415" s="306" t="s">
        <v>3851</v>
      </c>
      <c r="F415" s="306" t="s">
        <v>2482</v>
      </c>
      <c r="G415" s="308">
        <v>46021</v>
      </c>
      <c r="H415" s="308">
        <v>46021</v>
      </c>
      <c r="I415" s="309">
        <v>76741.7</v>
      </c>
      <c r="J415" s="306" t="s">
        <v>1008</v>
      </c>
      <c r="K415" s="309">
        <v>76741.7</v>
      </c>
      <c r="L415" s="306" t="s">
        <v>1008</v>
      </c>
      <c r="M415" s="306" t="s">
        <v>3852</v>
      </c>
      <c r="N415" s="306" t="s">
        <v>3853</v>
      </c>
      <c r="O415" s="306" t="s">
        <v>1323</v>
      </c>
      <c r="P415" s="306" t="s">
        <v>1069</v>
      </c>
      <c r="Q415" s="306" t="s">
        <v>1013</v>
      </c>
      <c r="R415" s="306" t="s">
        <v>1013</v>
      </c>
      <c r="S415" s="306" t="s">
        <v>1013</v>
      </c>
      <c r="T415" s="306" t="s">
        <v>1013</v>
      </c>
      <c r="U415" s="306" t="s">
        <v>3389</v>
      </c>
      <c r="V415" s="306" t="s">
        <v>1013</v>
      </c>
      <c r="W415" s="306" t="s">
        <v>1013</v>
      </c>
      <c r="X415" s="306" t="s">
        <v>1013</v>
      </c>
      <c r="Y415" s="306" t="s">
        <v>1112</v>
      </c>
      <c r="Z415" s="306" t="s">
        <v>3381</v>
      </c>
      <c r="AA415" s="306" t="s">
        <v>1013</v>
      </c>
    </row>
    <row r="416" spans="1:27">
      <c r="A416" s="306" t="s">
        <v>494</v>
      </c>
      <c r="B416" s="306" t="s">
        <v>1003</v>
      </c>
      <c r="C416" s="306" t="s">
        <v>1004</v>
      </c>
      <c r="D416" s="306" t="s">
        <v>2480</v>
      </c>
      <c r="E416" s="306" t="s">
        <v>3854</v>
      </c>
      <c r="F416" s="306" t="s">
        <v>2482</v>
      </c>
      <c r="G416" s="308">
        <v>46021</v>
      </c>
      <c r="H416" s="308">
        <v>46021</v>
      </c>
      <c r="I416" s="309">
        <v>10943.4</v>
      </c>
      <c r="J416" s="306" t="s">
        <v>1008</v>
      </c>
      <c r="K416" s="309">
        <v>10943.4</v>
      </c>
      <c r="L416" s="306" t="s">
        <v>1008</v>
      </c>
      <c r="M416" s="306" t="s">
        <v>3855</v>
      </c>
      <c r="N416" s="306" t="s">
        <v>3856</v>
      </c>
      <c r="O416" s="306" t="s">
        <v>1325</v>
      </c>
      <c r="P416" s="306" t="s">
        <v>1069</v>
      </c>
      <c r="Q416" s="306" t="s">
        <v>1013</v>
      </c>
      <c r="R416" s="306" t="s">
        <v>1013</v>
      </c>
      <c r="S416" s="306" t="s">
        <v>1013</v>
      </c>
      <c r="T416" s="306" t="s">
        <v>1013</v>
      </c>
      <c r="U416" s="306" t="s">
        <v>3835</v>
      </c>
      <c r="V416" s="306" t="s">
        <v>1013</v>
      </c>
      <c r="W416" s="306" t="s">
        <v>1013</v>
      </c>
      <c r="X416" s="306" t="s">
        <v>1013</v>
      </c>
      <c r="Y416" s="306" t="s">
        <v>1112</v>
      </c>
      <c r="Z416" s="306" t="s">
        <v>3381</v>
      </c>
      <c r="AA416" s="306" t="s">
        <v>1013</v>
      </c>
    </row>
    <row r="417" spans="1:27">
      <c r="A417" s="306" t="s">
        <v>494</v>
      </c>
      <c r="B417" s="306" t="s">
        <v>1003</v>
      </c>
      <c r="C417" s="306" t="s">
        <v>1004</v>
      </c>
      <c r="D417" s="306" t="s">
        <v>2480</v>
      </c>
      <c r="E417" s="306" t="s">
        <v>3857</v>
      </c>
      <c r="F417" s="306" t="s">
        <v>2482</v>
      </c>
      <c r="G417" s="308">
        <v>46021</v>
      </c>
      <c r="H417" s="308">
        <v>46021</v>
      </c>
      <c r="I417" s="309">
        <v>124970.06</v>
      </c>
      <c r="J417" s="306" t="s">
        <v>1008</v>
      </c>
      <c r="K417" s="309">
        <v>124970.06</v>
      </c>
      <c r="L417" s="306" t="s">
        <v>1008</v>
      </c>
      <c r="M417" s="306" t="s">
        <v>3858</v>
      </c>
      <c r="N417" s="306" t="s">
        <v>3859</v>
      </c>
      <c r="O417" s="306" t="s">
        <v>1328</v>
      </c>
      <c r="P417" s="306" t="s">
        <v>1069</v>
      </c>
      <c r="Q417" s="306" t="s">
        <v>1013</v>
      </c>
      <c r="R417" s="306" t="s">
        <v>1013</v>
      </c>
      <c r="S417" s="306" t="s">
        <v>1013</v>
      </c>
      <c r="T417" s="306" t="s">
        <v>1013</v>
      </c>
      <c r="U417" s="306" t="s">
        <v>3385</v>
      </c>
      <c r="V417" s="306" t="s">
        <v>1013</v>
      </c>
      <c r="W417" s="306" t="s">
        <v>1013</v>
      </c>
      <c r="X417" s="306" t="s">
        <v>1013</v>
      </c>
      <c r="Y417" s="306" t="s">
        <v>1112</v>
      </c>
      <c r="Z417" s="306" t="s">
        <v>3381</v>
      </c>
      <c r="AA417" s="306" t="s">
        <v>1013</v>
      </c>
    </row>
    <row r="418" spans="1:27">
      <c r="A418" s="306" t="s">
        <v>494</v>
      </c>
      <c r="B418" s="306" t="s">
        <v>1003</v>
      </c>
      <c r="C418" s="306" t="s">
        <v>1004</v>
      </c>
      <c r="D418" s="306" t="s">
        <v>2480</v>
      </c>
      <c r="E418" s="306" t="s">
        <v>3860</v>
      </c>
      <c r="F418" s="306" t="s">
        <v>2482</v>
      </c>
      <c r="G418" s="308">
        <v>46021</v>
      </c>
      <c r="H418" s="308">
        <v>46021</v>
      </c>
      <c r="I418" s="309">
        <v>1847035.4</v>
      </c>
      <c r="J418" s="306" t="s">
        <v>1008</v>
      </c>
      <c r="K418" s="309">
        <v>1847035.4</v>
      </c>
      <c r="L418" s="306" t="s">
        <v>1008</v>
      </c>
      <c r="M418" s="306" t="s">
        <v>3861</v>
      </c>
      <c r="N418" s="306" t="s">
        <v>3862</v>
      </c>
      <c r="O418" s="306" t="s">
        <v>1330</v>
      </c>
      <c r="P418" s="306" t="s">
        <v>1069</v>
      </c>
      <c r="Q418" s="306" t="s">
        <v>1013</v>
      </c>
      <c r="R418" s="306" t="s">
        <v>1013</v>
      </c>
      <c r="S418" s="306" t="s">
        <v>1013</v>
      </c>
      <c r="T418" s="306" t="s">
        <v>1013</v>
      </c>
      <c r="U418" s="306" t="s">
        <v>3385</v>
      </c>
      <c r="V418" s="306" t="s">
        <v>1013</v>
      </c>
      <c r="W418" s="306" t="s">
        <v>1013</v>
      </c>
      <c r="X418" s="306" t="s">
        <v>1013</v>
      </c>
      <c r="Y418" s="306" t="s">
        <v>1112</v>
      </c>
      <c r="Z418" s="306" t="s">
        <v>3381</v>
      </c>
      <c r="AA418" s="306" t="s">
        <v>1013</v>
      </c>
    </row>
    <row r="419" spans="1:27">
      <c r="A419" s="306" t="s">
        <v>494</v>
      </c>
      <c r="B419" s="306" t="s">
        <v>1003</v>
      </c>
      <c r="C419" s="306" t="s">
        <v>1004</v>
      </c>
      <c r="D419" s="306" t="s">
        <v>2480</v>
      </c>
      <c r="E419" s="306" t="s">
        <v>3863</v>
      </c>
      <c r="F419" s="306" t="s">
        <v>2482</v>
      </c>
      <c r="G419" s="308">
        <v>46021</v>
      </c>
      <c r="H419" s="308">
        <v>46021</v>
      </c>
      <c r="I419" s="309">
        <v>41174.69</v>
      </c>
      <c r="J419" s="306" t="s">
        <v>1008</v>
      </c>
      <c r="K419" s="309">
        <v>41174.69</v>
      </c>
      <c r="L419" s="306" t="s">
        <v>1008</v>
      </c>
      <c r="M419" s="306" t="s">
        <v>3864</v>
      </c>
      <c r="N419" s="306" t="s">
        <v>3865</v>
      </c>
      <c r="O419" s="306" t="s">
        <v>1332</v>
      </c>
      <c r="P419" s="306" t="s">
        <v>1069</v>
      </c>
      <c r="Q419" s="306" t="s">
        <v>1013</v>
      </c>
      <c r="R419" s="306" t="s">
        <v>1013</v>
      </c>
      <c r="S419" s="306" t="s">
        <v>1013</v>
      </c>
      <c r="T419" s="306" t="s">
        <v>1013</v>
      </c>
      <c r="U419" s="306" t="s">
        <v>3389</v>
      </c>
      <c r="V419" s="306" t="s">
        <v>1013</v>
      </c>
      <c r="W419" s="306" t="s">
        <v>1013</v>
      </c>
      <c r="X419" s="306" t="s">
        <v>1013</v>
      </c>
      <c r="Y419" s="306" t="s">
        <v>1112</v>
      </c>
      <c r="Z419" s="306" t="s">
        <v>3381</v>
      </c>
      <c r="AA419" s="306" t="s">
        <v>1013</v>
      </c>
    </row>
    <row r="420" spans="1:27">
      <c r="A420" s="306" t="s">
        <v>494</v>
      </c>
      <c r="B420" s="306" t="s">
        <v>1003</v>
      </c>
      <c r="C420" s="306" t="s">
        <v>1004</v>
      </c>
      <c r="D420" s="306" t="s">
        <v>2480</v>
      </c>
      <c r="E420" s="306" t="s">
        <v>3866</v>
      </c>
      <c r="F420" s="306" t="s">
        <v>2482</v>
      </c>
      <c r="G420" s="308">
        <v>46021</v>
      </c>
      <c r="H420" s="308">
        <v>46021</v>
      </c>
      <c r="I420" s="309">
        <v>7924.53</v>
      </c>
      <c r="J420" s="306" t="s">
        <v>1008</v>
      </c>
      <c r="K420" s="309">
        <v>7924.53</v>
      </c>
      <c r="L420" s="306" t="s">
        <v>1008</v>
      </c>
      <c r="M420" s="306" t="s">
        <v>3867</v>
      </c>
      <c r="N420" s="306" t="s">
        <v>3868</v>
      </c>
      <c r="O420" s="306" t="s">
        <v>1334</v>
      </c>
      <c r="P420" s="306" t="s">
        <v>1069</v>
      </c>
      <c r="Q420" s="306" t="s">
        <v>1013</v>
      </c>
      <c r="R420" s="306" t="s">
        <v>1013</v>
      </c>
      <c r="S420" s="306" t="s">
        <v>1013</v>
      </c>
      <c r="T420" s="306" t="s">
        <v>1013</v>
      </c>
      <c r="U420" s="306" t="s">
        <v>3835</v>
      </c>
      <c r="V420" s="306" t="s">
        <v>1013</v>
      </c>
      <c r="W420" s="306" t="s">
        <v>1013</v>
      </c>
      <c r="X420" s="306" t="s">
        <v>1013</v>
      </c>
      <c r="Y420" s="306" t="s">
        <v>1112</v>
      </c>
      <c r="Z420" s="306" t="s">
        <v>3381</v>
      </c>
      <c r="AA420" s="306" t="s">
        <v>1013</v>
      </c>
    </row>
    <row r="421" spans="1:27">
      <c r="A421" s="306" t="s">
        <v>494</v>
      </c>
      <c r="B421" s="306" t="s">
        <v>1003</v>
      </c>
      <c r="C421" s="306" t="s">
        <v>1004</v>
      </c>
      <c r="D421" s="306" t="s">
        <v>2480</v>
      </c>
      <c r="E421" s="306" t="s">
        <v>3869</v>
      </c>
      <c r="F421" s="306" t="s">
        <v>2482</v>
      </c>
      <c r="G421" s="308">
        <v>46021</v>
      </c>
      <c r="H421" s="308">
        <v>46021</v>
      </c>
      <c r="I421" s="309">
        <v>10943.4</v>
      </c>
      <c r="J421" s="306" t="s">
        <v>1008</v>
      </c>
      <c r="K421" s="309">
        <v>10943.4</v>
      </c>
      <c r="L421" s="306" t="s">
        <v>1008</v>
      </c>
      <c r="M421" s="306" t="s">
        <v>3870</v>
      </c>
      <c r="N421" s="306" t="s">
        <v>3871</v>
      </c>
      <c r="O421" s="306" t="s">
        <v>1325</v>
      </c>
      <c r="P421" s="306" t="s">
        <v>1069</v>
      </c>
      <c r="Q421" s="306" t="s">
        <v>1013</v>
      </c>
      <c r="R421" s="306" t="s">
        <v>1013</v>
      </c>
      <c r="S421" s="306" t="s">
        <v>1013</v>
      </c>
      <c r="T421" s="306" t="s">
        <v>1013</v>
      </c>
      <c r="U421" s="306" t="s">
        <v>3835</v>
      </c>
      <c r="V421" s="306" t="s">
        <v>1013</v>
      </c>
      <c r="W421" s="306" t="s">
        <v>1013</v>
      </c>
      <c r="X421" s="306" t="s">
        <v>1013</v>
      </c>
      <c r="Y421" s="306" t="s">
        <v>1112</v>
      </c>
      <c r="Z421" s="306" t="s">
        <v>3381</v>
      </c>
      <c r="AA421" s="306" t="s">
        <v>1013</v>
      </c>
    </row>
    <row r="422" spans="1:27">
      <c r="A422" s="306" t="s">
        <v>494</v>
      </c>
      <c r="B422" s="306" t="s">
        <v>1003</v>
      </c>
      <c r="C422" s="306" t="s">
        <v>1004</v>
      </c>
      <c r="D422" s="306" t="s">
        <v>2480</v>
      </c>
      <c r="E422" s="306" t="s">
        <v>3872</v>
      </c>
      <c r="F422" s="306" t="s">
        <v>2482</v>
      </c>
      <c r="G422" s="308">
        <v>46021</v>
      </c>
      <c r="H422" s="308">
        <v>46021</v>
      </c>
      <c r="I422" s="309">
        <v>3232311.96</v>
      </c>
      <c r="J422" s="306" t="s">
        <v>1008</v>
      </c>
      <c r="K422" s="309">
        <v>3232311.96</v>
      </c>
      <c r="L422" s="306" t="s">
        <v>1008</v>
      </c>
      <c r="M422" s="306" t="s">
        <v>3873</v>
      </c>
      <c r="N422" s="306" t="s">
        <v>3874</v>
      </c>
      <c r="O422" s="306" t="s">
        <v>1330</v>
      </c>
      <c r="P422" s="306" t="s">
        <v>1069</v>
      </c>
      <c r="Q422" s="306" t="s">
        <v>1013</v>
      </c>
      <c r="R422" s="306" t="s">
        <v>1013</v>
      </c>
      <c r="S422" s="306" t="s">
        <v>1013</v>
      </c>
      <c r="T422" s="306" t="s">
        <v>1013</v>
      </c>
      <c r="U422" s="306" t="s">
        <v>3385</v>
      </c>
      <c r="V422" s="306" t="s">
        <v>1013</v>
      </c>
      <c r="W422" s="306" t="s">
        <v>1013</v>
      </c>
      <c r="X422" s="306" t="s">
        <v>1013</v>
      </c>
      <c r="Y422" s="306" t="s">
        <v>1112</v>
      </c>
      <c r="Z422" s="306" t="s">
        <v>3381</v>
      </c>
      <c r="AA422" s="306" t="s">
        <v>1013</v>
      </c>
    </row>
    <row r="423" spans="1:27">
      <c r="A423" s="306" t="s">
        <v>494</v>
      </c>
      <c r="B423" s="306" t="s">
        <v>1003</v>
      </c>
      <c r="C423" s="306" t="s">
        <v>1004</v>
      </c>
      <c r="D423" s="306" t="s">
        <v>2480</v>
      </c>
      <c r="E423" s="306" t="s">
        <v>3875</v>
      </c>
      <c r="F423" s="306" t="s">
        <v>2482</v>
      </c>
      <c r="G423" s="308">
        <v>46021</v>
      </c>
      <c r="H423" s="308">
        <v>46021</v>
      </c>
      <c r="I423" s="309">
        <v>12667.92</v>
      </c>
      <c r="J423" s="306" t="s">
        <v>1008</v>
      </c>
      <c r="K423" s="309">
        <v>12667.92</v>
      </c>
      <c r="L423" s="306" t="s">
        <v>1008</v>
      </c>
      <c r="M423" s="306" t="s">
        <v>3876</v>
      </c>
      <c r="N423" s="306" t="s">
        <v>3877</v>
      </c>
      <c r="O423" s="306" t="s">
        <v>1338</v>
      </c>
      <c r="P423" s="306" t="s">
        <v>1069</v>
      </c>
      <c r="Q423" s="306" t="s">
        <v>1013</v>
      </c>
      <c r="R423" s="306" t="s">
        <v>1013</v>
      </c>
      <c r="S423" s="306" t="s">
        <v>1013</v>
      </c>
      <c r="T423" s="306" t="s">
        <v>1013</v>
      </c>
      <c r="U423" s="306" t="s">
        <v>3835</v>
      </c>
      <c r="V423" s="306" t="s">
        <v>1013</v>
      </c>
      <c r="W423" s="306" t="s">
        <v>1013</v>
      </c>
      <c r="X423" s="306" t="s">
        <v>1013</v>
      </c>
      <c r="Y423" s="306" t="s">
        <v>1112</v>
      </c>
      <c r="Z423" s="306" t="s">
        <v>3381</v>
      </c>
      <c r="AA423" s="306" t="s">
        <v>1013</v>
      </c>
    </row>
    <row r="424" spans="1:27">
      <c r="A424" s="306" t="s">
        <v>494</v>
      </c>
      <c r="B424" s="306" t="s">
        <v>1003</v>
      </c>
      <c r="C424" s="306" t="s">
        <v>1004</v>
      </c>
      <c r="D424" s="306" t="s">
        <v>2480</v>
      </c>
      <c r="E424" s="306" t="s">
        <v>3878</v>
      </c>
      <c r="F424" s="306" t="s">
        <v>2482</v>
      </c>
      <c r="G424" s="308">
        <v>46021</v>
      </c>
      <c r="H424" s="308">
        <v>46021</v>
      </c>
      <c r="I424" s="309">
        <v>129856.23</v>
      </c>
      <c r="J424" s="306" t="s">
        <v>1008</v>
      </c>
      <c r="K424" s="309">
        <v>129856.23</v>
      </c>
      <c r="L424" s="306" t="s">
        <v>1008</v>
      </c>
      <c r="M424" s="306" t="s">
        <v>3879</v>
      </c>
      <c r="N424" s="306" t="s">
        <v>3880</v>
      </c>
      <c r="O424" s="306" t="s">
        <v>1319</v>
      </c>
      <c r="P424" s="306" t="s">
        <v>1069</v>
      </c>
      <c r="Q424" s="306" t="s">
        <v>1013</v>
      </c>
      <c r="R424" s="306" t="s">
        <v>1013</v>
      </c>
      <c r="S424" s="306" t="s">
        <v>1013</v>
      </c>
      <c r="T424" s="306" t="s">
        <v>1013</v>
      </c>
      <c r="U424" s="306" t="s">
        <v>3389</v>
      </c>
      <c r="V424" s="306" t="s">
        <v>1013</v>
      </c>
      <c r="W424" s="306" t="s">
        <v>1013</v>
      </c>
      <c r="X424" s="306" t="s">
        <v>1013</v>
      </c>
      <c r="Y424" s="306" t="s">
        <v>1112</v>
      </c>
      <c r="Z424" s="306" t="s">
        <v>3381</v>
      </c>
      <c r="AA424" s="306" t="s">
        <v>1013</v>
      </c>
    </row>
    <row r="425" spans="1:27">
      <c r="A425" s="306" t="s">
        <v>494</v>
      </c>
      <c r="B425" s="306" t="s">
        <v>1003</v>
      </c>
      <c r="C425" s="306" t="s">
        <v>1004</v>
      </c>
      <c r="D425" s="306" t="s">
        <v>2480</v>
      </c>
      <c r="E425" s="306" t="s">
        <v>3881</v>
      </c>
      <c r="F425" s="306" t="s">
        <v>2482</v>
      </c>
      <c r="G425" s="308">
        <v>46021</v>
      </c>
      <c r="H425" s="308">
        <v>46021</v>
      </c>
      <c r="I425" s="309">
        <v>719166.28</v>
      </c>
      <c r="J425" s="306" t="s">
        <v>1008</v>
      </c>
      <c r="K425" s="309">
        <v>719166.28</v>
      </c>
      <c r="L425" s="306" t="s">
        <v>1008</v>
      </c>
      <c r="M425" s="306" t="s">
        <v>3882</v>
      </c>
      <c r="N425" s="306" t="s">
        <v>3883</v>
      </c>
      <c r="O425" s="306" t="s">
        <v>1321</v>
      </c>
      <c r="P425" s="306" t="s">
        <v>1069</v>
      </c>
      <c r="Q425" s="306" t="s">
        <v>1013</v>
      </c>
      <c r="R425" s="306" t="s">
        <v>1013</v>
      </c>
      <c r="S425" s="306" t="s">
        <v>1013</v>
      </c>
      <c r="T425" s="306" t="s">
        <v>1013</v>
      </c>
      <c r="U425" s="306" t="s">
        <v>3389</v>
      </c>
      <c r="V425" s="306" t="s">
        <v>1013</v>
      </c>
      <c r="W425" s="306" t="s">
        <v>1013</v>
      </c>
      <c r="X425" s="306" t="s">
        <v>1013</v>
      </c>
      <c r="Y425" s="306" t="s">
        <v>1112</v>
      </c>
      <c r="Z425" s="306" t="s">
        <v>3381</v>
      </c>
      <c r="AA425" s="306" t="s">
        <v>1013</v>
      </c>
    </row>
    <row r="426" spans="1:27">
      <c r="A426" s="306" t="s">
        <v>494</v>
      </c>
      <c r="B426" s="306" t="s">
        <v>1003</v>
      </c>
      <c r="C426" s="306" t="s">
        <v>1004</v>
      </c>
      <c r="D426" s="306" t="s">
        <v>2480</v>
      </c>
      <c r="E426" s="306" t="s">
        <v>3884</v>
      </c>
      <c r="F426" s="306" t="s">
        <v>2482</v>
      </c>
      <c r="G426" s="308">
        <v>46021</v>
      </c>
      <c r="H426" s="308">
        <v>46021</v>
      </c>
      <c r="I426" s="309">
        <v>2787064.37</v>
      </c>
      <c r="J426" s="306" t="s">
        <v>1008</v>
      </c>
      <c r="K426" s="309">
        <v>2787064.37</v>
      </c>
      <c r="L426" s="306" t="s">
        <v>1008</v>
      </c>
      <c r="M426" s="306" t="s">
        <v>3885</v>
      </c>
      <c r="N426" s="306" t="s">
        <v>3886</v>
      </c>
      <c r="O426" s="306" t="s">
        <v>1323</v>
      </c>
      <c r="P426" s="306" t="s">
        <v>1069</v>
      </c>
      <c r="Q426" s="306" t="s">
        <v>1013</v>
      </c>
      <c r="R426" s="306" t="s">
        <v>1013</v>
      </c>
      <c r="S426" s="306" t="s">
        <v>1013</v>
      </c>
      <c r="T426" s="306" t="s">
        <v>1013</v>
      </c>
      <c r="U426" s="306" t="s">
        <v>3389</v>
      </c>
      <c r="V426" s="306" t="s">
        <v>1013</v>
      </c>
      <c r="W426" s="306" t="s">
        <v>1013</v>
      </c>
      <c r="X426" s="306" t="s">
        <v>1013</v>
      </c>
      <c r="Y426" s="306" t="s">
        <v>1112</v>
      </c>
      <c r="Z426" s="306" t="s">
        <v>3381</v>
      </c>
      <c r="AA426" s="306" t="s">
        <v>1013</v>
      </c>
    </row>
    <row r="427" spans="1:27">
      <c r="A427" s="306" t="s">
        <v>494</v>
      </c>
      <c r="B427" s="306" t="s">
        <v>1003</v>
      </c>
      <c r="C427" s="306" t="s">
        <v>1004</v>
      </c>
      <c r="D427" s="306" t="s">
        <v>2480</v>
      </c>
      <c r="E427" s="306" t="s">
        <v>3887</v>
      </c>
      <c r="F427" s="306" t="s">
        <v>2482</v>
      </c>
      <c r="G427" s="308">
        <v>46021</v>
      </c>
      <c r="H427" s="308">
        <v>46021</v>
      </c>
      <c r="I427" s="309">
        <v>41174.69</v>
      </c>
      <c r="J427" s="306" t="s">
        <v>1008</v>
      </c>
      <c r="K427" s="309">
        <v>41174.69</v>
      </c>
      <c r="L427" s="306" t="s">
        <v>1008</v>
      </c>
      <c r="M427" s="306" t="s">
        <v>3888</v>
      </c>
      <c r="N427" s="306" t="s">
        <v>3889</v>
      </c>
      <c r="O427" s="306" t="s">
        <v>1332</v>
      </c>
      <c r="P427" s="306" t="s">
        <v>1069</v>
      </c>
      <c r="Q427" s="306" t="s">
        <v>1013</v>
      </c>
      <c r="R427" s="306" t="s">
        <v>1013</v>
      </c>
      <c r="S427" s="306" t="s">
        <v>1013</v>
      </c>
      <c r="T427" s="306" t="s">
        <v>1013</v>
      </c>
      <c r="U427" s="306" t="s">
        <v>3389</v>
      </c>
      <c r="V427" s="306" t="s">
        <v>1013</v>
      </c>
      <c r="W427" s="306" t="s">
        <v>1013</v>
      </c>
      <c r="X427" s="306" t="s">
        <v>1013</v>
      </c>
      <c r="Y427" s="306" t="s">
        <v>1112</v>
      </c>
      <c r="Z427" s="306" t="s">
        <v>3381</v>
      </c>
      <c r="AA427" s="306" t="s">
        <v>1013</v>
      </c>
    </row>
    <row r="428" spans="1:27">
      <c r="A428" s="306" t="s">
        <v>494</v>
      </c>
      <c r="B428" s="306" t="s">
        <v>1003</v>
      </c>
      <c r="C428" s="306" t="s">
        <v>1004</v>
      </c>
      <c r="D428" s="306" t="s">
        <v>2480</v>
      </c>
      <c r="E428" s="306" t="s">
        <v>3890</v>
      </c>
      <c r="F428" s="306" t="s">
        <v>2482</v>
      </c>
      <c r="G428" s="308">
        <v>46021</v>
      </c>
      <c r="H428" s="308">
        <v>46021</v>
      </c>
      <c r="I428" s="309">
        <v>327640.21999999997</v>
      </c>
      <c r="J428" s="306" t="s">
        <v>1008</v>
      </c>
      <c r="K428" s="309">
        <v>327640.21999999997</v>
      </c>
      <c r="L428" s="306" t="s">
        <v>1008</v>
      </c>
      <c r="M428" s="306" t="s">
        <v>3891</v>
      </c>
      <c r="N428" s="306" t="s">
        <v>3892</v>
      </c>
      <c r="O428" s="306" t="s">
        <v>1344</v>
      </c>
      <c r="P428" s="306" t="s">
        <v>1069</v>
      </c>
      <c r="Q428" s="306" t="s">
        <v>1013</v>
      </c>
      <c r="R428" s="306" t="s">
        <v>1013</v>
      </c>
      <c r="S428" s="306" t="s">
        <v>1013</v>
      </c>
      <c r="T428" s="306" t="s">
        <v>1013</v>
      </c>
      <c r="U428" s="306" t="s">
        <v>3389</v>
      </c>
      <c r="V428" s="306" t="s">
        <v>1013</v>
      </c>
      <c r="W428" s="306" t="s">
        <v>1013</v>
      </c>
      <c r="X428" s="306" t="s">
        <v>1013</v>
      </c>
      <c r="Y428" s="306" t="s">
        <v>1112</v>
      </c>
      <c r="Z428" s="306" t="s">
        <v>3381</v>
      </c>
      <c r="AA428" s="306" t="s">
        <v>1013</v>
      </c>
    </row>
    <row r="429" spans="1:27">
      <c r="A429" s="306" t="s">
        <v>494</v>
      </c>
      <c r="B429" s="306" t="s">
        <v>1003</v>
      </c>
      <c r="C429" s="306" t="s">
        <v>1004</v>
      </c>
      <c r="D429" s="306" t="s">
        <v>2480</v>
      </c>
      <c r="E429" s="306" t="s">
        <v>3893</v>
      </c>
      <c r="F429" s="306" t="s">
        <v>2482</v>
      </c>
      <c r="G429" s="308">
        <v>46021</v>
      </c>
      <c r="H429" s="308">
        <v>46021</v>
      </c>
      <c r="I429" s="309">
        <v>1615285.51</v>
      </c>
      <c r="J429" s="306" t="s">
        <v>1008</v>
      </c>
      <c r="K429" s="309">
        <v>1615285.51</v>
      </c>
      <c r="L429" s="306" t="s">
        <v>1008</v>
      </c>
      <c r="M429" s="306" t="s">
        <v>3894</v>
      </c>
      <c r="N429" s="306" t="s">
        <v>3895</v>
      </c>
      <c r="O429" s="306" t="s">
        <v>1317</v>
      </c>
      <c r="P429" s="306" t="s">
        <v>1069</v>
      </c>
      <c r="Q429" s="306" t="s">
        <v>1013</v>
      </c>
      <c r="R429" s="306" t="s">
        <v>1013</v>
      </c>
      <c r="S429" s="306" t="s">
        <v>1013</v>
      </c>
      <c r="T429" s="306" t="s">
        <v>1013</v>
      </c>
      <c r="U429" s="306" t="s">
        <v>3389</v>
      </c>
      <c r="V429" s="306" t="s">
        <v>1013</v>
      </c>
      <c r="W429" s="306" t="s">
        <v>1013</v>
      </c>
      <c r="X429" s="306" t="s">
        <v>1013</v>
      </c>
      <c r="Y429" s="306" t="s">
        <v>1112</v>
      </c>
      <c r="Z429" s="306" t="s">
        <v>3381</v>
      </c>
      <c r="AA429" s="306" t="s">
        <v>1013</v>
      </c>
    </row>
    <row r="430" spans="1:27">
      <c r="A430" s="306" t="s">
        <v>494</v>
      </c>
      <c r="B430" s="306" t="s">
        <v>1003</v>
      </c>
      <c r="C430" s="306" t="s">
        <v>1004</v>
      </c>
      <c r="D430" s="306" t="s">
        <v>2480</v>
      </c>
      <c r="E430" s="306" t="s">
        <v>3896</v>
      </c>
      <c r="F430" s="306" t="s">
        <v>2482</v>
      </c>
      <c r="G430" s="308">
        <v>46021</v>
      </c>
      <c r="H430" s="308">
        <v>46021</v>
      </c>
      <c r="I430" s="309">
        <v>297247.71000000002</v>
      </c>
      <c r="J430" s="306" t="s">
        <v>1008</v>
      </c>
      <c r="K430" s="309">
        <v>297247.71000000002</v>
      </c>
      <c r="L430" s="306" t="s">
        <v>1008</v>
      </c>
      <c r="M430" s="306" t="s">
        <v>3897</v>
      </c>
      <c r="N430" s="306" t="s">
        <v>3898</v>
      </c>
      <c r="O430" s="306" t="s">
        <v>1347</v>
      </c>
      <c r="P430" s="306" t="s">
        <v>1069</v>
      </c>
      <c r="Q430" s="306" t="s">
        <v>1013</v>
      </c>
      <c r="R430" s="306" t="s">
        <v>1013</v>
      </c>
      <c r="S430" s="306" t="s">
        <v>1013</v>
      </c>
      <c r="T430" s="306" t="s">
        <v>1013</v>
      </c>
      <c r="U430" s="306" t="s">
        <v>3389</v>
      </c>
      <c r="V430" s="306" t="s">
        <v>1013</v>
      </c>
      <c r="W430" s="306" t="s">
        <v>1013</v>
      </c>
      <c r="X430" s="306" t="s">
        <v>1013</v>
      </c>
      <c r="Y430" s="306" t="s">
        <v>1112</v>
      </c>
      <c r="Z430" s="306" t="s">
        <v>3381</v>
      </c>
      <c r="AA430" s="306" t="s">
        <v>1013</v>
      </c>
    </row>
    <row r="431" spans="1:27">
      <c r="A431" s="306" t="s">
        <v>494</v>
      </c>
      <c r="B431" s="306" t="s">
        <v>1003</v>
      </c>
      <c r="C431" s="306" t="s">
        <v>1004</v>
      </c>
      <c r="D431" s="306" t="s">
        <v>2480</v>
      </c>
      <c r="E431" s="306" t="s">
        <v>3899</v>
      </c>
      <c r="F431" s="306" t="s">
        <v>2482</v>
      </c>
      <c r="G431" s="308">
        <v>46021</v>
      </c>
      <c r="H431" s="308">
        <v>46021</v>
      </c>
      <c r="I431" s="309">
        <v>1073070.04</v>
      </c>
      <c r="J431" s="306" t="s">
        <v>1008</v>
      </c>
      <c r="K431" s="309">
        <v>1073070.04</v>
      </c>
      <c r="L431" s="306" t="s">
        <v>1008</v>
      </c>
      <c r="M431" s="306" t="s">
        <v>3900</v>
      </c>
      <c r="N431" s="306" t="s">
        <v>3901</v>
      </c>
      <c r="O431" s="306" t="s">
        <v>1315</v>
      </c>
      <c r="P431" s="306" t="s">
        <v>1069</v>
      </c>
      <c r="Q431" s="306" t="s">
        <v>1013</v>
      </c>
      <c r="R431" s="306" t="s">
        <v>1013</v>
      </c>
      <c r="S431" s="306" t="s">
        <v>1013</v>
      </c>
      <c r="T431" s="306" t="s">
        <v>1013</v>
      </c>
      <c r="U431" s="306" t="s">
        <v>3389</v>
      </c>
      <c r="V431" s="306" t="s">
        <v>1013</v>
      </c>
      <c r="W431" s="306" t="s">
        <v>1013</v>
      </c>
      <c r="X431" s="306" t="s">
        <v>1013</v>
      </c>
      <c r="Y431" s="306" t="s">
        <v>1112</v>
      </c>
      <c r="Z431" s="306" t="s">
        <v>3381</v>
      </c>
      <c r="AA431" s="306" t="s">
        <v>1013</v>
      </c>
    </row>
    <row r="432" spans="1:27">
      <c r="A432" s="306" t="s">
        <v>494</v>
      </c>
      <c r="B432" s="306" t="s">
        <v>1003</v>
      </c>
      <c r="C432" s="306" t="s">
        <v>1004</v>
      </c>
      <c r="D432" s="306" t="s">
        <v>2480</v>
      </c>
      <c r="E432" s="306" t="s">
        <v>3902</v>
      </c>
      <c r="F432" s="306" t="s">
        <v>2482</v>
      </c>
      <c r="G432" s="308">
        <v>46021</v>
      </c>
      <c r="H432" s="308">
        <v>46021</v>
      </c>
      <c r="I432" s="309">
        <v>1748213.74</v>
      </c>
      <c r="J432" s="306" t="s">
        <v>1008</v>
      </c>
      <c r="K432" s="309">
        <v>1748213.74</v>
      </c>
      <c r="L432" s="306" t="s">
        <v>1008</v>
      </c>
      <c r="M432" s="306" t="s">
        <v>3903</v>
      </c>
      <c r="N432" s="306" t="s">
        <v>3904</v>
      </c>
      <c r="O432" s="306" t="s">
        <v>1350</v>
      </c>
      <c r="P432" s="306" t="s">
        <v>1069</v>
      </c>
      <c r="Q432" s="306" t="s">
        <v>1013</v>
      </c>
      <c r="R432" s="306" t="s">
        <v>1013</v>
      </c>
      <c r="S432" s="306" t="s">
        <v>1013</v>
      </c>
      <c r="T432" s="306" t="s">
        <v>1013</v>
      </c>
      <c r="U432" s="306" t="s">
        <v>3385</v>
      </c>
      <c r="V432" s="306" t="s">
        <v>1013</v>
      </c>
      <c r="W432" s="306" t="s">
        <v>1013</v>
      </c>
      <c r="X432" s="306" t="s">
        <v>1013</v>
      </c>
      <c r="Y432" s="306" t="s">
        <v>1112</v>
      </c>
      <c r="Z432" s="306" t="s">
        <v>3381</v>
      </c>
      <c r="AA432" s="306" t="s">
        <v>1013</v>
      </c>
    </row>
    <row r="433" spans="1:27">
      <c r="A433" s="306" t="s">
        <v>494</v>
      </c>
      <c r="B433" s="306" t="s">
        <v>1003</v>
      </c>
      <c r="C433" s="306" t="s">
        <v>1004</v>
      </c>
      <c r="D433" s="306" t="s">
        <v>2480</v>
      </c>
      <c r="E433" s="306" t="s">
        <v>3905</v>
      </c>
      <c r="F433" s="306" t="s">
        <v>2482</v>
      </c>
      <c r="G433" s="308">
        <v>46021</v>
      </c>
      <c r="H433" s="308">
        <v>46021</v>
      </c>
      <c r="I433" s="309">
        <v>26213.59</v>
      </c>
      <c r="J433" s="306" t="s">
        <v>1008</v>
      </c>
      <c r="K433" s="309">
        <v>26213.59</v>
      </c>
      <c r="L433" s="306" t="s">
        <v>1008</v>
      </c>
      <c r="M433" s="306" t="s">
        <v>3906</v>
      </c>
      <c r="N433" s="306" t="s">
        <v>3907</v>
      </c>
      <c r="O433" s="306" t="s">
        <v>1352</v>
      </c>
      <c r="P433" s="306" t="s">
        <v>1069</v>
      </c>
      <c r="Q433" s="306" t="s">
        <v>1013</v>
      </c>
      <c r="R433" s="306" t="s">
        <v>1013</v>
      </c>
      <c r="S433" s="306" t="s">
        <v>1013</v>
      </c>
      <c r="T433" s="306" t="s">
        <v>1013</v>
      </c>
      <c r="U433" s="306" t="s">
        <v>3389</v>
      </c>
      <c r="V433" s="306" t="s">
        <v>1013</v>
      </c>
      <c r="W433" s="306" t="s">
        <v>1013</v>
      </c>
      <c r="X433" s="306" t="s">
        <v>1013</v>
      </c>
      <c r="Y433" s="306" t="s">
        <v>1112</v>
      </c>
      <c r="Z433" s="306" t="s">
        <v>3381</v>
      </c>
      <c r="AA433" s="306" t="s">
        <v>1013</v>
      </c>
    </row>
    <row r="434" spans="1:27">
      <c r="A434" s="306" t="s">
        <v>494</v>
      </c>
      <c r="B434" s="306" t="s">
        <v>1003</v>
      </c>
      <c r="C434" s="306" t="s">
        <v>1004</v>
      </c>
      <c r="D434" s="306" t="s">
        <v>2480</v>
      </c>
      <c r="E434" s="306" t="s">
        <v>3908</v>
      </c>
      <c r="F434" s="306" t="s">
        <v>2482</v>
      </c>
      <c r="G434" s="308">
        <v>46021</v>
      </c>
      <c r="H434" s="308">
        <v>46021</v>
      </c>
      <c r="I434" s="309">
        <v>28301.89</v>
      </c>
      <c r="J434" s="306" t="s">
        <v>1008</v>
      </c>
      <c r="K434" s="309">
        <v>28301.89</v>
      </c>
      <c r="L434" s="306" t="s">
        <v>1008</v>
      </c>
      <c r="M434" s="306" t="s">
        <v>3909</v>
      </c>
      <c r="N434" s="306" t="s">
        <v>3910</v>
      </c>
      <c r="O434" s="306" t="s">
        <v>1354</v>
      </c>
      <c r="P434" s="306" t="s">
        <v>1069</v>
      </c>
      <c r="Q434" s="306" t="s">
        <v>1013</v>
      </c>
      <c r="R434" s="306" t="s">
        <v>1013</v>
      </c>
      <c r="S434" s="306" t="s">
        <v>1013</v>
      </c>
      <c r="T434" s="306" t="s">
        <v>1013</v>
      </c>
      <c r="U434" s="306" t="s">
        <v>3835</v>
      </c>
      <c r="V434" s="306" t="s">
        <v>1013</v>
      </c>
      <c r="W434" s="306" t="s">
        <v>1013</v>
      </c>
      <c r="X434" s="306" t="s">
        <v>1013</v>
      </c>
      <c r="Y434" s="306" t="s">
        <v>1112</v>
      </c>
      <c r="Z434" s="306" t="s">
        <v>3381</v>
      </c>
      <c r="AA434" s="306" t="s">
        <v>1013</v>
      </c>
    </row>
    <row r="435" spans="1:27">
      <c r="A435" s="306" t="s">
        <v>494</v>
      </c>
      <c r="B435" s="306" t="s">
        <v>1003</v>
      </c>
      <c r="C435" s="306" t="s">
        <v>1004</v>
      </c>
      <c r="D435" s="306" t="s">
        <v>2480</v>
      </c>
      <c r="E435" s="306" t="s">
        <v>3911</v>
      </c>
      <c r="F435" s="306" t="s">
        <v>2482</v>
      </c>
      <c r="G435" s="308">
        <v>46021</v>
      </c>
      <c r="H435" s="308">
        <v>46021</v>
      </c>
      <c r="I435" s="309">
        <v>16633.66</v>
      </c>
      <c r="J435" s="306" t="s">
        <v>1008</v>
      </c>
      <c r="K435" s="309">
        <v>16633.66</v>
      </c>
      <c r="L435" s="306" t="s">
        <v>1008</v>
      </c>
      <c r="M435" s="306" t="s">
        <v>3912</v>
      </c>
      <c r="N435" s="306" t="s">
        <v>3913</v>
      </c>
      <c r="O435" s="306" t="s">
        <v>1356</v>
      </c>
      <c r="P435" s="306" t="s">
        <v>1069</v>
      </c>
      <c r="Q435" s="306" t="s">
        <v>1013</v>
      </c>
      <c r="R435" s="306" t="s">
        <v>1013</v>
      </c>
      <c r="S435" s="306" t="s">
        <v>1013</v>
      </c>
      <c r="T435" s="306" t="s">
        <v>1013</v>
      </c>
      <c r="U435" s="306" t="s">
        <v>3835</v>
      </c>
      <c r="V435" s="306" t="s">
        <v>1013</v>
      </c>
      <c r="W435" s="306" t="s">
        <v>1013</v>
      </c>
      <c r="X435" s="306" t="s">
        <v>1013</v>
      </c>
      <c r="Y435" s="306" t="s">
        <v>1112</v>
      </c>
      <c r="Z435" s="306" t="s">
        <v>3381</v>
      </c>
      <c r="AA435" s="306" t="s">
        <v>1013</v>
      </c>
    </row>
    <row r="436" spans="1:27">
      <c r="A436" s="306" t="s">
        <v>494</v>
      </c>
      <c r="B436" s="306" t="s">
        <v>1003</v>
      </c>
      <c r="C436" s="306" t="s">
        <v>1004</v>
      </c>
      <c r="D436" s="306" t="s">
        <v>2480</v>
      </c>
      <c r="E436" s="306" t="s">
        <v>3914</v>
      </c>
      <c r="F436" s="306" t="s">
        <v>2482</v>
      </c>
      <c r="G436" s="308">
        <v>46021</v>
      </c>
      <c r="H436" s="308">
        <v>46021</v>
      </c>
      <c r="I436" s="309">
        <v>15089.11</v>
      </c>
      <c r="J436" s="306" t="s">
        <v>1008</v>
      </c>
      <c r="K436" s="309">
        <v>15089.11</v>
      </c>
      <c r="L436" s="306" t="s">
        <v>1008</v>
      </c>
      <c r="M436" s="306" t="s">
        <v>3915</v>
      </c>
      <c r="N436" s="306" t="s">
        <v>3916</v>
      </c>
      <c r="O436" s="306" t="s">
        <v>1358</v>
      </c>
      <c r="P436" s="306" t="s">
        <v>1069</v>
      </c>
      <c r="Q436" s="306" t="s">
        <v>1013</v>
      </c>
      <c r="R436" s="306" t="s">
        <v>1013</v>
      </c>
      <c r="S436" s="306" t="s">
        <v>1013</v>
      </c>
      <c r="T436" s="306" t="s">
        <v>1013</v>
      </c>
      <c r="U436" s="306" t="s">
        <v>3835</v>
      </c>
      <c r="V436" s="306" t="s">
        <v>1013</v>
      </c>
      <c r="W436" s="306" t="s">
        <v>1013</v>
      </c>
      <c r="X436" s="306" t="s">
        <v>1013</v>
      </c>
      <c r="Y436" s="306" t="s">
        <v>1112</v>
      </c>
      <c r="Z436" s="306" t="s">
        <v>3381</v>
      </c>
      <c r="AA436" s="306" t="s">
        <v>1013</v>
      </c>
    </row>
    <row r="437" spans="1:27">
      <c r="A437" s="306" t="s">
        <v>494</v>
      </c>
      <c r="B437" s="306" t="s">
        <v>1003</v>
      </c>
      <c r="C437" s="306" t="s">
        <v>1004</v>
      </c>
      <c r="D437" s="306" t="s">
        <v>2480</v>
      </c>
      <c r="E437" s="306" t="s">
        <v>3917</v>
      </c>
      <c r="F437" s="306" t="s">
        <v>2482</v>
      </c>
      <c r="G437" s="308">
        <v>46021</v>
      </c>
      <c r="H437" s="308">
        <v>46021</v>
      </c>
      <c r="I437" s="309">
        <v>20377.36</v>
      </c>
      <c r="J437" s="306" t="s">
        <v>1008</v>
      </c>
      <c r="K437" s="309">
        <v>20377.36</v>
      </c>
      <c r="L437" s="306" t="s">
        <v>1008</v>
      </c>
      <c r="M437" s="306" t="s">
        <v>3918</v>
      </c>
      <c r="N437" s="306" t="s">
        <v>3919</v>
      </c>
      <c r="O437" s="306" t="s">
        <v>1360</v>
      </c>
      <c r="P437" s="306" t="s">
        <v>1069</v>
      </c>
      <c r="Q437" s="306" t="s">
        <v>1013</v>
      </c>
      <c r="R437" s="306" t="s">
        <v>1013</v>
      </c>
      <c r="S437" s="306" t="s">
        <v>1013</v>
      </c>
      <c r="T437" s="306" t="s">
        <v>1013</v>
      </c>
      <c r="U437" s="306" t="s">
        <v>3835</v>
      </c>
      <c r="V437" s="306" t="s">
        <v>1013</v>
      </c>
      <c r="W437" s="306" t="s">
        <v>1013</v>
      </c>
      <c r="X437" s="306" t="s">
        <v>1013</v>
      </c>
      <c r="Y437" s="306" t="s">
        <v>1112</v>
      </c>
      <c r="Z437" s="306" t="s">
        <v>3381</v>
      </c>
      <c r="AA437" s="306" t="s">
        <v>1013</v>
      </c>
    </row>
    <row r="438" spans="1:27">
      <c r="A438" s="306" t="s">
        <v>494</v>
      </c>
      <c r="B438" s="306" t="s">
        <v>1003</v>
      </c>
      <c r="C438" s="306" t="s">
        <v>1004</v>
      </c>
      <c r="D438" s="306" t="s">
        <v>2480</v>
      </c>
      <c r="E438" s="306" t="s">
        <v>3920</v>
      </c>
      <c r="F438" s="306" t="s">
        <v>2482</v>
      </c>
      <c r="G438" s="308">
        <v>46021</v>
      </c>
      <c r="H438" s="308">
        <v>46021</v>
      </c>
      <c r="I438" s="309">
        <v>13584.91</v>
      </c>
      <c r="J438" s="306" t="s">
        <v>1008</v>
      </c>
      <c r="K438" s="309">
        <v>13584.91</v>
      </c>
      <c r="L438" s="306" t="s">
        <v>1008</v>
      </c>
      <c r="M438" s="306" t="s">
        <v>3921</v>
      </c>
      <c r="N438" s="306" t="s">
        <v>3922</v>
      </c>
      <c r="O438" s="306" t="s">
        <v>1362</v>
      </c>
      <c r="P438" s="306" t="s">
        <v>1069</v>
      </c>
      <c r="Q438" s="306" t="s">
        <v>1013</v>
      </c>
      <c r="R438" s="306" t="s">
        <v>1013</v>
      </c>
      <c r="S438" s="306" t="s">
        <v>1013</v>
      </c>
      <c r="T438" s="306" t="s">
        <v>1013</v>
      </c>
      <c r="U438" s="306" t="s">
        <v>3835</v>
      </c>
      <c r="V438" s="306" t="s">
        <v>1013</v>
      </c>
      <c r="W438" s="306" t="s">
        <v>1013</v>
      </c>
      <c r="X438" s="306" t="s">
        <v>1013</v>
      </c>
      <c r="Y438" s="306" t="s">
        <v>1112</v>
      </c>
      <c r="Z438" s="306" t="s">
        <v>3381</v>
      </c>
      <c r="AA438" s="306" t="s">
        <v>1013</v>
      </c>
    </row>
    <row r="439" spans="1:27">
      <c r="A439" s="306" t="s">
        <v>494</v>
      </c>
      <c r="B439" s="306" t="s">
        <v>1003</v>
      </c>
      <c r="C439" s="306" t="s">
        <v>1004</v>
      </c>
      <c r="D439" s="306" t="s">
        <v>2480</v>
      </c>
      <c r="E439" s="306" t="s">
        <v>3923</v>
      </c>
      <c r="F439" s="306" t="s">
        <v>2482</v>
      </c>
      <c r="G439" s="308">
        <v>46021</v>
      </c>
      <c r="H439" s="308">
        <v>46021</v>
      </c>
      <c r="I439" s="309">
        <v>14716.98</v>
      </c>
      <c r="J439" s="306" t="s">
        <v>1008</v>
      </c>
      <c r="K439" s="309">
        <v>14716.98</v>
      </c>
      <c r="L439" s="306" t="s">
        <v>1008</v>
      </c>
      <c r="M439" s="306" t="s">
        <v>3924</v>
      </c>
      <c r="N439" s="306" t="s">
        <v>3925</v>
      </c>
      <c r="O439" s="306" t="s">
        <v>1364</v>
      </c>
      <c r="P439" s="306" t="s">
        <v>1069</v>
      </c>
      <c r="Q439" s="306" t="s">
        <v>1013</v>
      </c>
      <c r="R439" s="306" t="s">
        <v>1013</v>
      </c>
      <c r="S439" s="306" t="s">
        <v>1013</v>
      </c>
      <c r="T439" s="306" t="s">
        <v>1013</v>
      </c>
      <c r="U439" s="306" t="s">
        <v>3835</v>
      </c>
      <c r="V439" s="306" t="s">
        <v>1013</v>
      </c>
      <c r="W439" s="306" t="s">
        <v>1013</v>
      </c>
      <c r="X439" s="306" t="s">
        <v>1013</v>
      </c>
      <c r="Y439" s="306" t="s">
        <v>1112</v>
      </c>
      <c r="Z439" s="306" t="s">
        <v>3381</v>
      </c>
      <c r="AA439" s="306" t="s">
        <v>1013</v>
      </c>
    </row>
    <row r="440" spans="1:27">
      <c r="A440" s="306" t="s">
        <v>494</v>
      </c>
      <c r="B440" s="306" t="s">
        <v>1003</v>
      </c>
      <c r="C440" s="306" t="s">
        <v>1004</v>
      </c>
      <c r="D440" s="306" t="s">
        <v>2480</v>
      </c>
      <c r="E440" s="306" t="s">
        <v>3926</v>
      </c>
      <c r="F440" s="306" t="s">
        <v>2482</v>
      </c>
      <c r="G440" s="308">
        <v>46021</v>
      </c>
      <c r="H440" s="308">
        <v>46021</v>
      </c>
      <c r="I440" s="309">
        <v>11881.19</v>
      </c>
      <c r="J440" s="306" t="s">
        <v>1008</v>
      </c>
      <c r="K440" s="309">
        <v>11881.19</v>
      </c>
      <c r="L440" s="306" t="s">
        <v>1008</v>
      </c>
      <c r="M440" s="306" t="s">
        <v>3927</v>
      </c>
      <c r="N440" s="306" t="s">
        <v>3928</v>
      </c>
      <c r="O440" s="306" t="s">
        <v>1366</v>
      </c>
      <c r="P440" s="306" t="s">
        <v>1069</v>
      </c>
      <c r="Q440" s="306" t="s">
        <v>1013</v>
      </c>
      <c r="R440" s="306" t="s">
        <v>1013</v>
      </c>
      <c r="S440" s="306" t="s">
        <v>1013</v>
      </c>
      <c r="T440" s="306" t="s">
        <v>1013</v>
      </c>
      <c r="U440" s="306" t="s">
        <v>3835</v>
      </c>
      <c r="V440" s="306" t="s">
        <v>1013</v>
      </c>
      <c r="W440" s="306" t="s">
        <v>1013</v>
      </c>
      <c r="X440" s="306" t="s">
        <v>1013</v>
      </c>
      <c r="Y440" s="306" t="s">
        <v>1112</v>
      </c>
      <c r="Z440" s="306" t="s">
        <v>3381</v>
      </c>
      <c r="AA440" s="306" t="s">
        <v>1013</v>
      </c>
    </row>
    <row r="441" spans="1:27">
      <c r="A441" s="306" t="s">
        <v>494</v>
      </c>
      <c r="B441" s="306" t="s">
        <v>1003</v>
      </c>
      <c r="C441" s="306" t="s">
        <v>1004</v>
      </c>
      <c r="D441" s="306" t="s">
        <v>2480</v>
      </c>
      <c r="E441" s="306" t="s">
        <v>3929</v>
      </c>
      <c r="F441" s="306" t="s">
        <v>2482</v>
      </c>
      <c r="G441" s="308">
        <v>46021</v>
      </c>
      <c r="H441" s="308">
        <v>46021</v>
      </c>
      <c r="I441" s="309">
        <v>27169.81</v>
      </c>
      <c r="J441" s="306" t="s">
        <v>1008</v>
      </c>
      <c r="K441" s="309">
        <v>27169.81</v>
      </c>
      <c r="L441" s="306" t="s">
        <v>1008</v>
      </c>
      <c r="M441" s="306" t="s">
        <v>3930</v>
      </c>
      <c r="N441" s="306" t="s">
        <v>3931</v>
      </c>
      <c r="O441" s="306" t="s">
        <v>1368</v>
      </c>
      <c r="P441" s="306" t="s">
        <v>1069</v>
      </c>
      <c r="Q441" s="306" t="s">
        <v>1013</v>
      </c>
      <c r="R441" s="306" t="s">
        <v>1013</v>
      </c>
      <c r="S441" s="306" t="s">
        <v>1013</v>
      </c>
      <c r="T441" s="306" t="s">
        <v>1013</v>
      </c>
      <c r="U441" s="306" t="s">
        <v>3835</v>
      </c>
      <c r="V441" s="306" t="s">
        <v>1013</v>
      </c>
      <c r="W441" s="306" t="s">
        <v>1013</v>
      </c>
      <c r="X441" s="306" t="s">
        <v>1013</v>
      </c>
      <c r="Y441" s="306" t="s">
        <v>1112</v>
      </c>
      <c r="Z441" s="306" t="s">
        <v>3381</v>
      </c>
      <c r="AA441" s="306" t="s">
        <v>1013</v>
      </c>
    </row>
    <row r="442" spans="1:27">
      <c r="A442" s="306" t="s">
        <v>494</v>
      </c>
      <c r="B442" s="306" t="s">
        <v>1003</v>
      </c>
      <c r="C442" s="306" t="s">
        <v>1004</v>
      </c>
      <c r="D442" s="306" t="s">
        <v>2480</v>
      </c>
      <c r="E442" s="306" t="s">
        <v>3932</v>
      </c>
      <c r="F442" s="306" t="s">
        <v>2482</v>
      </c>
      <c r="G442" s="308">
        <v>46021</v>
      </c>
      <c r="H442" s="308">
        <v>46021</v>
      </c>
      <c r="I442" s="309">
        <v>14257.43</v>
      </c>
      <c r="J442" s="306" t="s">
        <v>1008</v>
      </c>
      <c r="K442" s="309">
        <v>14257.43</v>
      </c>
      <c r="L442" s="306" t="s">
        <v>1008</v>
      </c>
      <c r="M442" s="306" t="s">
        <v>3933</v>
      </c>
      <c r="N442" s="306" t="s">
        <v>3934</v>
      </c>
      <c r="O442" s="306" t="s">
        <v>1370</v>
      </c>
      <c r="P442" s="306" t="s">
        <v>1069</v>
      </c>
      <c r="Q442" s="306" t="s">
        <v>1013</v>
      </c>
      <c r="R442" s="306" t="s">
        <v>1013</v>
      </c>
      <c r="S442" s="306" t="s">
        <v>1013</v>
      </c>
      <c r="T442" s="306" t="s">
        <v>1013</v>
      </c>
      <c r="U442" s="306" t="s">
        <v>3835</v>
      </c>
      <c r="V442" s="306" t="s">
        <v>1013</v>
      </c>
      <c r="W442" s="306" t="s">
        <v>1013</v>
      </c>
      <c r="X442" s="306" t="s">
        <v>1013</v>
      </c>
      <c r="Y442" s="306" t="s">
        <v>1112</v>
      </c>
      <c r="Z442" s="306" t="s">
        <v>3381</v>
      </c>
      <c r="AA442" s="306" t="s">
        <v>1013</v>
      </c>
    </row>
    <row r="443" spans="1:27">
      <c r="A443" s="306" t="s">
        <v>494</v>
      </c>
      <c r="B443" s="306" t="s">
        <v>1003</v>
      </c>
      <c r="C443" s="306" t="s">
        <v>1004</v>
      </c>
      <c r="D443" s="306" t="s">
        <v>2480</v>
      </c>
      <c r="E443" s="306" t="s">
        <v>3935</v>
      </c>
      <c r="F443" s="306" t="s">
        <v>2482</v>
      </c>
      <c r="G443" s="308">
        <v>46021</v>
      </c>
      <c r="H443" s="308">
        <v>46021</v>
      </c>
      <c r="I443" s="309">
        <v>24356.44</v>
      </c>
      <c r="J443" s="306" t="s">
        <v>1008</v>
      </c>
      <c r="K443" s="309">
        <v>24356.44</v>
      </c>
      <c r="L443" s="306" t="s">
        <v>1008</v>
      </c>
      <c r="M443" s="306" t="s">
        <v>3936</v>
      </c>
      <c r="N443" s="306" t="s">
        <v>3937</v>
      </c>
      <c r="O443" s="306" t="s">
        <v>1372</v>
      </c>
      <c r="P443" s="306" t="s">
        <v>1069</v>
      </c>
      <c r="Q443" s="306" t="s">
        <v>1013</v>
      </c>
      <c r="R443" s="306" t="s">
        <v>1013</v>
      </c>
      <c r="S443" s="306" t="s">
        <v>1013</v>
      </c>
      <c r="T443" s="306" t="s">
        <v>1013</v>
      </c>
      <c r="U443" s="306" t="s">
        <v>3835</v>
      </c>
      <c r="V443" s="306" t="s">
        <v>1013</v>
      </c>
      <c r="W443" s="306" t="s">
        <v>1013</v>
      </c>
      <c r="X443" s="306" t="s">
        <v>1013</v>
      </c>
      <c r="Y443" s="306" t="s">
        <v>1112</v>
      </c>
      <c r="Z443" s="306" t="s">
        <v>3381</v>
      </c>
      <c r="AA443" s="306" t="s">
        <v>1013</v>
      </c>
    </row>
    <row r="444" spans="1:27">
      <c r="A444" s="306" t="s">
        <v>494</v>
      </c>
      <c r="B444" s="306" t="s">
        <v>1003</v>
      </c>
      <c r="C444" s="306" t="s">
        <v>1004</v>
      </c>
      <c r="D444" s="306" t="s">
        <v>2480</v>
      </c>
      <c r="E444" s="306" t="s">
        <v>3938</v>
      </c>
      <c r="F444" s="306" t="s">
        <v>2482</v>
      </c>
      <c r="G444" s="308">
        <v>46021</v>
      </c>
      <c r="H444" s="308">
        <v>46021</v>
      </c>
      <c r="I444" s="309">
        <v>12452.83</v>
      </c>
      <c r="J444" s="306" t="s">
        <v>1008</v>
      </c>
      <c r="K444" s="309">
        <v>12452.83</v>
      </c>
      <c r="L444" s="306" t="s">
        <v>1008</v>
      </c>
      <c r="M444" s="306" t="s">
        <v>3939</v>
      </c>
      <c r="N444" s="306" t="s">
        <v>3940</v>
      </c>
      <c r="O444" s="306" t="s">
        <v>1334</v>
      </c>
      <c r="P444" s="306" t="s">
        <v>1069</v>
      </c>
      <c r="Q444" s="306" t="s">
        <v>1013</v>
      </c>
      <c r="R444" s="306" t="s">
        <v>1013</v>
      </c>
      <c r="S444" s="306" t="s">
        <v>1013</v>
      </c>
      <c r="T444" s="306" t="s">
        <v>1013</v>
      </c>
      <c r="U444" s="306" t="s">
        <v>3835</v>
      </c>
      <c r="V444" s="306" t="s">
        <v>1013</v>
      </c>
      <c r="W444" s="306" t="s">
        <v>1013</v>
      </c>
      <c r="X444" s="306" t="s">
        <v>1013</v>
      </c>
      <c r="Y444" s="306" t="s">
        <v>1112</v>
      </c>
      <c r="Z444" s="306" t="s">
        <v>3381</v>
      </c>
      <c r="AA444" s="306" t="s">
        <v>1013</v>
      </c>
    </row>
    <row r="445" spans="1:27">
      <c r="A445" s="306" t="s">
        <v>494</v>
      </c>
      <c r="B445" s="306" t="s">
        <v>1003</v>
      </c>
      <c r="C445" s="306" t="s">
        <v>1004</v>
      </c>
      <c r="D445" s="306" t="s">
        <v>2480</v>
      </c>
      <c r="E445" s="306" t="s">
        <v>3941</v>
      </c>
      <c r="F445" s="306" t="s">
        <v>2482</v>
      </c>
      <c r="G445" s="308">
        <v>46021</v>
      </c>
      <c r="H445" s="308">
        <v>46021</v>
      </c>
      <c r="I445" s="309">
        <v>458223.54</v>
      </c>
      <c r="J445" s="306" t="s">
        <v>1008</v>
      </c>
      <c r="K445" s="309">
        <v>458223.54</v>
      </c>
      <c r="L445" s="306" t="s">
        <v>1008</v>
      </c>
      <c r="M445" s="306" t="s">
        <v>3942</v>
      </c>
      <c r="N445" s="306" t="s">
        <v>3943</v>
      </c>
      <c r="O445" s="306" t="s">
        <v>1328</v>
      </c>
      <c r="P445" s="306" t="s">
        <v>1069</v>
      </c>
      <c r="Q445" s="306" t="s">
        <v>1013</v>
      </c>
      <c r="R445" s="306" t="s">
        <v>1013</v>
      </c>
      <c r="S445" s="306" t="s">
        <v>1013</v>
      </c>
      <c r="T445" s="306" t="s">
        <v>1013</v>
      </c>
      <c r="U445" s="306" t="s">
        <v>3385</v>
      </c>
      <c r="V445" s="306" t="s">
        <v>1013</v>
      </c>
      <c r="W445" s="306" t="s">
        <v>1013</v>
      </c>
      <c r="X445" s="306" t="s">
        <v>1013</v>
      </c>
      <c r="Y445" s="306" t="s">
        <v>1112</v>
      </c>
      <c r="Z445" s="306" t="s">
        <v>3381</v>
      </c>
      <c r="AA445" s="306" t="s">
        <v>1013</v>
      </c>
    </row>
    <row r="446" spans="1:27">
      <c r="A446" s="306" t="s">
        <v>494</v>
      </c>
      <c r="B446" s="306" t="s">
        <v>1003</v>
      </c>
      <c r="C446" s="306" t="s">
        <v>1004</v>
      </c>
      <c r="D446" s="306" t="s">
        <v>2480</v>
      </c>
      <c r="E446" s="306" t="s">
        <v>3944</v>
      </c>
      <c r="F446" s="306" t="s">
        <v>2482</v>
      </c>
      <c r="G446" s="308">
        <v>46021</v>
      </c>
      <c r="H446" s="308">
        <v>46021</v>
      </c>
      <c r="I446" s="309">
        <v>3223.08</v>
      </c>
      <c r="J446" s="306" t="s">
        <v>1008</v>
      </c>
      <c r="K446" s="309">
        <v>3223.08</v>
      </c>
      <c r="L446" s="306" t="s">
        <v>1008</v>
      </c>
      <c r="M446" s="306" t="s">
        <v>3945</v>
      </c>
      <c r="N446" s="306" t="s">
        <v>3946</v>
      </c>
      <c r="O446" s="306" t="s">
        <v>1376</v>
      </c>
      <c r="P446" s="306" t="s">
        <v>1069</v>
      </c>
      <c r="Q446" s="306" t="s">
        <v>1013</v>
      </c>
      <c r="R446" s="306" t="s">
        <v>1013</v>
      </c>
      <c r="S446" s="306" t="s">
        <v>1013</v>
      </c>
      <c r="T446" s="306" t="s">
        <v>1013</v>
      </c>
      <c r="U446" s="306" t="s">
        <v>3385</v>
      </c>
      <c r="V446" s="306" t="s">
        <v>1013</v>
      </c>
      <c r="W446" s="306" t="s">
        <v>1013</v>
      </c>
      <c r="X446" s="306" t="s">
        <v>1013</v>
      </c>
      <c r="Y446" s="306" t="s">
        <v>1112</v>
      </c>
      <c r="Z446" s="306" t="s">
        <v>3381</v>
      </c>
      <c r="AA446" s="306" t="s">
        <v>1013</v>
      </c>
    </row>
    <row r="447" spans="1:27">
      <c r="A447" s="306" t="s">
        <v>494</v>
      </c>
      <c r="B447" s="306" t="s">
        <v>1003</v>
      </c>
      <c r="C447" s="306" t="s">
        <v>1004</v>
      </c>
      <c r="D447" s="306" t="s">
        <v>2480</v>
      </c>
      <c r="E447" s="306" t="s">
        <v>3947</v>
      </c>
      <c r="F447" s="306" t="s">
        <v>2482</v>
      </c>
      <c r="G447" s="308">
        <v>46021</v>
      </c>
      <c r="H447" s="308">
        <v>46021</v>
      </c>
      <c r="I447" s="309">
        <v>653646.9</v>
      </c>
      <c r="J447" s="306" t="s">
        <v>1008</v>
      </c>
      <c r="K447" s="309">
        <v>653646.9</v>
      </c>
      <c r="L447" s="306" t="s">
        <v>1008</v>
      </c>
      <c r="M447" s="306" t="s">
        <v>3948</v>
      </c>
      <c r="N447" s="306" t="s">
        <v>3949</v>
      </c>
      <c r="O447" s="306" t="s">
        <v>1378</v>
      </c>
      <c r="P447" s="306" t="s">
        <v>1069</v>
      </c>
      <c r="Q447" s="306" t="s">
        <v>1013</v>
      </c>
      <c r="R447" s="306" t="s">
        <v>1013</v>
      </c>
      <c r="S447" s="306" t="s">
        <v>1013</v>
      </c>
      <c r="T447" s="306" t="s">
        <v>1013</v>
      </c>
      <c r="U447" s="306" t="s">
        <v>3385</v>
      </c>
      <c r="V447" s="306" t="s">
        <v>1013</v>
      </c>
      <c r="W447" s="306" t="s">
        <v>1013</v>
      </c>
      <c r="X447" s="306" t="s">
        <v>1013</v>
      </c>
      <c r="Y447" s="306" t="s">
        <v>1112</v>
      </c>
      <c r="Z447" s="306" t="s">
        <v>3381</v>
      </c>
      <c r="AA447" s="306" t="s">
        <v>1013</v>
      </c>
    </row>
    <row r="448" spans="1:27">
      <c r="A448" s="306" t="s">
        <v>494</v>
      </c>
      <c r="B448" s="306" t="s">
        <v>1003</v>
      </c>
      <c r="C448" s="306" t="s">
        <v>1004</v>
      </c>
      <c r="D448" s="306" t="s">
        <v>2480</v>
      </c>
      <c r="E448" s="306" t="s">
        <v>3950</v>
      </c>
      <c r="F448" s="306" t="s">
        <v>2482</v>
      </c>
      <c r="G448" s="308">
        <v>46021</v>
      </c>
      <c r="H448" s="308">
        <v>46021</v>
      </c>
      <c r="I448" s="309">
        <v>13804.36</v>
      </c>
      <c r="J448" s="306" t="s">
        <v>1008</v>
      </c>
      <c r="K448" s="309">
        <v>13804.36</v>
      </c>
      <c r="L448" s="306" t="s">
        <v>1008</v>
      </c>
      <c r="M448" s="306" t="s">
        <v>3951</v>
      </c>
      <c r="N448" s="306" t="s">
        <v>3952</v>
      </c>
      <c r="O448" s="306" t="s">
        <v>1382</v>
      </c>
      <c r="P448" s="306" t="s">
        <v>1069</v>
      </c>
      <c r="Q448" s="306" t="s">
        <v>1013</v>
      </c>
      <c r="R448" s="306" t="s">
        <v>1013</v>
      </c>
      <c r="S448" s="306" t="s">
        <v>1013</v>
      </c>
      <c r="T448" s="306" t="s">
        <v>1013</v>
      </c>
      <c r="U448" s="306" t="s">
        <v>3835</v>
      </c>
      <c r="V448" s="306" t="s">
        <v>1013</v>
      </c>
      <c r="W448" s="306" t="s">
        <v>1013</v>
      </c>
      <c r="X448" s="306" t="s">
        <v>1013</v>
      </c>
      <c r="Y448" s="306" t="s">
        <v>1112</v>
      </c>
      <c r="Z448" s="306" t="s">
        <v>3381</v>
      </c>
      <c r="AA448" s="306" t="s">
        <v>1013</v>
      </c>
    </row>
    <row r="449" spans="1:27">
      <c r="A449" s="306" t="s">
        <v>494</v>
      </c>
      <c r="B449" s="306" t="s">
        <v>1003</v>
      </c>
      <c r="C449" s="306" t="s">
        <v>1004</v>
      </c>
      <c r="D449" s="306" t="s">
        <v>2480</v>
      </c>
      <c r="E449" s="306" t="s">
        <v>3953</v>
      </c>
      <c r="F449" s="306" t="s">
        <v>2482</v>
      </c>
      <c r="G449" s="308">
        <v>46021</v>
      </c>
      <c r="H449" s="308">
        <v>46021</v>
      </c>
      <c r="I449" s="309">
        <v>3962.26</v>
      </c>
      <c r="J449" s="306" t="s">
        <v>1008</v>
      </c>
      <c r="K449" s="309">
        <v>3962.26</v>
      </c>
      <c r="L449" s="306" t="s">
        <v>1008</v>
      </c>
      <c r="M449" s="306" t="s">
        <v>3954</v>
      </c>
      <c r="N449" s="306" t="s">
        <v>3955</v>
      </c>
      <c r="O449" s="306" t="s">
        <v>1310</v>
      </c>
      <c r="P449" s="306" t="s">
        <v>1069</v>
      </c>
      <c r="Q449" s="306" t="s">
        <v>1013</v>
      </c>
      <c r="R449" s="306" t="s">
        <v>1013</v>
      </c>
      <c r="S449" s="306" t="s">
        <v>1013</v>
      </c>
      <c r="T449" s="306" t="s">
        <v>1013</v>
      </c>
      <c r="U449" s="306" t="s">
        <v>3835</v>
      </c>
      <c r="V449" s="306" t="s">
        <v>1013</v>
      </c>
      <c r="W449" s="306" t="s">
        <v>1013</v>
      </c>
      <c r="X449" s="306" t="s">
        <v>1013</v>
      </c>
      <c r="Y449" s="306" t="s">
        <v>1112</v>
      </c>
      <c r="Z449" s="306" t="s">
        <v>3381</v>
      </c>
      <c r="AA449" s="306" t="s">
        <v>1013</v>
      </c>
    </row>
    <row r="450" spans="1:27">
      <c r="A450" s="306" t="s">
        <v>494</v>
      </c>
      <c r="B450" s="306" t="s">
        <v>1003</v>
      </c>
      <c r="C450" s="306" t="s">
        <v>1004</v>
      </c>
      <c r="D450" s="306" t="s">
        <v>2480</v>
      </c>
      <c r="E450" s="306" t="s">
        <v>3956</v>
      </c>
      <c r="F450" s="306" t="s">
        <v>2482</v>
      </c>
      <c r="G450" s="308">
        <v>46021</v>
      </c>
      <c r="H450" s="308">
        <v>46021</v>
      </c>
      <c r="I450" s="309">
        <v>2660.38</v>
      </c>
      <c r="J450" s="306" t="s">
        <v>1008</v>
      </c>
      <c r="K450" s="309">
        <v>2660.38</v>
      </c>
      <c r="L450" s="306" t="s">
        <v>1008</v>
      </c>
      <c r="M450" s="306" t="s">
        <v>3957</v>
      </c>
      <c r="N450" s="306" t="s">
        <v>3958</v>
      </c>
      <c r="O450" s="306" t="s">
        <v>1312</v>
      </c>
      <c r="P450" s="306" t="s">
        <v>1069</v>
      </c>
      <c r="Q450" s="306" t="s">
        <v>1013</v>
      </c>
      <c r="R450" s="306" t="s">
        <v>1013</v>
      </c>
      <c r="S450" s="306" t="s">
        <v>1013</v>
      </c>
      <c r="T450" s="306" t="s">
        <v>1013</v>
      </c>
      <c r="U450" s="306" t="s">
        <v>3835</v>
      </c>
      <c r="V450" s="306" t="s">
        <v>1013</v>
      </c>
      <c r="W450" s="306" t="s">
        <v>1013</v>
      </c>
      <c r="X450" s="306" t="s">
        <v>1013</v>
      </c>
      <c r="Y450" s="306" t="s">
        <v>1112</v>
      </c>
      <c r="Z450" s="306" t="s">
        <v>3381</v>
      </c>
      <c r="AA450" s="306" t="s">
        <v>1013</v>
      </c>
    </row>
    <row r="451" spans="1:27">
      <c r="A451" s="306" t="s">
        <v>494</v>
      </c>
      <c r="B451" s="306" t="s">
        <v>1003</v>
      </c>
      <c r="C451" s="306" t="s">
        <v>1004</v>
      </c>
      <c r="D451" s="306" t="s">
        <v>2480</v>
      </c>
      <c r="E451" s="306" t="s">
        <v>3959</v>
      </c>
      <c r="F451" s="306" t="s">
        <v>2482</v>
      </c>
      <c r="G451" s="308">
        <v>46021</v>
      </c>
      <c r="H451" s="308">
        <v>46021</v>
      </c>
      <c r="I451" s="309">
        <v>52427.18</v>
      </c>
      <c r="J451" s="306" t="s">
        <v>1008</v>
      </c>
      <c r="K451" s="309">
        <v>52427.18</v>
      </c>
      <c r="L451" s="306" t="s">
        <v>1008</v>
      </c>
      <c r="M451" s="306" t="s">
        <v>3960</v>
      </c>
      <c r="N451" s="306" t="s">
        <v>3961</v>
      </c>
      <c r="O451" s="306" t="s">
        <v>1386</v>
      </c>
      <c r="P451" s="306" t="s">
        <v>1069</v>
      </c>
      <c r="Q451" s="306" t="s">
        <v>1013</v>
      </c>
      <c r="R451" s="306" t="s">
        <v>1013</v>
      </c>
      <c r="S451" s="306" t="s">
        <v>1013</v>
      </c>
      <c r="T451" s="306" t="s">
        <v>1013</v>
      </c>
      <c r="U451" s="306" t="s">
        <v>3835</v>
      </c>
      <c r="V451" s="306" t="s">
        <v>1013</v>
      </c>
      <c r="W451" s="306" t="s">
        <v>1013</v>
      </c>
      <c r="X451" s="306" t="s">
        <v>1013</v>
      </c>
      <c r="Y451" s="306" t="s">
        <v>1112</v>
      </c>
      <c r="Z451" s="306" t="s">
        <v>3381</v>
      </c>
      <c r="AA451" s="306" t="s">
        <v>1013</v>
      </c>
    </row>
    <row r="452" spans="1:27">
      <c r="A452" s="306" t="s">
        <v>494</v>
      </c>
      <c r="B452" s="306" t="s">
        <v>1003</v>
      </c>
      <c r="C452" s="306" t="s">
        <v>1004</v>
      </c>
      <c r="D452" s="306" t="s">
        <v>2480</v>
      </c>
      <c r="E452" s="306" t="s">
        <v>3962</v>
      </c>
      <c r="F452" s="306" t="s">
        <v>2482</v>
      </c>
      <c r="G452" s="308">
        <v>46021</v>
      </c>
      <c r="H452" s="308">
        <v>46021</v>
      </c>
      <c r="I452" s="309">
        <v>26230.09</v>
      </c>
      <c r="J452" s="306" t="s">
        <v>1008</v>
      </c>
      <c r="K452" s="309">
        <v>26230.09</v>
      </c>
      <c r="L452" s="306" t="s">
        <v>1008</v>
      </c>
      <c r="M452" s="306" t="s">
        <v>3963</v>
      </c>
      <c r="N452" s="306" t="s">
        <v>3964</v>
      </c>
      <c r="O452" s="306" t="s">
        <v>1388</v>
      </c>
      <c r="P452" s="306" t="s">
        <v>1069</v>
      </c>
      <c r="Q452" s="306" t="s">
        <v>1013</v>
      </c>
      <c r="R452" s="306" t="s">
        <v>1013</v>
      </c>
      <c r="S452" s="306" t="s">
        <v>1013</v>
      </c>
      <c r="T452" s="306" t="s">
        <v>1013</v>
      </c>
      <c r="U452" s="306" t="s">
        <v>3385</v>
      </c>
      <c r="V452" s="306" t="s">
        <v>1013</v>
      </c>
      <c r="W452" s="306" t="s">
        <v>1013</v>
      </c>
      <c r="X452" s="306" t="s">
        <v>1013</v>
      </c>
      <c r="Y452" s="306" t="s">
        <v>1112</v>
      </c>
      <c r="Z452" s="306" t="s">
        <v>3381</v>
      </c>
      <c r="AA452" s="306" t="s">
        <v>1013</v>
      </c>
    </row>
    <row r="453" spans="1:27">
      <c r="A453" s="306" t="s">
        <v>494</v>
      </c>
      <c r="B453" s="306" t="s">
        <v>1003</v>
      </c>
      <c r="C453" s="306" t="s">
        <v>1004</v>
      </c>
      <c r="D453" s="306" t="s">
        <v>2480</v>
      </c>
      <c r="E453" s="306" t="s">
        <v>3965</v>
      </c>
      <c r="F453" s="306" t="s">
        <v>2482</v>
      </c>
      <c r="G453" s="308">
        <v>46021</v>
      </c>
      <c r="H453" s="308">
        <v>46021</v>
      </c>
      <c r="I453" s="309">
        <v>128389.38</v>
      </c>
      <c r="J453" s="306" t="s">
        <v>1008</v>
      </c>
      <c r="K453" s="309">
        <v>128389.38</v>
      </c>
      <c r="L453" s="306" t="s">
        <v>1008</v>
      </c>
      <c r="M453" s="306" t="s">
        <v>3966</v>
      </c>
      <c r="N453" s="306" t="s">
        <v>3967</v>
      </c>
      <c r="O453" s="306" t="s">
        <v>1390</v>
      </c>
      <c r="P453" s="306" t="s">
        <v>1069</v>
      </c>
      <c r="Q453" s="306" t="s">
        <v>1013</v>
      </c>
      <c r="R453" s="306" t="s">
        <v>1013</v>
      </c>
      <c r="S453" s="306" t="s">
        <v>1013</v>
      </c>
      <c r="T453" s="306" t="s">
        <v>1013</v>
      </c>
      <c r="U453" s="306" t="s">
        <v>3385</v>
      </c>
      <c r="V453" s="306" t="s">
        <v>1013</v>
      </c>
      <c r="W453" s="306" t="s">
        <v>1013</v>
      </c>
      <c r="X453" s="306" t="s">
        <v>1013</v>
      </c>
      <c r="Y453" s="306" t="s">
        <v>1112</v>
      </c>
      <c r="Z453" s="306" t="s">
        <v>3381</v>
      </c>
      <c r="AA453" s="306" t="s">
        <v>1013</v>
      </c>
    </row>
    <row r="454" spans="1:27">
      <c r="A454" s="306" t="s">
        <v>494</v>
      </c>
      <c r="B454" s="306" t="s">
        <v>1003</v>
      </c>
      <c r="C454" s="306" t="s">
        <v>1004</v>
      </c>
      <c r="D454" s="306" t="s">
        <v>2480</v>
      </c>
      <c r="E454" s="306" t="s">
        <v>3968</v>
      </c>
      <c r="F454" s="306" t="s">
        <v>2482</v>
      </c>
      <c r="G454" s="308">
        <v>46021</v>
      </c>
      <c r="H454" s="308">
        <v>46021</v>
      </c>
      <c r="I454" s="309">
        <v>24202.59</v>
      </c>
      <c r="J454" s="306" t="s">
        <v>1008</v>
      </c>
      <c r="K454" s="309">
        <v>24202.59</v>
      </c>
      <c r="L454" s="306" t="s">
        <v>1008</v>
      </c>
      <c r="M454" s="306" t="s">
        <v>3969</v>
      </c>
      <c r="N454" s="306" t="s">
        <v>3970</v>
      </c>
      <c r="O454" s="306" t="s">
        <v>1392</v>
      </c>
      <c r="P454" s="306" t="s">
        <v>1069</v>
      </c>
      <c r="Q454" s="306" t="s">
        <v>1013</v>
      </c>
      <c r="R454" s="306" t="s">
        <v>1013</v>
      </c>
      <c r="S454" s="306" t="s">
        <v>1013</v>
      </c>
      <c r="T454" s="306" t="s">
        <v>1013</v>
      </c>
      <c r="U454" s="306" t="s">
        <v>3385</v>
      </c>
      <c r="V454" s="306" t="s">
        <v>1013</v>
      </c>
      <c r="W454" s="306" t="s">
        <v>1013</v>
      </c>
      <c r="X454" s="306" t="s">
        <v>1013</v>
      </c>
      <c r="Y454" s="306" t="s">
        <v>1112</v>
      </c>
      <c r="Z454" s="306" t="s">
        <v>3381</v>
      </c>
      <c r="AA454" s="306" t="s">
        <v>1013</v>
      </c>
    </row>
    <row r="455" spans="1:27">
      <c r="A455" s="306" t="s">
        <v>494</v>
      </c>
      <c r="B455" s="306" t="s">
        <v>1003</v>
      </c>
      <c r="C455" s="306" t="s">
        <v>1004</v>
      </c>
      <c r="D455" s="306" t="s">
        <v>2480</v>
      </c>
      <c r="E455" s="306" t="s">
        <v>3971</v>
      </c>
      <c r="F455" s="306" t="s">
        <v>2482</v>
      </c>
      <c r="G455" s="308">
        <v>46021</v>
      </c>
      <c r="H455" s="308">
        <v>46021</v>
      </c>
      <c r="I455" s="309">
        <v>37619.47</v>
      </c>
      <c r="J455" s="306" t="s">
        <v>1008</v>
      </c>
      <c r="K455" s="309">
        <v>37619.47</v>
      </c>
      <c r="L455" s="306" t="s">
        <v>1008</v>
      </c>
      <c r="M455" s="306" t="s">
        <v>3972</v>
      </c>
      <c r="N455" s="306" t="s">
        <v>3973</v>
      </c>
      <c r="O455" s="306" t="s">
        <v>1396</v>
      </c>
      <c r="P455" s="306" t="s">
        <v>1069</v>
      </c>
      <c r="Q455" s="306" t="s">
        <v>1013</v>
      </c>
      <c r="R455" s="306" t="s">
        <v>1013</v>
      </c>
      <c r="S455" s="306" t="s">
        <v>1013</v>
      </c>
      <c r="T455" s="306" t="s">
        <v>1013</v>
      </c>
      <c r="U455" s="306" t="s">
        <v>3385</v>
      </c>
      <c r="V455" s="306" t="s">
        <v>1013</v>
      </c>
      <c r="W455" s="306" t="s">
        <v>1013</v>
      </c>
      <c r="X455" s="306" t="s">
        <v>1013</v>
      </c>
      <c r="Y455" s="306" t="s">
        <v>1112</v>
      </c>
      <c r="Z455" s="306" t="s">
        <v>3381</v>
      </c>
      <c r="AA455" s="306" t="s">
        <v>1013</v>
      </c>
    </row>
    <row r="456" spans="1:27">
      <c r="A456" s="306" t="s">
        <v>494</v>
      </c>
      <c r="B456" s="306" t="s">
        <v>1003</v>
      </c>
      <c r="C456" s="306" t="s">
        <v>1004</v>
      </c>
      <c r="D456" s="306" t="s">
        <v>2480</v>
      </c>
      <c r="E456" s="306" t="s">
        <v>3974</v>
      </c>
      <c r="F456" s="306" t="s">
        <v>2482</v>
      </c>
      <c r="G456" s="308">
        <v>46021</v>
      </c>
      <c r="H456" s="308">
        <v>46021</v>
      </c>
      <c r="I456" s="309">
        <v>3396.23</v>
      </c>
      <c r="J456" s="306" t="s">
        <v>1008</v>
      </c>
      <c r="K456" s="309">
        <v>3396.23</v>
      </c>
      <c r="L456" s="306" t="s">
        <v>1008</v>
      </c>
      <c r="M456" s="306" t="s">
        <v>3975</v>
      </c>
      <c r="N456" s="306" t="s">
        <v>3976</v>
      </c>
      <c r="O456" s="306" t="s">
        <v>1398</v>
      </c>
      <c r="P456" s="306" t="s">
        <v>1069</v>
      </c>
      <c r="Q456" s="306" t="s">
        <v>1013</v>
      </c>
      <c r="R456" s="306" t="s">
        <v>1013</v>
      </c>
      <c r="S456" s="306" t="s">
        <v>1013</v>
      </c>
      <c r="T456" s="306" t="s">
        <v>1013</v>
      </c>
      <c r="U456" s="306" t="s">
        <v>3835</v>
      </c>
      <c r="V456" s="306" t="s">
        <v>1013</v>
      </c>
      <c r="W456" s="306" t="s">
        <v>1013</v>
      </c>
      <c r="X456" s="306" t="s">
        <v>1013</v>
      </c>
      <c r="Y456" s="306" t="s">
        <v>1112</v>
      </c>
      <c r="Z456" s="306" t="s">
        <v>3381</v>
      </c>
      <c r="AA456" s="306" t="s">
        <v>1013</v>
      </c>
    </row>
    <row r="457" spans="1:27">
      <c r="A457" s="306" t="s">
        <v>494</v>
      </c>
      <c r="B457" s="306" t="s">
        <v>1003</v>
      </c>
      <c r="C457" s="306" t="s">
        <v>1004</v>
      </c>
      <c r="D457" s="306" t="s">
        <v>2480</v>
      </c>
      <c r="E457" s="306" t="s">
        <v>3977</v>
      </c>
      <c r="F457" s="306" t="s">
        <v>2482</v>
      </c>
      <c r="G457" s="308">
        <v>46021</v>
      </c>
      <c r="H457" s="308">
        <v>46021</v>
      </c>
      <c r="I457" s="309">
        <v>32471.68</v>
      </c>
      <c r="J457" s="306" t="s">
        <v>1008</v>
      </c>
      <c r="K457" s="309">
        <v>32471.68</v>
      </c>
      <c r="L457" s="306" t="s">
        <v>1008</v>
      </c>
      <c r="M457" s="306" t="s">
        <v>3978</v>
      </c>
      <c r="N457" s="306" t="s">
        <v>3979</v>
      </c>
      <c r="O457" s="306" t="s">
        <v>1400</v>
      </c>
      <c r="P457" s="306" t="s">
        <v>1069</v>
      </c>
      <c r="Q457" s="306" t="s">
        <v>1013</v>
      </c>
      <c r="R457" s="306" t="s">
        <v>1013</v>
      </c>
      <c r="S457" s="306" t="s">
        <v>1013</v>
      </c>
      <c r="T457" s="306" t="s">
        <v>1013</v>
      </c>
      <c r="U457" s="306" t="s">
        <v>3389</v>
      </c>
      <c r="V457" s="306" t="s">
        <v>1013</v>
      </c>
      <c r="W457" s="306" t="s">
        <v>1013</v>
      </c>
      <c r="X457" s="306" t="s">
        <v>1013</v>
      </c>
      <c r="Y457" s="306" t="s">
        <v>1112</v>
      </c>
      <c r="Z457" s="306" t="s">
        <v>3381</v>
      </c>
      <c r="AA457" s="306" t="s">
        <v>1013</v>
      </c>
    </row>
    <row r="458" spans="1:27">
      <c r="A458" s="306" t="s">
        <v>494</v>
      </c>
      <c r="B458" s="306" t="s">
        <v>1003</v>
      </c>
      <c r="C458" s="306" t="s">
        <v>1004</v>
      </c>
      <c r="D458" s="306" t="s">
        <v>2480</v>
      </c>
      <c r="E458" s="306" t="s">
        <v>3980</v>
      </c>
      <c r="F458" s="306" t="s">
        <v>2482</v>
      </c>
      <c r="G458" s="308">
        <v>46021</v>
      </c>
      <c r="H458" s="308">
        <v>46021</v>
      </c>
      <c r="I458" s="309">
        <v>25212.639999999999</v>
      </c>
      <c r="J458" s="306" t="s">
        <v>1008</v>
      </c>
      <c r="K458" s="309">
        <v>25212.639999999999</v>
      </c>
      <c r="L458" s="306" t="s">
        <v>1008</v>
      </c>
      <c r="M458" s="306" t="s">
        <v>3981</v>
      </c>
      <c r="N458" s="306" t="s">
        <v>3982</v>
      </c>
      <c r="O458" s="306" t="s">
        <v>1380</v>
      </c>
      <c r="P458" s="306" t="s">
        <v>1069</v>
      </c>
      <c r="Q458" s="306" t="s">
        <v>1013</v>
      </c>
      <c r="R458" s="306" t="s">
        <v>1013</v>
      </c>
      <c r="S458" s="306" t="s">
        <v>1013</v>
      </c>
      <c r="T458" s="306" t="s">
        <v>1013</v>
      </c>
      <c r="U458" s="306" t="s">
        <v>3385</v>
      </c>
      <c r="V458" s="306" t="s">
        <v>1013</v>
      </c>
      <c r="W458" s="306" t="s">
        <v>1013</v>
      </c>
      <c r="X458" s="306" t="s">
        <v>1013</v>
      </c>
      <c r="Y458" s="306" t="s">
        <v>1112</v>
      </c>
      <c r="Z458" s="306" t="s">
        <v>3381</v>
      </c>
      <c r="AA458" s="306" t="s">
        <v>1013</v>
      </c>
    </row>
    <row r="459" spans="1:27">
      <c r="A459" s="306" t="s">
        <v>494</v>
      </c>
      <c r="B459" s="306" t="s">
        <v>1003</v>
      </c>
      <c r="C459" s="306" t="s">
        <v>1004</v>
      </c>
      <c r="D459" s="306" t="s">
        <v>2480</v>
      </c>
      <c r="E459" s="306" t="s">
        <v>3983</v>
      </c>
      <c r="F459" s="306" t="s">
        <v>2482</v>
      </c>
      <c r="G459" s="308">
        <v>46021</v>
      </c>
      <c r="H459" s="308">
        <v>46021</v>
      </c>
      <c r="I459" s="309">
        <v>52794.27</v>
      </c>
      <c r="J459" s="306" t="s">
        <v>1008</v>
      </c>
      <c r="K459" s="309">
        <v>52794.27</v>
      </c>
      <c r="L459" s="306" t="s">
        <v>1008</v>
      </c>
      <c r="M459" s="306" t="s">
        <v>3984</v>
      </c>
      <c r="N459" s="306" t="s">
        <v>3985</v>
      </c>
      <c r="O459" s="306" t="s">
        <v>1380</v>
      </c>
      <c r="P459" s="306" t="s">
        <v>1069</v>
      </c>
      <c r="Q459" s="306" t="s">
        <v>1013</v>
      </c>
      <c r="R459" s="306" t="s">
        <v>1013</v>
      </c>
      <c r="S459" s="306" t="s">
        <v>1013</v>
      </c>
      <c r="T459" s="306" t="s">
        <v>1013</v>
      </c>
      <c r="U459" s="306" t="s">
        <v>3385</v>
      </c>
      <c r="V459" s="306" t="s">
        <v>1013</v>
      </c>
      <c r="W459" s="306" t="s">
        <v>1013</v>
      </c>
      <c r="X459" s="306" t="s">
        <v>1013</v>
      </c>
      <c r="Y459" s="306" t="s">
        <v>1112</v>
      </c>
      <c r="Z459" s="306" t="s">
        <v>3381</v>
      </c>
      <c r="AA459" s="306" t="s">
        <v>1013</v>
      </c>
    </row>
    <row r="460" spans="1:27">
      <c r="A460" s="306" t="s">
        <v>494</v>
      </c>
      <c r="B460" s="306" t="s">
        <v>1003</v>
      </c>
      <c r="C460" s="306" t="s">
        <v>1004</v>
      </c>
      <c r="D460" s="306" t="s">
        <v>2480</v>
      </c>
      <c r="E460" s="306" t="s">
        <v>3986</v>
      </c>
      <c r="F460" s="306" t="s">
        <v>2482</v>
      </c>
      <c r="G460" s="308">
        <v>46021</v>
      </c>
      <c r="H460" s="308">
        <v>46021</v>
      </c>
      <c r="I460" s="309">
        <v>17561.97</v>
      </c>
      <c r="J460" s="306" t="s">
        <v>1008</v>
      </c>
      <c r="K460" s="309">
        <v>17561.97</v>
      </c>
      <c r="L460" s="306" t="s">
        <v>1008</v>
      </c>
      <c r="M460" s="306" t="s">
        <v>3987</v>
      </c>
      <c r="N460" s="306" t="s">
        <v>3988</v>
      </c>
      <c r="O460" s="306" t="s">
        <v>1380</v>
      </c>
      <c r="P460" s="306" t="s">
        <v>1069</v>
      </c>
      <c r="Q460" s="306" t="s">
        <v>1013</v>
      </c>
      <c r="R460" s="306" t="s">
        <v>1013</v>
      </c>
      <c r="S460" s="306" t="s">
        <v>1013</v>
      </c>
      <c r="T460" s="306" t="s">
        <v>1013</v>
      </c>
      <c r="U460" s="306" t="s">
        <v>3385</v>
      </c>
      <c r="V460" s="306" t="s">
        <v>1013</v>
      </c>
      <c r="W460" s="306" t="s">
        <v>1013</v>
      </c>
      <c r="X460" s="306" t="s">
        <v>1013</v>
      </c>
      <c r="Y460" s="306" t="s">
        <v>1112</v>
      </c>
      <c r="Z460" s="306" t="s">
        <v>3381</v>
      </c>
      <c r="AA460" s="306" t="s">
        <v>1013</v>
      </c>
    </row>
    <row r="461" spans="1:27">
      <c r="A461" s="306" t="s">
        <v>494</v>
      </c>
      <c r="B461" s="306" t="s">
        <v>1003</v>
      </c>
      <c r="C461" s="306" t="s">
        <v>1004</v>
      </c>
      <c r="D461" s="306" t="s">
        <v>2480</v>
      </c>
      <c r="E461" s="306" t="s">
        <v>3989</v>
      </c>
      <c r="F461" s="306" t="s">
        <v>2482</v>
      </c>
      <c r="G461" s="308">
        <v>46021</v>
      </c>
      <c r="H461" s="308">
        <v>46021</v>
      </c>
      <c r="I461" s="309">
        <v>12858.5</v>
      </c>
      <c r="J461" s="306" t="s">
        <v>1008</v>
      </c>
      <c r="K461" s="309">
        <v>12858.5</v>
      </c>
      <c r="L461" s="306" t="s">
        <v>1008</v>
      </c>
      <c r="M461" s="306" t="s">
        <v>3990</v>
      </c>
      <c r="N461" s="306" t="s">
        <v>3991</v>
      </c>
      <c r="O461" s="306" t="s">
        <v>1380</v>
      </c>
      <c r="P461" s="306" t="s">
        <v>1069</v>
      </c>
      <c r="Q461" s="306" t="s">
        <v>1013</v>
      </c>
      <c r="R461" s="306" t="s">
        <v>1013</v>
      </c>
      <c r="S461" s="306" t="s">
        <v>1013</v>
      </c>
      <c r="T461" s="306" t="s">
        <v>1013</v>
      </c>
      <c r="U461" s="306" t="s">
        <v>3385</v>
      </c>
      <c r="V461" s="306" t="s">
        <v>1013</v>
      </c>
      <c r="W461" s="306" t="s">
        <v>1013</v>
      </c>
      <c r="X461" s="306" t="s">
        <v>1013</v>
      </c>
      <c r="Y461" s="306" t="s">
        <v>1112</v>
      </c>
      <c r="Z461" s="306" t="s">
        <v>3381</v>
      </c>
      <c r="AA461" s="306" t="s">
        <v>1013</v>
      </c>
    </row>
    <row r="462" spans="1:27">
      <c r="A462" s="306" t="s">
        <v>494</v>
      </c>
      <c r="B462" s="306" t="s">
        <v>1003</v>
      </c>
      <c r="C462" s="306" t="s">
        <v>1004</v>
      </c>
      <c r="D462" s="306" t="s">
        <v>2480</v>
      </c>
      <c r="E462" s="306" t="s">
        <v>3992</v>
      </c>
      <c r="F462" s="306" t="s">
        <v>2482</v>
      </c>
      <c r="G462" s="308">
        <v>46021</v>
      </c>
      <c r="H462" s="308">
        <v>46021</v>
      </c>
      <c r="I462" s="309">
        <v>17506.740000000002</v>
      </c>
      <c r="J462" s="306" t="s">
        <v>1008</v>
      </c>
      <c r="K462" s="309">
        <v>17506.740000000002</v>
      </c>
      <c r="L462" s="306" t="s">
        <v>1008</v>
      </c>
      <c r="M462" s="306" t="s">
        <v>3993</v>
      </c>
      <c r="N462" s="306" t="s">
        <v>3994</v>
      </c>
      <c r="O462" s="306" t="s">
        <v>1380</v>
      </c>
      <c r="P462" s="306" t="s">
        <v>1069</v>
      </c>
      <c r="Q462" s="306" t="s">
        <v>1013</v>
      </c>
      <c r="R462" s="306" t="s">
        <v>1013</v>
      </c>
      <c r="S462" s="306" t="s">
        <v>1013</v>
      </c>
      <c r="T462" s="306" t="s">
        <v>1013</v>
      </c>
      <c r="U462" s="306" t="s">
        <v>3385</v>
      </c>
      <c r="V462" s="306" t="s">
        <v>1013</v>
      </c>
      <c r="W462" s="306" t="s">
        <v>1013</v>
      </c>
      <c r="X462" s="306" t="s">
        <v>1013</v>
      </c>
      <c r="Y462" s="306" t="s">
        <v>1112</v>
      </c>
      <c r="Z462" s="306" t="s">
        <v>3381</v>
      </c>
      <c r="AA462" s="306" t="s">
        <v>1013</v>
      </c>
    </row>
    <row r="463" spans="1:27">
      <c r="A463" s="306" t="s">
        <v>494</v>
      </c>
      <c r="B463" s="306" t="s">
        <v>1003</v>
      </c>
      <c r="C463" s="306" t="s">
        <v>1004</v>
      </c>
      <c r="D463" s="306" t="s">
        <v>2480</v>
      </c>
      <c r="E463" s="306" t="s">
        <v>3995</v>
      </c>
      <c r="F463" s="306" t="s">
        <v>2482</v>
      </c>
      <c r="G463" s="308">
        <v>46021</v>
      </c>
      <c r="H463" s="308">
        <v>46021</v>
      </c>
      <c r="I463" s="309">
        <v>8756.94</v>
      </c>
      <c r="J463" s="306" t="s">
        <v>1008</v>
      </c>
      <c r="K463" s="309">
        <v>8756.94</v>
      </c>
      <c r="L463" s="306" t="s">
        <v>1008</v>
      </c>
      <c r="M463" s="306" t="s">
        <v>3996</v>
      </c>
      <c r="N463" s="306" t="s">
        <v>3997</v>
      </c>
      <c r="O463" s="306" t="s">
        <v>1380</v>
      </c>
      <c r="P463" s="306" t="s">
        <v>1069</v>
      </c>
      <c r="Q463" s="306" t="s">
        <v>1013</v>
      </c>
      <c r="R463" s="306" t="s">
        <v>1013</v>
      </c>
      <c r="S463" s="306" t="s">
        <v>1013</v>
      </c>
      <c r="T463" s="306" t="s">
        <v>1013</v>
      </c>
      <c r="U463" s="306" t="s">
        <v>3385</v>
      </c>
      <c r="V463" s="306" t="s">
        <v>1013</v>
      </c>
      <c r="W463" s="306" t="s">
        <v>1013</v>
      </c>
      <c r="X463" s="306" t="s">
        <v>1013</v>
      </c>
      <c r="Y463" s="306" t="s">
        <v>1112</v>
      </c>
      <c r="Z463" s="306" t="s">
        <v>3381</v>
      </c>
      <c r="AA463" s="306" t="s">
        <v>1013</v>
      </c>
    </row>
    <row r="464" spans="1:27">
      <c r="A464" s="306" t="s">
        <v>494</v>
      </c>
      <c r="B464" s="306" t="s">
        <v>1003</v>
      </c>
      <c r="C464" s="306" t="s">
        <v>1004</v>
      </c>
      <c r="D464" s="306" t="s">
        <v>2480</v>
      </c>
      <c r="E464" s="306" t="s">
        <v>3998</v>
      </c>
      <c r="F464" s="306" t="s">
        <v>2482</v>
      </c>
      <c r="G464" s="308">
        <v>46021</v>
      </c>
      <c r="H464" s="308">
        <v>46021</v>
      </c>
      <c r="I464" s="309">
        <v>3157.27</v>
      </c>
      <c r="J464" s="306" t="s">
        <v>1008</v>
      </c>
      <c r="K464" s="309">
        <v>3157.27</v>
      </c>
      <c r="L464" s="306" t="s">
        <v>1008</v>
      </c>
      <c r="M464" s="306" t="s">
        <v>3999</v>
      </c>
      <c r="N464" s="306" t="s">
        <v>4000</v>
      </c>
      <c r="O464" s="306" t="s">
        <v>1380</v>
      </c>
      <c r="P464" s="306" t="s">
        <v>1069</v>
      </c>
      <c r="Q464" s="306" t="s">
        <v>1013</v>
      </c>
      <c r="R464" s="306" t="s">
        <v>1013</v>
      </c>
      <c r="S464" s="306" t="s">
        <v>1013</v>
      </c>
      <c r="T464" s="306" t="s">
        <v>1013</v>
      </c>
      <c r="U464" s="306" t="s">
        <v>3385</v>
      </c>
      <c r="V464" s="306" t="s">
        <v>1013</v>
      </c>
      <c r="W464" s="306" t="s">
        <v>1013</v>
      </c>
      <c r="X464" s="306" t="s">
        <v>1013</v>
      </c>
      <c r="Y464" s="306" t="s">
        <v>1112</v>
      </c>
      <c r="Z464" s="306" t="s">
        <v>3381</v>
      </c>
      <c r="AA464" s="306" t="s">
        <v>1013</v>
      </c>
    </row>
    <row r="465" spans="1:27">
      <c r="A465" s="306" t="s">
        <v>494</v>
      </c>
      <c r="B465" s="306" t="s">
        <v>1003</v>
      </c>
      <c r="C465" s="306" t="s">
        <v>1004</v>
      </c>
      <c r="D465" s="306" t="s">
        <v>2480</v>
      </c>
      <c r="E465" s="306" t="s">
        <v>4001</v>
      </c>
      <c r="F465" s="306" t="s">
        <v>2482</v>
      </c>
      <c r="G465" s="308">
        <v>46021</v>
      </c>
      <c r="H465" s="308">
        <v>46021</v>
      </c>
      <c r="I465" s="309">
        <v>245.73</v>
      </c>
      <c r="J465" s="306" t="s">
        <v>1008</v>
      </c>
      <c r="K465" s="309">
        <v>245.73</v>
      </c>
      <c r="L465" s="306" t="s">
        <v>1008</v>
      </c>
      <c r="M465" s="306" t="s">
        <v>4002</v>
      </c>
      <c r="N465" s="306" t="s">
        <v>4003</v>
      </c>
      <c r="O465" s="306" t="s">
        <v>1380</v>
      </c>
      <c r="P465" s="306" t="s">
        <v>1069</v>
      </c>
      <c r="Q465" s="306" t="s">
        <v>1013</v>
      </c>
      <c r="R465" s="306" t="s">
        <v>1013</v>
      </c>
      <c r="S465" s="306" t="s">
        <v>1013</v>
      </c>
      <c r="T465" s="306" t="s">
        <v>1013</v>
      </c>
      <c r="U465" s="306" t="s">
        <v>3385</v>
      </c>
      <c r="V465" s="306" t="s">
        <v>1013</v>
      </c>
      <c r="W465" s="306" t="s">
        <v>1013</v>
      </c>
      <c r="X465" s="306" t="s">
        <v>1013</v>
      </c>
      <c r="Y465" s="306" t="s">
        <v>1112</v>
      </c>
      <c r="Z465" s="306" t="s">
        <v>3381</v>
      </c>
      <c r="AA465" s="306" t="s">
        <v>1013</v>
      </c>
    </row>
    <row r="466" spans="1:27">
      <c r="A466" s="306" t="s">
        <v>494</v>
      </c>
      <c r="B466" s="306" t="s">
        <v>1003</v>
      </c>
      <c r="C466" s="306" t="s">
        <v>1004</v>
      </c>
      <c r="D466" s="306" t="s">
        <v>2480</v>
      </c>
      <c r="E466" s="306" t="s">
        <v>4004</v>
      </c>
      <c r="F466" s="306" t="s">
        <v>2482</v>
      </c>
      <c r="G466" s="308">
        <v>46021</v>
      </c>
      <c r="H466" s="308">
        <v>46021</v>
      </c>
      <c r="I466" s="309">
        <v>5640.85</v>
      </c>
      <c r="J466" s="306" t="s">
        <v>1008</v>
      </c>
      <c r="K466" s="309">
        <v>5640.85</v>
      </c>
      <c r="L466" s="306" t="s">
        <v>1008</v>
      </c>
      <c r="M466" s="306" t="s">
        <v>4005</v>
      </c>
      <c r="N466" s="306" t="s">
        <v>4006</v>
      </c>
      <c r="O466" s="306" t="s">
        <v>1380</v>
      </c>
      <c r="P466" s="306" t="s">
        <v>1069</v>
      </c>
      <c r="Q466" s="306" t="s">
        <v>1013</v>
      </c>
      <c r="R466" s="306" t="s">
        <v>1013</v>
      </c>
      <c r="S466" s="306" t="s">
        <v>1013</v>
      </c>
      <c r="T466" s="306" t="s">
        <v>1013</v>
      </c>
      <c r="U466" s="306" t="s">
        <v>3385</v>
      </c>
      <c r="V466" s="306" t="s">
        <v>1013</v>
      </c>
      <c r="W466" s="306" t="s">
        <v>1013</v>
      </c>
      <c r="X466" s="306" t="s">
        <v>1013</v>
      </c>
      <c r="Y466" s="306" t="s">
        <v>1112</v>
      </c>
      <c r="Z466" s="306" t="s">
        <v>3381</v>
      </c>
      <c r="AA466" s="306" t="s">
        <v>1013</v>
      </c>
    </row>
    <row r="467" spans="1:27">
      <c r="A467" s="306" t="s">
        <v>494</v>
      </c>
      <c r="B467" s="306" t="s">
        <v>1003</v>
      </c>
      <c r="C467" s="306" t="s">
        <v>1004</v>
      </c>
      <c r="D467" s="306" t="s">
        <v>2480</v>
      </c>
      <c r="E467" s="306" t="s">
        <v>4007</v>
      </c>
      <c r="F467" s="306" t="s">
        <v>2482</v>
      </c>
      <c r="G467" s="308">
        <v>46021</v>
      </c>
      <c r="H467" s="308">
        <v>46021</v>
      </c>
      <c r="I467" s="309">
        <v>3679.11</v>
      </c>
      <c r="J467" s="306" t="s">
        <v>1008</v>
      </c>
      <c r="K467" s="309">
        <v>3679.11</v>
      </c>
      <c r="L467" s="306" t="s">
        <v>1008</v>
      </c>
      <c r="M467" s="306" t="s">
        <v>4008</v>
      </c>
      <c r="N467" s="306" t="s">
        <v>4009</v>
      </c>
      <c r="O467" s="306" t="s">
        <v>1380</v>
      </c>
      <c r="P467" s="306" t="s">
        <v>1069</v>
      </c>
      <c r="Q467" s="306" t="s">
        <v>1013</v>
      </c>
      <c r="R467" s="306" t="s">
        <v>1013</v>
      </c>
      <c r="S467" s="306" t="s">
        <v>1013</v>
      </c>
      <c r="T467" s="306" t="s">
        <v>1013</v>
      </c>
      <c r="U467" s="306" t="s">
        <v>3385</v>
      </c>
      <c r="V467" s="306" t="s">
        <v>1013</v>
      </c>
      <c r="W467" s="306" t="s">
        <v>1013</v>
      </c>
      <c r="X467" s="306" t="s">
        <v>1013</v>
      </c>
      <c r="Y467" s="306" t="s">
        <v>1112</v>
      </c>
      <c r="Z467" s="306" t="s">
        <v>3381</v>
      </c>
      <c r="AA467" s="306" t="s">
        <v>1013</v>
      </c>
    </row>
    <row r="468" spans="1:27">
      <c r="A468" s="306" t="s">
        <v>494</v>
      </c>
      <c r="B468" s="306" t="s">
        <v>1003</v>
      </c>
      <c r="C468" s="306" t="s">
        <v>1004</v>
      </c>
      <c r="D468" s="306" t="s">
        <v>2480</v>
      </c>
      <c r="E468" s="306" t="s">
        <v>4010</v>
      </c>
      <c r="F468" s="306" t="s">
        <v>2482</v>
      </c>
      <c r="G468" s="308">
        <v>46021</v>
      </c>
      <c r="H468" s="308">
        <v>46021</v>
      </c>
      <c r="I468" s="309">
        <v>117232.41</v>
      </c>
      <c r="J468" s="306" t="s">
        <v>1008</v>
      </c>
      <c r="K468" s="309">
        <v>117232.41</v>
      </c>
      <c r="L468" s="306" t="s">
        <v>1008</v>
      </c>
      <c r="M468" s="306" t="s">
        <v>4011</v>
      </c>
      <c r="N468" s="306" t="s">
        <v>4012</v>
      </c>
      <c r="O468" s="306" t="s">
        <v>1394</v>
      </c>
      <c r="P468" s="306" t="s">
        <v>1069</v>
      </c>
      <c r="Q468" s="306" t="s">
        <v>1013</v>
      </c>
      <c r="R468" s="306" t="s">
        <v>1013</v>
      </c>
      <c r="S468" s="306" t="s">
        <v>1013</v>
      </c>
      <c r="T468" s="306" t="s">
        <v>1013</v>
      </c>
      <c r="U468" s="306" t="s">
        <v>3385</v>
      </c>
      <c r="V468" s="306" t="s">
        <v>1013</v>
      </c>
      <c r="W468" s="306" t="s">
        <v>1013</v>
      </c>
      <c r="X468" s="306" t="s">
        <v>1013</v>
      </c>
      <c r="Y468" s="306" t="s">
        <v>1112</v>
      </c>
      <c r="Z468" s="306" t="s">
        <v>3381</v>
      </c>
      <c r="AA468" s="306" t="s">
        <v>1013</v>
      </c>
    </row>
    <row r="469" spans="1:27">
      <c r="A469" s="306" t="s">
        <v>494</v>
      </c>
      <c r="B469" s="306" t="s">
        <v>1003</v>
      </c>
      <c r="C469" s="306" t="s">
        <v>1004</v>
      </c>
      <c r="D469" s="306" t="s">
        <v>2480</v>
      </c>
      <c r="E469" s="306" t="s">
        <v>4013</v>
      </c>
      <c r="F469" s="306" t="s">
        <v>2482</v>
      </c>
      <c r="G469" s="308">
        <v>46021</v>
      </c>
      <c r="H469" s="308">
        <v>46021</v>
      </c>
      <c r="I469" s="309">
        <v>130155.62</v>
      </c>
      <c r="J469" s="306" t="s">
        <v>1008</v>
      </c>
      <c r="K469" s="309">
        <v>130155.62</v>
      </c>
      <c r="L469" s="306" t="s">
        <v>1008</v>
      </c>
      <c r="M469" s="306" t="s">
        <v>4014</v>
      </c>
      <c r="N469" s="306" t="s">
        <v>4015</v>
      </c>
      <c r="O469" s="306" t="s">
        <v>1394</v>
      </c>
      <c r="P469" s="306" t="s">
        <v>1069</v>
      </c>
      <c r="Q469" s="306" t="s">
        <v>1013</v>
      </c>
      <c r="R469" s="306" t="s">
        <v>1013</v>
      </c>
      <c r="S469" s="306" t="s">
        <v>1013</v>
      </c>
      <c r="T469" s="306" t="s">
        <v>1013</v>
      </c>
      <c r="U469" s="306" t="s">
        <v>3385</v>
      </c>
      <c r="V469" s="306" t="s">
        <v>1013</v>
      </c>
      <c r="W469" s="306" t="s">
        <v>1013</v>
      </c>
      <c r="X469" s="306" t="s">
        <v>1013</v>
      </c>
      <c r="Y469" s="306" t="s">
        <v>1112</v>
      </c>
      <c r="Z469" s="306" t="s">
        <v>3381</v>
      </c>
      <c r="AA469" s="306" t="s">
        <v>1013</v>
      </c>
    </row>
    <row r="470" spans="1:27">
      <c r="A470" s="306" t="s">
        <v>494</v>
      </c>
      <c r="B470" s="306" t="s">
        <v>1003</v>
      </c>
      <c r="C470" s="306" t="s">
        <v>1004</v>
      </c>
      <c r="D470" s="306" t="s">
        <v>2480</v>
      </c>
      <c r="E470" s="306" t="s">
        <v>4016</v>
      </c>
      <c r="F470" s="306" t="s">
        <v>2482</v>
      </c>
      <c r="G470" s="308">
        <v>46021</v>
      </c>
      <c r="H470" s="308">
        <v>46021</v>
      </c>
      <c r="I470" s="309">
        <v>3320.8</v>
      </c>
      <c r="J470" s="306" t="s">
        <v>1008</v>
      </c>
      <c r="K470" s="309">
        <v>3320.8</v>
      </c>
      <c r="L470" s="306" t="s">
        <v>1008</v>
      </c>
      <c r="M470" s="306" t="s">
        <v>4017</v>
      </c>
      <c r="N470" s="306" t="s">
        <v>4018</v>
      </c>
      <c r="O470" s="306" t="s">
        <v>1394</v>
      </c>
      <c r="P470" s="306" t="s">
        <v>1069</v>
      </c>
      <c r="Q470" s="306" t="s">
        <v>1013</v>
      </c>
      <c r="R470" s="306" t="s">
        <v>1013</v>
      </c>
      <c r="S470" s="306" t="s">
        <v>1013</v>
      </c>
      <c r="T470" s="306" t="s">
        <v>1013</v>
      </c>
      <c r="U470" s="306" t="s">
        <v>3385</v>
      </c>
      <c r="V470" s="306" t="s">
        <v>1013</v>
      </c>
      <c r="W470" s="306" t="s">
        <v>1013</v>
      </c>
      <c r="X470" s="306" t="s">
        <v>1013</v>
      </c>
      <c r="Y470" s="306" t="s">
        <v>1112</v>
      </c>
      <c r="Z470" s="306" t="s">
        <v>3381</v>
      </c>
      <c r="AA470" s="306" t="s">
        <v>1013</v>
      </c>
    </row>
    <row r="471" spans="1:27">
      <c r="A471" s="306" t="s">
        <v>494</v>
      </c>
      <c r="B471" s="306" t="s">
        <v>1003</v>
      </c>
      <c r="C471" s="306" t="s">
        <v>1004</v>
      </c>
      <c r="D471" s="306" t="s">
        <v>2480</v>
      </c>
      <c r="E471" s="306" t="s">
        <v>4019</v>
      </c>
      <c r="F471" s="306" t="s">
        <v>2482</v>
      </c>
      <c r="G471" s="308">
        <v>46021</v>
      </c>
      <c r="H471" s="308">
        <v>46021</v>
      </c>
      <c r="I471" s="309">
        <v>22503.09</v>
      </c>
      <c r="J471" s="306" t="s">
        <v>1008</v>
      </c>
      <c r="K471" s="309">
        <v>22503.09</v>
      </c>
      <c r="L471" s="306" t="s">
        <v>1008</v>
      </c>
      <c r="M471" s="306" t="s">
        <v>4020</v>
      </c>
      <c r="N471" s="306" t="s">
        <v>4021</v>
      </c>
      <c r="O471" s="306" t="s">
        <v>1394</v>
      </c>
      <c r="P471" s="306" t="s">
        <v>1069</v>
      </c>
      <c r="Q471" s="306" t="s">
        <v>1013</v>
      </c>
      <c r="R471" s="306" t="s">
        <v>1013</v>
      </c>
      <c r="S471" s="306" t="s">
        <v>1013</v>
      </c>
      <c r="T471" s="306" t="s">
        <v>1013</v>
      </c>
      <c r="U471" s="306" t="s">
        <v>3385</v>
      </c>
      <c r="V471" s="306" t="s">
        <v>1013</v>
      </c>
      <c r="W471" s="306" t="s">
        <v>1013</v>
      </c>
      <c r="X471" s="306" t="s">
        <v>1013</v>
      </c>
      <c r="Y471" s="306" t="s">
        <v>1112</v>
      </c>
      <c r="Z471" s="306" t="s">
        <v>3381</v>
      </c>
      <c r="AA471" s="306" t="s">
        <v>1013</v>
      </c>
    </row>
    <row r="472" spans="1:27">
      <c r="A472" s="306" t="s">
        <v>494</v>
      </c>
      <c r="B472" s="306" t="s">
        <v>1003</v>
      </c>
      <c r="C472" s="306" t="s">
        <v>1004</v>
      </c>
      <c r="D472" s="306" t="s">
        <v>2480</v>
      </c>
      <c r="E472" s="306" t="s">
        <v>4022</v>
      </c>
      <c r="F472" s="306" t="s">
        <v>2482</v>
      </c>
      <c r="G472" s="308">
        <v>46021</v>
      </c>
      <c r="H472" s="308">
        <v>46021</v>
      </c>
      <c r="I472" s="309">
        <v>4033.75</v>
      </c>
      <c r="J472" s="306" t="s">
        <v>1008</v>
      </c>
      <c r="K472" s="309">
        <v>4033.75</v>
      </c>
      <c r="L472" s="306" t="s">
        <v>1008</v>
      </c>
      <c r="M472" s="306" t="s">
        <v>4023</v>
      </c>
      <c r="N472" s="306" t="s">
        <v>4024</v>
      </c>
      <c r="O472" s="306" t="s">
        <v>1394</v>
      </c>
      <c r="P472" s="306" t="s">
        <v>1069</v>
      </c>
      <c r="Q472" s="306" t="s">
        <v>1013</v>
      </c>
      <c r="R472" s="306" t="s">
        <v>1013</v>
      </c>
      <c r="S472" s="306" t="s">
        <v>1013</v>
      </c>
      <c r="T472" s="306" t="s">
        <v>1013</v>
      </c>
      <c r="U472" s="306" t="s">
        <v>3385</v>
      </c>
      <c r="V472" s="306" t="s">
        <v>1013</v>
      </c>
      <c r="W472" s="306" t="s">
        <v>1013</v>
      </c>
      <c r="X472" s="306" t="s">
        <v>1013</v>
      </c>
      <c r="Y472" s="306" t="s">
        <v>1112</v>
      </c>
      <c r="Z472" s="306" t="s">
        <v>3381</v>
      </c>
      <c r="AA472" s="306" t="s">
        <v>1013</v>
      </c>
    </row>
    <row r="473" spans="1:27">
      <c r="A473" s="306" t="s">
        <v>494</v>
      </c>
      <c r="B473" s="306" t="s">
        <v>1003</v>
      </c>
      <c r="C473" s="306" t="s">
        <v>1004</v>
      </c>
      <c r="D473" s="306" t="s">
        <v>2480</v>
      </c>
      <c r="E473" s="306" t="s">
        <v>4025</v>
      </c>
      <c r="F473" s="306" t="s">
        <v>2482</v>
      </c>
      <c r="G473" s="308">
        <v>46021</v>
      </c>
      <c r="H473" s="308">
        <v>46021</v>
      </c>
      <c r="I473" s="309">
        <v>19423.38</v>
      </c>
      <c r="J473" s="306" t="s">
        <v>1008</v>
      </c>
      <c r="K473" s="309">
        <v>19423.38</v>
      </c>
      <c r="L473" s="306" t="s">
        <v>1008</v>
      </c>
      <c r="M473" s="306" t="s">
        <v>4026</v>
      </c>
      <c r="N473" s="306" t="s">
        <v>4027</v>
      </c>
      <c r="O473" s="306" t="s">
        <v>1394</v>
      </c>
      <c r="P473" s="306" t="s">
        <v>1069</v>
      </c>
      <c r="Q473" s="306" t="s">
        <v>1013</v>
      </c>
      <c r="R473" s="306" t="s">
        <v>1013</v>
      </c>
      <c r="S473" s="306" t="s">
        <v>1013</v>
      </c>
      <c r="T473" s="306" t="s">
        <v>1013</v>
      </c>
      <c r="U473" s="306" t="s">
        <v>3385</v>
      </c>
      <c r="V473" s="306" t="s">
        <v>1013</v>
      </c>
      <c r="W473" s="306" t="s">
        <v>1013</v>
      </c>
      <c r="X473" s="306" t="s">
        <v>1013</v>
      </c>
      <c r="Y473" s="306" t="s">
        <v>1112</v>
      </c>
      <c r="Z473" s="306" t="s">
        <v>3381</v>
      </c>
      <c r="AA473" s="306" t="s">
        <v>1013</v>
      </c>
    </row>
    <row r="474" spans="1:27">
      <c r="A474" s="306" t="s">
        <v>494</v>
      </c>
      <c r="B474" s="306" t="s">
        <v>1003</v>
      </c>
      <c r="C474" s="306" t="s">
        <v>1004</v>
      </c>
      <c r="D474" s="306" t="s">
        <v>2480</v>
      </c>
      <c r="E474" s="306" t="s">
        <v>4028</v>
      </c>
      <c r="F474" s="306" t="s">
        <v>2482</v>
      </c>
      <c r="G474" s="308">
        <v>46021</v>
      </c>
      <c r="H474" s="308">
        <v>46021</v>
      </c>
      <c r="I474" s="309">
        <v>13465.36</v>
      </c>
      <c r="J474" s="306" t="s">
        <v>1008</v>
      </c>
      <c r="K474" s="309">
        <v>13465.36</v>
      </c>
      <c r="L474" s="306" t="s">
        <v>1008</v>
      </c>
      <c r="M474" s="306" t="s">
        <v>4029</v>
      </c>
      <c r="N474" s="306" t="s">
        <v>4030</v>
      </c>
      <c r="O474" s="306" t="s">
        <v>1394</v>
      </c>
      <c r="P474" s="306" t="s">
        <v>1069</v>
      </c>
      <c r="Q474" s="306" t="s">
        <v>1013</v>
      </c>
      <c r="R474" s="306" t="s">
        <v>1013</v>
      </c>
      <c r="S474" s="306" t="s">
        <v>1013</v>
      </c>
      <c r="T474" s="306" t="s">
        <v>1013</v>
      </c>
      <c r="U474" s="306" t="s">
        <v>3385</v>
      </c>
      <c r="V474" s="306" t="s">
        <v>1013</v>
      </c>
      <c r="W474" s="306" t="s">
        <v>1013</v>
      </c>
      <c r="X474" s="306" t="s">
        <v>1013</v>
      </c>
      <c r="Y474" s="306" t="s">
        <v>1112</v>
      </c>
      <c r="Z474" s="306" t="s">
        <v>3381</v>
      </c>
      <c r="AA474" s="306" t="s">
        <v>1013</v>
      </c>
    </row>
    <row r="475" spans="1:27">
      <c r="A475" s="306" t="s">
        <v>494</v>
      </c>
      <c r="B475" s="306" t="s">
        <v>1003</v>
      </c>
      <c r="C475" s="306" t="s">
        <v>1004</v>
      </c>
      <c r="D475" s="306" t="s">
        <v>2480</v>
      </c>
      <c r="E475" s="306" t="s">
        <v>4031</v>
      </c>
      <c r="F475" s="306" t="s">
        <v>1007</v>
      </c>
      <c r="G475" s="308">
        <v>46022</v>
      </c>
      <c r="H475" s="308">
        <v>46022</v>
      </c>
      <c r="I475" s="309">
        <v>19579696.960000001</v>
      </c>
      <c r="J475" s="306" t="s">
        <v>1008</v>
      </c>
      <c r="K475" s="309">
        <v>19579696.960000001</v>
      </c>
      <c r="L475" s="306" t="s">
        <v>1008</v>
      </c>
      <c r="M475" s="306" t="s">
        <v>4032</v>
      </c>
      <c r="N475" s="306" t="s">
        <v>4032</v>
      </c>
      <c r="O475" s="306" t="s">
        <v>1013</v>
      </c>
      <c r="P475" s="306" t="s">
        <v>696</v>
      </c>
      <c r="Q475" s="306" t="s">
        <v>1013</v>
      </c>
      <c r="R475" s="306" t="s">
        <v>1013</v>
      </c>
      <c r="S475" s="306" t="s">
        <v>1013</v>
      </c>
      <c r="T475" s="306" t="s">
        <v>1013</v>
      </c>
      <c r="U475" s="306" t="s">
        <v>1013</v>
      </c>
      <c r="V475" s="306" t="s">
        <v>1013</v>
      </c>
      <c r="W475" s="306" t="s">
        <v>1013</v>
      </c>
      <c r="X475" s="306" t="s">
        <v>1013</v>
      </c>
      <c r="Y475" s="306" t="s">
        <v>1013</v>
      </c>
      <c r="Z475" s="306" t="s">
        <v>2241</v>
      </c>
      <c r="AA475" s="306" t="s">
        <v>1013</v>
      </c>
    </row>
    <row r="476" spans="1:27">
      <c r="A476" s="306" t="s">
        <v>494</v>
      </c>
      <c r="B476" s="306" t="s">
        <v>1003</v>
      </c>
      <c r="C476" s="306" t="s">
        <v>1004</v>
      </c>
      <c r="D476" s="306" t="s">
        <v>2480</v>
      </c>
      <c r="E476" s="306" t="s">
        <v>4033</v>
      </c>
      <c r="F476" s="306" t="s">
        <v>1007</v>
      </c>
      <c r="G476" s="308">
        <v>46022</v>
      </c>
      <c r="H476" s="308">
        <v>46022</v>
      </c>
      <c r="I476" s="309">
        <v>2001078.17</v>
      </c>
      <c r="J476" s="306" t="s">
        <v>1008</v>
      </c>
      <c r="K476" s="309">
        <v>2001078.17</v>
      </c>
      <c r="L476" s="306" t="s">
        <v>1008</v>
      </c>
      <c r="M476" s="306" t="s">
        <v>4034</v>
      </c>
      <c r="N476" s="306" t="s">
        <v>4034</v>
      </c>
      <c r="O476" s="306" t="s">
        <v>1013</v>
      </c>
      <c r="P476" s="306" t="s">
        <v>1013</v>
      </c>
      <c r="Q476" s="306" t="s">
        <v>1013</v>
      </c>
      <c r="R476" s="306" t="s">
        <v>1013</v>
      </c>
      <c r="S476" s="306" t="s">
        <v>1013</v>
      </c>
      <c r="T476" s="306" t="s">
        <v>1013</v>
      </c>
      <c r="U476" s="306" t="s">
        <v>2604</v>
      </c>
      <c r="V476" s="306" t="s">
        <v>1013</v>
      </c>
      <c r="W476" s="306" t="s">
        <v>1013</v>
      </c>
      <c r="X476" s="306" t="s">
        <v>1013</v>
      </c>
      <c r="Y476" s="306" t="s">
        <v>2604</v>
      </c>
      <c r="Z476" s="306" t="s">
        <v>2687</v>
      </c>
      <c r="AA476" s="306" t="s">
        <v>1013</v>
      </c>
    </row>
    <row r="477" spans="1:27">
      <c r="A477" s="306" t="s">
        <v>494</v>
      </c>
      <c r="B477" s="306" t="s">
        <v>1003</v>
      </c>
      <c r="C477" s="306" t="s">
        <v>1004</v>
      </c>
      <c r="D477" s="306" t="s">
        <v>2480</v>
      </c>
      <c r="E477" s="306" t="s">
        <v>4035</v>
      </c>
      <c r="F477" s="306" t="s">
        <v>2482</v>
      </c>
      <c r="G477" s="308">
        <v>46006</v>
      </c>
      <c r="H477" s="308">
        <v>46022</v>
      </c>
      <c r="I477" s="309">
        <v>745001.46</v>
      </c>
      <c r="J477" s="306" t="s">
        <v>1008</v>
      </c>
      <c r="K477" s="309">
        <v>745001.46</v>
      </c>
      <c r="L477" s="306" t="s">
        <v>1008</v>
      </c>
      <c r="M477" s="306" t="s">
        <v>4036</v>
      </c>
      <c r="N477" s="306" t="s">
        <v>4037</v>
      </c>
      <c r="O477" s="306" t="s">
        <v>1013</v>
      </c>
      <c r="P477" s="306" t="s">
        <v>696</v>
      </c>
      <c r="Q477" s="306" t="s">
        <v>1013</v>
      </c>
      <c r="R477" s="306" t="s">
        <v>1013</v>
      </c>
      <c r="S477" s="306" t="s">
        <v>1013</v>
      </c>
      <c r="T477" s="306" t="s">
        <v>1013</v>
      </c>
      <c r="U477" s="306" t="s">
        <v>4038</v>
      </c>
      <c r="V477" s="306" t="s">
        <v>1013</v>
      </c>
      <c r="W477" s="306" t="s">
        <v>1013</v>
      </c>
      <c r="X477" s="306" t="s">
        <v>1013</v>
      </c>
      <c r="Y477" s="306" t="s">
        <v>1153</v>
      </c>
      <c r="Z477" s="306" t="s">
        <v>2456</v>
      </c>
      <c r="AA477" s="306" t="s">
        <v>1013</v>
      </c>
    </row>
    <row r="478" spans="1:27">
      <c r="A478" s="306" t="s">
        <v>494</v>
      </c>
      <c r="B478" s="306" t="s">
        <v>1003</v>
      </c>
      <c r="C478" s="306" t="s">
        <v>1004</v>
      </c>
      <c r="D478" s="306" t="s">
        <v>2480</v>
      </c>
      <c r="E478" s="306" t="s">
        <v>4039</v>
      </c>
      <c r="F478" s="306" t="s">
        <v>2482</v>
      </c>
      <c r="G478" s="308">
        <v>46014</v>
      </c>
      <c r="H478" s="308">
        <v>46022</v>
      </c>
      <c r="I478" s="309">
        <v>621238.93999999994</v>
      </c>
      <c r="J478" s="306" t="s">
        <v>1008</v>
      </c>
      <c r="K478" s="309">
        <v>621238.93999999994</v>
      </c>
      <c r="L478" s="306" t="s">
        <v>1008</v>
      </c>
      <c r="M478" s="306" t="s">
        <v>4040</v>
      </c>
      <c r="N478" s="306" t="s">
        <v>4040</v>
      </c>
      <c r="O478" s="306" t="s">
        <v>1013</v>
      </c>
      <c r="P478" s="306" t="s">
        <v>1013</v>
      </c>
      <c r="Q478" s="306" t="s">
        <v>1013</v>
      </c>
      <c r="R478" s="306" t="s">
        <v>1013</v>
      </c>
      <c r="S478" s="306" t="s">
        <v>1013</v>
      </c>
      <c r="T478" s="306" t="s">
        <v>1013</v>
      </c>
      <c r="U478" s="306" t="s">
        <v>4041</v>
      </c>
      <c r="V478" s="306" t="s">
        <v>1013</v>
      </c>
      <c r="W478" s="306" t="s">
        <v>1013</v>
      </c>
      <c r="X478" s="306" t="s">
        <v>1013</v>
      </c>
      <c r="Y478" s="306" t="s">
        <v>4041</v>
      </c>
      <c r="Z478" s="306" t="s">
        <v>2456</v>
      </c>
      <c r="AA478" s="306" t="s">
        <v>1013</v>
      </c>
    </row>
    <row r="479" spans="1:27">
      <c r="A479" s="306" t="s">
        <v>494</v>
      </c>
      <c r="B479" s="306" t="s">
        <v>1003</v>
      </c>
      <c r="C479" s="306" t="s">
        <v>1004</v>
      </c>
      <c r="D479" s="306" t="s">
        <v>2480</v>
      </c>
      <c r="E479" s="306" t="s">
        <v>4042</v>
      </c>
      <c r="F479" s="306" t="s">
        <v>2482</v>
      </c>
      <c r="G479" s="308">
        <v>46021</v>
      </c>
      <c r="H479" s="308">
        <v>46022</v>
      </c>
      <c r="I479" s="309">
        <v>257735.47</v>
      </c>
      <c r="J479" s="306" t="s">
        <v>1008</v>
      </c>
      <c r="K479" s="309">
        <v>257735.47</v>
      </c>
      <c r="L479" s="306" t="s">
        <v>1008</v>
      </c>
      <c r="M479" s="306" t="s">
        <v>4043</v>
      </c>
      <c r="N479" s="306" t="s">
        <v>4043</v>
      </c>
      <c r="O479" s="306" t="s">
        <v>1013</v>
      </c>
      <c r="P479" s="306" t="s">
        <v>1013</v>
      </c>
      <c r="Q479" s="306" t="s">
        <v>1013</v>
      </c>
      <c r="R479" s="306" t="s">
        <v>1013</v>
      </c>
      <c r="S479" s="306" t="s">
        <v>1013</v>
      </c>
      <c r="T479" s="306" t="s">
        <v>1013</v>
      </c>
      <c r="U479" s="306" t="s">
        <v>4044</v>
      </c>
      <c r="V479" s="306" t="s">
        <v>1013</v>
      </c>
      <c r="W479" s="306" t="s">
        <v>1013</v>
      </c>
      <c r="X479" s="306" t="s">
        <v>1013</v>
      </c>
      <c r="Y479" s="306" t="s">
        <v>4044</v>
      </c>
      <c r="Z479" s="306" t="s">
        <v>2456</v>
      </c>
      <c r="AA479" s="306" t="s">
        <v>1013</v>
      </c>
    </row>
    <row r="480" spans="1:27">
      <c r="A480" s="306" t="s">
        <v>494</v>
      </c>
      <c r="B480" s="306" t="s">
        <v>1003</v>
      </c>
      <c r="C480" s="306" t="s">
        <v>1004</v>
      </c>
      <c r="D480" s="306" t="s">
        <v>2480</v>
      </c>
      <c r="E480" s="306" t="s">
        <v>4045</v>
      </c>
      <c r="F480" s="306" t="s">
        <v>2482</v>
      </c>
      <c r="G480" s="308">
        <v>46021</v>
      </c>
      <c r="H480" s="308">
        <v>46022</v>
      </c>
      <c r="I480" s="309">
        <v>4716.8100000000004</v>
      </c>
      <c r="J480" s="306" t="s">
        <v>1008</v>
      </c>
      <c r="K480" s="309">
        <v>4716.8100000000004</v>
      </c>
      <c r="L480" s="306" t="s">
        <v>1008</v>
      </c>
      <c r="M480" s="306" t="s">
        <v>4046</v>
      </c>
      <c r="N480" s="306" t="s">
        <v>4046</v>
      </c>
      <c r="O480" s="306" t="s">
        <v>1013</v>
      </c>
      <c r="P480" s="306" t="s">
        <v>1013</v>
      </c>
      <c r="Q480" s="306" t="s">
        <v>1013</v>
      </c>
      <c r="R480" s="306" t="s">
        <v>1013</v>
      </c>
      <c r="S480" s="306" t="s">
        <v>1013</v>
      </c>
      <c r="T480" s="306" t="s">
        <v>1013</v>
      </c>
      <c r="U480" s="306" t="s">
        <v>4047</v>
      </c>
      <c r="V480" s="306" t="s">
        <v>1013</v>
      </c>
      <c r="W480" s="306" t="s">
        <v>1013</v>
      </c>
      <c r="X480" s="306" t="s">
        <v>1013</v>
      </c>
      <c r="Y480" s="306" t="s">
        <v>4047</v>
      </c>
      <c r="Z480" s="306" t="s">
        <v>2456</v>
      </c>
      <c r="AA480" s="306" t="s">
        <v>1013</v>
      </c>
    </row>
    <row r="481" spans="1:27">
      <c r="A481" s="306" t="s">
        <v>494</v>
      </c>
      <c r="B481" s="306" t="s">
        <v>1003</v>
      </c>
      <c r="C481" s="306" t="s">
        <v>1004</v>
      </c>
      <c r="D481" s="306" t="s">
        <v>2480</v>
      </c>
      <c r="E481" s="306" t="s">
        <v>4048</v>
      </c>
      <c r="F481" s="306" t="s">
        <v>2482</v>
      </c>
      <c r="G481" s="308">
        <v>46016</v>
      </c>
      <c r="H481" s="308">
        <v>46022</v>
      </c>
      <c r="I481" s="309">
        <v>310619.46999999997</v>
      </c>
      <c r="J481" s="306" t="s">
        <v>1008</v>
      </c>
      <c r="K481" s="309">
        <v>310619.46999999997</v>
      </c>
      <c r="L481" s="306" t="s">
        <v>1008</v>
      </c>
      <c r="M481" s="306" t="s">
        <v>4049</v>
      </c>
      <c r="N481" s="306" t="s">
        <v>4049</v>
      </c>
      <c r="O481" s="306" t="s">
        <v>1013</v>
      </c>
      <c r="P481" s="306" t="s">
        <v>1013</v>
      </c>
      <c r="Q481" s="306" t="s">
        <v>1013</v>
      </c>
      <c r="R481" s="306" t="s">
        <v>1013</v>
      </c>
      <c r="S481" s="306" t="s">
        <v>1013</v>
      </c>
      <c r="T481" s="306" t="s">
        <v>1013</v>
      </c>
      <c r="U481" s="306" t="s">
        <v>4050</v>
      </c>
      <c r="V481" s="306" t="s">
        <v>1013</v>
      </c>
      <c r="W481" s="306" t="s">
        <v>1013</v>
      </c>
      <c r="X481" s="306" t="s">
        <v>1013</v>
      </c>
      <c r="Y481" s="306" t="s">
        <v>4050</v>
      </c>
      <c r="Z481" s="306" t="s">
        <v>2456</v>
      </c>
      <c r="AA481" s="306" t="s">
        <v>1013</v>
      </c>
    </row>
    <row r="482" spans="1:27">
      <c r="A482" s="306" t="s">
        <v>494</v>
      </c>
      <c r="B482" s="306" t="s">
        <v>1003</v>
      </c>
      <c r="C482" s="306" t="s">
        <v>1004</v>
      </c>
      <c r="D482" s="306" t="s">
        <v>2480</v>
      </c>
      <c r="E482" s="306" t="s">
        <v>4051</v>
      </c>
      <c r="F482" s="306" t="s">
        <v>2482</v>
      </c>
      <c r="G482" s="308">
        <v>46017</v>
      </c>
      <c r="H482" s="308">
        <v>46022</v>
      </c>
      <c r="I482" s="309">
        <v>3096330.28</v>
      </c>
      <c r="J482" s="306" t="s">
        <v>1008</v>
      </c>
      <c r="K482" s="309">
        <v>3096330.28</v>
      </c>
      <c r="L482" s="306" t="s">
        <v>1008</v>
      </c>
      <c r="M482" s="306" t="s">
        <v>4052</v>
      </c>
      <c r="N482" s="306" t="s">
        <v>4052</v>
      </c>
      <c r="O482" s="306" t="s">
        <v>1013</v>
      </c>
      <c r="P482" s="306" t="s">
        <v>1013</v>
      </c>
      <c r="Q482" s="306" t="s">
        <v>1013</v>
      </c>
      <c r="R482" s="306" t="s">
        <v>1013</v>
      </c>
      <c r="S482" s="306" t="s">
        <v>1013</v>
      </c>
      <c r="T482" s="306" t="s">
        <v>1013</v>
      </c>
      <c r="U482" s="306" t="s">
        <v>4053</v>
      </c>
      <c r="V482" s="306" t="s">
        <v>1013</v>
      </c>
      <c r="W482" s="306" t="s">
        <v>1013</v>
      </c>
      <c r="X482" s="306" t="s">
        <v>1013</v>
      </c>
      <c r="Y482" s="306" t="s">
        <v>4053</v>
      </c>
      <c r="Z482" s="306" t="s">
        <v>2456</v>
      </c>
      <c r="AA482" s="306" t="s">
        <v>1013</v>
      </c>
    </row>
    <row r="483" spans="1:27">
      <c r="A483" s="306" t="s">
        <v>494</v>
      </c>
      <c r="B483" s="306" t="s">
        <v>1003</v>
      </c>
      <c r="C483" s="306" t="s">
        <v>1004</v>
      </c>
      <c r="D483" s="306" t="s">
        <v>2480</v>
      </c>
      <c r="E483" s="306" t="s">
        <v>4054</v>
      </c>
      <c r="F483" s="306" t="s">
        <v>2482</v>
      </c>
      <c r="G483" s="308">
        <v>46021</v>
      </c>
      <c r="H483" s="308">
        <v>46022</v>
      </c>
      <c r="I483" s="309">
        <v>5811.32</v>
      </c>
      <c r="J483" s="306" t="s">
        <v>1008</v>
      </c>
      <c r="K483" s="309">
        <v>5811.32</v>
      </c>
      <c r="L483" s="306" t="s">
        <v>1008</v>
      </c>
      <c r="M483" s="306" t="s">
        <v>4055</v>
      </c>
      <c r="N483" s="306" t="s">
        <v>4055</v>
      </c>
      <c r="O483" s="306" t="s">
        <v>1013</v>
      </c>
      <c r="P483" s="306" t="s">
        <v>1013</v>
      </c>
      <c r="Q483" s="306" t="s">
        <v>1013</v>
      </c>
      <c r="R483" s="306" t="s">
        <v>1013</v>
      </c>
      <c r="S483" s="306" t="s">
        <v>1013</v>
      </c>
      <c r="T483" s="306" t="s">
        <v>1013</v>
      </c>
      <c r="U483" s="306" t="s">
        <v>4056</v>
      </c>
      <c r="V483" s="306" t="s">
        <v>1013</v>
      </c>
      <c r="W483" s="306" t="s">
        <v>1013</v>
      </c>
      <c r="X483" s="306" t="s">
        <v>1013</v>
      </c>
      <c r="Y483" s="306" t="s">
        <v>4056</v>
      </c>
      <c r="Z483" s="306" t="s">
        <v>2456</v>
      </c>
      <c r="AA483" s="306" t="s">
        <v>1013</v>
      </c>
    </row>
    <row r="484" spans="1:27">
      <c r="A484" s="306" t="s">
        <v>494</v>
      </c>
      <c r="B484" s="306" t="s">
        <v>1003</v>
      </c>
      <c r="C484" s="306" t="s">
        <v>1004</v>
      </c>
      <c r="D484" s="306" t="s">
        <v>2480</v>
      </c>
      <c r="E484" s="306" t="s">
        <v>4057</v>
      </c>
      <c r="F484" s="306" t="s">
        <v>2486</v>
      </c>
      <c r="G484" s="308">
        <v>46022</v>
      </c>
      <c r="H484" s="308">
        <v>46022</v>
      </c>
      <c r="I484" s="309">
        <v>12509.39</v>
      </c>
      <c r="J484" s="306" t="s">
        <v>1008</v>
      </c>
      <c r="K484" s="309">
        <v>12509.39</v>
      </c>
      <c r="L484" s="306" t="s">
        <v>1008</v>
      </c>
      <c r="M484" s="306" t="s">
        <v>3803</v>
      </c>
      <c r="N484" s="306" t="s">
        <v>4058</v>
      </c>
      <c r="O484" s="306" t="s">
        <v>1013</v>
      </c>
      <c r="P484" s="306" t="s">
        <v>2916</v>
      </c>
      <c r="Q484" s="306" t="s">
        <v>1013</v>
      </c>
      <c r="R484" s="306" t="s">
        <v>1013</v>
      </c>
      <c r="S484" s="306" t="s">
        <v>1013</v>
      </c>
      <c r="T484" s="306" t="s">
        <v>1013</v>
      </c>
      <c r="U484" s="306" t="s">
        <v>2917</v>
      </c>
      <c r="V484" s="306" t="s">
        <v>1013</v>
      </c>
      <c r="W484" s="306" t="s">
        <v>1013</v>
      </c>
      <c r="X484" s="306" t="s">
        <v>1013</v>
      </c>
      <c r="Y484" s="306" t="s">
        <v>2917</v>
      </c>
      <c r="Z484" s="306" t="s">
        <v>2456</v>
      </c>
      <c r="AA484" s="306" t="s">
        <v>1013</v>
      </c>
    </row>
    <row r="485" spans="1:27">
      <c r="A485" s="306" t="s">
        <v>494</v>
      </c>
      <c r="B485" s="306" t="s">
        <v>1003</v>
      </c>
      <c r="C485" s="306" t="s">
        <v>1004</v>
      </c>
      <c r="D485" s="306" t="s">
        <v>2480</v>
      </c>
      <c r="E485" s="306" t="s">
        <v>4059</v>
      </c>
      <c r="F485" s="306" t="s">
        <v>2486</v>
      </c>
      <c r="G485" s="308">
        <v>46022</v>
      </c>
      <c r="H485" s="308">
        <v>46022</v>
      </c>
      <c r="I485" s="309">
        <v>45.54</v>
      </c>
      <c r="J485" s="306" t="s">
        <v>1008</v>
      </c>
      <c r="K485" s="309">
        <v>45.54</v>
      </c>
      <c r="L485" s="306" t="s">
        <v>1008</v>
      </c>
      <c r="M485" s="306" t="s">
        <v>4060</v>
      </c>
      <c r="N485" s="306" t="s">
        <v>4061</v>
      </c>
      <c r="O485" s="306" t="s">
        <v>1013</v>
      </c>
      <c r="P485" s="306" t="s">
        <v>1013</v>
      </c>
      <c r="Q485" s="306" t="s">
        <v>1013</v>
      </c>
      <c r="R485" s="306" t="s">
        <v>1013</v>
      </c>
      <c r="S485" s="306" t="s">
        <v>1013</v>
      </c>
      <c r="T485" s="306" t="s">
        <v>1013</v>
      </c>
      <c r="U485" s="306" t="s">
        <v>4062</v>
      </c>
      <c r="V485" s="306" t="s">
        <v>1013</v>
      </c>
      <c r="W485" s="306" t="s">
        <v>1013</v>
      </c>
      <c r="X485" s="306" t="s">
        <v>1013</v>
      </c>
      <c r="Y485" s="306" t="s">
        <v>4063</v>
      </c>
      <c r="Z485" s="306" t="s">
        <v>2456</v>
      </c>
      <c r="AA485" s="306" t="s">
        <v>1013</v>
      </c>
    </row>
    <row r="486" spans="1:27">
      <c r="A486" s="306" t="s">
        <v>494</v>
      </c>
      <c r="B486" s="306" t="s">
        <v>1003</v>
      </c>
      <c r="C486" s="306" t="s">
        <v>1004</v>
      </c>
      <c r="D486" s="306" t="s">
        <v>2480</v>
      </c>
      <c r="E486" s="306" t="s">
        <v>4064</v>
      </c>
      <c r="F486" s="306" t="s">
        <v>2486</v>
      </c>
      <c r="G486" s="308">
        <v>46022</v>
      </c>
      <c r="H486" s="308">
        <v>46022</v>
      </c>
      <c r="I486" s="309">
        <v>148.02000000000001</v>
      </c>
      <c r="J486" s="306" t="s">
        <v>1008</v>
      </c>
      <c r="K486" s="309">
        <v>148.02000000000001</v>
      </c>
      <c r="L486" s="306" t="s">
        <v>1008</v>
      </c>
      <c r="M486" s="306" t="s">
        <v>4065</v>
      </c>
      <c r="N486" s="306" t="s">
        <v>4066</v>
      </c>
      <c r="O486" s="306" t="s">
        <v>1013</v>
      </c>
      <c r="P486" s="306" t="s">
        <v>1013</v>
      </c>
      <c r="Q486" s="306" t="s">
        <v>1013</v>
      </c>
      <c r="R486" s="306" t="s">
        <v>1013</v>
      </c>
      <c r="S486" s="306" t="s">
        <v>1013</v>
      </c>
      <c r="T486" s="306" t="s">
        <v>1013</v>
      </c>
      <c r="U486" s="306" t="s">
        <v>4067</v>
      </c>
      <c r="V486" s="306" t="s">
        <v>1013</v>
      </c>
      <c r="W486" s="306" t="s">
        <v>1013</v>
      </c>
      <c r="X486" s="306" t="s">
        <v>1013</v>
      </c>
      <c r="Y486" s="306" t="s">
        <v>3063</v>
      </c>
      <c r="Z486" s="306" t="s">
        <v>2456</v>
      </c>
      <c r="AA486" s="306" t="s">
        <v>1013</v>
      </c>
    </row>
    <row r="487" spans="1:27">
      <c r="A487" s="306" t="s">
        <v>494</v>
      </c>
      <c r="B487" s="306" t="s">
        <v>1003</v>
      </c>
      <c r="C487" s="306" t="s">
        <v>1004</v>
      </c>
      <c r="D487" s="306" t="s">
        <v>2480</v>
      </c>
      <c r="E487" s="306" t="s">
        <v>4068</v>
      </c>
      <c r="F487" s="306" t="s">
        <v>2482</v>
      </c>
      <c r="G487" s="308">
        <v>46021</v>
      </c>
      <c r="H487" s="308">
        <v>46022</v>
      </c>
      <c r="I487" s="309">
        <v>91387913.019999996</v>
      </c>
      <c r="J487" s="306" t="s">
        <v>1008</v>
      </c>
      <c r="K487" s="309">
        <v>91387913.019999996</v>
      </c>
      <c r="L487" s="306" t="s">
        <v>1008</v>
      </c>
      <c r="M487" s="306" t="s">
        <v>4069</v>
      </c>
      <c r="N487" s="306" t="s">
        <v>4070</v>
      </c>
      <c r="O487" s="306" t="s">
        <v>1013</v>
      </c>
      <c r="P487" s="306" t="s">
        <v>1012</v>
      </c>
      <c r="Q487" s="306" t="s">
        <v>1013</v>
      </c>
      <c r="R487" s="306" t="s">
        <v>1013</v>
      </c>
      <c r="S487" s="306" t="s">
        <v>1013</v>
      </c>
      <c r="T487" s="306" t="s">
        <v>1013</v>
      </c>
      <c r="U487" s="306" t="s">
        <v>4071</v>
      </c>
      <c r="V487" s="306" t="s">
        <v>1013</v>
      </c>
      <c r="W487" s="306" t="s">
        <v>1013</v>
      </c>
      <c r="X487" s="306" t="s">
        <v>1013</v>
      </c>
      <c r="Y487" s="306" t="s">
        <v>1153</v>
      </c>
      <c r="Z487" s="306" t="s">
        <v>2456</v>
      </c>
      <c r="AA487" s="306" t="s">
        <v>1013</v>
      </c>
    </row>
    <row r="488" spans="1:27">
      <c r="A488" s="306" t="s">
        <v>494</v>
      </c>
      <c r="B488" s="306" t="s">
        <v>1003</v>
      </c>
      <c r="C488" s="306" t="s">
        <v>1004</v>
      </c>
      <c r="D488" s="306" t="s">
        <v>2480</v>
      </c>
      <c r="E488" s="306" t="s">
        <v>4072</v>
      </c>
      <c r="F488" s="306" t="s">
        <v>2486</v>
      </c>
      <c r="G488" s="308">
        <v>46022</v>
      </c>
      <c r="H488" s="308">
        <v>46022</v>
      </c>
      <c r="I488" s="309">
        <v>3220.18</v>
      </c>
      <c r="J488" s="306" t="s">
        <v>1008</v>
      </c>
      <c r="K488" s="309">
        <v>3220.18</v>
      </c>
      <c r="L488" s="306" t="s">
        <v>1008</v>
      </c>
      <c r="M488" s="306" t="s">
        <v>4073</v>
      </c>
      <c r="N488" s="306" t="s">
        <v>4074</v>
      </c>
      <c r="O488" s="306" t="s">
        <v>1013</v>
      </c>
      <c r="P488" s="306" t="s">
        <v>1013</v>
      </c>
      <c r="Q488" s="306" t="s">
        <v>1013</v>
      </c>
      <c r="R488" s="306" t="s">
        <v>1013</v>
      </c>
      <c r="S488" s="306" t="s">
        <v>1013</v>
      </c>
      <c r="T488" s="306" t="s">
        <v>1013</v>
      </c>
      <c r="U488" s="306" t="s">
        <v>4075</v>
      </c>
      <c r="V488" s="306" t="s">
        <v>1013</v>
      </c>
      <c r="W488" s="306" t="s">
        <v>1013</v>
      </c>
      <c r="X488" s="306" t="s">
        <v>1013</v>
      </c>
      <c r="Y488" s="306" t="s">
        <v>1812</v>
      </c>
      <c r="Z488" s="306" t="s">
        <v>2456</v>
      </c>
      <c r="AA488" s="306" t="s">
        <v>1013</v>
      </c>
    </row>
    <row r="489" spans="1:27">
      <c r="A489" s="306" t="s">
        <v>494</v>
      </c>
      <c r="B489" s="306" t="s">
        <v>1003</v>
      </c>
      <c r="C489" s="306" t="s">
        <v>1004</v>
      </c>
      <c r="D489" s="306" t="s">
        <v>2480</v>
      </c>
      <c r="E489" s="306" t="s">
        <v>4076</v>
      </c>
      <c r="F489" s="306" t="s">
        <v>2486</v>
      </c>
      <c r="G489" s="308">
        <v>46022</v>
      </c>
      <c r="H489" s="308">
        <v>46022</v>
      </c>
      <c r="I489" s="309">
        <v>18658.419999999998</v>
      </c>
      <c r="J489" s="306" t="s">
        <v>1008</v>
      </c>
      <c r="K489" s="309">
        <v>18658.419999999998</v>
      </c>
      <c r="L489" s="306" t="s">
        <v>1008</v>
      </c>
      <c r="M489" s="306" t="s">
        <v>4077</v>
      </c>
      <c r="N489" s="306" t="s">
        <v>4078</v>
      </c>
      <c r="O489" s="306" t="s">
        <v>1013</v>
      </c>
      <c r="P489" s="306" t="s">
        <v>2916</v>
      </c>
      <c r="Q489" s="306" t="s">
        <v>1013</v>
      </c>
      <c r="R489" s="306" t="s">
        <v>1013</v>
      </c>
      <c r="S489" s="306" t="s">
        <v>1013</v>
      </c>
      <c r="T489" s="306" t="s">
        <v>1013</v>
      </c>
      <c r="U489" s="306" t="s">
        <v>2917</v>
      </c>
      <c r="V489" s="306" t="s">
        <v>1013</v>
      </c>
      <c r="W489" s="306" t="s">
        <v>1013</v>
      </c>
      <c r="X489" s="306" t="s">
        <v>1013</v>
      </c>
      <c r="Y489" s="306" t="s">
        <v>2917</v>
      </c>
      <c r="Z489" s="306" t="s">
        <v>2456</v>
      </c>
      <c r="AA489" s="306" t="s">
        <v>1013</v>
      </c>
    </row>
    <row r="490" spans="1:27">
      <c r="A490" s="306" t="s">
        <v>494</v>
      </c>
      <c r="B490" s="306" t="s">
        <v>1003</v>
      </c>
      <c r="C490" s="306" t="s">
        <v>1004</v>
      </c>
      <c r="D490" s="306" t="s">
        <v>2480</v>
      </c>
      <c r="E490" s="306" t="s">
        <v>4079</v>
      </c>
      <c r="F490" s="306" t="s">
        <v>2486</v>
      </c>
      <c r="G490" s="308">
        <v>46022</v>
      </c>
      <c r="H490" s="308">
        <v>46022</v>
      </c>
      <c r="I490" s="309">
        <v>2673.2</v>
      </c>
      <c r="J490" s="306" t="s">
        <v>1008</v>
      </c>
      <c r="K490" s="309">
        <v>2673.2</v>
      </c>
      <c r="L490" s="306" t="s">
        <v>1008</v>
      </c>
      <c r="M490" s="306" t="s">
        <v>4080</v>
      </c>
      <c r="N490" s="306" t="s">
        <v>4081</v>
      </c>
      <c r="O490" s="306" t="s">
        <v>1013</v>
      </c>
      <c r="P490" s="306" t="s">
        <v>2916</v>
      </c>
      <c r="Q490" s="306" t="s">
        <v>1013</v>
      </c>
      <c r="R490" s="306" t="s">
        <v>1013</v>
      </c>
      <c r="S490" s="306" t="s">
        <v>1013</v>
      </c>
      <c r="T490" s="306" t="s">
        <v>1013</v>
      </c>
      <c r="U490" s="306" t="s">
        <v>2917</v>
      </c>
      <c r="V490" s="306" t="s">
        <v>1013</v>
      </c>
      <c r="W490" s="306" t="s">
        <v>1013</v>
      </c>
      <c r="X490" s="306" t="s">
        <v>1013</v>
      </c>
      <c r="Y490" s="306" t="s">
        <v>2917</v>
      </c>
      <c r="Z490" s="306" t="s">
        <v>2456</v>
      </c>
      <c r="AA490" s="306" t="s">
        <v>1013</v>
      </c>
    </row>
    <row r="491" spans="1:27">
      <c r="A491" s="306" t="s">
        <v>494</v>
      </c>
      <c r="B491" s="306" t="s">
        <v>1003</v>
      </c>
      <c r="C491" s="306" t="s">
        <v>1004</v>
      </c>
      <c r="D491" s="306" t="s">
        <v>2480</v>
      </c>
      <c r="E491" s="306" t="s">
        <v>4082</v>
      </c>
      <c r="F491" s="306" t="s">
        <v>2482</v>
      </c>
      <c r="G491" s="308">
        <v>46022</v>
      </c>
      <c r="H491" s="308">
        <v>46022</v>
      </c>
      <c r="I491" s="309">
        <v>119646017.7</v>
      </c>
      <c r="J491" s="306" t="s">
        <v>1008</v>
      </c>
      <c r="K491" s="309">
        <v>119646017.7</v>
      </c>
      <c r="L491" s="306" t="s">
        <v>1008</v>
      </c>
      <c r="M491" s="306" t="s">
        <v>4083</v>
      </c>
      <c r="N491" s="306" t="s">
        <v>4084</v>
      </c>
      <c r="O491" s="306" t="s">
        <v>1013</v>
      </c>
      <c r="P491" s="306" t="s">
        <v>4085</v>
      </c>
      <c r="Q491" s="306" t="s">
        <v>1013</v>
      </c>
      <c r="R491" s="306" t="s">
        <v>1013</v>
      </c>
      <c r="S491" s="306" t="s">
        <v>1013</v>
      </c>
      <c r="T491" s="306" t="s">
        <v>1013</v>
      </c>
      <c r="U491" s="306" t="s">
        <v>4071</v>
      </c>
      <c r="V491" s="306" t="s">
        <v>1013</v>
      </c>
      <c r="W491" s="306" t="s">
        <v>1013</v>
      </c>
      <c r="X491" s="306" t="s">
        <v>1013</v>
      </c>
      <c r="Y491" s="306" t="s">
        <v>4071</v>
      </c>
      <c r="Z491" s="306" t="s">
        <v>2456</v>
      </c>
      <c r="AA491" s="306" t="s">
        <v>1013</v>
      </c>
    </row>
    <row r="492" spans="1:27">
      <c r="A492" s="306" t="s">
        <v>494</v>
      </c>
      <c r="B492" s="306" t="s">
        <v>1003</v>
      </c>
      <c r="C492" s="306" t="s">
        <v>1004</v>
      </c>
      <c r="D492" s="306" t="s">
        <v>2480</v>
      </c>
      <c r="E492" s="306" t="s">
        <v>4086</v>
      </c>
      <c r="F492" s="306" t="s">
        <v>2482</v>
      </c>
      <c r="G492" s="308">
        <v>46022</v>
      </c>
      <c r="H492" s="308">
        <v>46022</v>
      </c>
      <c r="I492" s="309">
        <v>2300884.96</v>
      </c>
      <c r="J492" s="306" t="s">
        <v>1008</v>
      </c>
      <c r="K492" s="309">
        <v>2300884.96</v>
      </c>
      <c r="L492" s="306" t="s">
        <v>1008</v>
      </c>
      <c r="M492" s="306" t="s">
        <v>4087</v>
      </c>
      <c r="N492" s="306" t="s">
        <v>4088</v>
      </c>
      <c r="O492" s="306" t="s">
        <v>4089</v>
      </c>
      <c r="P492" s="306" t="s">
        <v>1013</v>
      </c>
      <c r="Q492" s="306" t="s">
        <v>1013</v>
      </c>
      <c r="R492" s="306" t="s">
        <v>1013</v>
      </c>
      <c r="S492" s="306" t="s">
        <v>1013</v>
      </c>
      <c r="T492" s="306" t="s">
        <v>1013</v>
      </c>
      <c r="U492" s="306" t="s">
        <v>4090</v>
      </c>
      <c r="V492" s="306" t="s">
        <v>1013</v>
      </c>
      <c r="W492" s="306" t="s">
        <v>1013</v>
      </c>
      <c r="X492" s="306" t="s">
        <v>1013</v>
      </c>
      <c r="Y492" s="306" t="s">
        <v>4090</v>
      </c>
      <c r="Z492" s="306" t="s">
        <v>2456</v>
      </c>
      <c r="AA492" s="306" t="s">
        <v>1013</v>
      </c>
    </row>
    <row r="493" spans="1:27">
      <c r="A493" s="306" t="s">
        <v>494</v>
      </c>
      <c r="B493" s="306" t="s">
        <v>1003</v>
      </c>
      <c r="C493" s="306" t="s">
        <v>1004</v>
      </c>
      <c r="D493" s="306" t="s">
        <v>2480</v>
      </c>
      <c r="E493" s="306" t="s">
        <v>4091</v>
      </c>
      <c r="F493" s="306" t="s">
        <v>2482</v>
      </c>
      <c r="G493" s="308">
        <v>46022</v>
      </c>
      <c r="H493" s="308">
        <v>46022</v>
      </c>
      <c r="I493" s="309">
        <v>2300884.96</v>
      </c>
      <c r="J493" s="306" t="s">
        <v>1008</v>
      </c>
      <c r="K493" s="309">
        <v>2300884.96</v>
      </c>
      <c r="L493" s="306" t="s">
        <v>1008</v>
      </c>
      <c r="M493" s="306" t="s">
        <v>4092</v>
      </c>
      <c r="N493" s="306" t="s">
        <v>4088</v>
      </c>
      <c r="O493" s="306" t="s">
        <v>4093</v>
      </c>
      <c r="P493" s="306" t="s">
        <v>1013</v>
      </c>
      <c r="Q493" s="306" t="s">
        <v>1013</v>
      </c>
      <c r="R493" s="306" t="s">
        <v>1013</v>
      </c>
      <c r="S493" s="306" t="s">
        <v>1013</v>
      </c>
      <c r="T493" s="306" t="s">
        <v>1013</v>
      </c>
      <c r="U493" s="306" t="s">
        <v>4090</v>
      </c>
      <c r="V493" s="306" t="s">
        <v>1013</v>
      </c>
      <c r="W493" s="306" t="s">
        <v>1013</v>
      </c>
      <c r="X493" s="306" t="s">
        <v>1013</v>
      </c>
      <c r="Y493" s="306" t="s">
        <v>4090</v>
      </c>
      <c r="Z493" s="306" t="s">
        <v>2456</v>
      </c>
      <c r="AA493" s="306" t="s">
        <v>1013</v>
      </c>
    </row>
    <row r="494" spans="1:27">
      <c r="A494" s="306" t="s">
        <v>494</v>
      </c>
      <c r="B494" s="306" t="s">
        <v>1003</v>
      </c>
      <c r="C494" s="306" t="s">
        <v>1004</v>
      </c>
      <c r="D494" s="306" t="s">
        <v>2480</v>
      </c>
      <c r="E494" s="306" t="s">
        <v>4094</v>
      </c>
      <c r="F494" s="306" t="s">
        <v>2482</v>
      </c>
      <c r="G494" s="308">
        <v>46022</v>
      </c>
      <c r="H494" s="308">
        <v>46022</v>
      </c>
      <c r="I494" s="309">
        <v>51281285.909999996</v>
      </c>
      <c r="J494" s="306" t="s">
        <v>1008</v>
      </c>
      <c r="K494" s="309">
        <v>51281285.909999996</v>
      </c>
      <c r="L494" s="306" t="s">
        <v>1008</v>
      </c>
      <c r="M494" s="306" t="s">
        <v>4095</v>
      </c>
      <c r="N494" s="306" t="s">
        <v>4096</v>
      </c>
      <c r="O494" s="306" t="s">
        <v>4097</v>
      </c>
      <c r="P494" s="306" t="s">
        <v>4098</v>
      </c>
      <c r="Q494" s="306" t="s">
        <v>1013</v>
      </c>
      <c r="R494" s="306" t="s">
        <v>1013</v>
      </c>
      <c r="S494" s="306" t="s">
        <v>1013</v>
      </c>
      <c r="T494" s="306" t="s">
        <v>1013</v>
      </c>
      <c r="U494" s="306" t="s">
        <v>4090</v>
      </c>
      <c r="V494" s="306" t="s">
        <v>1013</v>
      </c>
      <c r="W494" s="306" t="s">
        <v>1013</v>
      </c>
      <c r="X494" s="306" t="s">
        <v>1013</v>
      </c>
      <c r="Y494" s="306" t="s">
        <v>4090</v>
      </c>
      <c r="Z494" s="306" t="s">
        <v>2456</v>
      </c>
      <c r="AA494" s="306" t="s">
        <v>1013</v>
      </c>
    </row>
    <row r="495" spans="1:27">
      <c r="A495" s="306" t="s">
        <v>494</v>
      </c>
      <c r="B495" s="306" t="s">
        <v>1003</v>
      </c>
      <c r="C495" s="306" t="s">
        <v>1004</v>
      </c>
      <c r="D495" s="306" t="s">
        <v>2480</v>
      </c>
      <c r="E495" s="306" t="s">
        <v>4099</v>
      </c>
      <c r="F495" s="306" t="s">
        <v>2482</v>
      </c>
      <c r="G495" s="308">
        <v>46022</v>
      </c>
      <c r="H495" s="308">
        <v>46022</v>
      </c>
      <c r="I495" s="309">
        <v>58626548.670000002</v>
      </c>
      <c r="J495" s="306" t="s">
        <v>1008</v>
      </c>
      <c r="K495" s="309">
        <v>58626548.670000002</v>
      </c>
      <c r="L495" s="306" t="s">
        <v>1008</v>
      </c>
      <c r="M495" s="306" t="s">
        <v>4095</v>
      </c>
      <c r="N495" s="306" t="s">
        <v>4100</v>
      </c>
      <c r="O495" s="306" t="s">
        <v>4101</v>
      </c>
      <c r="P495" s="306" t="s">
        <v>4102</v>
      </c>
      <c r="Q495" s="306" t="s">
        <v>1013</v>
      </c>
      <c r="R495" s="306" t="s">
        <v>1013</v>
      </c>
      <c r="S495" s="306" t="s">
        <v>1013</v>
      </c>
      <c r="T495" s="306" t="s">
        <v>1013</v>
      </c>
      <c r="U495" s="306" t="s">
        <v>4090</v>
      </c>
      <c r="V495" s="306" t="s">
        <v>1013</v>
      </c>
      <c r="W495" s="306" t="s">
        <v>1013</v>
      </c>
      <c r="X495" s="306" t="s">
        <v>1013</v>
      </c>
      <c r="Y495" s="306" t="s">
        <v>4090</v>
      </c>
      <c r="Z495" s="306" t="s">
        <v>2456</v>
      </c>
      <c r="AA495" s="306" t="s">
        <v>1013</v>
      </c>
    </row>
    <row r="496" spans="1:27">
      <c r="A496" s="306" t="s">
        <v>494</v>
      </c>
      <c r="B496" s="306" t="s">
        <v>1003</v>
      </c>
      <c r="C496" s="306" t="s">
        <v>1004</v>
      </c>
      <c r="D496" s="306" t="s">
        <v>2480</v>
      </c>
      <c r="E496" s="306" t="s">
        <v>4103</v>
      </c>
      <c r="F496" s="306" t="s">
        <v>2482</v>
      </c>
      <c r="G496" s="308">
        <v>46022</v>
      </c>
      <c r="H496" s="308">
        <v>46022</v>
      </c>
      <c r="I496" s="309">
        <v>126000</v>
      </c>
      <c r="J496" s="306" t="s">
        <v>1008</v>
      </c>
      <c r="K496" s="309">
        <v>126000</v>
      </c>
      <c r="L496" s="306" t="s">
        <v>1008</v>
      </c>
      <c r="M496" s="306" t="s">
        <v>4104</v>
      </c>
      <c r="N496" s="306" t="s">
        <v>4105</v>
      </c>
      <c r="O496" s="306" t="s">
        <v>1013</v>
      </c>
      <c r="P496" s="306" t="s">
        <v>696</v>
      </c>
      <c r="Q496" s="306" t="s">
        <v>1013</v>
      </c>
      <c r="R496" s="306" t="s">
        <v>1013</v>
      </c>
      <c r="S496" s="306" t="s">
        <v>1013</v>
      </c>
      <c r="T496" s="306" t="s">
        <v>1013</v>
      </c>
      <c r="U496" s="306" t="s">
        <v>1013</v>
      </c>
      <c r="V496" s="306" t="s">
        <v>1013</v>
      </c>
      <c r="W496" s="306" t="s">
        <v>1013</v>
      </c>
      <c r="X496" s="306" t="s">
        <v>1013</v>
      </c>
      <c r="Y496" s="306" t="s">
        <v>1013</v>
      </c>
      <c r="Z496" s="306" t="s">
        <v>2456</v>
      </c>
      <c r="AA496" s="306" t="s">
        <v>1013</v>
      </c>
    </row>
    <row r="498" spans="11:11">
      <c r="K498" s="310">
        <f>SUM(K2:K496)</f>
        <v>408481008.93000001</v>
      </c>
    </row>
  </sheetData>
  <autoFilter ref="A1:AA1" xr:uid="{00000000-0001-0000-0A00-000000000000}"/>
  <phoneticPr fontId="8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"/>
  <sheetViews>
    <sheetView zoomScale="90" zoomScaleNormal="90" zoomScaleSheetLayoutView="78" workbookViewId="0">
      <selection activeCell="K2" sqref="K2:K7"/>
    </sheetView>
  </sheetViews>
  <sheetFormatPr defaultColWidth="7.875" defaultRowHeight="12.75"/>
  <cols>
    <col min="1" max="1" width="7.875" style="306"/>
    <col min="2" max="2" width="5" style="306" customWidth="1"/>
    <col min="3" max="3" width="8.5" style="306" customWidth="1"/>
    <col min="4" max="5" width="10.375" style="306" customWidth="1"/>
    <col min="6" max="6" width="7.875" style="306"/>
    <col min="7" max="8" width="9.625" style="306" customWidth="1"/>
    <col min="9" max="9" width="12.625" style="306" customWidth="1"/>
    <col min="10" max="10" width="5.125" style="306" customWidth="1"/>
    <col min="11" max="11" width="13.375" style="306" customWidth="1"/>
    <col min="12" max="12" width="7.875" style="306"/>
    <col min="13" max="14" width="38.375" style="306" customWidth="1"/>
    <col min="15" max="16" width="7.875" style="306"/>
    <col min="17" max="17" width="4.75" style="306" customWidth="1"/>
    <col min="18" max="18" width="6.375" style="306" customWidth="1"/>
    <col min="19" max="19" width="7.875" style="306"/>
    <col min="20" max="20" width="9.125" style="306" customWidth="1"/>
    <col min="21" max="21" width="7.625" style="306" customWidth="1"/>
    <col min="22" max="23" width="7.875" style="306"/>
    <col min="24" max="24" width="9.375" style="306" customWidth="1"/>
    <col min="25" max="25" width="7.625" style="306" customWidth="1"/>
    <col min="26" max="26" width="9.875" style="306" customWidth="1"/>
    <col min="27" max="27" width="11.5" style="306" customWidth="1"/>
    <col min="28" max="16384" width="7.875" style="306"/>
  </cols>
  <sheetData>
    <row r="1" spans="1:27">
      <c r="A1" s="307" t="s">
        <v>976</v>
      </c>
      <c r="B1" s="307" t="s">
        <v>977</v>
      </c>
      <c r="C1" s="307" t="s">
        <v>978</v>
      </c>
      <c r="D1" s="307" t="s">
        <v>979</v>
      </c>
      <c r="E1" s="307" t="s">
        <v>980</v>
      </c>
      <c r="F1" s="307" t="s">
        <v>981</v>
      </c>
      <c r="G1" s="307" t="s">
        <v>982</v>
      </c>
      <c r="H1" s="307" t="s">
        <v>983</v>
      </c>
      <c r="I1" s="307" t="s">
        <v>984</v>
      </c>
      <c r="J1" s="307" t="s">
        <v>985</v>
      </c>
      <c r="K1" s="307" t="s">
        <v>986</v>
      </c>
      <c r="L1" s="307" t="s">
        <v>987</v>
      </c>
      <c r="M1" s="307" t="s">
        <v>988</v>
      </c>
      <c r="N1" s="307" t="s">
        <v>989</v>
      </c>
      <c r="O1" s="307" t="s">
        <v>990</v>
      </c>
      <c r="P1" s="307" t="s">
        <v>991</v>
      </c>
      <c r="Q1" s="307" t="s">
        <v>992</v>
      </c>
      <c r="R1" s="307" t="s">
        <v>993</v>
      </c>
      <c r="S1" s="307" t="s">
        <v>994</v>
      </c>
      <c r="T1" s="307" t="s">
        <v>995</v>
      </c>
      <c r="U1" s="307" t="s">
        <v>996</v>
      </c>
      <c r="V1" s="307" t="s">
        <v>997</v>
      </c>
      <c r="W1" s="307" t="s">
        <v>998</v>
      </c>
      <c r="X1" s="307" t="s">
        <v>999</v>
      </c>
      <c r="Y1" s="307" t="s">
        <v>1000</v>
      </c>
      <c r="Z1" s="307" t="s">
        <v>1001</v>
      </c>
      <c r="AA1" s="307" t="s">
        <v>1002</v>
      </c>
    </row>
    <row r="2" spans="1:27">
      <c r="A2" s="306" t="s">
        <v>494</v>
      </c>
      <c r="B2" s="306" t="s">
        <v>1003</v>
      </c>
      <c r="C2" s="306" t="s">
        <v>1004</v>
      </c>
      <c r="D2" s="306" t="s">
        <v>4106</v>
      </c>
      <c r="E2" s="306" t="s">
        <v>4107</v>
      </c>
      <c r="F2" s="306" t="s">
        <v>1007</v>
      </c>
      <c r="G2" s="308">
        <v>46017</v>
      </c>
      <c r="H2" s="308">
        <v>46022</v>
      </c>
      <c r="I2" s="309">
        <v>11737.8</v>
      </c>
      <c r="J2" s="306" t="s">
        <v>1008</v>
      </c>
      <c r="K2" s="309">
        <v>11737.8</v>
      </c>
      <c r="L2" s="306" t="s">
        <v>1008</v>
      </c>
      <c r="M2" s="306" t="s">
        <v>4108</v>
      </c>
      <c r="N2" s="306" t="s">
        <v>4108</v>
      </c>
      <c r="O2" s="306" t="s">
        <v>1013</v>
      </c>
      <c r="P2" s="306" t="s">
        <v>1013</v>
      </c>
      <c r="Q2" s="306" t="s">
        <v>1013</v>
      </c>
      <c r="R2" s="306" t="s">
        <v>1013</v>
      </c>
      <c r="S2" s="306" t="s">
        <v>1013</v>
      </c>
      <c r="T2" s="306" t="s">
        <v>1013</v>
      </c>
      <c r="U2" s="306" t="s">
        <v>4109</v>
      </c>
      <c r="V2" s="306" t="s">
        <v>1013</v>
      </c>
      <c r="W2" s="306" t="s">
        <v>1013</v>
      </c>
      <c r="X2" s="306" t="s">
        <v>1013</v>
      </c>
      <c r="Y2" s="306" t="s">
        <v>4109</v>
      </c>
      <c r="Z2" s="306" t="s">
        <v>2687</v>
      </c>
      <c r="AA2" s="306" t="s">
        <v>1013</v>
      </c>
    </row>
    <row r="3" spans="1:27">
      <c r="A3" s="306" t="s">
        <v>494</v>
      </c>
      <c r="B3" s="306" t="s">
        <v>1003</v>
      </c>
      <c r="C3" s="306" t="s">
        <v>1004</v>
      </c>
      <c r="D3" s="306" t="s">
        <v>4106</v>
      </c>
      <c r="E3" s="306" t="s">
        <v>4110</v>
      </c>
      <c r="F3" s="306" t="s">
        <v>1007</v>
      </c>
      <c r="G3" s="308">
        <v>46020</v>
      </c>
      <c r="H3" s="308">
        <v>46022</v>
      </c>
      <c r="I3" s="309">
        <v>11427.71</v>
      </c>
      <c r="J3" s="306" t="s">
        <v>1008</v>
      </c>
      <c r="K3" s="309">
        <v>11427.71</v>
      </c>
      <c r="L3" s="306" t="s">
        <v>1008</v>
      </c>
      <c r="M3" s="306" t="s">
        <v>4111</v>
      </c>
      <c r="N3" s="306" t="s">
        <v>4111</v>
      </c>
      <c r="O3" s="306" t="s">
        <v>1013</v>
      </c>
      <c r="P3" s="306" t="s">
        <v>1013</v>
      </c>
      <c r="Q3" s="306" t="s">
        <v>1013</v>
      </c>
      <c r="R3" s="306" t="s">
        <v>1013</v>
      </c>
      <c r="S3" s="306" t="s">
        <v>1013</v>
      </c>
      <c r="T3" s="306" t="s">
        <v>1013</v>
      </c>
      <c r="U3" s="306" t="s">
        <v>4109</v>
      </c>
      <c r="V3" s="306" t="s">
        <v>1013</v>
      </c>
      <c r="W3" s="306" t="s">
        <v>1013</v>
      </c>
      <c r="X3" s="306" t="s">
        <v>1013</v>
      </c>
      <c r="Y3" s="306" t="s">
        <v>4109</v>
      </c>
      <c r="Z3" s="306" t="s">
        <v>2687</v>
      </c>
      <c r="AA3" s="306" t="s">
        <v>1013</v>
      </c>
    </row>
    <row r="4" spans="1:27">
      <c r="A4" s="306" t="s">
        <v>494</v>
      </c>
      <c r="B4" s="306" t="s">
        <v>1003</v>
      </c>
      <c r="C4" s="306" t="s">
        <v>1004</v>
      </c>
      <c r="D4" s="306">
        <v>2221050000</v>
      </c>
      <c r="E4" s="306" t="s">
        <v>4112</v>
      </c>
      <c r="F4" s="306" t="s">
        <v>1007</v>
      </c>
      <c r="G4" s="308">
        <v>46006</v>
      </c>
      <c r="H4" s="308">
        <v>46022</v>
      </c>
      <c r="I4" s="309">
        <v>6183.87</v>
      </c>
      <c r="J4" s="306" t="s">
        <v>1008</v>
      </c>
      <c r="K4" s="309">
        <v>6183.87</v>
      </c>
      <c r="L4" s="306" t="s">
        <v>1008</v>
      </c>
      <c r="M4" s="306" t="s">
        <v>4113</v>
      </c>
      <c r="N4" s="306" t="s">
        <v>4113</v>
      </c>
      <c r="O4" s="306" t="s">
        <v>1013</v>
      </c>
      <c r="P4" s="306" t="s">
        <v>1013</v>
      </c>
      <c r="Q4" s="306" t="s">
        <v>1013</v>
      </c>
      <c r="R4" s="306" t="s">
        <v>1013</v>
      </c>
      <c r="S4" s="306" t="s">
        <v>1013</v>
      </c>
      <c r="T4" s="306" t="s">
        <v>1013</v>
      </c>
      <c r="U4" s="306" t="s">
        <v>4109</v>
      </c>
      <c r="V4" s="306" t="s">
        <v>1013</v>
      </c>
      <c r="W4" s="306" t="s">
        <v>1013</v>
      </c>
      <c r="X4" s="306" t="s">
        <v>1013</v>
      </c>
      <c r="Y4" s="306" t="s">
        <v>4109</v>
      </c>
      <c r="Z4" s="306" t="s">
        <v>2687</v>
      </c>
      <c r="AA4" s="306" t="s">
        <v>1013</v>
      </c>
    </row>
    <row r="5" spans="1:27">
      <c r="A5" s="306" t="s">
        <v>494</v>
      </c>
      <c r="B5" s="306" t="s">
        <v>1003</v>
      </c>
      <c r="C5" s="306" t="s">
        <v>1004</v>
      </c>
      <c r="D5" s="306" t="s">
        <v>4106</v>
      </c>
      <c r="E5" s="306" t="s">
        <v>4114</v>
      </c>
      <c r="F5" s="306" t="s">
        <v>1007</v>
      </c>
      <c r="G5" s="308">
        <v>46009</v>
      </c>
      <c r="H5" s="308">
        <v>46022</v>
      </c>
      <c r="I5" s="309">
        <v>19604.009999999998</v>
      </c>
      <c r="J5" s="306" t="s">
        <v>1008</v>
      </c>
      <c r="K5" s="309">
        <v>19604.009999999998</v>
      </c>
      <c r="L5" s="306" t="s">
        <v>1008</v>
      </c>
      <c r="M5" s="306" t="s">
        <v>4115</v>
      </c>
      <c r="N5" s="306" t="s">
        <v>4115</v>
      </c>
      <c r="O5" s="306" t="s">
        <v>1013</v>
      </c>
      <c r="P5" s="306" t="s">
        <v>1013</v>
      </c>
      <c r="Q5" s="306" t="s">
        <v>1013</v>
      </c>
      <c r="R5" s="306" t="s">
        <v>1013</v>
      </c>
      <c r="S5" s="306" t="s">
        <v>1013</v>
      </c>
      <c r="T5" s="306" t="s">
        <v>1013</v>
      </c>
      <c r="U5" s="306" t="s">
        <v>4109</v>
      </c>
      <c r="V5" s="306" t="s">
        <v>1013</v>
      </c>
      <c r="W5" s="306" t="s">
        <v>1013</v>
      </c>
      <c r="X5" s="306" t="s">
        <v>1013</v>
      </c>
      <c r="Y5" s="306" t="s">
        <v>4109</v>
      </c>
      <c r="Z5" s="306" t="s">
        <v>2687</v>
      </c>
      <c r="AA5" s="306" t="s">
        <v>1013</v>
      </c>
    </row>
    <row r="6" spans="1:27">
      <c r="A6" s="306" t="s">
        <v>494</v>
      </c>
      <c r="B6" s="306" t="s">
        <v>1003</v>
      </c>
      <c r="C6" s="306" t="s">
        <v>1004</v>
      </c>
      <c r="D6" s="306" t="s">
        <v>4106</v>
      </c>
      <c r="E6" s="306" t="s">
        <v>4116</v>
      </c>
      <c r="F6" s="306" t="s">
        <v>1007</v>
      </c>
      <c r="G6" s="308">
        <v>46016</v>
      </c>
      <c r="H6" s="308">
        <v>46022</v>
      </c>
      <c r="I6" s="309">
        <v>261732.81</v>
      </c>
      <c r="J6" s="306" t="s">
        <v>1008</v>
      </c>
      <c r="K6" s="309">
        <v>261732.81</v>
      </c>
      <c r="L6" s="306" t="s">
        <v>1008</v>
      </c>
      <c r="M6" s="306" t="s">
        <v>4117</v>
      </c>
      <c r="N6" s="306" t="s">
        <v>4117</v>
      </c>
      <c r="O6" s="306" t="s">
        <v>1013</v>
      </c>
      <c r="P6" s="306" t="s">
        <v>1013</v>
      </c>
      <c r="Q6" s="306" t="s">
        <v>1013</v>
      </c>
      <c r="R6" s="306" t="s">
        <v>1013</v>
      </c>
      <c r="S6" s="306" t="s">
        <v>1013</v>
      </c>
      <c r="T6" s="306" t="s">
        <v>1013</v>
      </c>
      <c r="U6" s="306" t="s">
        <v>4109</v>
      </c>
      <c r="V6" s="306" t="s">
        <v>1013</v>
      </c>
      <c r="W6" s="306" t="s">
        <v>1013</v>
      </c>
      <c r="X6" s="306" t="s">
        <v>1013</v>
      </c>
      <c r="Y6" s="306" t="s">
        <v>4109</v>
      </c>
      <c r="Z6" s="306" t="s">
        <v>2687</v>
      </c>
      <c r="AA6" s="306" t="s">
        <v>1013</v>
      </c>
    </row>
    <row r="7" spans="1:27">
      <c r="A7" s="306" t="s">
        <v>494</v>
      </c>
      <c r="B7" s="306" t="s">
        <v>1003</v>
      </c>
      <c r="C7" s="306" t="s">
        <v>1004</v>
      </c>
      <c r="D7" s="306" t="s">
        <v>4106</v>
      </c>
      <c r="E7" s="306" t="s">
        <v>4118</v>
      </c>
      <c r="F7" s="306" t="s">
        <v>1007</v>
      </c>
      <c r="G7" s="308">
        <v>46022</v>
      </c>
      <c r="H7" s="308">
        <v>46022</v>
      </c>
      <c r="I7" s="309">
        <v>-76809901.840000004</v>
      </c>
      <c r="J7" s="306" t="s">
        <v>1008</v>
      </c>
      <c r="K7" s="309">
        <v>-76809901.840000004</v>
      </c>
      <c r="L7" s="306" t="s">
        <v>1008</v>
      </c>
      <c r="M7" s="306" t="s">
        <v>4119</v>
      </c>
      <c r="N7" s="306" t="s">
        <v>4119</v>
      </c>
      <c r="O7" s="306" t="s">
        <v>1013</v>
      </c>
      <c r="P7" s="306" t="s">
        <v>1013</v>
      </c>
      <c r="Q7" s="306" t="s">
        <v>1013</v>
      </c>
      <c r="R7" s="306" t="s">
        <v>1013</v>
      </c>
      <c r="S7" s="306" t="s">
        <v>1013</v>
      </c>
      <c r="T7" s="306" t="s">
        <v>1013</v>
      </c>
      <c r="U7" s="306" t="s">
        <v>1013</v>
      </c>
      <c r="V7" s="306" t="s">
        <v>1013</v>
      </c>
      <c r="W7" s="306" t="s">
        <v>1013</v>
      </c>
      <c r="X7" s="306" t="s">
        <v>1013</v>
      </c>
      <c r="Y7" s="306" t="s">
        <v>1013</v>
      </c>
      <c r="Z7" s="306" t="s">
        <v>2428</v>
      </c>
      <c r="AA7" s="306" t="s">
        <v>1013</v>
      </c>
    </row>
  </sheetData>
  <phoneticPr fontId="85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B3:L37"/>
  <sheetViews>
    <sheetView topLeftCell="A13" zoomScale="70" zoomScaleNormal="70" workbookViewId="0">
      <selection activeCell="E38" sqref="E38"/>
    </sheetView>
  </sheetViews>
  <sheetFormatPr defaultColWidth="9" defaultRowHeight="14.25"/>
  <cols>
    <col min="1" max="2" width="9" style="42"/>
    <col min="3" max="3" width="18.375" style="42" customWidth="1"/>
    <col min="4" max="4" width="18.875" style="42" customWidth="1"/>
    <col min="5" max="5" width="9" style="42"/>
    <col min="6" max="6" width="12.875" style="42" customWidth="1"/>
    <col min="7" max="7" width="9" style="42"/>
    <col min="8" max="8" width="16.625" style="297" customWidth="1"/>
    <col min="9" max="9" width="15.125" style="297" customWidth="1"/>
    <col min="10" max="10" width="15.625" style="297" customWidth="1"/>
    <col min="11" max="12" width="30.375" style="42" customWidth="1"/>
    <col min="13" max="16384" width="9" style="42"/>
  </cols>
  <sheetData>
    <row r="3" spans="3:12">
      <c r="C3" s="731" t="s">
        <v>4120</v>
      </c>
      <c r="D3" s="731"/>
      <c r="E3" s="731"/>
      <c r="F3" s="731"/>
    </row>
    <row r="4" spans="3:12">
      <c r="C4" s="298" t="s">
        <v>4121</v>
      </c>
      <c r="D4" s="298" t="s">
        <v>4122</v>
      </c>
      <c r="E4" s="298" t="s">
        <v>65</v>
      </c>
      <c r="F4" s="299" t="s">
        <v>4123</v>
      </c>
    </row>
    <row r="5" spans="3:12">
      <c r="C5" s="298" t="s">
        <v>4124</v>
      </c>
      <c r="D5" s="299">
        <v>-6649253.4977358496</v>
      </c>
      <c r="E5" s="300">
        <v>2.9999999999999997E-4</v>
      </c>
      <c r="F5" s="299">
        <v>-1994.78</v>
      </c>
    </row>
    <row r="6" spans="3:12">
      <c r="C6" s="298" t="s">
        <v>4125</v>
      </c>
      <c r="D6" s="299"/>
      <c r="E6" s="300">
        <v>2.9999999999999997E-4</v>
      </c>
      <c r="F6" s="299">
        <v>0</v>
      </c>
    </row>
    <row r="7" spans="3:12">
      <c r="C7" s="298" t="s">
        <v>4126</v>
      </c>
      <c r="D7" s="299">
        <v>461162.19</v>
      </c>
      <c r="E7" s="300">
        <v>1E-3</v>
      </c>
      <c r="F7" s="299">
        <v>461.16</v>
      </c>
    </row>
    <row r="8" spans="3:12">
      <c r="C8" s="298" t="s">
        <v>4127</v>
      </c>
      <c r="D8" s="299"/>
      <c r="E8" s="300">
        <v>1E-3</v>
      </c>
      <c r="F8" s="299">
        <v>0</v>
      </c>
    </row>
    <row r="9" spans="3:12">
      <c r="C9" s="298" t="s">
        <v>4128</v>
      </c>
      <c r="D9" s="299">
        <v>590070255.53699994</v>
      </c>
      <c r="E9" s="300">
        <v>2.9999999999999997E-4</v>
      </c>
      <c r="F9" s="299">
        <v>177021.08</v>
      </c>
    </row>
    <row r="10" spans="3:12">
      <c r="C10" s="298" t="s">
        <v>4129</v>
      </c>
      <c r="D10" s="299"/>
      <c r="E10" s="300">
        <v>2.9999999999999997E-4</v>
      </c>
      <c r="F10" s="299">
        <v>0</v>
      </c>
    </row>
    <row r="11" spans="3:12">
      <c r="C11" s="298" t="s">
        <v>4130</v>
      </c>
      <c r="D11" s="299">
        <v>3872941123.0900002</v>
      </c>
      <c r="E11" s="300">
        <v>2.9999999999999997E-4</v>
      </c>
      <c r="F11" s="299">
        <v>1161882.3400000001</v>
      </c>
    </row>
    <row r="12" spans="3:12">
      <c r="C12" s="298" t="s">
        <v>4131</v>
      </c>
      <c r="D12" s="299"/>
      <c r="E12" s="300">
        <v>1E-3</v>
      </c>
      <c r="F12" s="299">
        <v>0</v>
      </c>
      <c r="J12" s="42" t="s">
        <v>4132</v>
      </c>
      <c r="K12" s="42" t="s">
        <v>4133</v>
      </c>
      <c r="L12" s="42" t="s">
        <v>4134</v>
      </c>
    </row>
    <row r="13" spans="3:12">
      <c r="C13" s="298" t="s">
        <v>4135</v>
      </c>
      <c r="D13" s="299">
        <v>400540.81</v>
      </c>
      <c r="E13" s="300">
        <v>2.9999999999999997E-4</v>
      </c>
      <c r="F13" s="299">
        <v>120.16</v>
      </c>
      <c r="J13" s="301" t="s">
        <v>4136</v>
      </c>
    </row>
    <row r="14" spans="3:12">
      <c r="C14" s="298" t="s">
        <v>33</v>
      </c>
      <c r="D14" s="299">
        <v>4457223828.1292601</v>
      </c>
      <c r="E14" s="298"/>
      <c r="F14" s="299">
        <v>1337489.96</v>
      </c>
      <c r="J14" s="301" t="s">
        <v>4137</v>
      </c>
    </row>
    <row r="15" spans="3:12">
      <c r="F15" s="297"/>
      <c r="J15" s="301" t="s">
        <v>4138</v>
      </c>
    </row>
    <row r="16" spans="3:12">
      <c r="F16" s="297"/>
      <c r="J16" s="301" t="s">
        <v>4139</v>
      </c>
      <c r="K16" s="43"/>
      <c r="L16" s="43"/>
    </row>
    <row r="17" spans="2:12">
      <c r="F17" s="297"/>
      <c r="J17" s="301" t="s">
        <v>4131</v>
      </c>
      <c r="K17" s="43"/>
      <c r="L17" s="43"/>
    </row>
    <row r="18" spans="2:12">
      <c r="C18" s="732" t="s">
        <v>4140</v>
      </c>
      <c r="D18" s="732"/>
      <c r="E18" s="732"/>
      <c r="F18" s="732"/>
      <c r="J18" s="301" t="s">
        <v>4135</v>
      </c>
      <c r="K18" s="43">
        <v>400540.81</v>
      </c>
      <c r="L18" s="43">
        <v>120.16</v>
      </c>
    </row>
    <row r="19" spans="2:12">
      <c r="C19" s="298" t="s">
        <v>4121</v>
      </c>
      <c r="D19" s="298" t="s">
        <v>4122</v>
      </c>
      <c r="E19" s="298" t="s">
        <v>65</v>
      </c>
      <c r="F19" s="302" t="s">
        <v>4123</v>
      </c>
      <c r="H19" s="303">
        <v>202511</v>
      </c>
      <c r="I19" s="303">
        <v>202510</v>
      </c>
      <c r="J19" s="301" t="s">
        <v>4141</v>
      </c>
      <c r="K19" s="43"/>
      <c r="L19" s="43"/>
    </row>
    <row r="20" spans="2:12">
      <c r="C20" s="298" t="s">
        <v>4130</v>
      </c>
      <c r="D20" s="304">
        <v>4632631431.1643696</v>
      </c>
      <c r="E20" s="300">
        <v>2.9999999999999997E-4</v>
      </c>
      <c r="F20" s="302">
        <v>1389789.43</v>
      </c>
      <c r="H20" s="297">
        <v>1636122166.6199999</v>
      </c>
      <c r="I20" s="297">
        <v>50555057.539999999</v>
      </c>
      <c r="J20" s="301" t="s">
        <v>4142</v>
      </c>
      <c r="K20" s="43"/>
      <c r="L20" s="43"/>
    </row>
    <row r="21" spans="2:12">
      <c r="C21" s="298" t="s">
        <v>4128</v>
      </c>
      <c r="D21" s="304">
        <v>969150103.38</v>
      </c>
      <c r="E21" s="300">
        <v>2.9999999999999997E-4</v>
      </c>
      <c r="F21" s="302">
        <v>290745.03000000003</v>
      </c>
      <c r="H21" s="297">
        <v>125907666.86</v>
      </c>
      <c r="I21" s="297">
        <v>53264485.479999997</v>
      </c>
      <c r="J21" s="301" t="s">
        <v>4143</v>
      </c>
      <c r="K21" s="43"/>
      <c r="L21" s="43"/>
    </row>
    <row r="22" spans="2:12">
      <c r="C22" s="298" t="s">
        <v>4129</v>
      </c>
      <c r="D22" s="304">
        <v>169354129.27620301</v>
      </c>
      <c r="E22" s="300">
        <v>2.9999999999999997E-4</v>
      </c>
      <c r="F22" s="302">
        <v>50806.239999999998</v>
      </c>
      <c r="H22" s="297">
        <v>-22711643.440000001</v>
      </c>
      <c r="I22" s="297">
        <v>13275081.42</v>
      </c>
      <c r="J22" s="301" t="s">
        <v>4144</v>
      </c>
      <c r="K22" s="43"/>
      <c r="L22" s="43"/>
    </row>
    <row r="23" spans="2:12">
      <c r="C23" s="298" t="s">
        <v>33</v>
      </c>
      <c r="D23" s="304">
        <v>5771135663.82057</v>
      </c>
      <c r="E23" s="298"/>
      <c r="F23" s="302">
        <v>1731340.7</v>
      </c>
      <c r="H23" s="297">
        <v>1739318190.04</v>
      </c>
      <c r="I23" s="297">
        <v>117094624.44</v>
      </c>
      <c r="J23" s="301" t="s">
        <v>4145</v>
      </c>
      <c r="K23" s="43">
        <v>590070255.53699994</v>
      </c>
      <c r="L23" s="43">
        <v>177021.15</v>
      </c>
    </row>
    <row r="24" spans="2:12">
      <c r="D24" s="227"/>
      <c r="H24" s="297">
        <v>1739318190.04</v>
      </c>
      <c r="I24" s="297">
        <v>117094624.44</v>
      </c>
      <c r="J24" s="301" t="s">
        <v>4146</v>
      </c>
      <c r="K24" s="43"/>
      <c r="L24" s="43"/>
    </row>
    <row r="25" spans="2:12">
      <c r="J25" s="301" t="s">
        <v>4124</v>
      </c>
      <c r="K25" s="43">
        <v>-6649253.4977358496</v>
      </c>
      <c r="L25" s="43">
        <v>-1994.8</v>
      </c>
    </row>
    <row r="26" spans="2:12">
      <c r="B26" s="305" t="s">
        <v>733</v>
      </c>
      <c r="C26" s="298" t="s">
        <v>4121</v>
      </c>
      <c r="D26" s="298" t="s">
        <v>4122</v>
      </c>
      <c r="E26" s="298" t="s">
        <v>65</v>
      </c>
      <c r="F26" s="299" t="s">
        <v>4123</v>
      </c>
      <c r="J26" s="301" t="s">
        <v>4130</v>
      </c>
      <c r="K26" s="43">
        <v>3872941123.0900002</v>
      </c>
      <c r="L26" s="43">
        <v>1161882.3899999999</v>
      </c>
    </row>
    <row r="27" spans="2:12">
      <c r="C27" s="298" t="s">
        <v>4126</v>
      </c>
      <c r="D27" s="299">
        <v>461162.19</v>
      </c>
      <c r="E27" s="300">
        <v>1E-3</v>
      </c>
      <c r="F27" s="299">
        <v>461.16</v>
      </c>
      <c r="J27" s="301" t="s">
        <v>4147</v>
      </c>
      <c r="K27" s="43"/>
      <c r="L27" s="43"/>
    </row>
    <row r="28" spans="2:12">
      <c r="C28" s="298" t="s">
        <v>4127</v>
      </c>
      <c r="D28" s="299">
        <v>0</v>
      </c>
      <c r="E28" s="300">
        <v>1E-3</v>
      </c>
      <c r="F28" s="299">
        <v>0</v>
      </c>
      <c r="J28" s="301" t="s">
        <v>4148</v>
      </c>
      <c r="K28" s="43"/>
      <c r="L28" s="43"/>
    </row>
    <row r="29" spans="2:12">
      <c r="C29" s="298" t="s">
        <v>4128</v>
      </c>
      <c r="D29" s="299">
        <v>1559220358.9170001</v>
      </c>
      <c r="E29" s="300">
        <v>2.9999999999999997E-4</v>
      </c>
      <c r="F29" s="299">
        <v>467766.11</v>
      </c>
      <c r="J29" s="301" t="s">
        <v>4125</v>
      </c>
      <c r="K29" s="43"/>
      <c r="L29" s="43"/>
    </row>
    <row r="30" spans="2:12">
      <c r="C30" s="298" t="s">
        <v>4129</v>
      </c>
      <c r="D30" s="299">
        <v>162704875.778467</v>
      </c>
      <c r="E30" s="300">
        <v>2.9999999999999997E-4</v>
      </c>
      <c r="F30" s="299">
        <v>48811.46</v>
      </c>
      <c r="J30" s="301" t="s">
        <v>4149</v>
      </c>
      <c r="K30" s="43"/>
      <c r="L30" s="43"/>
    </row>
    <row r="31" spans="2:12">
      <c r="C31" s="298" t="s">
        <v>4130</v>
      </c>
      <c r="D31" s="299">
        <v>8505572554.2543697</v>
      </c>
      <c r="E31" s="300">
        <v>2.9999999999999997E-4</v>
      </c>
      <c r="F31" s="299">
        <v>2551671.77</v>
      </c>
      <c r="J31" s="301" t="s">
        <v>4150</v>
      </c>
      <c r="K31" s="43"/>
      <c r="L31" s="43"/>
    </row>
    <row r="32" spans="2:12">
      <c r="C32" s="298" t="s">
        <v>4131</v>
      </c>
      <c r="D32" s="299">
        <v>0</v>
      </c>
      <c r="E32" s="300">
        <v>1E-3</v>
      </c>
      <c r="F32" s="299">
        <v>0</v>
      </c>
      <c r="J32" s="301" t="s">
        <v>4151</v>
      </c>
      <c r="K32" s="43"/>
      <c r="L32" s="43"/>
    </row>
    <row r="33" spans="3:12">
      <c r="C33" s="298" t="s">
        <v>4135</v>
      </c>
      <c r="D33" s="299">
        <v>400540.81</v>
      </c>
      <c r="E33" s="300">
        <v>2.9999999999999997E-4</v>
      </c>
      <c r="F33" s="299">
        <v>120.16</v>
      </c>
      <c r="J33" s="301" t="s">
        <v>4152</v>
      </c>
      <c r="K33" s="43"/>
      <c r="L33" s="43"/>
    </row>
    <row r="34" spans="3:12">
      <c r="D34" s="43">
        <v>10228359491.9498</v>
      </c>
      <c r="F34" s="43">
        <v>3068830.66</v>
      </c>
      <c r="J34" s="301" t="s">
        <v>4153</v>
      </c>
      <c r="K34" s="43"/>
      <c r="L34" s="43"/>
    </row>
    <row r="35" spans="3:12">
      <c r="D35" s="297">
        <v>10228359491.9498</v>
      </c>
      <c r="F35" s="297">
        <v>3068830.66</v>
      </c>
      <c r="J35" s="301" t="s">
        <v>4154</v>
      </c>
      <c r="K35" s="43">
        <v>461162.19</v>
      </c>
      <c r="L35" s="43">
        <v>461.21</v>
      </c>
    </row>
    <row r="36" spans="3:12">
      <c r="J36" s="301" t="s">
        <v>4155</v>
      </c>
      <c r="K36" s="43">
        <v>-56603.77</v>
      </c>
      <c r="L36" s="43">
        <v>-16.98</v>
      </c>
    </row>
    <row r="37" spans="3:12">
      <c r="J37" s="301" t="s">
        <v>4156</v>
      </c>
      <c r="K37" s="43">
        <v>4457167224.3592596</v>
      </c>
      <c r="L37" s="43">
        <v>1337473.1299999999</v>
      </c>
    </row>
  </sheetData>
  <mergeCells count="2">
    <mergeCell ref="C3:F3"/>
    <mergeCell ref="C18:F18"/>
  </mergeCells>
  <phoneticPr fontId="8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tabColor theme="7" tint="0.39997558519241921"/>
  </sheetPr>
  <dimension ref="A1:M52"/>
  <sheetViews>
    <sheetView tabSelected="1" view="pageLayout" zoomScale="55" zoomScaleNormal="100" zoomScalePageLayoutView="55" workbookViewId="0">
      <selection activeCell="Q29" sqref="Q29"/>
    </sheetView>
  </sheetViews>
  <sheetFormatPr defaultColWidth="9" defaultRowHeight="14.25"/>
  <cols>
    <col min="1" max="1" width="3.75" style="140" customWidth="1"/>
    <col min="2" max="2" width="20.625" style="140" customWidth="1"/>
    <col min="3" max="3" width="32" customWidth="1"/>
    <col min="4" max="4" width="23.375" customWidth="1"/>
    <col min="5" max="5" width="18.75" customWidth="1"/>
    <col min="6" max="6" width="14.75" style="140" customWidth="1"/>
    <col min="7" max="7" width="15.375" customWidth="1"/>
    <col min="8" max="8" width="19.375" style="141" customWidth="1"/>
    <col min="9" max="11" width="22.875" style="141" customWidth="1"/>
    <col min="12" max="12" width="57.25" customWidth="1"/>
    <col min="13" max="13" width="12.375" style="142" customWidth="1"/>
  </cols>
  <sheetData>
    <row r="1" spans="1:13" ht="60" customHeight="1">
      <c r="A1" s="733" t="s">
        <v>4157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</row>
    <row r="2" spans="1:13" s="42" customFormat="1" ht="26.25" customHeight="1">
      <c r="A2" s="143"/>
      <c r="B2" s="144"/>
      <c r="C2" s="144"/>
      <c r="D2" s="144"/>
      <c r="E2" s="144"/>
      <c r="F2" s="144"/>
      <c r="G2" s="144"/>
      <c r="H2" s="735">
        <v>45992</v>
      </c>
      <c r="I2" s="736"/>
      <c r="J2" s="736"/>
      <c r="K2" s="736"/>
      <c r="L2" s="736"/>
      <c r="M2" s="737"/>
    </row>
    <row r="3" spans="1:13" s="42" customFormat="1" ht="31.5" customHeight="1">
      <c r="A3" s="145" t="s">
        <v>4158</v>
      </c>
      <c r="B3" s="146" t="s">
        <v>4159</v>
      </c>
      <c r="C3" s="146" t="s">
        <v>4160</v>
      </c>
      <c r="D3" s="147" t="s">
        <v>4161</v>
      </c>
      <c r="E3" s="148" t="s">
        <v>4162</v>
      </c>
      <c r="F3" s="146" t="s">
        <v>4163</v>
      </c>
      <c r="G3" s="146" t="s">
        <v>4164</v>
      </c>
      <c r="H3" s="146" t="s">
        <v>4165</v>
      </c>
      <c r="I3" s="149" t="s">
        <v>4166</v>
      </c>
      <c r="J3" s="149" t="s">
        <v>4167</v>
      </c>
      <c r="K3" s="149" t="s">
        <v>4168</v>
      </c>
      <c r="L3" s="150" t="s">
        <v>4169</v>
      </c>
      <c r="M3" s="151" t="s">
        <v>4170</v>
      </c>
    </row>
    <row r="4" spans="1:13" s="42" customFormat="1">
      <c r="A4" s="740"/>
      <c r="B4" s="750" t="s">
        <v>4171</v>
      </c>
      <c r="C4" s="152" t="s">
        <v>4130</v>
      </c>
      <c r="D4" s="153" t="s">
        <v>4172</v>
      </c>
      <c r="E4" s="154">
        <f>印花税明细!D31</f>
        <v>8505572554.2543697</v>
      </c>
      <c r="F4" s="155">
        <v>1</v>
      </c>
      <c r="G4" s="156">
        <v>2.9999999999999997E-4</v>
      </c>
      <c r="H4" s="157">
        <f t="shared" ref="H4:H18" si="0">ROUND(E4*F4*G4,2)</f>
        <v>2551671.77</v>
      </c>
      <c r="I4" s="154"/>
      <c r="J4" s="154"/>
      <c r="K4" s="154"/>
      <c r="L4" s="158"/>
      <c r="M4" s="159" t="s">
        <v>4173</v>
      </c>
    </row>
    <row r="5" spans="1:13" s="42" customFormat="1">
      <c r="A5" s="740"/>
      <c r="B5" s="751"/>
      <c r="C5" s="160" t="s">
        <v>4174</v>
      </c>
      <c r="D5" s="760" t="s">
        <v>4175</v>
      </c>
      <c r="E5" s="154">
        <f t="shared" ref="E5:E18" si="1">I5</f>
        <v>0</v>
      </c>
      <c r="F5" s="155">
        <v>1</v>
      </c>
      <c r="G5" s="161">
        <v>5.0000000000000002E-5</v>
      </c>
      <c r="H5" s="157">
        <f t="shared" si="0"/>
        <v>0</v>
      </c>
      <c r="I5" s="154"/>
      <c r="J5" s="162"/>
      <c r="K5" s="162"/>
      <c r="L5" s="158"/>
      <c r="M5" s="159" t="s">
        <v>4176</v>
      </c>
    </row>
    <row r="6" spans="1:13" s="42" customFormat="1">
      <c r="A6" s="740"/>
      <c r="B6" s="751"/>
      <c r="C6" s="160" t="s">
        <v>4177</v>
      </c>
      <c r="D6" s="761"/>
      <c r="E6" s="154">
        <f t="shared" si="1"/>
        <v>0</v>
      </c>
      <c r="F6" s="155">
        <v>1</v>
      </c>
      <c r="G6" s="161">
        <v>5.0000000000000002E-5</v>
      </c>
      <c r="H6" s="157">
        <f t="shared" si="0"/>
        <v>0</v>
      </c>
      <c r="I6" s="154"/>
      <c r="J6" s="162"/>
      <c r="K6" s="162"/>
      <c r="L6" s="158"/>
      <c r="M6" s="159" t="s">
        <v>4176</v>
      </c>
    </row>
    <row r="7" spans="1:13" s="42" customFormat="1">
      <c r="A7" s="740"/>
      <c r="B7" s="751"/>
      <c r="C7" s="160" t="s">
        <v>4178</v>
      </c>
      <c r="D7" s="761"/>
      <c r="E7" s="154">
        <f>印花税明细!D33</f>
        <v>400540.81</v>
      </c>
      <c r="F7" s="155">
        <v>1</v>
      </c>
      <c r="G7" s="161">
        <v>2.9999999999999997E-4</v>
      </c>
      <c r="H7" s="157">
        <f t="shared" si="0"/>
        <v>120.16</v>
      </c>
      <c r="I7" s="154">
        <v>0</v>
      </c>
      <c r="J7" s="162"/>
      <c r="K7" s="162"/>
      <c r="L7" s="158"/>
      <c r="M7" s="159" t="s">
        <v>4176</v>
      </c>
    </row>
    <row r="8" spans="1:13" s="42" customFormat="1">
      <c r="A8" s="740"/>
      <c r="B8" s="751"/>
      <c r="C8" s="160" t="s">
        <v>4179</v>
      </c>
      <c r="D8" s="761"/>
      <c r="E8" s="154">
        <f>印花税明细!D29</f>
        <v>1559220358.9170001</v>
      </c>
      <c r="F8" s="155">
        <v>1</v>
      </c>
      <c r="G8" s="161">
        <v>2.9999999999999997E-4</v>
      </c>
      <c r="H8" s="157">
        <f t="shared" si="0"/>
        <v>467766.11</v>
      </c>
      <c r="I8" s="154">
        <v>0</v>
      </c>
      <c r="J8" s="162"/>
      <c r="K8" s="162"/>
      <c r="L8" s="158"/>
      <c r="M8" s="159" t="s">
        <v>4176</v>
      </c>
    </row>
    <row r="9" spans="1:13" s="42" customFormat="1">
      <c r="A9" s="740"/>
      <c r="B9" s="751"/>
      <c r="C9" s="160" t="s">
        <v>4180</v>
      </c>
      <c r="D9" s="761"/>
      <c r="E9" s="154">
        <f>印花税明细!D30</f>
        <v>162704875.778467</v>
      </c>
      <c r="F9" s="155">
        <v>1</v>
      </c>
      <c r="G9" s="161">
        <v>2.9999999999999997E-4</v>
      </c>
      <c r="H9" s="157">
        <f t="shared" si="0"/>
        <v>48811.46</v>
      </c>
      <c r="I9" s="154"/>
      <c r="J9" s="162"/>
      <c r="K9" s="162"/>
      <c r="L9" s="158"/>
      <c r="M9" s="159"/>
    </row>
    <row r="10" spans="1:13" s="42" customFormat="1">
      <c r="A10" s="740"/>
      <c r="B10" s="751"/>
      <c r="C10" s="160" t="s">
        <v>4181</v>
      </c>
      <c r="D10" s="761"/>
      <c r="E10" s="154">
        <f t="shared" si="1"/>
        <v>0</v>
      </c>
      <c r="F10" s="155">
        <v>1</v>
      </c>
      <c r="G10" s="161">
        <v>2.9999999999999997E-4</v>
      </c>
      <c r="H10" s="157">
        <f t="shared" si="0"/>
        <v>0</v>
      </c>
      <c r="I10" s="154">
        <v>0</v>
      </c>
      <c r="J10" s="162"/>
      <c r="K10" s="162"/>
      <c r="L10" s="158"/>
      <c r="M10" s="159"/>
    </row>
    <row r="11" spans="1:13" s="42" customFormat="1">
      <c r="A11" s="740"/>
      <c r="B11" s="751"/>
      <c r="C11" s="160" t="s">
        <v>4182</v>
      </c>
      <c r="D11" s="761"/>
      <c r="E11" s="154">
        <f t="shared" si="1"/>
        <v>0</v>
      </c>
      <c r="F11" s="155">
        <v>1</v>
      </c>
      <c r="G11" s="161">
        <v>2.9999999999999997E-4</v>
      </c>
      <c r="H11" s="157">
        <f t="shared" si="0"/>
        <v>0</v>
      </c>
      <c r="I11" s="154"/>
      <c r="J11" s="162"/>
      <c r="K11" s="162"/>
      <c r="L11" s="158"/>
      <c r="M11" s="159" t="s">
        <v>4176</v>
      </c>
    </row>
    <row r="12" spans="1:13" s="42" customFormat="1">
      <c r="A12" s="740"/>
      <c r="B12" s="751"/>
      <c r="C12" s="160" t="s">
        <v>4183</v>
      </c>
      <c r="D12" s="761"/>
      <c r="E12" s="154">
        <f t="shared" si="1"/>
        <v>0</v>
      </c>
      <c r="F12" s="155">
        <v>1</v>
      </c>
      <c r="G12" s="161">
        <v>2.9999999999999997E-4</v>
      </c>
      <c r="H12" s="157">
        <f t="shared" si="0"/>
        <v>0</v>
      </c>
      <c r="I12" s="154"/>
      <c r="J12" s="162"/>
      <c r="K12" s="162"/>
      <c r="L12" s="158"/>
      <c r="M12" s="159" t="s">
        <v>4176</v>
      </c>
    </row>
    <row r="13" spans="1:13" s="42" customFormat="1" ht="16.5">
      <c r="A13" s="740"/>
      <c r="B13" s="751"/>
      <c r="C13" s="160" t="s">
        <v>4184</v>
      </c>
      <c r="D13" s="761"/>
      <c r="E13" s="154"/>
      <c r="F13" s="155">
        <v>1</v>
      </c>
      <c r="G13" s="161">
        <v>1E-3</v>
      </c>
      <c r="H13" s="157">
        <f t="shared" ref="H13" si="2">ROUND(E13*F13*G13,2)</f>
        <v>0</v>
      </c>
      <c r="I13" s="154">
        <v>0</v>
      </c>
      <c r="J13" s="162"/>
      <c r="K13" s="162"/>
      <c r="L13" s="158"/>
      <c r="M13" s="159"/>
    </row>
    <row r="14" spans="1:13" s="42" customFormat="1">
      <c r="A14" s="740"/>
      <c r="B14" s="751"/>
      <c r="C14" s="163" t="s">
        <v>4185</v>
      </c>
      <c r="D14" s="761"/>
      <c r="E14" s="154">
        <f>印花税明细!D27</f>
        <v>461162.19</v>
      </c>
      <c r="F14" s="155">
        <v>1</v>
      </c>
      <c r="G14" s="161">
        <v>1E-3</v>
      </c>
      <c r="H14" s="157">
        <f t="shared" si="0"/>
        <v>461.16</v>
      </c>
      <c r="I14" s="154">
        <v>0</v>
      </c>
      <c r="J14" s="162"/>
      <c r="K14" s="162"/>
      <c r="L14" s="158"/>
      <c r="M14" s="159" t="s">
        <v>4176</v>
      </c>
    </row>
    <row r="15" spans="1:13" s="42" customFormat="1">
      <c r="A15" s="740"/>
      <c r="B15" s="751"/>
      <c r="C15" s="163" t="s">
        <v>4186</v>
      </c>
      <c r="D15" s="761"/>
      <c r="E15" s="154">
        <f t="shared" si="1"/>
        <v>0</v>
      </c>
      <c r="F15" s="155">
        <v>1</v>
      </c>
      <c r="G15" s="161">
        <v>1E-3</v>
      </c>
      <c r="H15" s="157">
        <f t="shared" si="0"/>
        <v>0</v>
      </c>
      <c r="I15" s="154"/>
      <c r="J15" s="162"/>
      <c r="K15" s="162"/>
      <c r="L15" s="158"/>
      <c r="M15" s="159" t="s">
        <v>4176</v>
      </c>
    </row>
    <row r="16" spans="1:13" s="42" customFormat="1">
      <c r="A16" s="740"/>
      <c r="B16" s="751"/>
      <c r="C16" s="163" t="s">
        <v>4187</v>
      </c>
      <c r="D16" s="761"/>
      <c r="E16" s="154">
        <f t="shared" si="1"/>
        <v>0</v>
      </c>
      <c r="F16" s="155">
        <v>1</v>
      </c>
      <c r="G16" s="161">
        <v>1E-3</v>
      </c>
      <c r="H16" s="157">
        <f t="shared" si="0"/>
        <v>0</v>
      </c>
      <c r="I16" s="154"/>
      <c r="J16" s="162"/>
      <c r="K16" s="162"/>
      <c r="L16" s="158"/>
      <c r="M16" s="159" t="s">
        <v>4176</v>
      </c>
    </row>
    <row r="17" spans="1:13" s="42" customFormat="1">
      <c r="A17" s="740"/>
      <c r="B17" s="751"/>
      <c r="C17" s="163" t="s">
        <v>4131</v>
      </c>
      <c r="D17" s="761"/>
      <c r="E17" s="154"/>
      <c r="F17" s="155">
        <v>1</v>
      </c>
      <c r="G17" s="161">
        <v>1E-3</v>
      </c>
      <c r="H17" s="157">
        <f t="shared" si="0"/>
        <v>0</v>
      </c>
      <c r="I17" s="154"/>
      <c r="J17" s="162"/>
      <c r="K17" s="162"/>
      <c r="L17" s="158"/>
      <c r="M17" s="159" t="s">
        <v>4176</v>
      </c>
    </row>
    <row r="18" spans="1:13" s="42" customFormat="1">
      <c r="A18" s="741"/>
      <c r="B18" s="751"/>
      <c r="C18" s="160" t="s">
        <v>4188</v>
      </c>
      <c r="D18" s="762"/>
      <c r="E18" s="154">
        <f t="shared" si="1"/>
        <v>0</v>
      </c>
      <c r="F18" s="155">
        <v>1</v>
      </c>
      <c r="G18" s="161">
        <v>2.5000000000000001E-4</v>
      </c>
      <c r="H18" s="157">
        <f t="shared" si="0"/>
        <v>0</v>
      </c>
      <c r="I18" s="154"/>
      <c r="J18" s="162"/>
      <c r="K18" s="162"/>
      <c r="L18" s="158"/>
      <c r="M18" s="159" t="s">
        <v>4176</v>
      </c>
    </row>
    <row r="19" spans="1:13" s="138" customFormat="1" ht="29.1" customHeight="1">
      <c r="A19" s="164">
        <v>1</v>
      </c>
      <c r="B19" s="165" t="s">
        <v>4189</v>
      </c>
      <c r="C19" s="165"/>
      <c r="D19" s="166"/>
      <c r="E19" s="167">
        <f>SUM(E4:E18)</f>
        <v>10228359491.949839</v>
      </c>
      <c r="F19" s="165"/>
      <c r="G19" s="168"/>
      <c r="H19" s="167">
        <f>SUM(H4:H18)</f>
        <v>3068830.66</v>
      </c>
      <c r="I19" s="169" t="s">
        <v>4190</v>
      </c>
      <c r="J19" s="167">
        <v>0</v>
      </c>
      <c r="K19" s="167"/>
      <c r="L19" s="170"/>
      <c r="M19" s="171"/>
    </row>
    <row r="20" spans="1:13" s="138" customFormat="1" ht="36" customHeight="1">
      <c r="A20" s="145" t="s">
        <v>4191</v>
      </c>
      <c r="B20" s="146" t="s">
        <v>4192</v>
      </c>
      <c r="C20" s="146" t="s">
        <v>4193</v>
      </c>
      <c r="D20" s="147" t="s">
        <v>4194</v>
      </c>
      <c r="E20" s="148" t="s">
        <v>4195</v>
      </c>
      <c r="F20" s="146" t="s">
        <v>4196</v>
      </c>
      <c r="G20" s="146" t="s">
        <v>4197</v>
      </c>
      <c r="H20" s="146" t="s">
        <v>4198</v>
      </c>
      <c r="I20" s="149" t="s">
        <v>4199</v>
      </c>
      <c r="J20" s="172" t="s">
        <v>900</v>
      </c>
      <c r="K20" s="172" t="s">
        <v>306</v>
      </c>
      <c r="L20" s="150" t="s">
        <v>4200</v>
      </c>
      <c r="M20" s="151"/>
    </row>
    <row r="21" spans="1:13" s="42" customFormat="1" ht="54.95" customHeight="1">
      <c r="A21" s="742"/>
      <c r="B21" s="752" t="s">
        <v>4201</v>
      </c>
      <c r="C21" s="173" t="s">
        <v>6625</v>
      </c>
      <c r="D21" s="174" t="s">
        <v>844</v>
      </c>
      <c r="E21" s="175">
        <f>'12月PL'!Q374</f>
        <v>2945954207.0043702</v>
      </c>
      <c r="F21" s="176">
        <v>1</v>
      </c>
      <c r="G21" s="176">
        <v>0.13</v>
      </c>
      <c r="H21" s="177">
        <f>ROUND(E21*G21,2)-0.02</f>
        <v>382974046.89000005</v>
      </c>
      <c r="I21" s="178" t="s">
        <v>2435</v>
      </c>
      <c r="J21" s="177">
        <f>'12月PL'!K374</f>
        <v>383350333.75725698</v>
      </c>
      <c r="K21" s="179">
        <f t="shared" ref="K21:K23" si="3">H21-J21</f>
        <v>-376286.86725693941</v>
      </c>
      <c r="L21" s="180"/>
      <c r="M21" s="181" t="s">
        <v>4173</v>
      </c>
    </row>
    <row r="22" spans="1:13" s="42" customFormat="1" ht="38.1" customHeight="1">
      <c r="A22" s="743"/>
      <c r="B22" s="753"/>
      <c r="C22" s="173" t="s">
        <v>6626</v>
      </c>
      <c r="D22" s="174" t="s">
        <v>844</v>
      </c>
      <c r="E22" s="175">
        <f>'12月PL'!Q375</f>
        <v>789977951.03999996</v>
      </c>
      <c r="F22" s="176">
        <v>1</v>
      </c>
      <c r="G22" s="176">
        <v>0.09</v>
      </c>
      <c r="H22" s="177">
        <f>ROUND(E22*G22,2)+0.02</f>
        <v>71098015.609999999</v>
      </c>
      <c r="I22" s="178" t="s">
        <v>2435</v>
      </c>
      <c r="J22" s="177">
        <f>'12月PL'!K375</f>
        <v>71098015.609999999</v>
      </c>
      <c r="K22" s="179">
        <f t="shared" si="3"/>
        <v>0</v>
      </c>
      <c r="L22" s="182"/>
      <c r="M22" s="181"/>
    </row>
    <row r="23" spans="1:13" s="42" customFormat="1" ht="27.95" customHeight="1">
      <c r="A23" s="743"/>
      <c r="B23" s="753"/>
      <c r="C23" s="173" t="s">
        <v>6627</v>
      </c>
      <c r="D23" s="174" t="s">
        <v>844</v>
      </c>
      <c r="E23" s="175">
        <f>'12月PL'!Q376</f>
        <v>178790691.29620299</v>
      </c>
      <c r="F23" s="176">
        <v>1</v>
      </c>
      <c r="G23" s="176">
        <v>0.06</v>
      </c>
      <c r="H23" s="177">
        <f>ROUND(E23*G23,2)+0.02</f>
        <v>10727441.5</v>
      </c>
      <c r="I23" s="178" t="s">
        <v>2435</v>
      </c>
      <c r="J23" s="177">
        <f>'12月PL'!K376</f>
        <v>20160190.579999998</v>
      </c>
      <c r="K23" s="179">
        <f t="shared" si="3"/>
        <v>-9432749.0799999982</v>
      </c>
      <c r="L23" s="182"/>
      <c r="M23" s="181"/>
    </row>
    <row r="24" spans="1:13" s="42" customFormat="1" ht="16.5">
      <c r="A24" s="743"/>
      <c r="B24" s="753"/>
      <c r="C24" s="174" t="s">
        <v>4202</v>
      </c>
      <c r="D24" s="174" t="s">
        <v>4203</v>
      </c>
      <c r="E24" s="183">
        <v>0</v>
      </c>
      <c r="F24" s="176">
        <v>1</v>
      </c>
      <c r="G24" s="176">
        <v>0.02</v>
      </c>
      <c r="H24" s="177">
        <f t="shared" ref="H24:H25" si="4">E24*G24</f>
        <v>0</v>
      </c>
      <c r="I24" s="184"/>
      <c r="J24" s="177"/>
      <c r="K24" s="177"/>
      <c r="L24" s="185"/>
      <c r="M24" s="186"/>
    </row>
    <row r="25" spans="1:13" s="42" customFormat="1" ht="16.5">
      <c r="A25" s="743"/>
      <c r="B25" s="753"/>
      <c r="C25" s="174" t="s">
        <v>4204</v>
      </c>
      <c r="D25" s="174" t="s">
        <v>4205</v>
      </c>
      <c r="E25" s="183">
        <v>0</v>
      </c>
      <c r="F25" s="176">
        <v>1</v>
      </c>
      <c r="G25" s="176">
        <v>0.06</v>
      </c>
      <c r="H25" s="177">
        <f t="shared" si="4"/>
        <v>0</v>
      </c>
      <c r="I25" s="184"/>
      <c r="J25" s="177"/>
      <c r="K25" s="177"/>
      <c r="L25" s="185"/>
      <c r="M25" s="186"/>
    </row>
    <row r="26" spans="1:13" s="42" customFormat="1" ht="16.5">
      <c r="A26" s="743"/>
      <c r="B26" s="753"/>
      <c r="C26" s="174" t="s">
        <v>4206</v>
      </c>
      <c r="D26" s="174" t="s">
        <v>4207</v>
      </c>
      <c r="E26" s="183">
        <v>0</v>
      </c>
      <c r="F26" s="176">
        <v>1</v>
      </c>
      <c r="G26" s="176">
        <v>0.06</v>
      </c>
      <c r="H26" s="177">
        <v>0</v>
      </c>
      <c r="I26" s="184"/>
      <c r="J26" s="177">
        <v>0</v>
      </c>
      <c r="K26" s="177">
        <f t="shared" ref="K26:K29" si="5">H26-J26</f>
        <v>0</v>
      </c>
      <c r="L26" s="182"/>
      <c r="M26" s="186"/>
    </row>
    <row r="27" spans="1:13" s="42" customFormat="1" ht="27" customHeight="1">
      <c r="A27" s="743"/>
      <c r="B27" s="753"/>
      <c r="C27" s="187" t="s">
        <v>4208</v>
      </c>
      <c r="D27" s="154" t="s">
        <v>4209</v>
      </c>
      <c r="E27" s="157">
        <f>'Ref 3_202512增值税进项认证清单'!K569</f>
        <v>3289557508.46</v>
      </c>
      <c r="F27" s="188">
        <v>1</v>
      </c>
      <c r="G27" s="189" t="s">
        <v>4210</v>
      </c>
      <c r="H27" s="190">
        <f>'Ref 3_202512增值税进项认证清单'!M569</f>
        <v>408481008.93000001</v>
      </c>
      <c r="I27" s="191" t="s">
        <v>2480</v>
      </c>
      <c r="J27" s="157">
        <f>进项明细!K498</f>
        <v>408481008.93000001</v>
      </c>
      <c r="K27" s="157">
        <f t="shared" si="5"/>
        <v>0</v>
      </c>
      <c r="L27" s="192"/>
      <c r="M27" s="181" t="s">
        <v>4211</v>
      </c>
    </row>
    <row r="28" spans="1:13" s="42" customFormat="1">
      <c r="A28" s="743"/>
      <c r="B28" s="753"/>
      <c r="C28" s="193" t="s">
        <v>4212</v>
      </c>
      <c r="D28" s="154" t="s">
        <v>4213</v>
      </c>
      <c r="E28" s="157"/>
      <c r="F28" s="188">
        <v>1</v>
      </c>
      <c r="G28" s="189"/>
      <c r="H28" s="190">
        <f>'Ref 4_202512增值税变动表'!F22</f>
        <v>1210358</v>
      </c>
      <c r="I28" s="191"/>
      <c r="J28" s="157"/>
      <c r="K28" s="157"/>
      <c r="L28" s="194"/>
      <c r="M28" s="181" t="s">
        <v>4214</v>
      </c>
    </row>
    <row r="29" spans="1:13" ht="93" customHeight="1">
      <c r="A29" s="744"/>
      <c r="B29" s="754"/>
      <c r="C29" s="187" t="s">
        <v>4215</v>
      </c>
      <c r="D29" s="154" t="s">
        <v>4213</v>
      </c>
      <c r="E29" s="157"/>
      <c r="F29" s="188">
        <v>1</v>
      </c>
      <c r="G29" s="189" t="s">
        <v>4210</v>
      </c>
      <c r="H29" s="190">
        <f>'Ref 4_202512增值税变动表'!F23+'Ref 4_202512增值税变动表'!F25</f>
        <v>-57826431.207256995</v>
      </c>
      <c r="I29" s="195"/>
      <c r="J29" s="196">
        <f>'12月BS'!K516</f>
        <v>-48393682.130000003</v>
      </c>
      <c r="K29" s="190">
        <f t="shared" si="5"/>
        <v>-9432749.0772569925</v>
      </c>
      <c r="L29" s="197"/>
      <c r="M29" s="181" t="s">
        <v>4214</v>
      </c>
    </row>
    <row r="30" spans="1:13" s="139" customFormat="1" ht="30.75" customHeight="1">
      <c r="A30" s="199">
        <v>2</v>
      </c>
      <c r="B30" s="200" t="s">
        <v>4216</v>
      </c>
      <c r="C30" s="200"/>
      <c r="D30" s="201"/>
      <c r="E30" s="202"/>
      <c r="F30" s="200"/>
      <c r="G30" s="203"/>
      <c r="H30" s="202">
        <f>'Ref 4_202512增值税变动表'!F26</f>
        <v>57826431.207256995</v>
      </c>
      <c r="I30" s="204" t="s">
        <v>6629</v>
      </c>
      <c r="J30" s="202"/>
      <c r="K30" s="202"/>
      <c r="L30" s="205"/>
      <c r="M30" s="206"/>
    </row>
    <row r="31" spans="1:13" s="139" customFormat="1" ht="30.75" customHeight="1">
      <c r="A31" s="207"/>
      <c r="B31" s="208" t="s">
        <v>4217</v>
      </c>
      <c r="C31" s="200"/>
      <c r="D31" s="201"/>
      <c r="E31" s="202"/>
      <c r="F31" s="200"/>
      <c r="G31" s="203"/>
      <c r="H31" s="202">
        <f>H30*(7%+3%+2%)</f>
        <v>6939171.7448708396</v>
      </c>
      <c r="I31" s="204"/>
      <c r="J31" s="202"/>
      <c r="K31" s="202"/>
      <c r="L31" s="205"/>
      <c r="M31" s="206"/>
    </row>
    <row r="32" spans="1:13" s="42" customFormat="1" ht="33.950000000000003" customHeight="1">
      <c r="A32" s="745"/>
      <c r="B32" s="755" t="s">
        <v>4218</v>
      </c>
      <c r="C32" s="209" t="s">
        <v>63</v>
      </c>
      <c r="D32" s="209" t="s">
        <v>4219</v>
      </c>
      <c r="E32" s="210" t="s">
        <v>4220</v>
      </c>
      <c r="F32" s="211" t="s">
        <v>4221</v>
      </c>
      <c r="G32" s="212" t="s">
        <v>4222</v>
      </c>
      <c r="H32" s="210" t="s">
        <v>4223</v>
      </c>
      <c r="I32" s="210" t="s">
        <v>4224</v>
      </c>
      <c r="J32" s="210" t="s">
        <v>4225</v>
      </c>
      <c r="K32" s="210" t="s">
        <v>4226</v>
      </c>
      <c r="L32" s="213"/>
      <c r="M32" s="214"/>
    </row>
    <row r="33" spans="1:13" s="42" customFormat="1" ht="33.950000000000003" customHeight="1">
      <c r="A33" s="746"/>
      <c r="B33" s="756"/>
      <c r="C33" s="216"/>
      <c r="D33" s="216" t="s">
        <v>4227</v>
      </c>
      <c r="E33" s="217">
        <f>'12月PL'!E383</f>
        <v>542584442.10000002</v>
      </c>
      <c r="F33" s="218">
        <f>25%</f>
        <v>0.25</v>
      </c>
      <c r="G33" s="219">
        <f>ROUND(E33*F33,2)</f>
        <v>135646110.53</v>
      </c>
      <c r="H33" s="220">
        <f>G33-J33-K33-K34</f>
        <v>77900399.879999995</v>
      </c>
      <c r="I33" s="221"/>
      <c r="J33" s="210">
        <v>29332501.690000001</v>
      </c>
      <c r="K33" s="210">
        <v>25579908.920000002</v>
      </c>
      <c r="L33" s="213"/>
      <c r="M33" s="214"/>
    </row>
    <row r="34" spans="1:13" s="42" customFormat="1" ht="33.950000000000003" customHeight="1">
      <c r="A34" s="222"/>
      <c r="B34" s="215"/>
      <c r="C34" s="216"/>
      <c r="D34" s="223" t="s">
        <v>34</v>
      </c>
      <c r="E34" s="224"/>
      <c r="F34" s="225"/>
      <c r="G34" s="226"/>
      <c r="H34" s="227">
        <f>'Ref 4_202512增值税变动表'!Y50</f>
        <v>310686.2</v>
      </c>
      <c r="I34" s="226"/>
      <c r="J34" s="210"/>
      <c r="K34" s="210">
        <f>'Ref 4_202512增值税变动表'!Y52</f>
        <v>2833300.04</v>
      </c>
      <c r="L34" s="213"/>
      <c r="M34" s="214"/>
    </row>
    <row r="35" spans="1:13" s="42" customFormat="1" ht="36.950000000000003" customHeight="1">
      <c r="A35" s="228">
        <v>3</v>
      </c>
      <c r="B35" s="229" t="s">
        <v>4228</v>
      </c>
      <c r="C35" s="229"/>
      <c r="D35" s="229"/>
      <c r="E35" s="230">
        <f>SUM(E33)</f>
        <v>542584442.10000002</v>
      </c>
      <c r="F35" s="231"/>
      <c r="G35" s="232"/>
      <c r="H35" s="232">
        <f>H33-H34-I33-I34</f>
        <v>77589713.679999992</v>
      </c>
      <c r="I35" s="624" t="s">
        <v>4106</v>
      </c>
      <c r="J35" s="233"/>
      <c r="K35" s="233"/>
      <c r="L35" s="234"/>
      <c r="M35" s="214"/>
    </row>
    <row r="36" spans="1:13" s="139" customFormat="1" ht="15">
      <c r="A36" s="235">
        <v>4</v>
      </c>
      <c r="B36" s="236" t="s">
        <v>4229</v>
      </c>
      <c r="C36" s="237" t="s">
        <v>4230</v>
      </c>
      <c r="D36" s="236" t="s">
        <v>4231</v>
      </c>
      <c r="E36" s="238"/>
      <c r="F36" s="239"/>
      <c r="G36" s="240"/>
      <c r="H36" s="238">
        <f>ROUND(E36*G36/4,2)</f>
        <v>0</v>
      </c>
      <c r="I36" s="241" t="s">
        <v>6628</v>
      </c>
      <c r="J36" s="242"/>
      <c r="K36" s="238">
        <f t="shared" ref="K36:K39" si="6">H36-J36</f>
        <v>0</v>
      </c>
      <c r="L36" s="243"/>
      <c r="M36" s="214"/>
    </row>
    <row r="37" spans="1:13" s="139" customFormat="1" ht="39.950000000000003" customHeight="1">
      <c r="A37" s="244">
        <v>5</v>
      </c>
      <c r="B37" s="245" t="s">
        <v>4232</v>
      </c>
      <c r="C37" s="245" t="s">
        <v>4233</v>
      </c>
      <c r="D37" s="246" t="s">
        <v>4234</v>
      </c>
      <c r="E37" s="247"/>
      <c r="F37" s="248"/>
      <c r="G37" s="249"/>
      <c r="H37" s="247">
        <f>E37*0.7*G37/4/3</f>
        <v>0</v>
      </c>
      <c r="I37" s="250" t="s">
        <v>4235</v>
      </c>
      <c r="J37" s="247"/>
      <c r="K37" s="247"/>
      <c r="L37" s="251"/>
      <c r="M37" s="214"/>
    </row>
    <row r="38" spans="1:13" s="42" customFormat="1" ht="15">
      <c r="A38" s="747"/>
      <c r="B38" s="757" t="s">
        <v>4236</v>
      </c>
      <c r="C38" s="252"/>
      <c r="D38" s="253" t="s">
        <v>4237</v>
      </c>
      <c r="E38" s="254"/>
      <c r="F38" s="255"/>
      <c r="G38" s="252"/>
      <c r="H38" s="254"/>
      <c r="I38" s="256"/>
      <c r="J38" s="257"/>
      <c r="K38" s="257"/>
      <c r="L38" s="258"/>
      <c r="M38" s="259"/>
    </row>
    <row r="39" spans="1:13" s="42" customFormat="1" ht="15">
      <c r="A39" s="748"/>
      <c r="B39" s="758"/>
      <c r="C39" s="193" t="s">
        <v>4238</v>
      </c>
      <c r="D39" s="260"/>
      <c r="E39" s="261"/>
      <c r="F39" s="262">
        <v>0.8</v>
      </c>
      <c r="G39" s="155">
        <v>0.2</v>
      </c>
      <c r="H39" s="261">
        <f>ROUND(IF(D39&lt;=800,0,IF(D39&lt;=3360,(D39-800)/4,IF(D39&lt;=21000,0.16*D39/0.84,IF(D39&lt;=49500,(0.24*D39-2000)/0.76,(0.32*D39-7000)/0.68)))),2)</f>
        <v>0</v>
      </c>
      <c r="I39" s="263">
        <v>6600020002</v>
      </c>
      <c r="J39" s="264">
        <v>0</v>
      </c>
      <c r="K39" s="264">
        <f t="shared" si="6"/>
        <v>0</v>
      </c>
      <c r="L39" s="265"/>
      <c r="M39" s="266"/>
    </row>
    <row r="40" spans="1:13" s="42" customFormat="1" ht="15">
      <c r="A40" s="748"/>
      <c r="B40" s="758"/>
      <c r="C40" s="267" t="s">
        <v>4239</v>
      </c>
      <c r="D40" s="260"/>
      <c r="E40" s="261"/>
      <c r="F40" s="262">
        <v>0.8</v>
      </c>
      <c r="G40" s="155">
        <v>0.2</v>
      </c>
      <c r="H40" s="261"/>
      <c r="I40" s="268"/>
      <c r="J40" s="269"/>
      <c r="K40" s="269"/>
      <c r="L40" s="270"/>
      <c r="M40" s="266"/>
    </row>
    <row r="41" spans="1:13" s="42" customFormat="1" ht="15">
      <c r="A41" s="749"/>
      <c r="B41" s="759"/>
      <c r="C41" s="267" t="s">
        <v>4240</v>
      </c>
      <c r="D41" s="271"/>
      <c r="E41" s="261"/>
      <c r="F41" s="272">
        <v>0.8</v>
      </c>
      <c r="G41" s="273">
        <v>0.2</v>
      </c>
      <c r="H41" s="261"/>
      <c r="I41" s="268"/>
      <c r="J41" s="269"/>
      <c r="K41" s="269"/>
      <c r="L41" s="270"/>
      <c r="M41" s="266"/>
    </row>
    <row r="42" spans="1:13" s="42" customFormat="1" ht="36" customHeight="1">
      <c r="A42" s="274">
        <v>6</v>
      </c>
      <c r="B42" s="275" t="str">
        <f>B38</f>
        <v>个人所得税</v>
      </c>
      <c r="C42" s="276"/>
      <c r="D42" s="277"/>
      <c r="E42" s="278"/>
      <c r="F42" s="279"/>
      <c r="G42" s="280"/>
      <c r="H42" s="278">
        <f>SUM(H39:H41)</f>
        <v>0</v>
      </c>
      <c r="I42" s="281"/>
      <c r="J42" s="278"/>
      <c r="K42" s="278"/>
      <c r="L42" s="282"/>
      <c r="M42" s="266"/>
    </row>
    <row r="43" spans="1:13" s="42" customFormat="1" ht="36" customHeight="1">
      <c r="A43" s="274">
        <v>7</v>
      </c>
      <c r="B43" s="283" t="s">
        <v>32</v>
      </c>
      <c r="C43" s="276"/>
      <c r="D43" s="277"/>
      <c r="E43" s="278"/>
      <c r="F43" s="279"/>
      <c r="G43" s="280">
        <v>0.9</v>
      </c>
      <c r="H43" s="278">
        <f>ROUNDDOWN(D43*G43,1)</f>
        <v>0</v>
      </c>
      <c r="I43" s="281"/>
      <c r="J43" s="278"/>
      <c r="K43" s="278"/>
      <c r="L43" s="282"/>
      <c r="M43" s="266"/>
    </row>
    <row r="44" spans="1:13" s="138" customFormat="1" ht="41.45" customHeight="1">
      <c r="A44" s="738" t="s">
        <v>4241</v>
      </c>
      <c r="B44" s="739"/>
      <c r="C44" s="284"/>
      <c r="D44" s="285"/>
      <c r="E44" s="286"/>
      <c r="F44" s="284"/>
      <c r="G44" s="284"/>
      <c r="H44" s="287">
        <f>H19+H30+H31+H36+H37+H42+H43+H35</f>
        <v>145424147.29212785</v>
      </c>
      <c r="I44" s="288"/>
      <c r="J44" s="289">
        <f>K19+J30+J35+J36+J37+J42</f>
        <v>0</v>
      </c>
      <c r="K44" s="289"/>
      <c r="L44" s="290"/>
      <c r="M44" s="291"/>
    </row>
    <row r="45" spans="1:13">
      <c r="A45" s="292"/>
      <c r="B45" s="292"/>
      <c r="C45" s="292"/>
      <c r="D45" s="292"/>
      <c r="E45" s="292"/>
      <c r="F45" s="292"/>
      <c r="G45" s="292"/>
      <c r="I45" s="293"/>
      <c r="J45" s="293"/>
      <c r="K45" s="293"/>
      <c r="L45" s="292"/>
    </row>
    <row r="46" spans="1:13">
      <c r="A46" s="292"/>
      <c r="B46" s="292"/>
      <c r="C46" s="292"/>
      <c r="D46" s="292"/>
      <c r="E46" s="294"/>
      <c r="F46" s="292"/>
      <c r="G46" s="292"/>
      <c r="H46" s="293"/>
      <c r="I46" s="293"/>
      <c r="J46" s="293"/>
      <c r="K46" s="293"/>
      <c r="L46" s="292"/>
    </row>
    <row r="47" spans="1:13">
      <c r="A47" s="292"/>
      <c r="B47" s="295"/>
      <c r="C47" s="292"/>
      <c r="D47" s="292"/>
      <c r="E47" s="292"/>
      <c r="F47" s="292"/>
      <c r="G47" s="292"/>
      <c r="H47" s="293"/>
      <c r="I47" s="293"/>
      <c r="J47" s="293"/>
      <c r="K47" s="293"/>
      <c r="L47" s="292"/>
    </row>
    <row r="48" spans="1:13">
      <c r="A48" s="292"/>
      <c r="B48" s="292"/>
      <c r="C48" s="292"/>
      <c r="D48" s="292"/>
      <c r="E48" s="292"/>
      <c r="F48" s="292"/>
      <c r="G48" s="292"/>
      <c r="H48" s="293"/>
      <c r="I48" s="293"/>
      <c r="J48" s="293"/>
      <c r="K48" s="293"/>
      <c r="L48" s="292"/>
    </row>
    <row r="49" spans="1:12" ht="15.75" customHeight="1">
      <c r="A49" s="292"/>
      <c r="B49" s="292"/>
      <c r="C49" s="292"/>
      <c r="D49" s="292"/>
      <c r="E49" s="292"/>
      <c r="F49" s="292"/>
      <c r="G49" s="296"/>
      <c r="H49" s="293"/>
      <c r="I49" s="293"/>
      <c r="J49" s="293"/>
      <c r="K49" s="293"/>
      <c r="L49" s="292"/>
    </row>
    <row r="50" spans="1:12" ht="29.25" customHeight="1">
      <c r="A50" s="292"/>
      <c r="B50" s="292"/>
      <c r="C50" s="292"/>
      <c r="D50" s="292"/>
      <c r="E50" s="292"/>
      <c r="F50" s="292"/>
      <c r="G50" s="296"/>
      <c r="H50" s="293"/>
      <c r="I50" s="293"/>
      <c r="J50" s="293"/>
      <c r="K50" s="293"/>
      <c r="L50" s="296"/>
    </row>
    <row r="51" spans="1:12">
      <c r="A51" s="292"/>
      <c r="B51" s="292"/>
      <c r="C51" s="292"/>
      <c r="D51" s="292"/>
      <c r="E51" s="292"/>
      <c r="F51" s="292"/>
      <c r="G51" s="296"/>
      <c r="H51" s="293"/>
      <c r="I51" s="293"/>
      <c r="J51" s="293"/>
      <c r="K51" s="293"/>
      <c r="L51" s="292"/>
    </row>
    <row r="52" spans="1:12">
      <c r="A52" s="292"/>
      <c r="B52" s="292"/>
      <c r="C52" s="292"/>
      <c r="D52" s="292"/>
      <c r="E52" s="292"/>
      <c r="F52" s="292"/>
      <c r="G52" s="292"/>
      <c r="H52" s="293"/>
      <c r="I52" s="293"/>
      <c r="J52" s="293"/>
      <c r="K52" s="293"/>
      <c r="L52" s="292"/>
    </row>
  </sheetData>
  <mergeCells count="12">
    <mergeCell ref="A1:M1"/>
    <mergeCell ref="H2:M2"/>
    <mergeCell ref="A44:B44"/>
    <mergeCell ref="A4:A18"/>
    <mergeCell ref="A21:A29"/>
    <mergeCell ref="A32:A33"/>
    <mergeCell ref="A38:A41"/>
    <mergeCell ref="B4:B18"/>
    <mergeCell ref="B21:B29"/>
    <mergeCell ref="B32:B33"/>
    <mergeCell ref="B38:B41"/>
    <mergeCell ref="D5:D18"/>
  </mergeCells>
  <phoneticPr fontId="85" type="noConversion"/>
  <dataValidations count="2">
    <dataValidation allowBlank="1" showInputMessage="1" showErrorMessage="1" sqref="G23 D33:D34" xr:uid="{00000000-0002-0000-0D00-000000000000}"/>
    <dataValidation type="list" allowBlank="1" showInputMessage="1" showErrorMessage="1" sqref="G21:G22 G24:G26" xr:uid="{00000000-0002-0000-0D00-000001000000}">
      <formula1>#REF!</formula1>
    </dataValidation>
  </dataValidations>
  <pageMargins left="0.7" right="0.7" top="0.75" bottom="0.75" header="0.3" footer="0.3"/>
  <pageSetup paperSize="9" scale="49" fitToWidth="0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AA116"/>
  <sheetViews>
    <sheetView topLeftCell="A96" zoomScale="70" zoomScaleNormal="70" workbookViewId="0">
      <selection activeCell="G120" sqref="G120"/>
    </sheetView>
  </sheetViews>
  <sheetFormatPr defaultColWidth="9" defaultRowHeight="14.25"/>
  <cols>
    <col min="1" max="1" width="10" style="133" customWidth="1"/>
    <col min="2" max="11" width="22" style="133" customWidth="1"/>
    <col min="12" max="12" width="32" style="133" customWidth="1"/>
    <col min="13" max="13" width="12" style="133" customWidth="1"/>
    <col min="14" max="16" width="10" style="133" customWidth="1"/>
    <col min="17" max="17" width="12" style="133" customWidth="1"/>
    <col min="18" max="18" width="10" style="133" customWidth="1"/>
    <col min="19" max="20" width="12" style="133" customWidth="1"/>
    <col min="21" max="27" width="22" style="133" customWidth="1"/>
    <col min="28" max="16384" width="9" style="133"/>
  </cols>
  <sheetData>
    <row r="1" spans="1:27" ht="18.75">
      <c r="A1" s="134" t="s">
        <v>4242</v>
      </c>
      <c r="B1" s="134" t="s">
        <v>4243</v>
      </c>
      <c r="C1" s="134" t="s">
        <v>4244</v>
      </c>
      <c r="D1" s="134" t="s">
        <v>4245</v>
      </c>
      <c r="E1" s="134" t="s">
        <v>4246</v>
      </c>
      <c r="F1" s="134" t="s">
        <v>4247</v>
      </c>
      <c r="G1" s="134" t="s">
        <v>4248</v>
      </c>
      <c r="H1" s="134" t="s">
        <v>4249</v>
      </c>
      <c r="I1" s="134" t="s">
        <v>4250</v>
      </c>
      <c r="J1" s="134" t="s">
        <v>4251</v>
      </c>
      <c r="K1" s="134" t="s">
        <v>4252</v>
      </c>
      <c r="L1" s="134" t="s">
        <v>4253</v>
      </c>
      <c r="M1" s="134" t="s">
        <v>4254</v>
      </c>
      <c r="N1" s="134" t="s">
        <v>4255</v>
      </c>
      <c r="O1" s="134" t="s">
        <v>4256</v>
      </c>
      <c r="P1" s="134" t="s">
        <v>4257</v>
      </c>
      <c r="Q1" s="134" t="s">
        <v>948</v>
      </c>
      <c r="R1" s="134" t="s">
        <v>65</v>
      </c>
      <c r="S1" s="134" t="s">
        <v>726</v>
      </c>
      <c r="T1" s="134" t="s">
        <v>4258</v>
      </c>
      <c r="U1" s="134" t="s">
        <v>4259</v>
      </c>
      <c r="V1" s="134" t="s">
        <v>4260</v>
      </c>
      <c r="W1" s="134" t="s">
        <v>4261</v>
      </c>
      <c r="X1" s="134" t="s">
        <v>4262</v>
      </c>
      <c r="Y1" s="134" t="s">
        <v>4263</v>
      </c>
      <c r="Z1" s="134" t="s">
        <v>4264</v>
      </c>
      <c r="AA1" s="134" t="s">
        <v>4265</v>
      </c>
    </row>
    <row r="2" spans="1:27" ht="15">
      <c r="A2" s="136" t="s">
        <v>4266</v>
      </c>
      <c r="B2" s="136" t="s">
        <v>1013</v>
      </c>
      <c r="C2" s="136" t="s">
        <v>1013</v>
      </c>
      <c r="D2" s="136" t="s">
        <v>4267</v>
      </c>
      <c r="E2" s="136" t="s">
        <v>4268</v>
      </c>
      <c r="F2" s="136" t="s">
        <v>4269</v>
      </c>
      <c r="G2" s="136" t="s">
        <v>4270</v>
      </c>
      <c r="H2" s="136" t="s">
        <v>4271</v>
      </c>
      <c r="I2" s="136" t="s">
        <v>4272</v>
      </c>
      <c r="J2" s="136" t="s">
        <v>4273</v>
      </c>
      <c r="K2" s="136" t="s">
        <v>1013</v>
      </c>
      <c r="L2" s="136" t="s">
        <v>4274</v>
      </c>
      <c r="M2" s="136" t="s">
        <v>4275</v>
      </c>
      <c r="N2" s="136" t="s">
        <v>4276</v>
      </c>
      <c r="O2" s="136" t="s">
        <v>4266</v>
      </c>
      <c r="P2" s="136" t="s">
        <v>4277</v>
      </c>
      <c r="Q2" s="136">
        <v>74704.100000000006</v>
      </c>
      <c r="R2" s="136" t="s">
        <v>4278</v>
      </c>
      <c r="S2" s="136">
        <v>4482.25</v>
      </c>
      <c r="T2" s="136">
        <v>79186.350000000006</v>
      </c>
      <c r="U2" s="136" t="s">
        <v>4279</v>
      </c>
      <c r="V2" s="136" t="s">
        <v>4280</v>
      </c>
      <c r="W2" s="136" t="s">
        <v>4281</v>
      </c>
      <c r="X2" s="136" t="s">
        <v>4282</v>
      </c>
      <c r="Y2" s="136" t="s">
        <v>4281</v>
      </c>
      <c r="Z2" s="136" t="s">
        <v>4283</v>
      </c>
      <c r="AA2" s="136"/>
    </row>
    <row r="3" spans="1:27" ht="15">
      <c r="A3" s="136" t="s">
        <v>4284</v>
      </c>
      <c r="B3" s="136" t="s">
        <v>1013</v>
      </c>
      <c r="C3" s="136" t="s">
        <v>1013</v>
      </c>
      <c r="D3" s="136" t="s">
        <v>4285</v>
      </c>
      <c r="E3" s="136" t="s">
        <v>4268</v>
      </c>
      <c r="F3" s="136" t="s">
        <v>4269</v>
      </c>
      <c r="G3" s="136" t="s">
        <v>4286</v>
      </c>
      <c r="H3" s="136" t="s">
        <v>4287</v>
      </c>
      <c r="I3" s="136" t="s">
        <v>4288</v>
      </c>
      <c r="J3" s="136" t="s">
        <v>4273</v>
      </c>
      <c r="K3" s="136" t="s">
        <v>1013</v>
      </c>
      <c r="L3" s="136" t="s">
        <v>4289</v>
      </c>
      <c r="M3" s="136" t="s">
        <v>4275</v>
      </c>
      <c r="N3" s="136" t="s">
        <v>4276</v>
      </c>
      <c r="O3" s="136" t="s">
        <v>4266</v>
      </c>
      <c r="P3" s="136" t="s">
        <v>4290</v>
      </c>
      <c r="Q3" s="136">
        <v>65705.72</v>
      </c>
      <c r="R3" s="136" t="s">
        <v>4278</v>
      </c>
      <c r="S3" s="136">
        <v>3942.34</v>
      </c>
      <c r="T3" s="136">
        <v>69648.06</v>
      </c>
      <c r="U3" s="136" t="s">
        <v>4279</v>
      </c>
      <c r="V3" s="136" t="s">
        <v>4280</v>
      </c>
      <c r="W3" s="136" t="s">
        <v>4281</v>
      </c>
      <c r="X3" s="136" t="s">
        <v>4282</v>
      </c>
      <c r="Y3" s="136" t="s">
        <v>4281</v>
      </c>
      <c r="Z3" s="136" t="s">
        <v>4283</v>
      </c>
      <c r="AA3" s="136" t="s">
        <v>4291</v>
      </c>
    </row>
    <row r="4" spans="1:27" ht="15">
      <c r="A4" s="136" t="s">
        <v>4292</v>
      </c>
      <c r="B4" s="136" t="s">
        <v>1013</v>
      </c>
      <c r="C4" s="136" t="s">
        <v>1013</v>
      </c>
      <c r="D4" s="136" t="s">
        <v>4293</v>
      </c>
      <c r="E4" s="136" t="s">
        <v>4268</v>
      </c>
      <c r="F4" s="136" t="s">
        <v>4269</v>
      </c>
      <c r="G4" s="136" t="s">
        <v>4294</v>
      </c>
      <c r="H4" s="136" t="s">
        <v>4295</v>
      </c>
      <c r="I4" s="136" t="s">
        <v>4296</v>
      </c>
      <c r="J4" s="136" t="s">
        <v>4273</v>
      </c>
      <c r="K4" s="136" t="s">
        <v>1013</v>
      </c>
      <c r="L4" s="136" t="s">
        <v>4289</v>
      </c>
      <c r="M4" s="136" t="s">
        <v>4275</v>
      </c>
      <c r="N4" s="136" t="s">
        <v>4276</v>
      </c>
      <c r="O4" s="136" t="s">
        <v>4266</v>
      </c>
      <c r="P4" s="136" t="s">
        <v>4297</v>
      </c>
      <c r="Q4" s="136">
        <v>47786.02</v>
      </c>
      <c r="R4" s="136" t="s">
        <v>4278</v>
      </c>
      <c r="S4" s="136">
        <v>2867.16</v>
      </c>
      <c r="T4" s="136">
        <v>50653.18</v>
      </c>
      <c r="U4" s="136" t="s">
        <v>4279</v>
      </c>
      <c r="V4" s="136" t="s">
        <v>4280</v>
      </c>
      <c r="W4" s="136" t="s">
        <v>4281</v>
      </c>
      <c r="X4" s="136" t="s">
        <v>4282</v>
      </c>
      <c r="Y4" s="136" t="s">
        <v>4281</v>
      </c>
      <c r="Z4" s="136" t="s">
        <v>4283</v>
      </c>
      <c r="AA4" s="136" t="s">
        <v>4298</v>
      </c>
    </row>
    <row r="5" spans="1:27" ht="15">
      <c r="A5" s="136" t="s">
        <v>4299</v>
      </c>
      <c r="B5" s="136" t="s">
        <v>1013</v>
      </c>
      <c r="C5" s="136" t="s">
        <v>1013</v>
      </c>
      <c r="D5" s="136" t="s">
        <v>4300</v>
      </c>
      <c r="E5" s="136" t="s">
        <v>4268</v>
      </c>
      <c r="F5" s="136" t="s">
        <v>4269</v>
      </c>
      <c r="G5" s="136" t="s">
        <v>4286</v>
      </c>
      <c r="H5" s="136" t="s">
        <v>4287</v>
      </c>
      <c r="I5" s="136" t="s">
        <v>4301</v>
      </c>
      <c r="J5" s="136" t="s">
        <v>4273</v>
      </c>
      <c r="K5" s="136" t="s">
        <v>1013</v>
      </c>
      <c r="L5" s="136" t="s">
        <v>4289</v>
      </c>
      <c r="M5" s="136" t="s">
        <v>4275</v>
      </c>
      <c r="N5" s="136" t="s">
        <v>4276</v>
      </c>
      <c r="O5" s="136" t="s">
        <v>4266</v>
      </c>
      <c r="P5" s="136" t="s">
        <v>4302</v>
      </c>
      <c r="Q5" s="136">
        <v>31788.38</v>
      </c>
      <c r="R5" s="136" t="s">
        <v>4278</v>
      </c>
      <c r="S5" s="136">
        <v>1907.3</v>
      </c>
      <c r="T5" s="136">
        <v>33695.68</v>
      </c>
      <c r="U5" s="136" t="s">
        <v>4279</v>
      </c>
      <c r="V5" s="136" t="s">
        <v>4280</v>
      </c>
      <c r="W5" s="136" t="s">
        <v>4281</v>
      </c>
      <c r="X5" s="136" t="s">
        <v>4282</v>
      </c>
      <c r="Y5" s="136" t="s">
        <v>4281</v>
      </c>
      <c r="Z5" s="136" t="s">
        <v>4283</v>
      </c>
      <c r="AA5" s="136" t="s">
        <v>4303</v>
      </c>
    </row>
    <row r="6" spans="1:27" ht="15">
      <c r="A6" s="136" t="s">
        <v>4304</v>
      </c>
      <c r="B6" s="136" t="s">
        <v>1013</v>
      </c>
      <c r="C6" s="136" t="s">
        <v>1013</v>
      </c>
      <c r="D6" s="136" t="s">
        <v>4305</v>
      </c>
      <c r="E6" s="136" t="s">
        <v>4268</v>
      </c>
      <c r="F6" s="136" t="s">
        <v>4269</v>
      </c>
      <c r="G6" s="136" t="s">
        <v>4270</v>
      </c>
      <c r="H6" s="136" t="s">
        <v>4271</v>
      </c>
      <c r="I6" s="136" t="s">
        <v>4306</v>
      </c>
      <c r="J6" s="136" t="s">
        <v>4307</v>
      </c>
      <c r="K6" s="136" t="s">
        <v>1013</v>
      </c>
      <c r="L6" s="136" t="s">
        <v>4308</v>
      </c>
      <c r="M6" s="136" t="s">
        <v>4275</v>
      </c>
      <c r="N6" s="136" t="s">
        <v>4276</v>
      </c>
      <c r="O6" s="136" t="s">
        <v>4266</v>
      </c>
      <c r="P6" s="136" t="s">
        <v>4309</v>
      </c>
      <c r="Q6" s="136">
        <v>1736477.51</v>
      </c>
      <c r="R6" s="136" t="s">
        <v>4278</v>
      </c>
      <c r="S6" s="136">
        <v>104188.66</v>
      </c>
      <c r="T6" s="136">
        <v>1840666.17</v>
      </c>
      <c r="U6" s="136" t="s">
        <v>4279</v>
      </c>
      <c r="V6" s="136" t="s">
        <v>4280</v>
      </c>
      <c r="W6" s="136" t="s">
        <v>4281</v>
      </c>
      <c r="X6" s="136" t="s">
        <v>4282</v>
      </c>
      <c r="Y6" s="136" t="s">
        <v>4281</v>
      </c>
      <c r="Z6" s="136" t="s">
        <v>4283</v>
      </c>
      <c r="AA6" s="136"/>
    </row>
    <row r="7" spans="1:27" ht="15">
      <c r="A7" s="136" t="s">
        <v>4310</v>
      </c>
      <c r="B7" s="136" t="s">
        <v>1013</v>
      </c>
      <c r="C7" s="136" t="s">
        <v>1013</v>
      </c>
      <c r="D7" s="136" t="s">
        <v>4311</v>
      </c>
      <c r="E7" s="136" t="s">
        <v>4268</v>
      </c>
      <c r="F7" s="136" t="s">
        <v>4269</v>
      </c>
      <c r="G7" s="136" t="s">
        <v>4312</v>
      </c>
      <c r="H7" s="136" t="s">
        <v>4313</v>
      </c>
      <c r="I7" s="136" t="s">
        <v>4314</v>
      </c>
      <c r="J7" s="136" t="s">
        <v>4315</v>
      </c>
      <c r="K7" s="136" t="s">
        <v>4316</v>
      </c>
      <c r="L7" s="136" t="s">
        <v>4317</v>
      </c>
      <c r="M7" s="136" t="s">
        <v>4275</v>
      </c>
      <c r="N7" s="136"/>
      <c r="O7" s="136" t="s">
        <v>4266</v>
      </c>
      <c r="P7" s="136" t="s">
        <v>4318</v>
      </c>
      <c r="Q7" s="136">
        <v>871559.63</v>
      </c>
      <c r="R7" s="136" t="s">
        <v>4319</v>
      </c>
      <c r="S7" s="136">
        <v>78440.37</v>
      </c>
      <c r="T7" s="136">
        <v>950000</v>
      </c>
      <c r="U7" s="136" t="s">
        <v>4279</v>
      </c>
      <c r="V7" s="136" t="s">
        <v>4280</v>
      </c>
      <c r="W7" s="136" t="s">
        <v>4281</v>
      </c>
      <c r="X7" s="136" t="s">
        <v>4282</v>
      </c>
      <c r="Y7" s="136" t="s">
        <v>4281</v>
      </c>
      <c r="Z7" s="136" t="s">
        <v>4283</v>
      </c>
      <c r="AA7" s="136" t="s">
        <v>4320</v>
      </c>
    </row>
    <row r="8" spans="1:27" ht="15">
      <c r="A8" s="136" t="s">
        <v>4321</v>
      </c>
      <c r="B8" s="136" t="s">
        <v>1013</v>
      </c>
      <c r="C8" s="136" t="s">
        <v>1013</v>
      </c>
      <c r="D8" s="136" t="s">
        <v>4322</v>
      </c>
      <c r="E8" s="136" t="s">
        <v>4268</v>
      </c>
      <c r="F8" s="136" t="s">
        <v>4269</v>
      </c>
      <c r="G8" s="136" t="s">
        <v>4323</v>
      </c>
      <c r="H8" s="136" t="s">
        <v>4324</v>
      </c>
      <c r="I8" s="136" t="s">
        <v>4325</v>
      </c>
      <c r="J8" s="136" t="s">
        <v>4273</v>
      </c>
      <c r="K8" s="136" t="s">
        <v>1013</v>
      </c>
      <c r="L8" s="136" t="s">
        <v>4289</v>
      </c>
      <c r="M8" s="136" t="s">
        <v>4275</v>
      </c>
      <c r="N8" s="136" t="s">
        <v>4276</v>
      </c>
      <c r="O8" s="136" t="s">
        <v>4266</v>
      </c>
      <c r="P8" s="136" t="s">
        <v>4326</v>
      </c>
      <c r="Q8" s="136">
        <v>486092.31</v>
      </c>
      <c r="R8" s="136" t="s">
        <v>4278</v>
      </c>
      <c r="S8" s="136">
        <v>29165.53</v>
      </c>
      <c r="T8" s="136">
        <v>515257.84</v>
      </c>
      <c r="U8" s="136" t="s">
        <v>4279</v>
      </c>
      <c r="V8" s="136" t="s">
        <v>4280</v>
      </c>
      <c r="W8" s="136" t="s">
        <v>4281</v>
      </c>
      <c r="X8" s="136" t="s">
        <v>4282</v>
      </c>
      <c r="Y8" s="136" t="s">
        <v>4281</v>
      </c>
      <c r="Z8" s="136" t="s">
        <v>4283</v>
      </c>
      <c r="AA8" s="136" t="s">
        <v>4327</v>
      </c>
    </row>
    <row r="9" spans="1:27" ht="15">
      <c r="A9" s="136" t="s">
        <v>4328</v>
      </c>
      <c r="B9" s="136" t="s">
        <v>1013</v>
      </c>
      <c r="C9" s="136" t="s">
        <v>1013</v>
      </c>
      <c r="D9" s="136" t="s">
        <v>4329</v>
      </c>
      <c r="E9" s="136" t="s">
        <v>4268</v>
      </c>
      <c r="F9" s="136" t="s">
        <v>4269</v>
      </c>
      <c r="G9" s="136" t="s">
        <v>4330</v>
      </c>
      <c r="H9" s="136" t="s">
        <v>4331</v>
      </c>
      <c r="I9" s="136" t="s">
        <v>4332</v>
      </c>
      <c r="J9" s="136" t="s">
        <v>4273</v>
      </c>
      <c r="K9" s="136" t="s">
        <v>1013</v>
      </c>
      <c r="L9" s="136" t="s">
        <v>4289</v>
      </c>
      <c r="M9" s="136" t="s">
        <v>4275</v>
      </c>
      <c r="N9" s="136" t="s">
        <v>4276</v>
      </c>
      <c r="O9" s="136" t="s">
        <v>4266</v>
      </c>
      <c r="P9" s="136" t="s">
        <v>4333</v>
      </c>
      <c r="Q9" s="136">
        <v>350989.22</v>
      </c>
      <c r="R9" s="136" t="s">
        <v>4278</v>
      </c>
      <c r="S9" s="136">
        <v>21059.360000000001</v>
      </c>
      <c r="T9" s="136">
        <v>372048.58</v>
      </c>
      <c r="U9" s="136" t="s">
        <v>4279</v>
      </c>
      <c r="V9" s="136" t="s">
        <v>4280</v>
      </c>
      <c r="W9" s="136" t="s">
        <v>4281</v>
      </c>
      <c r="X9" s="136" t="s">
        <v>4282</v>
      </c>
      <c r="Y9" s="136" t="s">
        <v>4281</v>
      </c>
      <c r="Z9" s="136" t="s">
        <v>4283</v>
      </c>
      <c r="AA9" s="136" t="s">
        <v>4334</v>
      </c>
    </row>
    <row r="10" spans="1:27" ht="15">
      <c r="A10" s="136" t="s">
        <v>4335</v>
      </c>
      <c r="B10" s="136" t="s">
        <v>1013</v>
      </c>
      <c r="C10" s="136" t="s">
        <v>1013</v>
      </c>
      <c r="D10" s="136" t="s">
        <v>4336</v>
      </c>
      <c r="E10" s="136" t="s">
        <v>4268</v>
      </c>
      <c r="F10" s="136" t="s">
        <v>4269</v>
      </c>
      <c r="G10" s="136" t="s">
        <v>4337</v>
      </c>
      <c r="H10" s="136" t="s">
        <v>4338</v>
      </c>
      <c r="I10" s="136" t="s">
        <v>4339</v>
      </c>
      <c r="J10" s="136" t="s">
        <v>4273</v>
      </c>
      <c r="K10" s="136" t="s">
        <v>1013</v>
      </c>
      <c r="L10" s="136" t="s">
        <v>4289</v>
      </c>
      <c r="M10" s="136" t="s">
        <v>4275</v>
      </c>
      <c r="N10" s="136" t="s">
        <v>4276</v>
      </c>
      <c r="O10" s="136" t="s">
        <v>4266</v>
      </c>
      <c r="P10" s="136" t="s">
        <v>4333</v>
      </c>
      <c r="Q10" s="136">
        <v>350989.22</v>
      </c>
      <c r="R10" s="136" t="s">
        <v>4278</v>
      </c>
      <c r="S10" s="136">
        <v>21059.360000000001</v>
      </c>
      <c r="T10" s="136">
        <v>372048.58</v>
      </c>
      <c r="U10" s="136" t="s">
        <v>4279</v>
      </c>
      <c r="V10" s="136" t="s">
        <v>4280</v>
      </c>
      <c r="W10" s="136" t="s">
        <v>4281</v>
      </c>
      <c r="X10" s="136" t="s">
        <v>4282</v>
      </c>
      <c r="Y10" s="136" t="s">
        <v>4281</v>
      </c>
      <c r="Z10" s="136" t="s">
        <v>4283</v>
      </c>
      <c r="AA10" s="136" t="s">
        <v>4340</v>
      </c>
    </row>
    <row r="11" spans="1:27" ht="15">
      <c r="A11" s="136" t="s">
        <v>4341</v>
      </c>
      <c r="B11" s="136" t="s">
        <v>1013</v>
      </c>
      <c r="C11" s="136" t="s">
        <v>1013</v>
      </c>
      <c r="D11" s="136" t="s">
        <v>4342</v>
      </c>
      <c r="E11" s="136" t="s">
        <v>4268</v>
      </c>
      <c r="F11" s="136" t="s">
        <v>4269</v>
      </c>
      <c r="G11" s="136" t="s">
        <v>4343</v>
      </c>
      <c r="H11" s="136" t="s">
        <v>4344</v>
      </c>
      <c r="I11" s="136" t="s">
        <v>4345</v>
      </c>
      <c r="J11" s="136" t="s">
        <v>4273</v>
      </c>
      <c r="K11" s="136" t="s">
        <v>1013</v>
      </c>
      <c r="L11" s="136" t="s">
        <v>4289</v>
      </c>
      <c r="M11" s="136" t="s">
        <v>4275</v>
      </c>
      <c r="N11" s="136" t="s">
        <v>4276</v>
      </c>
      <c r="O11" s="136" t="s">
        <v>4266</v>
      </c>
      <c r="P11" s="136" t="s">
        <v>4333</v>
      </c>
      <c r="Q11" s="136">
        <v>350989.22</v>
      </c>
      <c r="R11" s="136" t="s">
        <v>4278</v>
      </c>
      <c r="S11" s="136">
        <v>21059.360000000001</v>
      </c>
      <c r="T11" s="136">
        <v>372048.58</v>
      </c>
      <c r="U11" s="136" t="s">
        <v>4279</v>
      </c>
      <c r="V11" s="136" t="s">
        <v>4280</v>
      </c>
      <c r="W11" s="136" t="s">
        <v>4281</v>
      </c>
      <c r="X11" s="136" t="s">
        <v>4282</v>
      </c>
      <c r="Y11" s="136" t="s">
        <v>4281</v>
      </c>
      <c r="Z11" s="136" t="s">
        <v>4283</v>
      </c>
      <c r="AA11" s="136" t="s">
        <v>4346</v>
      </c>
    </row>
    <row r="12" spans="1:27" ht="15">
      <c r="A12" s="136" t="s">
        <v>4347</v>
      </c>
      <c r="B12" s="136" t="s">
        <v>1013</v>
      </c>
      <c r="C12" s="136" t="s">
        <v>1013</v>
      </c>
      <c r="D12" s="136" t="s">
        <v>4348</v>
      </c>
      <c r="E12" s="136" t="s">
        <v>4268</v>
      </c>
      <c r="F12" s="136" t="s">
        <v>4269</v>
      </c>
      <c r="G12" s="136" t="s">
        <v>4349</v>
      </c>
      <c r="H12" s="136" t="s">
        <v>4350</v>
      </c>
      <c r="I12" s="136" t="s">
        <v>4351</v>
      </c>
      <c r="J12" s="136" t="s">
        <v>4273</v>
      </c>
      <c r="K12" s="136" t="s">
        <v>1013</v>
      </c>
      <c r="L12" s="136" t="s">
        <v>4289</v>
      </c>
      <c r="M12" s="136" t="s">
        <v>4275</v>
      </c>
      <c r="N12" s="136" t="s">
        <v>4276</v>
      </c>
      <c r="O12" s="136" t="s">
        <v>4266</v>
      </c>
      <c r="P12" s="136" t="s">
        <v>4352</v>
      </c>
      <c r="Q12" s="136">
        <v>938094.72</v>
      </c>
      <c r="R12" s="136" t="s">
        <v>4278</v>
      </c>
      <c r="S12" s="136">
        <v>56285.68</v>
      </c>
      <c r="T12" s="136">
        <v>994380.4</v>
      </c>
      <c r="U12" s="136" t="s">
        <v>4279</v>
      </c>
      <c r="V12" s="136" t="s">
        <v>4280</v>
      </c>
      <c r="W12" s="136" t="s">
        <v>4281</v>
      </c>
      <c r="X12" s="136" t="s">
        <v>4282</v>
      </c>
      <c r="Y12" s="136" t="s">
        <v>4281</v>
      </c>
      <c r="Z12" s="136" t="s">
        <v>4283</v>
      </c>
      <c r="AA12" s="136" t="s">
        <v>4353</v>
      </c>
    </row>
    <row r="13" spans="1:27" ht="15">
      <c r="A13" s="136" t="s">
        <v>4354</v>
      </c>
      <c r="B13" s="136" t="s">
        <v>1013</v>
      </c>
      <c r="C13" s="136" t="s">
        <v>1013</v>
      </c>
      <c r="D13" s="136" t="s">
        <v>4355</v>
      </c>
      <c r="E13" s="136" t="s">
        <v>4268</v>
      </c>
      <c r="F13" s="136" t="s">
        <v>4269</v>
      </c>
      <c r="G13" s="136" t="s">
        <v>4356</v>
      </c>
      <c r="H13" s="136" t="s">
        <v>4357</v>
      </c>
      <c r="I13" s="136" t="s">
        <v>4358</v>
      </c>
      <c r="J13" s="136" t="s">
        <v>4273</v>
      </c>
      <c r="K13" s="136" t="s">
        <v>1013</v>
      </c>
      <c r="L13" s="136" t="s">
        <v>4289</v>
      </c>
      <c r="M13" s="136" t="s">
        <v>4275</v>
      </c>
      <c r="N13" s="136" t="s">
        <v>4276</v>
      </c>
      <c r="O13" s="136" t="s">
        <v>4266</v>
      </c>
      <c r="P13" s="136" t="s">
        <v>4359</v>
      </c>
      <c r="Q13" s="136">
        <v>348053.19</v>
      </c>
      <c r="R13" s="136" t="s">
        <v>4278</v>
      </c>
      <c r="S13" s="136">
        <v>20883.189999999999</v>
      </c>
      <c r="T13" s="136">
        <v>368936.38</v>
      </c>
      <c r="U13" s="136" t="s">
        <v>4279</v>
      </c>
      <c r="V13" s="136" t="s">
        <v>4280</v>
      </c>
      <c r="W13" s="136" t="s">
        <v>4281</v>
      </c>
      <c r="X13" s="136" t="s">
        <v>4282</v>
      </c>
      <c r="Y13" s="136" t="s">
        <v>4281</v>
      </c>
      <c r="Z13" s="136" t="s">
        <v>4283</v>
      </c>
      <c r="AA13" s="136" t="s">
        <v>4360</v>
      </c>
    </row>
    <row r="14" spans="1:27" ht="15">
      <c r="A14" s="136" t="s">
        <v>4361</v>
      </c>
      <c r="B14" s="136" t="s">
        <v>1013</v>
      </c>
      <c r="C14" s="136" t="s">
        <v>1013</v>
      </c>
      <c r="D14" s="136" t="s">
        <v>4362</v>
      </c>
      <c r="E14" s="136" t="s">
        <v>4268</v>
      </c>
      <c r="F14" s="136" t="s">
        <v>4269</v>
      </c>
      <c r="G14" s="136" t="s">
        <v>4363</v>
      </c>
      <c r="H14" s="136" t="s">
        <v>4364</v>
      </c>
      <c r="I14" s="136" t="s">
        <v>4365</v>
      </c>
      <c r="J14" s="136" t="s">
        <v>4273</v>
      </c>
      <c r="K14" s="136" t="s">
        <v>1013</v>
      </c>
      <c r="L14" s="136" t="s">
        <v>4289</v>
      </c>
      <c r="M14" s="136" t="s">
        <v>4275</v>
      </c>
      <c r="N14" s="136" t="s">
        <v>4276</v>
      </c>
      <c r="O14" s="136" t="s">
        <v>4266</v>
      </c>
      <c r="P14" s="136" t="s">
        <v>4366</v>
      </c>
      <c r="Q14" s="136">
        <v>387598.25</v>
      </c>
      <c r="R14" s="136" t="s">
        <v>4278</v>
      </c>
      <c r="S14" s="136">
        <v>23255.9</v>
      </c>
      <c r="T14" s="136">
        <v>410854.15</v>
      </c>
      <c r="U14" s="136" t="s">
        <v>4279</v>
      </c>
      <c r="V14" s="136" t="s">
        <v>4280</v>
      </c>
      <c r="W14" s="136" t="s">
        <v>4281</v>
      </c>
      <c r="X14" s="136" t="s">
        <v>4282</v>
      </c>
      <c r="Y14" s="136" t="s">
        <v>4281</v>
      </c>
      <c r="Z14" s="136" t="s">
        <v>4283</v>
      </c>
      <c r="AA14" s="136" t="s">
        <v>4367</v>
      </c>
    </row>
    <row r="15" spans="1:27" ht="15">
      <c r="A15" s="136" t="s">
        <v>4368</v>
      </c>
      <c r="B15" s="136" t="s">
        <v>1013</v>
      </c>
      <c r="C15" s="136" t="s">
        <v>1013</v>
      </c>
      <c r="D15" s="136" t="s">
        <v>4369</v>
      </c>
      <c r="E15" s="136" t="s">
        <v>4268</v>
      </c>
      <c r="F15" s="136" t="s">
        <v>4269</v>
      </c>
      <c r="G15" s="136" t="s">
        <v>4312</v>
      </c>
      <c r="H15" s="136" t="s">
        <v>4313</v>
      </c>
      <c r="I15" s="136" t="s">
        <v>4370</v>
      </c>
      <c r="J15" s="136" t="s">
        <v>4315</v>
      </c>
      <c r="K15" s="136" t="s">
        <v>4316</v>
      </c>
      <c r="L15" s="136" t="s">
        <v>4317</v>
      </c>
      <c r="M15" s="136" t="s">
        <v>4275</v>
      </c>
      <c r="N15" s="136"/>
      <c r="O15" s="136" t="s">
        <v>4266</v>
      </c>
      <c r="P15" s="136" t="s">
        <v>4371</v>
      </c>
      <c r="Q15" s="136">
        <v>88874311.930000007</v>
      </c>
      <c r="R15" s="136" t="s">
        <v>4319</v>
      </c>
      <c r="S15" s="136">
        <v>7998688.0700000003</v>
      </c>
      <c r="T15" s="136">
        <v>96873000</v>
      </c>
      <c r="U15" s="136" t="s">
        <v>4279</v>
      </c>
      <c r="V15" s="136" t="s">
        <v>4280</v>
      </c>
      <c r="W15" s="136" t="s">
        <v>4281</v>
      </c>
      <c r="X15" s="136" t="s">
        <v>4282</v>
      </c>
      <c r="Y15" s="136" t="s">
        <v>4281</v>
      </c>
      <c r="Z15" s="136" t="s">
        <v>4283</v>
      </c>
      <c r="AA15" s="136" t="s">
        <v>4320</v>
      </c>
    </row>
    <row r="16" spans="1:27" ht="15">
      <c r="A16" s="136" t="s">
        <v>4372</v>
      </c>
      <c r="B16" s="136" t="s">
        <v>1013</v>
      </c>
      <c r="C16" s="136" t="s">
        <v>1013</v>
      </c>
      <c r="D16" s="136" t="s">
        <v>4373</v>
      </c>
      <c r="E16" s="136" t="s">
        <v>4268</v>
      </c>
      <c r="F16" s="136" t="s">
        <v>4269</v>
      </c>
      <c r="G16" s="136" t="s">
        <v>4312</v>
      </c>
      <c r="H16" s="136" t="s">
        <v>4313</v>
      </c>
      <c r="I16" s="136" t="s">
        <v>4374</v>
      </c>
      <c r="J16" s="136" t="s">
        <v>4315</v>
      </c>
      <c r="K16" s="136" t="s">
        <v>4316</v>
      </c>
      <c r="L16" s="136" t="s">
        <v>4317</v>
      </c>
      <c r="M16" s="136" t="s">
        <v>4275</v>
      </c>
      <c r="N16" s="136"/>
      <c r="O16" s="136" t="s">
        <v>4266</v>
      </c>
      <c r="P16" s="136" t="s">
        <v>4375</v>
      </c>
      <c r="Q16" s="136">
        <v>96216327.120000005</v>
      </c>
      <c r="R16" s="136" t="s">
        <v>4319</v>
      </c>
      <c r="S16" s="136">
        <v>8659469.4399999995</v>
      </c>
      <c r="T16" s="136">
        <v>104875796.56</v>
      </c>
      <c r="U16" s="136" t="s">
        <v>4279</v>
      </c>
      <c r="V16" s="136" t="s">
        <v>4280</v>
      </c>
      <c r="W16" s="136" t="s">
        <v>4281</v>
      </c>
      <c r="X16" s="136" t="s">
        <v>4282</v>
      </c>
      <c r="Y16" s="136" t="s">
        <v>4281</v>
      </c>
      <c r="Z16" s="136" t="s">
        <v>4283</v>
      </c>
      <c r="AA16" s="136" t="s">
        <v>4320</v>
      </c>
    </row>
    <row r="17" spans="1:27" ht="15">
      <c r="A17" s="136" t="s">
        <v>4376</v>
      </c>
      <c r="B17" s="136" t="s">
        <v>1013</v>
      </c>
      <c r="C17" s="136" t="s">
        <v>1013</v>
      </c>
      <c r="D17" s="136" t="s">
        <v>4377</v>
      </c>
      <c r="E17" s="136" t="s">
        <v>4268</v>
      </c>
      <c r="F17" s="136" t="s">
        <v>4269</v>
      </c>
      <c r="G17" s="136" t="s">
        <v>4378</v>
      </c>
      <c r="H17" s="136" t="s">
        <v>275</v>
      </c>
      <c r="I17" s="136" t="s">
        <v>4379</v>
      </c>
      <c r="J17" s="136" t="s">
        <v>4380</v>
      </c>
      <c r="K17" s="136" t="s">
        <v>1013</v>
      </c>
      <c r="L17" s="136" t="s">
        <v>4381</v>
      </c>
      <c r="M17" s="136" t="s">
        <v>4382</v>
      </c>
      <c r="N17" s="136" t="s">
        <v>4383</v>
      </c>
      <c r="O17" s="136" t="s">
        <v>4384</v>
      </c>
      <c r="P17" s="136" t="s">
        <v>4385</v>
      </c>
      <c r="Q17" s="136">
        <v>2230088.5</v>
      </c>
      <c r="R17" s="136" t="s">
        <v>4386</v>
      </c>
      <c r="S17" s="136">
        <v>289911.5</v>
      </c>
      <c r="T17" s="136">
        <v>2520000</v>
      </c>
      <c r="U17" s="136" t="s">
        <v>4279</v>
      </c>
      <c r="V17" s="136" t="s">
        <v>4280</v>
      </c>
      <c r="W17" s="136" t="s">
        <v>4281</v>
      </c>
      <c r="X17" s="136" t="s">
        <v>4282</v>
      </c>
      <c r="Y17" s="136" t="s">
        <v>4281</v>
      </c>
      <c r="Z17" s="136" t="s">
        <v>4283</v>
      </c>
      <c r="AA17" s="136"/>
    </row>
    <row r="18" spans="1:27" ht="15">
      <c r="A18" s="136" t="s">
        <v>4387</v>
      </c>
      <c r="B18" s="136" t="s">
        <v>1013</v>
      </c>
      <c r="C18" s="136" t="s">
        <v>1013</v>
      </c>
      <c r="D18" s="136" t="s">
        <v>4388</v>
      </c>
      <c r="E18" s="136" t="s">
        <v>4268</v>
      </c>
      <c r="F18" s="136" t="s">
        <v>4269</v>
      </c>
      <c r="G18" s="136" t="s">
        <v>4378</v>
      </c>
      <c r="H18" s="136" t="s">
        <v>275</v>
      </c>
      <c r="I18" s="136" t="s">
        <v>4389</v>
      </c>
      <c r="J18" s="136" t="s">
        <v>4380</v>
      </c>
      <c r="K18" s="136" t="s">
        <v>1013</v>
      </c>
      <c r="L18" s="136" t="s">
        <v>4390</v>
      </c>
      <c r="M18" s="136"/>
      <c r="N18" s="136" t="s">
        <v>4383</v>
      </c>
      <c r="O18" s="136" t="s">
        <v>4384</v>
      </c>
      <c r="P18" s="136" t="s">
        <v>4391</v>
      </c>
      <c r="Q18" s="136">
        <v>25776106.190000001</v>
      </c>
      <c r="R18" s="136" t="s">
        <v>4386</v>
      </c>
      <c r="S18" s="136">
        <v>3350893.81</v>
      </c>
      <c r="T18" s="136">
        <v>29127000</v>
      </c>
      <c r="U18" s="136" t="s">
        <v>4279</v>
      </c>
      <c r="V18" s="136" t="s">
        <v>4280</v>
      </c>
      <c r="W18" s="136" t="s">
        <v>4281</v>
      </c>
      <c r="X18" s="136" t="s">
        <v>4282</v>
      </c>
      <c r="Y18" s="136" t="s">
        <v>4281</v>
      </c>
      <c r="Z18" s="136" t="s">
        <v>4283</v>
      </c>
      <c r="AA18" s="136"/>
    </row>
    <row r="19" spans="1:27" ht="15">
      <c r="A19" s="136" t="s">
        <v>4392</v>
      </c>
      <c r="B19" s="136" t="s">
        <v>1013</v>
      </c>
      <c r="C19" s="136" t="s">
        <v>1013</v>
      </c>
      <c r="D19" s="136" t="s">
        <v>4393</v>
      </c>
      <c r="E19" s="136" t="s">
        <v>4268</v>
      </c>
      <c r="F19" s="136" t="s">
        <v>4269</v>
      </c>
      <c r="G19" s="136" t="s">
        <v>4378</v>
      </c>
      <c r="H19" s="136" t="s">
        <v>275</v>
      </c>
      <c r="I19" s="136" t="s">
        <v>4394</v>
      </c>
      <c r="J19" s="136" t="s">
        <v>4380</v>
      </c>
      <c r="K19" s="136" t="s">
        <v>1013</v>
      </c>
      <c r="L19" s="136" t="s">
        <v>4395</v>
      </c>
      <c r="M19" s="136" t="s">
        <v>4396</v>
      </c>
      <c r="N19" s="136" t="s">
        <v>4383</v>
      </c>
      <c r="O19" s="136" t="s">
        <v>4397</v>
      </c>
      <c r="P19" s="136" t="s">
        <v>4398</v>
      </c>
      <c r="Q19" s="136">
        <v>6576283.4299999997</v>
      </c>
      <c r="R19" s="136" t="s">
        <v>4386</v>
      </c>
      <c r="S19" s="136">
        <v>854916.85</v>
      </c>
      <c r="T19" s="136">
        <v>7431200.2800000003</v>
      </c>
      <c r="U19" s="136" t="s">
        <v>4279</v>
      </c>
      <c r="V19" s="136" t="s">
        <v>4280</v>
      </c>
      <c r="W19" s="136" t="s">
        <v>4281</v>
      </c>
      <c r="X19" s="136" t="s">
        <v>4282</v>
      </c>
      <c r="Y19" s="136" t="s">
        <v>4281</v>
      </c>
      <c r="Z19" s="136" t="s">
        <v>4283</v>
      </c>
      <c r="AA19" s="136"/>
    </row>
    <row r="20" spans="1:27" ht="15">
      <c r="A20" s="136" t="s">
        <v>4399</v>
      </c>
      <c r="B20" s="136" t="s">
        <v>1013</v>
      </c>
      <c r="C20" s="136" t="s">
        <v>1013</v>
      </c>
      <c r="D20" s="136" t="s">
        <v>4400</v>
      </c>
      <c r="E20" s="136" t="s">
        <v>4268</v>
      </c>
      <c r="F20" s="136" t="s">
        <v>4269</v>
      </c>
      <c r="G20" s="136" t="s">
        <v>4378</v>
      </c>
      <c r="H20" s="136" t="s">
        <v>275</v>
      </c>
      <c r="I20" s="136" t="s">
        <v>4401</v>
      </c>
      <c r="J20" s="136" t="s">
        <v>4380</v>
      </c>
      <c r="K20" s="136" t="s">
        <v>1013</v>
      </c>
      <c r="L20" s="136" t="s">
        <v>4395</v>
      </c>
      <c r="M20" s="136" t="s">
        <v>4396</v>
      </c>
      <c r="N20" s="136" t="s">
        <v>4383</v>
      </c>
      <c r="O20" s="136" t="s">
        <v>4402</v>
      </c>
      <c r="P20" s="136" t="s">
        <v>4403</v>
      </c>
      <c r="Q20" s="136">
        <v>320301112.25</v>
      </c>
      <c r="R20" s="136" t="s">
        <v>4386</v>
      </c>
      <c r="S20" s="136">
        <v>41639144.590000004</v>
      </c>
      <c r="T20" s="136">
        <v>361940256.83999997</v>
      </c>
      <c r="U20" s="136" t="s">
        <v>4279</v>
      </c>
      <c r="V20" s="136" t="s">
        <v>4280</v>
      </c>
      <c r="W20" s="136" t="s">
        <v>4281</v>
      </c>
      <c r="X20" s="136" t="s">
        <v>4282</v>
      </c>
      <c r="Y20" s="136" t="s">
        <v>4281</v>
      </c>
      <c r="Z20" s="136" t="s">
        <v>4283</v>
      </c>
      <c r="AA20" s="136"/>
    </row>
    <row r="21" spans="1:27" ht="15">
      <c r="A21" s="136" t="s">
        <v>4404</v>
      </c>
      <c r="B21" s="136" t="s">
        <v>1013</v>
      </c>
      <c r="C21" s="136" t="s">
        <v>1013</v>
      </c>
      <c r="D21" s="136" t="s">
        <v>4405</v>
      </c>
      <c r="E21" s="136" t="s">
        <v>4268</v>
      </c>
      <c r="F21" s="136" t="s">
        <v>4269</v>
      </c>
      <c r="G21" s="136" t="s">
        <v>4406</v>
      </c>
      <c r="H21" s="136" t="s">
        <v>269</v>
      </c>
      <c r="I21" s="136" t="s">
        <v>4407</v>
      </c>
      <c r="J21" s="136" t="s">
        <v>4380</v>
      </c>
      <c r="K21" s="136" t="s">
        <v>1013</v>
      </c>
      <c r="L21" s="136" t="s">
        <v>4390</v>
      </c>
      <c r="M21" s="136"/>
      <c r="N21" s="136" t="s">
        <v>4383</v>
      </c>
      <c r="O21" s="136" t="s">
        <v>4408</v>
      </c>
      <c r="P21" s="136" t="s">
        <v>4409</v>
      </c>
      <c r="Q21" s="136">
        <v>35595575.219999999</v>
      </c>
      <c r="R21" s="136" t="s">
        <v>4386</v>
      </c>
      <c r="S21" s="136">
        <v>4627424.78</v>
      </c>
      <c r="T21" s="136">
        <v>40223000</v>
      </c>
      <c r="U21" s="136" t="s">
        <v>4279</v>
      </c>
      <c r="V21" s="136" t="s">
        <v>4280</v>
      </c>
      <c r="W21" s="136" t="s">
        <v>4281</v>
      </c>
      <c r="X21" s="136" t="s">
        <v>4282</v>
      </c>
      <c r="Y21" s="136" t="s">
        <v>4281</v>
      </c>
      <c r="Z21" s="136" t="s">
        <v>4283</v>
      </c>
      <c r="AA21" s="136"/>
    </row>
    <row r="22" spans="1:27" ht="15">
      <c r="A22" s="136" t="s">
        <v>4410</v>
      </c>
      <c r="B22" s="136" t="s">
        <v>1013</v>
      </c>
      <c r="C22" s="136" t="s">
        <v>1013</v>
      </c>
      <c r="D22" s="136" t="s">
        <v>4411</v>
      </c>
      <c r="E22" s="136" t="s">
        <v>4268</v>
      </c>
      <c r="F22" s="136" t="s">
        <v>4269</v>
      </c>
      <c r="G22" s="136" t="s">
        <v>4406</v>
      </c>
      <c r="H22" s="136" t="s">
        <v>269</v>
      </c>
      <c r="I22" s="136" t="s">
        <v>4412</v>
      </c>
      <c r="J22" s="136" t="s">
        <v>4380</v>
      </c>
      <c r="K22" s="136" t="s">
        <v>1013</v>
      </c>
      <c r="L22" s="136" t="s">
        <v>4381</v>
      </c>
      <c r="M22" s="136" t="s">
        <v>4382</v>
      </c>
      <c r="N22" s="136" t="s">
        <v>4383</v>
      </c>
      <c r="O22" s="136" t="s">
        <v>4408</v>
      </c>
      <c r="P22" s="136" t="s">
        <v>4413</v>
      </c>
      <c r="Q22" s="136">
        <v>3079646.02</v>
      </c>
      <c r="R22" s="136" t="s">
        <v>4386</v>
      </c>
      <c r="S22" s="136">
        <v>400353.98</v>
      </c>
      <c r="T22" s="136">
        <v>3480000</v>
      </c>
      <c r="U22" s="136" t="s">
        <v>4279</v>
      </c>
      <c r="V22" s="136" t="s">
        <v>4280</v>
      </c>
      <c r="W22" s="136" t="s">
        <v>4281</v>
      </c>
      <c r="X22" s="136" t="s">
        <v>4282</v>
      </c>
      <c r="Y22" s="136" t="s">
        <v>4281</v>
      </c>
      <c r="Z22" s="136" t="s">
        <v>4283</v>
      </c>
      <c r="AA22" s="136"/>
    </row>
    <row r="23" spans="1:27" ht="15">
      <c r="A23" s="136" t="s">
        <v>4414</v>
      </c>
      <c r="B23" s="136" t="s">
        <v>1013</v>
      </c>
      <c r="C23" s="136" t="s">
        <v>1013</v>
      </c>
      <c r="D23" s="136" t="s">
        <v>4415</v>
      </c>
      <c r="E23" s="136" t="s">
        <v>4268</v>
      </c>
      <c r="F23" s="136" t="s">
        <v>4269</v>
      </c>
      <c r="G23" s="136" t="s">
        <v>4406</v>
      </c>
      <c r="H23" s="136" t="s">
        <v>269</v>
      </c>
      <c r="I23" s="136" t="s">
        <v>4416</v>
      </c>
      <c r="J23" s="136" t="s">
        <v>4380</v>
      </c>
      <c r="K23" s="136" t="s">
        <v>1013</v>
      </c>
      <c r="L23" s="136" t="s">
        <v>4395</v>
      </c>
      <c r="M23" s="136" t="s">
        <v>4396</v>
      </c>
      <c r="N23" s="136" t="s">
        <v>4383</v>
      </c>
      <c r="O23" s="136" t="s">
        <v>4417</v>
      </c>
      <c r="P23" s="136" t="s">
        <v>4418</v>
      </c>
      <c r="Q23" s="136">
        <v>2575176.91</v>
      </c>
      <c r="R23" s="136" t="s">
        <v>4386</v>
      </c>
      <c r="S23" s="136">
        <v>334773</v>
      </c>
      <c r="T23" s="136">
        <v>2909949.91</v>
      </c>
      <c r="U23" s="136" t="s">
        <v>4279</v>
      </c>
      <c r="V23" s="136" t="s">
        <v>4280</v>
      </c>
      <c r="W23" s="136" t="s">
        <v>4281</v>
      </c>
      <c r="X23" s="136" t="s">
        <v>4282</v>
      </c>
      <c r="Y23" s="136" t="s">
        <v>4281</v>
      </c>
      <c r="Z23" s="136" t="s">
        <v>4283</v>
      </c>
      <c r="AA23" s="136"/>
    </row>
    <row r="24" spans="1:27" ht="15">
      <c r="A24" s="136" t="s">
        <v>4419</v>
      </c>
      <c r="B24" s="136" t="s">
        <v>1013</v>
      </c>
      <c r="C24" s="136" t="s">
        <v>1013</v>
      </c>
      <c r="D24" s="136" t="s">
        <v>4420</v>
      </c>
      <c r="E24" s="136" t="s">
        <v>4268</v>
      </c>
      <c r="F24" s="136" t="s">
        <v>4269</v>
      </c>
      <c r="G24" s="136" t="s">
        <v>4406</v>
      </c>
      <c r="H24" s="136" t="s">
        <v>269</v>
      </c>
      <c r="I24" s="136" t="s">
        <v>4421</v>
      </c>
      <c r="J24" s="136" t="s">
        <v>4380</v>
      </c>
      <c r="K24" s="136" t="s">
        <v>1013</v>
      </c>
      <c r="L24" s="136" t="s">
        <v>4395</v>
      </c>
      <c r="M24" s="136" t="s">
        <v>4396</v>
      </c>
      <c r="N24" s="136" t="s">
        <v>4383</v>
      </c>
      <c r="O24" s="136" t="s">
        <v>4392</v>
      </c>
      <c r="P24" s="136" t="s">
        <v>4403</v>
      </c>
      <c r="Q24" s="136">
        <v>164726286.30000001</v>
      </c>
      <c r="R24" s="136" t="s">
        <v>4386</v>
      </c>
      <c r="S24" s="136">
        <v>21414417.219999999</v>
      </c>
      <c r="T24" s="136">
        <v>186140703.52000001</v>
      </c>
      <c r="U24" s="136" t="s">
        <v>4279</v>
      </c>
      <c r="V24" s="136" t="s">
        <v>4280</v>
      </c>
      <c r="W24" s="136" t="s">
        <v>4281</v>
      </c>
      <c r="X24" s="136" t="s">
        <v>4282</v>
      </c>
      <c r="Y24" s="136" t="s">
        <v>4281</v>
      </c>
      <c r="Z24" s="136" t="s">
        <v>4283</v>
      </c>
      <c r="AA24" s="136"/>
    </row>
    <row r="25" spans="1:27" ht="15">
      <c r="A25" s="136" t="s">
        <v>4422</v>
      </c>
      <c r="B25" s="136" t="s">
        <v>1013</v>
      </c>
      <c r="C25" s="136" t="s">
        <v>1013</v>
      </c>
      <c r="D25" s="136" t="s">
        <v>4423</v>
      </c>
      <c r="E25" s="136" t="s">
        <v>4268</v>
      </c>
      <c r="F25" s="136" t="s">
        <v>4269</v>
      </c>
      <c r="G25" s="136" t="s">
        <v>4406</v>
      </c>
      <c r="H25" s="136" t="s">
        <v>269</v>
      </c>
      <c r="I25" s="136" t="s">
        <v>4424</v>
      </c>
      <c r="J25" s="136" t="s">
        <v>4380</v>
      </c>
      <c r="K25" s="136" t="s">
        <v>1013</v>
      </c>
      <c r="L25" s="136" t="s">
        <v>4395</v>
      </c>
      <c r="M25" s="136" t="s">
        <v>4396</v>
      </c>
      <c r="N25" s="136" t="s">
        <v>4383</v>
      </c>
      <c r="O25" s="136" t="s">
        <v>4425</v>
      </c>
      <c r="P25" s="136" t="s">
        <v>4426</v>
      </c>
      <c r="Q25" s="136">
        <v>277493662.64999998</v>
      </c>
      <c r="R25" s="136" t="s">
        <v>4386</v>
      </c>
      <c r="S25" s="136">
        <v>36074176.149999999</v>
      </c>
      <c r="T25" s="136">
        <v>313567838.80000001</v>
      </c>
      <c r="U25" s="136" t="s">
        <v>4279</v>
      </c>
      <c r="V25" s="136" t="s">
        <v>4280</v>
      </c>
      <c r="W25" s="136" t="s">
        <v>4281</v>
      </c>
      <c r="X25" s="136" t="s">
        <v>4282</v>
      </c>
      <c r="Y25" s="136" t="s">
        <v>4281</v>
      </c>
      <c r="Z25" s="136" t="s">
        <v>4283</v>
      </c>
      <c r="AA25" s="136"/>
    </row>
    <row r="26" spans="1:27" ht="15">
      <c r="A26" s="136" t="s">
        <v>4427</v>
      </c>
      <c r="B26" s="136" t="s">
        <v>1013</v>
      </c>
      <c r="C26" s="136" t="s">
        <v>1013</v>
      </c>
      <c r="D26" s="136" t="s">
        <v>4428</v>
      </c>
      <c r="E26" s="136" t="s">
        <v>4268</v>
      </c>
      <c r="F26" s="136" t="s">
        <v>4269</v>
      </c>
      <c r="G26" s="136" t="s">
        <v>4429</v>
      </c>
      <c r="H26" s="136" t="s">
        <v>4430</v>
      </c>
      <c r="I26" s="136" t="s">
        <v>4431</v>
      </c>
      <c r="J26" s="136" t="s">
        <v>4273</v>
      </c>
      <c r="K26" s="136" t="s">
        <v>1013</v>
      </c>
      <c r="L26" s="136" t="s">
        <v>4289</v>
      </c>
      <c r="M26" s="136" t="s">
        <v>4275</v>
      </c>
      <c r="N26" s="136" t="s">
        <v>4276</v>
      </c>
      <c r="O26" s="136" t="s">
        <v>4266</v>
      </c>
      <c r="P26" s="136" t="s">
        <v>4432</v>
      </c>
      <c r="Q26" s="136">
        <v>26449.88</v>
      </c>
      <c r="R26" s="136" t="s">
        <v>4278</v>
      </c>
      <c r="S26" s="136">
        <v>1586.99</v>
      </c>
      <c r="T26" s="136">
        <v>28036.87</v>
      </c>
      <c r="U26" s="136" t="s">
        <v>4279</v>
      </c>
      <c r="V26" s="136" t="s">
        <v>4280</v>
      </c>
      <c r="W26" s="136" t="s">
        <v>4281</v>
      </c>
      <c r="X26" s="136" t="s">
        <v>4282</v>
      </c>
      <c r="Y26" s="136" t="s">
        <v>4281</v>
      </c>
      <c r="Z26" s="136" t="s">
        <v>4283</v>
      </c>
      <c r="AA26" s="136" t="s">
        <v>4327</v>
      </c>
    </row>
    <row r="27" spans="1:27" ht="15">
      <c r="A27" s="136" t="s">
        <v>4433</v>
      </c>
      <c r="B27" s="136" t="s">
        <v>1013</v>
      </c>
      <c r="C27" s="136" t="s">
        <v>1013</v>
      </c>
      <c r="D27" s="136" t="s">
        <v>4434</v>
      </c>
      <c r="E27" s="136" t="s">
        <v>4268</v>
      </c>
      <c r="F27" s="136" t="s">
        <v>4269</v>
      </c>
      <c r="G27" s="136" t="s">
        <v>4349</v>
      </c>
      <c r="H27" s="136" t="s">
        <v>4350</v>
      </c>
      <c r="I27" s="136" t="s">
        <v>4435</v>
      </c>
      <c r="J27" s="136" t="s">
        <v>4273</v>
      </c>
      <c r="K27" s="136" t="s">
        <v>1013</v>
      </c>
      <c r="L27" s="136" t="s">
        <v>4289</v>
      </c>
      <c r="M27" s="136" t="s">
        <v>4275</v>
      </c>
      <c r="N27" s="136" t="s">
        <v>4276</v>
      </c>
      <c r="O27" s="136" t="s">
        <v>4266</v>
      </c>
      <c r="P27" s="136" t="s">
        <v>4436</v>
      </c>
      <c r="Q27" s="136">
        <v>61093.599999999999</v>
      </c>
      <c r="R27" s="136" t="s">
        <v>4278</v>
      </c>
      <c r="S27" s="136">
        <v>3665.62</v>
      </c>
      <c r="T27" s="136">
        <v>64759.22</v>
      </c>
      <c r="U27" s="136" t="s">
        <v>4279</v>
      </c>
      <c r="V27" s="136" t="s">
        <v>4280</v>
      </c>
      <c r="W27" s="136" t="s">
        <v>4281</v>
      </c>
      <c r="X27" s="136" t="s">
        <v>4282</v>
      </c>
      <c r="Y27" s="136" t="s">
        <v>4281</v>
      </c>
      <c r="Z27" s="136" t="s">
        <v>4283</v>
      </c>
      <c r="AA27" s="136" t="s">
        <v>4353</v>
      </c>
    </row>
    <row r="28" spans="1:27" ht="15">
      <c r="A28" s="136" t="s">
        <v>4437</v>
      </c>
      <c r="B28" s="136" t="s">
        <v>1013</v>
      </c>
      <c r="C28" s="136" t="s">
        <v>1013</v>
      </c>
      <c r="D28" s="136" t="s">
        <v>4438</v>
      </c>
      <c r="E28" s="136" t="s">
        <v>4268</v>
      </c>
      <c r="F28" s="136" t="s">
        <v>4269</v>
      </c>
      <c r="G28" s="136" t="s">
        <v>4323</v>
      </c>
      <c r="H28" s="136" t="s">
        <v>4324</v>
      </c>
      <c r="I28" s="136" t="s">
        <v>4439</v>
      </c>
      <c r="J28" s="136" t="s">
        <v>4273</v>
      </c>
      <c r="K28" s="136" t="s">
        <v>1013</v>
      </c>
      <c r="L28" s="136" t="s">
        <v>4289</v>
      </c>
      <c r="M28" s="136" t="s">
        <v>4275</v>
      </c>
      <c r="N28" s="136" t="s">
        <v>4276</v>
      </c>
      <c r="O28" s="136" t="s">
        <v>4440</v>
      </c>
      <c r="P28" s="136" t="s">
        <v>4432</v>
      </c>
      <c r="Q28" s="136">
        <v>-26449.88</v>
      </c>
      <c r="R28" s="136" t="s">
        <v>4278</v>
      </c>
      <c r="S28" s="136">
        <v>-1586.99</v>
      </c>
      <c r="T28" s="136">
        <v>-28036.87</v>
      </c>
      <c r="U28" s="136" t="s">
        <v>4279</v>
      </c>
      <c r="V28" s="136" t="s">
        <v>4280</v>
      </c>
      <c r="W28" s="136" t="s">
        <v>4281</v>
      </c>
      <c r="X28" s="136" t="s">
        <v>4441</v>
      </c>
      <c r="Y28" s="136" t="s">
        <v>4281</v>
      </c>
      <c r="Z28" s="136" t="s">
        <v>4283</v>
      </c>
      <c r="AA28" s="136" t="s">
        <v>4442</v>
      </c>
    </row>
    <row r="29" spans="1:27" ht="15">
      <c r="A29" s="136" t="s">
        <v>4443</v>
      </c>
      <c r="B29" s="136" t="s">
        <v>1013</v>
      </c>
      <c r="C29" s="136" t="s">
        <v>1013</v>
      </c>
      <c r="D29" s="136" t="s">
        <v>4444</v>
      </c>
      <c r="E29" s="136" t="s">
        <v>4268</v>
      </c>
      <c r="F29" s="136" t="s">
        <v>4269</v>
      </c>
      <c r="G29" s="136" t="s">
        <v>4429</v>
      </c>
      <c r="H29" s="136" t="s">
        <v>4430</v>
      </c>
      <c r="I29" s="136" t="s">
        <v>4445</v>
      </c>
      <c r="J29" s="136" t="s">
        <v>4273</v>
      </c>
      <c r="K29" s="136" t="s">
        <v>1013</v>
      </c>
      <c r="L29" s="136" t="s">
        <v>4289</v>
      </c>
      <c r="M29" s="136" t="s">
        <v>4275</v>
      </c>
      <c r="N29" s="136" t="s">
        <v>4276</v>
      </c>
      <c r="O29" s="136" t="s">
        <v>4440</v>
      </c>
      <c r="P29" s="136" t="s">
        <v>4436</v>
      </c>
      <c r="Q29" s="136">
        <v>-61093.599999999999</v>
      </c>
      <c r="R29" s="136" t="s">
        <v>4278</v>
      </c>
      <c r="S29" s="136">
        <v>-3665.62</v>
      </c>
      <c r="T29" s="136">
        <v>-64759.22</v>
      </c>
      <c r="U29" s="136" t="s">
        <v>4279</v>
      </c>
      <c r="V29" s="136" t="s">
        <v>4280</v>
      </c>
      <c r="W29" s="136" t="s">
        <v>4281</v>
      </c>
      <c r="X29" s="136" t="s">
        <v>4441</v>
      </c>
      <c r="Y29" s="136" t="s">
        <v>4281</v>
      </c>
      <c r="Z29" s="136" t="s">
        <v>4283</v>
      </c>
      <c r="AA29" s="136" t="s">
        <v>4446</v>
      </c>
    </row>
    <row r="30" spans="1:27" ht="15">
      <c r="A30" s="136" t="s">
        <v>4447</v>
      </c>
      <c r="B30" s="136" t="s">
        <v>1013</v>
      </c>
      <c r="C30" s="136" t="s">
        <v>1013</v>
      </c>
      <c r="D30" s="136" t="s">
        <v>4448</v>
      </c>
      <c r="E30" s="136" t="s">
        <v>4268</v>
      </c>
      <c r="F30" s="136" t="s">
        <v>4269</v>
      </c>
      <c r="G30" s="136" t="s">
        <v>4449</v>
      </c>
      <c r="H30" s="136" t="s">
        <v>4450</v>
      </c>
      <c r="I30" s="136" t="s">
        <v>4451</v>
      </c>
      <c r="J30" s="136" t="s">
        <v>4273</v>
      </c>
      <c r="K30" s="136" t="s">
        <v>1013</v>
      </c>
      <c r="L30" s="136" t="s">
        <v>4289</v>
      </c>
      <c r="M30" s="136" t="s">
        <v>4275</v>
      </c>
      <c r="N30" s="136" t="s">
        <v>4276</v>
      </c>
      <c r="O30" s="136" t="s">
        <v>4440</v>
      </c>
      <c r="P30" s="136" t="s">
        <v>4452</v>
      </c>
      <c r="Q30" s="136">
        <v>-30546.79</v>
      </c>
      <c r="R30" s="136" t="s">
        <v>4278</v>
      </c>
      <c r="S30" s="136">
        <v>-1832.81</v>
      </c>
      <c r="T30" s="136">
        <v>-32379.599999999999</v>
      </c>
      <c r="U30" s="136" t="s">
        <v>4279</v>
      </c>
      <c r="V30" s="136" t="s">
        <v>4280</v>
      </c>
      <c r="W30" s="136" t="s">
        <v>4281</v>
      </c>
      <c r="X30" s="136" t="s">
        <v>4441</v>
      </c>
      <c r="Y30" s="136" t="s">
        <v>4281</v>
      </c>
      <c r="Z30" s="136" t="s">
        <v>4283</v>
      </c>
      <c r="AA30" s="136" t="s">
        <v>4453</v>
      </c>
    </row>
    <row r="31" spans="1:27" ht="15">
      <c r="A31" s="136" t="s">
        <v>4425</v>
      </c>
      <c r="B31" s="136" t="s">
        <v>1013</v>
      </c>
      <c r="C31" s="136" t="s">
        <v>1013</v>
      </c>
      <c r="D31" s="136" t="s">
        <v>4454</v>
      </c>
      <c r="E31" s="136" t="s">
        <v>4268</v>
      </c>
      <c r="F31" s="136" t="s">
        <v>4269</v>
      </c>
      <c r="G31" s="136" t="s">
        <v>4455</v>
      </c>
      <c r="H31" s="136" t="s">
        <v>4456</v>
      </c>
      <c r="I31" s="136" t="s">
        <v>4457</v>
      </c>
      <c r="J31" s="136" t="s">
        <v>4273</v>
      </c>
      <c r="K31" s="136" t="s">
        <v>1013</v>
      </c>
      <c r="L31" s="136" t="s">
        <v>4289</v>
      </c>
      <c r="M31" s="136" t="s">
        <v>4275</v>
      </c>
      <c r="N31" s="136" t="s">
        <v>4276</v>
      </c>
      <c r="O31" s="136" t="s">
        <v>4266</v>
      </c>
      <c r="P31" s="136" t="s">
        <v>4458</v>
      </c>
      <c r="Q31" s="136">
        <v>537811.43999999994</v>
      </c>
      <c r="R31" s="136" t="s">
        <v>4278</v>
      </c>
      <c r="S31" s="136">
        <v>32268.69</v>
      </c>
      <c r="T31" s="136">
        <v>570080.13</v>
      </c>
      <c r="U31" s="136" t="s">
        <v>4279</v>
      </c>
      <c r="V31" s="136" t="s">
        <v>4280</v>
      </c>
      <c r="W31" s="136" t="s">
        <v>4281</v>
      </c>
      <c r="X31" s="136" t="s">
        <v>4282</v>
      </c>
      <c r="Y31" s="136" t="s">
        <v>4281</v>
      </c>
      <c r="Z31" s="136" t="s">
        <v>4283</v>
      </c>
      <c r="AA31" s="136" t="s">
        <v>4459</v>
      </c>
    </row>
    <row r="32" spans="1:27" ht="15">
      <c r="A32" s="136" t="s">
        <v>4460</v>
      </c>
      <c r="B32" s="136" t="s">
        <v>1013</v>
      </c>
      <c r="C32" s="136" t="s">
        <v>1013</v>
      </c>
      <c r="D32" s="136" t="s">
        <v>4461</v>
      </c>
      <c r="E32" s="136" t="s">
        <v>4268</v>
      </c>
      <c r="F32" s="136" t="s">
        <v>4269</v>
      </c>
      <c r="G32" s="136" t="s">
        <v>4270</v>
      </c>
      <c r="H32" s="136" t="s">
        <v>4271</v>
      </c>
      <c r="I32" s="136" t="s">
        <v>4462</v>
      </c>
      <c r="J32" s="136" t="s">
        <v>4315</v>
      </c>
      <c r="K32" s="136" t="s">
        <v>4316</v>
      </c>
      <c r="L32" s="136" t="s">
        <v>4317</v>
      </c>
      <c r="M32" s="136" t="s">
        <v>4275</v>
      </c>
      <c r="N32" s="136"/>
      <c r="O32" s="136" t="s">
        <v>4266</v>
      </c>
      <c r="P32" s="136" t="s">
        <v>4463</v>
      </c>
      <c r="Q32" s="136">
        <v>472115</v>
      </c>
      <c r="R32" s="136" t="s">
        <v>4319</v>
      </c>
      <c r="S32" s="136">
        <v>42490.35</v>
      </c>
      <c r="T32" s="136">
        <v>514605.35</v>
      </c>
      <c r="U32" s="136" t="s">
        <v>4279</v>
      </c>
      <c r="V32" s="136" t="s">
        <v>4280</v>
      </c>
      <c r="W32" s="136" t="s">
        <v>4281</v>
      </c>
      <c r="X32" s="136" t="s">
        <v>4282</v>
      </c>
      <c r="Y32" s="136" t="s">
        <v>4281</v>
      </c>
      <c r="Z32" s="136" t="s">
        <v>4283</v>
      </c>
      <c r="AA32" s="136" t="s">
        <v>4464</v>
      </c>
    </row>
    <row r="33" spans="1:27" ht="15">
      <c r="A33" s="136" t="s">
        <v>4465</v>
      </c>
      <c r="B33" s="136" t="s">
        <v>1013</v>
      </c>
      <c r="C33" s="136" t="s">
        <v>1013</v>
      </c>
      <c r="D33" s="136" t="s">
        <v>4466</v>
      </c>
      <c r="E33" s="136" t="s">
        <v>4268</v>
      </c>
      <c r="F33" s="136" t="s">
        <v>4269</v>
      </c>
      <c r="G33" s="136" t="s">
        <v>4467</v>
      </c>
      <c r="H33" s="136" t="s">
        <v>4468</v>
      </c>
      <c r="I33" s="136" t="s">
        <v>4469</v>
      </c>
      <c r="J33" s="136" t="s">
        <v>4315</v>
      </c>
      <c r="K33" s="136" t="s">
        <v>4316</v>
      </c>
      <c r="L33" s="136" t="s">
        <v>4317</v>
      </c>
      <c r="M33" s="136" t="s">
        <v>4275</v>
      </c>
      <c r="N33" s="136"/>
      <c r="O33" s="136" t="s">
        <v>4266</v>
      </c>
      <c r="P33" s="136" t="s">
        <v>4470</v>
      </c>
      <c r="Q33" s="136">
        <v>6522193.7300000004</v>
      </c>
      <c r="R33" s="136" t="s">
        <v>4319</v>
      </c>
      <c r="S33" s="136">
        <v>586997.44999999995</v>
      </c>
      <c r="T33" s="136">
        <v>7109191.1799999997</v>
      </c>
      <c r="U33" s="136" t="s">
        <v>4279</v>
      </c>
      <c r="V33" s="136" t="s">
        <v>4280</v>
      </c>
      <c r="W33" s="136" t="s">
        <v>4281</v>
      </c>
      <c r="X33" s="136" t="s">
        <v>4282</v>
      </c>
      <c r="Y33" s="136" t="s">
        <v>4281</v>
      </c>
      <c r="Z33" s="136" t="s">
        <v>4283</v>
      </c>
      <c r="AA33" s="136" t="s">
        <v>4471</v>
      </c>
    </row>
    <row r="34" spans="1:27" ht="15">
      <c r="A34" s="136" t="s">
        <v>4472</v>
      </c>
      <c r="B34" s="136" t="s">
        <v>1013</v>
      </c>
      <c r="C34" s="136" t="s">
        <v>1013</v>
      </c>
      <c r="D34" s="136" t="s">
        <v>4473</v>
      </c>
      <c r="E34" s="136" t="s">
        <v>4268</v>
      </c>
      <c r="F34" s="136" t="s">
        <v>4269</v>
      </c>
      <c r="G34" s="136" t="s">
        <v>4467</v>
      </c>
      <c r="H34" s="136" t="s">
        <v>4468</v>
      </c>
      <c r="I34" s="136" t="s">
        <v>4474</v>
      </c>
      <c r="J34" s="136" t="s">
        <v>4307</v>
      </c>
      <c r="K34" s="136" t="s">
        <v>1013</v>
      </c>
      <c r="L34" s="136" t="s">
        <v>4308</v>
      </c>
      <c r="M34" s="136" t="s">
        <v>4275</v>
      </c>
      <c r="N34" s="136" t="s">
        <v>4276</v>
      </c>
      <c r="O34" s="136" t="s">
        <v>4266</v>
      </c>
      <c r="P34" s="136" t="s">
        <v>4475</v>
      </c>
      <c r="Q34" s="136">
        <v>508252.09</v>
      </c>
      <c r="R34" s="136" t="s">
        <v>4278</v>
      </c>
      <c r="S34" s="136">
        <v>30495.119999999999</v>
      </c>
      <c r="T34" s="136">
        <v>538747.21</v>
      </c>
      <c r="U34" s="136" t="s">
        <v>4279</v>
      </c>
      <c r="V34" s="136" t="s">
        <v>4280</v>
      </c>
      <c r="W34" s="136" t="s">
        <v>4281</v>
      </c>
      <c r="X34" s="136" t="s">
        <v>4282</v>
      </c>
      <c r="Y34" s="136" t="s">
        <v>4281</v>
      </c>
      <c r="Z34" s="136" t="s">
        <v>4283</v>
      </c>
      <c r="AA34" s="136" t="s">
        <v>4476</v>
      </c>
    </row>
    <row r="35" spans="1:27" ht="15">
      <c r="A35" s="136" t="s">
        <v>4477</v>
      </c>
      <c r="B35" s="136" t="s">
        <v>1013</v>
      </c>
      <c r="C35" s="136" t="s">
        <v>1013</v>
      </c>
      <c r="D35" s="136" t="s">
        <v>4478</v>
      </c>
      <c r="E35" s="136" t="s">
        <v>4268</v>
      </c>
      <c r="F35" s="136" t="s">
        <v>4269</v>
      </c>
      <c r="G35" s="136" t="s">
        <v>4270</v>
      </c>
      <c r="H35" s="136" t="s">
        <v>4271</v>
      </c>
      <c r="I35" s="136" t="s">
        <v>4479</v>
      </c>
      <c r="J35" s="136" t="s">
        <v>4307</v>
      </c>
      <c r="K35" s="136" t="s">
        <v>1013</v>
      </c>
      <c r="L35" s="136" t="s">
        <v>4308</v>
      </c>
      <c r="M35" s="136" t="s">
        <v>4275</v>
      </c>
      <c r="N35" s="136" t="s">
        <v>4276</v>
      </c>
      <c r="O35" s="136" t="s">
        <v>4266</v>
      </c>
      <c r="P35" s="136" t="s">
        <v>4480</v>
      </c>
      <c r="Q35" s="136">
        <v>843564.88</v>
      </c>
      <c r="R35" s="136" t="s">
        <v>4278</v>
      </c>
      <c r="S35" s="136">
        <v>50613.89</v>
      </c>
      <c r="T35" s="136">
        <v>894178.77</v>
      </c>
      <c r="U35" s="136" t="s">
        <v>4279</v>
      </c>
      <c r="V35" s="136" t="s">
        <v>4280</v>
      </c>
      <c r="W35" s="136" t="s">
        <v>4281</v>
      </c>
      <c r="X35" s="136" t="s">
        <v>4282</v>
      </c>
      <c r="Y35" s="136" t="s">
        <v>4281</v>
      </c>
      <c r="Z35" s="136" t="s">
        <v>4283</v>
      </c>
      <c r="AA35" s="136" t="s">
        <v>4476</v>
      </c>
    </row>
    <row r="36" spans="1:27" ht="15">
      <c r="A36" s="136" t="s">
        <v>4402</v>
      </c>
      <c r="B36" s="136" t="s">
        <v>1013</v>
      </c>
      <c r="C36" s="136" t="s">
        <v>1013</v>
      </c>
      <c r="D36" s="136" t="s">
        <v>4481</v>
      </c>
      <c r="E36" s="136" t="s">
        <v>4268</v>
      </c>
      <c r="F36" s="136" t="s">
        <v>4269</v>
      </c>
      <c r="G36" s="136" t="s">
        <v>4270</v>
      </c>
      <c r="H36" s="136" t="s">
        <v>4271</v>
      </c>
      <c r="I36" s="136" t="s">
        <v>4482</v>
      </c>
      <c r="J36" s="136" t="s">
        <v>4315</v>
      </c>
      <c r="K36" s="136" t="s">
        <v>4316</v>
      </c>
      <c r="L36" s="136" t="s">
        <v>4317</v>
      </c>
      <c r="M36" s="136" t="s">
        <v>4275</v>
      </c>
      <c r="N36" s="136"/>
      <c r="O36" s="136" t="s">
        <v>4266</v>
      </c>
      <c r="P36" s="136" t="s">
        <v>4483</v>
      </c>
      <c r="Q36" s="136">
        <v>10823032.560000001</v>
      </c>
      <c r="R36" s="136" t="s">
        <v>4319</v>
      </c>
      <c r="S36" s="136">
        <v>974072.94</v>
      </c>
      <c r="T36" s="136">
        <v>11797105.5</v>
      </c>
      <c r="U36" s="136" t="s">
        <v>4279</v>
      </c>
      <c r="V36" s="136" t="s">
        <v>4280</v>
      </c>
      <c r="W36" s="136" t="s">
        <v>4281</v>
      </c>
      <c r="X36" s="136" t="s">
        <v>4282</v>
      </c>
      <c r="Y36" s="136" t="s">
        <v>4281</v>
      </c>
      <c r="Z36" s="136" t="s">
        <v>4283</v>
      </c>
      <c r="AA36" s="136" t="s">
        <v>4471</v>
      </c>
    </row>
    <row r="37" spans="1:27" ht="15">
      <c r="A37" s="136" t="s">
        <v>4484</v>
      </c>
      <c r="B37" s="136" t="s">
        <v>1013</v>
      </c>
      <c r="C37" s="136" t="s">
        <v>1013</v>
      </c>
      <c r="D37" s="136" t="s">
        <v>4485</v>
      </c>
      <c r="E37" s="136" t="s">
        <v>4268</v>
      </c>
      <c r="F37" s="136" t="s">
        <v>4269</v>
      </c>
      <c r="G37" s="136" t="s">
        <v>4486</v>
      </c>
      <c r="H37" s="136" t="s">
        <v>4487</v>
      </c>
      <c r="I37" s="136" t="s">
        <v>4488</v>
      </c>
      <c r="J37" s="136" t="s">
        <v>4315</v>
      </c>
      <c r="K37" s="136" t="s">
        <v>4316</v>
      </c>
      <c r="L37" s="136" t="s">
        <v>4317</v>
      </c>
      <c r="M37" s="136" t="s">
        <v>4275</v>
      </c>
      <c r="N37" s="136"/>
      <c r="O37" s="136" t="s">
        <v>4266</v>
      </c>
      <c r="P37" s="136" t="s">
        <v>4489</v>
      </c>
      <c r="Q37" s="136">
        <v>1732454.06</v>
      </c>
      <c r="R37" s="136" t="s">
        <v>4319</v>
      </c>
      <c r="S37" s="136">
        <v>155920.85999999999</v>
      </c>
      <c r="T37" s="136">
        <v>1888374.92</v>
      </c>
      <c r="U37" s="136" t="s">
        <v>4279</v>
      </c>
      <c r="V37" s="136" t="s">
        <v>4280</v>
      </c>
      <c r="W37" s="136" t="s">
        <v>4281</v>
      </c>
      <c r="X37" s="136" t="s">
        <v>4282</v>
      </c>
      <c r="Y37" s="136" t="s">
        <v>4281</v>
      </c>
      <c r="Z37" s="136" t="s">
        <v>4283</v>
      </c>
      <c r="AA37" s="136" t="s">
        <v>4471</v>
      </c>
    </row>
    <row r="38" spans="1:27" ht="15">
      <c r="A38" s="136" t="s">
        <v>4490</v>
      </c>
      <c r="B38" s="136" t="s">
        <v>1013</v>
      </c>
      <c r="C38" s="136" t="s">
        <v>1013</v>
      </c>
      <c r="D38" s="136" t="s">
        <v>4491</v>
      </c>
      <c r="E38" s="136" t="s">
        <v>4268</v>
      </c>
      <c r="F38" s="136" t="s">
        <v>4269</v>
      </c>
      <c r="G38" s="136" t="s">
        <v>4486</v>
      </c>
      <c r="H38" s="136" t="s">
        <v>4487</v>
      </c>
      <c r="I38" s="136" t="s">
        <v>4492</v>
      </c>
      <c r="J38" s="136" t="s">
        <v>4307</v>
      </c>
      <c r="K38" s="136" t="s">
        <v>1013</v>
      </c>
      <c r="L38" s="136" t="s">
        <v>4308</v>
      </c>
      <c r="M38" s="136" t="s">
        <v>4275</v>
      </c>
      <c r="N38" s="136" t="s">
        <v>4276</v>
      </c>
      <c r="O38" s="136" t="s">
        <v>4266</v>
      </c>
      <c r="P38" s="136" t="s">
        <v>4493</v>
      </c>
      <c r="Q38" s="136">
        <v>461094.07</v>
      </c>
      <c r="R38" s="136" t="s">
        <v>4278</v>
      </c>
      <c r="S38" s="136">
        <v>27665.64</v>
      </c>
      <c r="T38" s="136">
        <v>488759.71</v>
      </c>
      <c r="U38" s="136" t="s">
        <v>4279</v>
      </c>
      <c r="V38" s="136" t="s">
        <v>4280</v>
      </c>
      <c r="W38" s="136" t="s">
        <v>4281</v>
      </c>
      <c r="X38" s="136" t="s">
        <v>4282</v>
      </c>
      <c r="Y38" s="136" t="s">
        <v>4281</v>
      </c>
      <c r="Z38" s="136" t="s">
        <v>4283</v>
      </c>
      <c r="AA38" s="136" t="s">
        <v>4476</v>
      </c>
    </row>
    <row r="39" spans="1:27" ht="15">
      <c r="A39" s="136" t="s">
        <v>4494</v>
      </c>
      <c r="B39" s="136" t="s">
        <v>1013</v>
      </c>
      <c r="C39" s="136" t="s">
        <v>1013</v>
      </c>
      <c r="D39" s="136" t="s">
        <v>4495</v>
      </c>
      <c r="E39" s="136" t="s">
        <v>4268</v>
      </c>
      <c r="F39" s="136" t="s">
        <v>4269</v>
      </c>
      <c r="G39" s="136" t="s">
        <v>4323</v>
      </c>
      <c r="H39" s="136" t="s">
        <v>4324</v>
      </c>
      <c r="I39" s="136" t="s">
        <v>4496</v>
      </c>
      <c r="J39" s="136" t="s">
        <v>4273</v>
      </c>
      <c r="K39" s="136" t="s">
        <v>1013</v>
      </c>
      <c r="L39" s="136" t="s">
        <v>4289</v>
      </c>
      <c r="M39" s="136" t="s">
        <v>4275</v>
      </c>
      <c r="N39" s="136" t="s">
        <v>4276</v>
      </c>
      <c r="O39" s="136" t="s">
        <v>4266</v>
      </c>
      <c r="P39" s="136" t="s">
        <v>4432</v>
      </c>
      <c r="Q39" s="136">
        <v>26449.88</v>
      </c>
      <c r="R39" s="136" t="s">
        <v>4278</v>
      </c>
      <c r="S39" s="136">
        <v>1586.99</v>
      </c>
      <c r="T39" s="136">
        <v>28036.87</v>
      </c>
      <c r="U39" s="136" t="s">
        <v>4279</v>
      </c>
      <c r="V39" s="136" t="s">
        <v>4280</v>
      </c>
      <c r="W39" s="136" t="s">
        <v>4497</v>
      </c>
      <c r="X39" s="136" t="s">
        <v>4282</v>
      </c>
      <c r="Y39" s="136" t="s">
        <v>4281</v>
      </c>
      <c r="Z39" s="136" t="s">
        <v>4283</v>
      </c>
      <c r="AA39" s="136" t="s">
        <v>4327</v>
      </c>
    </row>
    <row r="40" spans="1:27" ht="15">
      <c r="A40" s="136" t="s">
        <v>4498</v>
      </c>
      <c r="B40" s="136" t="s">
        <v>1013</v>
      </c>
      <c r="C40" s="136" t="s">
        <v>1013</v>
      </c>
      <c r="D40" s="136" t="s">
        <v>4499</v>
      </c>
      <c r="E40" s="136" t="s">
        <v>4268</v>
      </c>
      <c r="F40" s="136" t="s">
        <v>4269</v>
      </c>
      <c r="G40" s="136" t="s">
        <v>4429</v>
      </c>
      <c r="H40" s="136" t="s">
        <v>4430</v>
      </c>
      <c r="I40" s="136" t="s">
        <v>4500</v>
      </c>
      <c r="J40" s="136" t="s">
        <v>4273</v>
      </c>
      <c r="K40" s="136" t="s">
        <v>1013</v>
      </c>
      <c r="L40" s="136" t="s">
        <v>4289</v>
      </c>
      <c r="M40" s="136" t="s">
        <v>4275</v>
      </c>
      <c r="N40" s="136" t="s">
        <v>4276</v>
      </c>
      <c r="O40" s="136" t="s">
        <v>4266</v>
      </c>
      <c r="P40" s="136" t="s">
        <v>4501</v>
      </c>
      <c r="Q40" s="136">
        <v>29801.75</v>
      </c>
      <c r="R40" s="136" t="s">
        <v>4278</v>
      </c>
      <c r="S40" s="136">
        <v>1788.11</v>
      </c>
      <c r="T40" s="136">
        <v>31589.86</v>
      </c>
      <c r="U40" s="136" t="s">
        <v>4279</v>
      </c>
      <c r="V40" s="136" t="s">
        <v>4280</v>
      </c>
      <c r="W40" s="136" t="s">
        <v>4281</v>
      </c>
      <c r="X40" s="136" t="s">
        <v>4282</v>
      </c>
      <c r="Y40" s="136" t="s">
        <v>4281</v>
      </c>
      <c r="Z40" s="136" t="s">
        <v>4283</v>
      </c>
      <c r="AA40" s="136" t="s">
        <v>4502</v>
      </c>
    </row>
    <row r="41" spans="1:27" ht="15">
      <c r="A41" s="136" t="s">
        <v>4503</v>
      </c>
      <c r="B41" s="136" t="s">
        <v>1013</v>
      </c>
      <c r="C41" s="136" t="s">
        <v>1013</v>
      </c>
      <c r="D41" s="136" t="s">
        <v>4504</v>
      </c>
      <c r="E41" s="136" t="s">
        <v>4268</v>
      </c>
      <c r="F41" s="136" t="s">
        <v>4269</v>
      </c>
      <c r="G41" s="136" t="s">
        <v>4429</v>
      </c>
      <c r="H41" s="136" t="s">
        <v>4430</v>
      </c>
      <c r="I41" s="136" t="s">
        <v>4505</v>
      </c>
      <c r="J41" s="136" t="s">
        <v>4273</v>
      </c>
      <c r="K41" s="136" t="s">
        <v>1013</v>
      </c>
      <c r="L41" s="136" t="s">
        <v>4289</v>
      </c>
      <c r="M41" s="136" t="s">
        <v>4275</v>
      </c>
      <c r="N41" s="136" t="s">
        <v>4276</v>
      </c>
      <c r="O41" s="136" t="s">
        <v>4266</v>
      </c>
      <c r="P41" s="136" t="s">
        <v>4506</v>
      </c>
      <c r="Q41" s="136">
        <v>28385.24</v>
      </c>
      <c r="R41" s="136" t="s">
        <v>4278</v>
      </c>
      <c r="S41" s="136">
        <v>1703.11</v>
      </c>
      <c r="T41" s="136">
        <v>30088.35</v>
      </c>
      <c r="U41" s="136" t="s">
        <v>4279</v>
      </c>
      <c r="V41" s="136" t="s">
        <v>4280</v>
      </c>
      <c r="W41" s="136" t="s">
        <v>4281</v>
      </c>
      <c r="X41" s="136" t="s">
        <v>4282</v>
      </c>
      <c r="Y41" s="136" t="s">
        <v>4281</v>
      </c>
      <c r="Z41" s="136" t="s">
        <v>4283</v>
      </c>
      <c r="AA41" s="136" t="s">
        <v>4507</v>
      </c>
    </row>
    <row r="42" spans="1:27" ht="15">
      <c r="A42" s="136" t="s">
        <v>4508</v>
      </c>
      <c r="B42" s="136" t="s">
        <v>1013</v>
      </c>
      <c r="C42" s="136" t="s">
        <v>1013</v>
      </c>
      <c r="D42" s="136" t="s">
        <v>4509</v>
      </c>
      <c r="E42" s="136" t="s">
        <v>4268</v>
      </c>
      <c r="F42" s="136" t="s">
        <v>4269</v>
      </c>
      <c r="G42" s="136" t="s">
        <v>4429</v>
      </c>
      <c r="H42" s="136" t="s">
        <v>4430</v>
      </c>
      <c r="I42" s="136" t="s">
        <v>4510</v>
      </c>
      <c r="J42" s="136" t="s">
        <v>4273</v>
      </c>
      <c r="K42" s="136" t="s">
        <v>1013</v>
      </c>
      <c r="L42" s="136" t="s">
        <v>4289</v>
      </c>
      <c r="M42" s="136" t="s">
        <v>4275</v>
      </c>
      <c r="N42" s="136" t="s">
        <v>4276</v>
      </c>
      <c r="O42" s="136" t="s">
        <v>4266</v>
      </c>
      <c r="P42" s="136" t="s">
        <v>4506</v>
      </c>
      <c r="Q42" s="136">
        <v>28385.24</v>
      </c>
      <c r="R42" s="136" t="s">
        <v>4278</v>
      </c>
      <c r="S42" s="136">
        <v>1703.11</v>
      </c>
      <c r="T42" s="136">
        <v>30088.35</v>
      </c>
      <c r="U42" s="136" t="s">
        <v>4279</v>
      </c>
      <c r="V42" s="136" t="s">
        <v>4280</v>
      </c>
      <c r="W42" s="136" t="s">
        <v>4281</v>
      </c>
      <c r="X42" s="136" t="s">
        <v>4282</v>
      </c>
      <c r="Y42" s="136" t="s">
        <v>4281</v>
      </c>
      <c r="Z42" s="136" t="s">
        <v>4283</v>
      </c>
      <c r="AA42" s="136" t="s">
        <v>4511</v>
      </c>
    </row>
    <row r="43" spans="1:27" ht="15">
      <c r="A43" s="136" t="s">
        <v>4512</v>
      </c>
      <c r="B43" s="136" t="s">
        <v>1013</v>
      </c>
      <c r="C43" s="136" t="s">
        <v>1013</v>
      </c>
      <c r="D43" s="136" t="s">
        <v>4513</v>
      </c>
      <c r="E43" s="136" t="s">
        <v>4268</v>
      </c>
      <c r="F43" s="136" t="s">
        <v>4269</v>
      </c>
      <c r="G43" s="136" t="s">
        <v>4514</v>
      </c>
      <c r="H43" s="136" t="s">
        <v>4515</v>
      </c>
      <c r="I43" s="136" t="s">
        <v>4516</v>
      </c>
      <c r="J43" s="136" t="s">
        <v>4273</v>
      </c>
      <c r="K43" s="136" t="s">
        <v>1013</v>
      </c>
      <c r="L43" s="136" t="s">
        <v>4289</v>
      </c>
      <c r="M43" s="136" t="s">
        <v>4275</v>
      </c>
      <c r="N43" s="136" t="s">
        <v>4276</v>
      </c>
      <c r="O43" s="136" t="s">
        <v>4266</v>
      </c>
      <c r="P43" s="136" t="s">
        <v>4452</v>
      </c>
      <c r="Q43" s="136">
        <v>30546.79</v>
      </c>
      <c r="R43" s="136" t="s">
        <v>4278</v>
      </c>
      <c r="S43" s="136">
        <v>1832.81</v>
      </c>
      <c r="T43" s="136">
        <v>32379.599999999999</v>
      </c>
      <c r="U43" s="136" t="s">
        <v>4279</v>
      </c>
      <c r="V43" s="136" t="s">
        <v>4280</v>
      </c>
      <c r="W43" s="136" t="s">
        <v>4281</v>
      </c>
      <c r="X43" s="136" t="s">
        <v>4282</v>
      </c>
      <c r="Y43" s="136" t="s">
        <v>4281</v>
      </c>
      <c r="Z43" s="136" t="s">
        <v>4283</v>
      </c>
      <c r="AA43" s="136" t="s">
        <v>4517</v>
      </c>
    </row>
    <row r="44" spans="1:27" ht="15">
      <c r="A44" s="136" t="s">
        <v>4518</v>
      </c>
      <c r="B44" s="136" t="s">
        <v>1013</v>
      </c>
      <c r="C44" s="136" t="s">
        <v>1013</v>
      </c>
      <c r="D44" s="136" t="s">
        <v>4519</v>
      </c>
      <c r="E44" s="136" t="s">
        <v>4268</v>
      </c>
      <c r="F44" s="136" t="s">
        <v>4269</v>
      </c>
      <c r="G44" s="136" t="s">
        <v>4520</v>
      </c>
      <c r="H44" s="136" t="s">
        <v>4521</v>
      </c>
      <c r="I44" s="136" t="s">
        <v>4522</v>
      </c>
      <c r="J44" s="136" t="s">
        <v>4273</v>
      </c>
      <c r="K44" s="136" t="s">
        <v>1013</v>
      </c>
      <c r="L44" s="136" t="s">
        <v>4289</v>
      </c>
      <c r="M44" s="136" t="s">
        <v>4275</v>
      </c>
      <c r="N44" s="136" t="s">
        <v>4276</v>
      </c>
      <c r="O44" s="136" t="s">
        <v>4266</v>
      </c>
      <c r="P44" s="136" t="s">
        <v>4452</v>
      </c>
      <c r="Q44" s="136">
        <v>30546.79</v>
      </c>
      <c r="R44" s="136" t="s">
        <v>4278</v>
      </c>
      <c r="S44" s="136">
        <v>1832.81</v>
      </c>
      <c r="T44" s="136">
        <v>32379.599999999999</v>
      </c>
      <c r="U44" s="136" t="s">
        <v>4279</v>
      </c>
      <c r="V44" s="136" t="s">
        <v>4280</v>
      </c>
      <c r="W44" s="136" t="s">
        <v>4281</v>
      </c>
      <c r="X44" s="136" t="s">
        <v>4282</v>
      </c>
      <c r="Y44" s="136" t="s">
        <v>4281</v>
      </c>
      <c r="Z44" s="136" t="s">
        <v>4283</v>
      </c>
      <c r="AA44" s="136" t="s">
        <v>4523</v>
      </c>
    </row>
    <row r="45" spans="1:27" ht="15">
      <c r="A45" s="136" t="s">
        <v>4524</v>
      </c>
      <c r="B45" s="136" t="s">
        <v>1013</v>
      </c>
      <c r="C45" s="136" t="s">
        <v>1013</v>
      </c>
      <c r="D45" s="136" t="s">
        <v>4525</v>
      </c>
      <c r="E45" s="136" t="s">
        <v>4268</v>
      </c>
      <c r="F45" s="136" t="s">
        <v>4269</v>
      </c>
      <c r="G45" s="136" t="s">
        <v>4312</v>
      </c>
      <c r="H45" s="136" t="s">
        <v>4313</v>
      </c>
      <c r="I45" s="136" t="s">
        <v>4526</v>
      </c>
      <c r="J45" s="136" t="s">
        <v>4273</v>
      </c>
      <c r="K45" s="136" t="s">
        <v>1013</v>
      </c>
      <c r="L45" s="136" t="s">
        <v>4289</v>
      </c>
      <c r="M45" s="136" t="s">
        <v>4275</v>
      </c>
      <c r="N45" s="136" t="s">
        <v>4276</v>
      </c>
      <c r="O45" s="136" t="s">
        <v>4266</v>
      </c>
      <c r="P45" s="136" t="s">
        <v>4452</v>
      </c>
      <c r="Q45" s="136">
        <v>30546.79</v>
      </c>
      <c r="R45" s="136" t="s">
        <v>4278</v>
      </c>
      <c r="S45" s="136">
        <v>1832.81</v>
      </c>
      <c r="T45" s="136">
        <v>32379.599999999999</v>
      </c>
      <c r="U45" s="136" t="s">
        <v>4279</v>
      </c>
      <c r="V45" s="136" t="s">
        <v>4280</v>
      </c>
      <c r="W45" s="136" t="s">
        <v>4281</v>
      </c>
      <c r="X45" s="136" t="s">
        <v>4282</v>
      </c>
      <c r="Y45" s="136" t="s">
        <v>4281</v>
      </c>
      <c r="Z45" s="136" t="s">
        <v>4283</v>
      </c>
      <c r="AA45" s="136" t="s">
        <v>4527</v>
      </c>
    </row>
    <row r="46" spans="1:27" ht="15">
      <c r="A46" s="136" t="s">
        <v>4528</v>
      </c>
      <c r="B46" s="136" t="s">
        <v>1013</v>
      </c>
      <c r="C46" s="136" t="s">
        <v>1013</v>
      </c>
      <c r="D46" s="136" t="s">
        <v>4529</v>
      </c>
      <c r="E46" s="136" t="s">
        <v>4268</v>
      </c>
      <c r="F46" s="136" t="s">
        <v>4269</v>
      </c>
      <c r="G46" s="136" t="s">
        <v>4530</v>
      </c>
      <c r="H46" s="136" t="s">
        <v>4531</v>
      </c>
      <c r="I46" s="136" t="s">
        <v>4532</v>
      </c>
      <c r="J46" s="136" t="s">
        <v>4273</v>
      </c>
      <c r="K46" s="136" t="s">
        <v>1013</v>
      </c>
      <c r="L46" s="136" t="s">
        <v>4289</v>
      </c>
      <c r="M46" s="136" t="s">
        <v>4275</v>
      </c>
      <c r="N46" s="136" t="s">
        <v>4276</v>
      </c>
      <c r="O46" s="136" t="s">
        <v>4266</v>
      </c>
      <c r="P46" s="136" t="s">
        <v>4452</v>
      </c>
      <c r="Q46" s="136">
        <v>30546.79</v>
      </c>
      <c r="R46" s="136" t="s">
        <v>4278</v>
      </c>
      <c r="S46" s="136">
        <v>1832.81</v>
      </c>
      <c r="T46" s="136">
        <v>32379.599999999999</v>
      </c>
      <c r="U46" s="136" t="s">
        <v>4279</v>
      </c>
      <c r="V46" s="136" t="s">
        <v>4280</v>
      </c>
      <c r="W46" s="136" t="s">
        <v>4281</v>
      </c>
      <c r="X46" s="136" t="s">
        <v>4282</v>
      </c>
      <c r="Y46" s="136" t="s">
        <v>4281</v>
      </c>
      <c r="Z46" s="136" t="s">
        <v>4283</v>
      </c>
      <c r="AA46" s="136" t="s">
        <v>4533</v>
      </c>
    </row>
    <row r="47" spans="1:27" ht="15">
      <c r="A47" s="136" t="s">
        <v>4534</v>
      </c>
      <c r="B47" s="136" t="s">
        <v>1013</v>
      </c>
      <c r="C47" s="136" t="s">
        <v>1013</v>
      </c>
      <c r="D47" s="136" t="s">
        <v>4535</v>
      </c>
      <c r="E47" s="136" t="s">
        <v>4268</v>
      </c>
      <c r="F47" s="136" t="s">
        <v>4269</v>
      </c>
      <c r="G47" s="136" t="s">
        <v>4330</v>
      </c>
      <c r="H47" s="136" t="s">
        <v>4331</v>
      </c>
      <c r="I47" s="136" t="s">
        <v>4536</v>
      </c>
      <c r="J47" s="136" t="s">
        <v>4273</v>
      </c>
      <c r="K47" s="136" t="s">
        <v>1013</v>
      </c>
      <c r="L47" s="136" t="s">
        <v>4289</v>
      </c>
      <c r="M47" s="136" t="s">
        <v>4275</v>
      </c>
      <c r="N47" s="136" t="s">
        <v>4276</v>
      </c>
      <c r="O47" s="136" t="s">
        <v>4266</v>
      </c>
      <c r="P47" s="136" t="s">
        <v>4537</v>
      </c>
      <c r="Q47" s="136">
        <v>48874.879999999997</v>
      </c>
      <c r="R47" s="136" t="s">
        <v>4278</v>
      </c>
      <c r="S47" s="136">
        <v>2932.49</v>
      </c>
      <c r="T47" s="136">
        <v>51807.37</v>
      </c>
      <c r="U47" s="136" t="s">
        <v>4279</v>
      </c>
      <c r="V47" s="136" t="s">
        <v>4280</v>
      </c>
      <c r="W47" s="136" t="s">
        <v>4281</v>
      </c>
      <c r="X47" s="136" t="s">
        <v>4282</v>
      </c>
      <c r="Y47" s="136" t="s">
        <v>4281</v>
      </c>
      <c r="Z47" s="136" t="s">
        <v>4283</v>
      </c>
      <c r="AA47" s="136" t="s">
        <v>4334</v>
      </c>
    </row>
    <row r="48" spans="1:27" ht="15">
      <c r="A48" s="136" t="s">
        <v>4538</v>
      </c>
      <c r="B48" s="136" t="s">
        <v>1013</v>
      </c>
      <c r="C48" s="136" t="s">
        <v>1013</v>
      </c>
      <c r="D48" s="136" t="s">
        <v>4539</v>
      </c>
      <c r="E48" s="136" t="s">
        <v>4268</v>
      </c>
      <c r="F48" s="136" t="s">
        <v>4269</v>
      </c>
      <c r="G48" s="136" t="s">
        <v>4343</v>
      </c>
      <c r="H48" s="136" t="s">
        <v>4344</v>
      </c>
      <c r="I48" s="136" t="s">
        <v>4540</v>
      </c>
      <c r="J48" s="136" t="s">
        <v>4273</v>
      </c>
      <c r="K48" s="136" t="s">
        <v>1013</v>
      </c>
      <c r="L48" s="136" t="s">
        <v>4289</v>
      </c>
      <c r="M48" s="136" t="s">
        <v>4275</v>
      </c>
      <c r="N48" s="136" t="s">
        <v>4276</v>
      </c>
      <c r="O48" s="136" t="s">
        <v>4266</v>
      </c>
      <c r="P48" s="136" t="s">
        <v>4537</v>
      </c>
      <c r="Q48" s="136">
        <v>48874.879999999997</v>
      </c>
      <c r="R48" s="136" t="s">
        <v>4278</v>
      </c>
      <c r="S48" s="136">
        <v>2932.49</v>
      </c>
      <c r="T48" s="136">
        <v>51807.37</v>
      </c>
      <c r="U48" s="136" t="s">
        <v>4279</v>
      </c>
      <c r="V48" s="136" t="s">
        <v>4280</v>
      </c>
      <c r="W48" s="136" t="s">
        <v>4281</v>
      </c>
      <c r="X48" s="136" t="s">
        <v>4282</v>
      </c>
      <c r="Y48" s="136" t="s">
        <v>4281</v>
      </c>
      <c r="Z48" s="136" t="s">
        <v>4283</v>
      </c>
      <c r="AA48" s="136" t="s">
        <v>4346</v>
      </c>
    </row>
    <row r="49" spans="1:27" ht="15">
      <c r="A49" s="136" t="s">
        <v>4541</v>
      </c>
      <c r="B49" s="136" t="s">
        <v>1013</v>
      </c>
      <c r="C49" s="136" t="s">
        <v>1013</v>
      </c>
      <c r="D49" s="136" t="s">
        <v>4542</v>
      </c>
      <c r="E49" s="136" t="s">
        <v>4268</v>
      </c>
      <c r="F49" s="136" t="s">
        <v>4269</v>
      </c>
      <c r="G49" s="136" t="s">
        <v>4356</v>
      </c>
      <c r="H49" s="136" t="s">
        <v>4357</v>
      </c>
      <c r="I49" s="136" t="s">
        <v>4543</v>
      </c>
      <c r="J49" s="136" t="s">
        <v>4273</v>
      </c>
      <c r="K49" s="136" t="s">
        <v>1013</v>
      </c>
      <c r="L49" s="136" t="s">
        <v>4289</v>
      </c>
      <c r="M49" s="136" t="s">
        <v>4275</v>
      </c>
      <c r="N49" s="136" t="s">
        <v>4276</v>
      </c>
      <c r="O49" s="136" t="s">
        <v>4266</v>
      </c>
      <c r="P49" s="136" t="s">
        <v>4436</v>
      </c>
      <c r="Q49" s="136">
        <v>61093.599999999999</v>
      </c>
      <c r="R49" s="136" t="s">
        <v>4278</v>
      </c>
      <c r="S49" s="136">
        <v>3665.62</v>
      </c>
      <c r="T49" s="136">
        <v>64759.22</v>
      </c>
      <c r="U49" s="136" t="s">
        <v>4279</v>
      </c>
      <c r="V49" s="136" t="s">
        <v>4280</v>
      </c>
      <c r="W49" s="136" t="s">
        <v>4281</v>
      </c>
      <c r="X49" s="136" t="s">
        <v>4282</v>
      </c>
      <c r="Y49" s="136" t="s">
        <v>4281</v>
      </c>
      <c r="Z49" s="136" t="s">
        <v>4283</v>
      </c>
      <c r="AA49" s="136" t="s">
        <v>4360</v>
      </c>
    </row>
    <row r="50" spans="1:27" ht="15">
      <c r="A50" s="136" t="s">
        <v>4544</v>
      </c>
      <c r="B50" s="136" t="s">
        <v>1013</v>
      </c>
      <c r="C50" s="136" t="s">
        <v>1013</v>
      </c>
      <c r="D50" s="136" t="s">
        <v>4545</v>
      </c>
      <c r="E50" s="136" t="s">
        <v>4268</v>
      </c>
      <c r="F50" s="136" t="s">
        <v>4269</v>
      </c>
      <c r="G50" s="136" t="s">
        <v>4337</v>
      </c>
      <c r="H50" s="136" t="s">
        <v>4338</v>
      </c>
      <c r="I50" s="136" t="s">
        <v>4546</v>
      </c>
      <c r="J50" s="136" t="s">
        <v>4273</v>
      </c>
      <c r="K50" s="136" t="s">
        <v>1013</v>
      </c>
      <c r="L50" s="136" t="s">
        <v>4289</v>
      </c>
      <c r="M50" s="136" t="s">
        <v>4275</v>
      </c>
      <c r="N50" s="136" t="s">
        <v>4276</v>
      </c>
      <c r="O50" s="136" t="s">
        <v>4266</v>
      </c>
      <c r="P50" s="136" t="s">
        <v>4537</v>
      </c>
      <c r="Q50" s="136">
        <v>48874.879999999997</v>
      </c>
      <c r="R50" s="136" t="s">
        <v>4278</v>
      </c>
      <c r="S50" s="136">
        <v>2932.49</v>
      </c>
      <c r="T50" s="136">
        <v>51807.37</v>
      </c>
      <c r="U50" s="136" t="s">
        <v>4279</v>
      </c>
      <c r="V50" s="136" t="s">
        <v>4280</v>
      </c>
      <c r="W50" s="136" t="s">
        <v>4281</v>
      </c>
      <c r="X50" s="136" t="s">
        <v>4282</v>
      </c>
      <c r="Y50" s="136" t="s">
        <v>4281</v>
      </c>
      <c r="Z50" s="136" t="s">
        <v>4283</v>
      </c>
      <c r="AA50" s="136" t="s">
        <v>4340</v>
      </c>
    </row>
    <row r="51" spans="1:27" ht="15">
      <c r="A51" s="136" t="s">
        <v>4547</v>
      </c>
      <c r="B51" s="136" t="s">
        <v>1013</v>
      </c>
      <c r="C51" s="136" t="s">
        <v>1013</v>
      </c>
      <c r="D51" s="136" t="s">
        <v>4548</v>
      </c>
      <c r="E51" s="136" t="s">
        <v>4268</v>
      </c>
      <c r="F51" s="136" t="s">
        <v>4269</v>
      </c>
      <c r="G51" s="136" t="s">
        <v>4429</v>
      </c>
      <c r="H51" s="136" t="s">
        <v>4430</v>
      </c>
      <c r="I51" s="136" t="s">
        <v>4549</v>
      </c>
      <c r="J51" s="136" t="s">
        <v>4273</v>
      </c>
      <c r="K51" s="136" t="s">
        <v>1013</v>
      </c>
      <c r="L51" s="136" t="s">
        <v>4289</v>
      </c>
      <c r="M51" s="136" t="s">
        <v>4275</v>
      </c>
      <c r="N51" s="136" t="s">
        <v>4276</v>
      </c>
      <c r="O51" s="136" t="s">
        <v>4266</v>
      </c>
      <c r="P51" s="136" t="s">
        <v>4436</v>
      </c>
      <c r="Q51" s="136">
        <v>61093.599999999999</v>
      </c>
      <c r="R51" s="136" t="s">
        <v>4278</v>
      </c>
      <c r="S51" s="136">
        <v>3665.62</v>
      </c>
      <c r="T51" s="136">
        <v>64759.22</v>
      </c>
      <c r="U51" s="136" t="s">
        <v>4279</v>
      </c>
      <c r="V51" s="136" t="s">
        <v>4280</v>
      </c>
      <c r="W51" s="136" t="s">
        <v>4497</v>
      </c>
      <c r="X51" s="136" t="s">
        <v>4282</v>
      </c>
      <c r="Y51" s="136" t="s">
        <v>4281</v>
      </c>
      <c r="Z51" s="136" t="s">
        <v>4283</v>
      </c>
      <c r="AA51" s="136" t="s">
        <v>4353</v>
      </c>
    </row>
    <row r="52" spans="1:27" ht="15">
      <c r="A52" s="136" t="s">
        <v>4550</v>
      </c>
      <c r="B52" s="136" t="s">
        <v>1013</v>
      </c>
      <c r="C52" s="136" t="s">
        <v>1013</v>
      </c>
      <c r="D52" s="136" t="s">
        <v>4551</v>
      </c>
      <c r="E52" s="136" t="s">
        <v>4268</v>
      </c>
      <c r="F52" s="136" t="s">
        <v>4269</v>
      </c>
      <c r="G52" s="136" t="s">
        <v>4552</v>
      </c>
      <c r="H52" s="136" t="s">
        <v>4553</v>
      </c>
      <c r="I52" s="136" t="s">
        <v>4554</v>
      </c>
      <c r="J52" s="136" t="s">
        <v>4273</v>
      </c>
      <c r="K52" s="136" t="s">
        <v>1013</v>
      </c>
      <c r="L52" s="136" t="s">
        <v>4289</v>
      </c>
      <c r="M52" s="136" t="s">
        <v>4275</v>
      </c>
      <c r="N52" s="136" t="s">
        <v>4276</v>
      </c>
      <c r="O52" s="136" t="s">
        <v>4266</v>
      </c>
      <c r="P52" s="136" t="s">
        <v>4537</v>
      </c>
      <c r="Q52" s="136">
        <v>48874.879999999997</v>
      </c>
      <c r="R52" s="136" t="s">
        <v>4278</v>
      </c>
      <c r="S52" s="136">
        <v>2932.49</v>
      </c>
      <c r="T52" s="136">
        <v>51807.37</v>
      </c>
      <c r="U52" s="136" t="s">
        <v>4279</v>
      </c>
      <c r="V52" s="136" t="s">
        <v>4280</v>
      </c>
      <c r="W52" s="136" t="s">
        <v>4281</v>
      </c>
      <c r="X52" s="136" t="s">
        <v>4282</v>
      </c>
      <c r="Y52" s="136" t="s">
        <v>4281</v>
      </c>
      <c r="Z52" s="136" t="s">
        <v>4283</v>
      </c>
      <c r="AA52" s="136" t="s">
        <v>4555</v>
      </c>
    </row>
    <row r="53" spans="1:27" ht="15">
      <c r="A53" s="136" t="s">
        <v>4556</v>
      </c>
      <c r="B53" s="136" t="s">
        <v>1013</v>
      </c>
      <c r="C53" s="136" t="s">
        <v>1013</v>
      </c>
      <c r="D53" s="136" t="s">
        <v>4557</v>
      </c>
      <c r="E53" s="136" t="s">
        <v>4268</v>
      </c>
      <c r="F53" s="136" t="s">
        <v>4269</v>
      </c>
      <c r="G53" s="136" t="s">
        <v>4429</v>
      </c>
      <c r="H53" s="136" t="s">
        <v>4430</v>
      </c>
      <c r="I53" s="136" t="s">
        <v>4558</v>
      </c>
      <c r="J53" s="136" t="s">
        <v>4273</v>
      </c>
      <c r="K53" s="136" t="s">
        <v>1013</v>
      </c>
      <c r="L53" s="136" t="s">
        <v>4289</v>
      </c>
      <c r="M53" s="136" t="s">
        <v>4275</v>
      </c>
      <c r="N53" s="136" t="s">
        <v>4276</v>
      </c>
      <c r="O53" s="136" t="s">
        <v>4266</v>
      </c>
      <c r="P53" s="136" t="s">
        <v>4537</v>
      </c>
      <c r="Q53" s="136">
        <v>48874.879999999997</v>
      </c>
      <c r="R53" s="136" t="s">
        <v>4278</v>
      </c>
      <c r="S53" s="136">
        <v>2932.49</v>
      </c>
      <c r="T53" s="136">
        <v>51807.37</v>
      </c>
      <c r="U53" s="136" t="s">
        <v>4279</v>
      </c>
      <c r="V53" s="136" t="s">
        <v>4280</v>
      </c>
      <c r="W53" s="136" t="s">
        <v>4281</v>
      </c>
      <c r="X53" s="136" t="s">
        <v>4282</v>
      </c>
      <c r="Y53" s="136" t="s">
        <v>4281</v>
      </c>
      <c r="Z53" s="136" t="s">
        <v>4283</v>
      </c>
      <c r="AA53" s="136" t="s">
        <v>4559</v>
      </c>
    </row>
    <row r="54" spans="1:27" ht="15">
      <c r="A54" s="136" t="s">
        <v>4560</v>
      </c>
      <c r="B54" s="136" t="s">
        <v>1013</v>
      </c>
      <c r="C54" s="136" t="s">
        <v>1013</v>
      </c>
      <c r="D54" s="136" t="s">
        <v>4561</v>
      </c>
      <c r="E54" s="136" t="s">
        <v>4268</v>
      </c>
      <c r="F54" s="136" t="s">
        <v>4269</v>
      </c>
      <c r="G54" s="136" t="s">
        <v>4562</v>
      </c>
      <c r="H54" s="136" t="s">
        <v>4563</v>
      </c>
      <c r="I54" s="136" t="s">
        <v>4564</v>
      </c>
      <c r="J54" s="136" t="s">
        <v>4273</v>
      </c>
      <c r="K54" s="136" t="s">
        <v>1013</v>
      </c>
      <c r="L54" s="136" t="s">
        <v>4289</v>
      </c>
      <c r="M54" s="136" t="s">
        <v>4275</v>
      </c>
      <c r="N54" s="136" t="s">
        <v>4276</v>
      </c>
      <c r="O54" s="136" t="s">
        <v>4266</v>
      </c>
      <c r="P54" s="136" t="s">
        <v>4565</v>
      </c>
      <c r="Q54" s="136">
        <v>34643.72</v>
      </c>
      <c r="R54" s="136" t="s">
        <v>4278</v>
      </c>
      <c r="S54" s="136">
        <v>2078.62</v>
      </c>
      <c r="T54" s="136">
        <v>36722.339999999997</v>
      </c>
      <c r="U54" s="136" t="s">
        <v>4279</v>
      </c>
      <c r="V54" s="136" t="s">
        <v>4280</v>
      </c>
      <c r="W54" s="136" t="s">
        <v>4281</v>
      </c>
      <c r="X54" s="136" t="s">
        <v>4282</v>
      </c>
      <c r="Y54" s="136" t="s">
        <v>4281</v>
      </c>
      <c r="Z54" s="136" t="s">
        <v>4283</v>
      </c>
      <c r="AA54" s="136" t="s">
        <v>4566</v>
      </c>
    </row>
    <row r="55" spans="1:27" ht="15">
      <c r="A55" s="136" t="s">
        <v>4567</v>
      </c>
      <c r="B55" s="136" t="s">
        <v>1013</v>
      </c>
      <c r="C55" s="136" t="s">
        <v>1013</v>
      </c>
      <c r="D55" s="136" t="s">
        <v>4568</v>
      </c>
      <c r="E55" s="136" t="s">
        <v>4268</v>
      </c>
      <c r="F55" s="136" t="s">
        <v>4269</v>
      </c>
      <c r="G55" s="136" t="s">
        <v>4429</v>
      </c>
      <c r="H55" s="136" t="s">
        <v>4430</v>
      </c>
      <c r="I55" s="136" t="s">
        <v>4569</v>
      </c>
      <c r="J55" s="136" t="s">
        <v>4273</v>
      </c>
      <c r="K55" s="136" t="s">
        <v>1013</v>
      </c>
      <c r="L55" s="136" t="s">
        <v>4289</v>
      </c>
      <c r="M55" s="136" t="s">
        <v>4275</v>
      </c>
      <c r="N55" s="136" t="s">
        <v>4276</v>
      </c>
      <c r="O55" s="136" t="s">
        <v>4266</v>
      </c>
      <c r="P55" s="136" t="s">
        <v>4436</v>
      </c>
      <c r="Q55" s="136">
        <v>61093.599999999999</v>
      </c>
      <c r="R55" s="136" t="s">
        <v>4278</v>
      </c>
      <c r="S55" s="136">
        <v>3665.62</v>
      </c>
      <c r="T55" s="136">
        <v>64759.22</v>
      </c>
      <c r="U55" s="136" t="s">
        <v>4279</v>
      </c>
      <c r="V55" s="136" t="s">
        <v>4280</v>
      </c>
      <c r="W55" s="136" t="s">
        <v>4281</v>
      </c>
      <c r="X55" s="136" t="s">
        <v>4282</v>
      </c>
      <c r="Y55" s="136" t="s">
        <v>4281</v>
      </c>
      <c r="Z55" s="136" t="s">
        <v>4283</v>
      </c>
      <c r="AA55" s="136" t="s">
        <v>4570</v>
      </c>
    </row>
    <row r="56" spans="1:27" ht="15">
      <c r="A56" s="136" t="s">
        <v>4571</v>
      </c>
      <c r="B56" s="136" t="s">
        <v>1013</v>
      </c>
      <c r="C56" s="136" t="s">
        <v>1013</v>
      </c>
      <c r="D56" s="136" t="s">
        <v>4572</v>
      </c>
      <c r="E56" s="136" t="s">
        <v>4268</v>
      </c>
      <c r="F56" s="136" t="s">
        <v>4269</v>
      </c>
      <c r="G56" s="136" t="s">
        <v>4363</v>
      </c>
      <c r="H56" s="136" t="s">
        <v>4364</v>
      </c>
      <c r="I56" s="136" t="s">
        <v>4573</v>
      </c>
      <c r="J56" s="136" t="s">
        <v>4273</v>
      </c>
      <c r="K56" s="136" t="s">
        <v>1013</v>
      </c>
      <c r="L56" s="136" t="s">
        <v>4289</v>
      </c>
      <c r="M56" s="136" t="s">
        <v>4275</v>
      </c>
      <c r="N56" s="136" t="s">
        <v>4276</v>
      </c>
      <c r="O56" s="136" t="s">
        <v>4266</v>
      </c>
      <c r="P56" s="136" t="s">
        <v>4537</v>
      </c>
      <c r="Q56" s="136">
        <v>48874.879999999997</v>
      </c>
      <c r="R56" s="136" t="s">
        <v>4278</v>
      </c>
      <c r="S56" s="136">
        <v>2932.49</v>
      </c>
      <c r="T56" s="136">
        <v>51807.37</v>
      </c>
      <c r="U56" s="136" t="s">
        <v>4279</v>
      </c>
      <c r="V56" s="136" t="s">
        <v>4280</v>
      </c>
      <c r="W56" s="136" t="s">
        <v>4281</v>
      </c>
      <c r="X56" s="136" t="s">
        <v>4282</v>
      </c>
      <c r="Y56" s="136" t="s">
        <v>4281</v>
      </c>
      <c r="Z56" s="136" t="s">
        <v>4283</v>
      </c>
      <c r="AA56" s="136" t="s">
        <v>4367</v>
      </c>
    </row>
    <row r="57" spans="1:27" ht="15">
      <c r="A57" s="136" t="s">
        <v>4574</v>
      </c>
      <c r="B57" s="136" t="s">
        <v>1013</v>
      </c>
      <c r="C57" s="136" t="s">
        <v>1013</v>
      </c>
      <c r="D57" s="136" t="s">
        <v>4575</v>
      </c>
      <c r="E57" s="136" t="s">
        <v>4268</v>
      </c>
      <c r="F57" s="136" t="s">
        <v>4269</v>
      </c>
      <c r="G57" s="136" t="s">
        <v>4429</v>
      </c>
      <c r="H57" s="136" t="s">
        <v>4430</v>
      </c>
      <c r="I57" s="136" t="s">
        <v>4576</v>
      </c>
      <c r="J57" s="136" t="s">
        <v>4273</v>
      </c>
      <c r="K57" s="136" t="s">
        <v>1013</v>
      </c>
      <c r="L57" s="136" t="s">
        <v>4289</v>
      </c>
      <c r="M57" s="136" t="s">
        <v>4275</v>
      </c>
      <c r="N57" s="136" t="s">
        <v>4276</v>
      </c>
      <c r="O57" s="136" t="s">
        <v>4266</v>
      </c>
      <c r="P57" s="136" t="s">
        <v>4436</v>
      </c>
      <c r="Q57" s="136">
        <v>61093.599999999999</v>
      </c>
      <c r="R57" s="136" t="s">
        <v>4278</v>
      </c>
      <c r="S57" s="136">
        <v>3665.62</v>
      </c>
      <c r="T57" s="136">
        <v>64759.22</v>
      </c>
      <c r="U57" s="136" t="s">
        <v>4279</v>
      </c>
      <c r="V57" s="136" t="s">
        <v>4280</v>
      </c>
      <c r="W57" s="136" t="s">
        <v>4281</v>
      </c>
      <c r="X57" s="136" t="s">
        <v>4282</v>
      </c>
      <c r="Y57" s="136" t="s">
        <v>4281</v>
      </c>
      <c r="Z57" s="136" t="s">
        <v>4283</v>
      </c>
      <c r="AA57" s="136" t="s">
        <v>4577</v>
      </c>
    </row>
    <row r="58" spans="1:27" ht="15">
      <c r="A58" s="136" t="s">
        <v>4578</v>
      </c>
      <c r="B58" s="136" t="s">
        <v>1013</v>
      </c>
      <c r="C58" s="136" t="s">
        <v>1013</v>
      </c>
      <c r="D58" s="136" t="s">
        <v>4579</v>
      </c>
      <c r="E58" s="136" t="s">
        <v>4268</v>
      </c>
      <c r="F58" s="136" t="s">
        <v>4269</v>
      </c>
      <c r="G58" s="136" t="s">
        <v>4580</v>
      </c>
      <c r="H58" s="136" t="s">
        <v>4581</v>
      </c>
      <c r="I58" s="136" t="s">
        <v>4582</v>
      </c>
      <c r="J58" s="136" t="s">
        <v>4273</v>
      </c>
      <c r="K58" s="136" t="s">
        <v>1013</v>
      </c>
      <c r="L58" s="136" t="s">
        <v>4289</v>
      </c>
      <c r="M58" s="136" t="s">
        <v>4275</v>
      </c>
      <c r="N58" s="136" t="s">
        <v>4276</v>
      </c>
      <c r="O58" s="136" t="s">
        <v>4266</v>
      </c>
      <c r="P58" s="136" t="s">
        <v>4537</v>
      </c>
      <c r="Q58" s="136">
        <v>48874.879999999997</v>
      </c>
      <c r="R58" s="136" t="s">
        <v>4278</v>
      </c>
      <c r="S58" s="136">
        <v>2932.49</v>
      </c>
      <c r="T58" s="136">
        <v>51807.37</v>
      </c>
      <c r="U58" s="136" t="s">
        <v>4279</v>
      </c>
      <c r="V58" s="136" t="s">
        <v>4280</v>
      </c>
      <c r="W58" s="136" t="s">
        <v>4281</v>
      </c>
      <c r="X58" s="136" t="s">
        <v>4282</v>
      </c>
      <c r="Y58" s="136" t="s">
        <v>4281</v>
      </c>
      <c r="Z58" s="136" t="s">
        <v>4283</v>
      </c>
      <c r="AA58" s="136" t="s">
        <v>4583</v>
      </c>
    </row>
    <row r="59" spans="1:27" ht="15">
      <c r="A59" s="136" t="s">
        <v>4584</v>
      </c>
      <c r="B59" s="136" t="s">
        <v>1013</v>
      </c>
      <c r="C59" s="136" t="s">
        <v>1013</v>
      </c>
      <c r="D59" s="136" t="s">
        <v>4585</v>
      </c>
      <c r="E59" s="136" t="s">
        <v>4268</v>
      </c>
      <c r="F59" s="136" t="s">
        <v>4269</v>
      </c>
      <c r="G59" s="136" t="s">
        <v>4429</v>
      </c>
      <c r="H59" s="136" t="s">
        <v>4430</v>
      </c>
      <c r="I59" s="136" t="s">
        <v>4586</v>
      </c>
      <c r="J59" s="136" t="s">
        <v>4273</v>
      </c>
      <c r="K59" s="136" t="s">
        <v>1013</v>
      </c>
      <c r="L59" s="136" t="s">
        <v>4289</v>
      </c>
      <c r="M59" s="136" t="s">
        <v>4275</v>
      </c>
      <c r="N59" s="136" t="s">
        <v>4276</v>
      </c>
      <c r="O59" s="136" t="s">
        <v>4266</v>
      </c>
      <c r="P59" s="136" t="s">
        <v>4587</v>
      </c>
      <c r="Q59" s="136">
        <v>48875.09</v>
      </c>
      <c r="R59" s="136" t="s">
        <v>4278</v>
      </c>
      <c r="S59" s="136">
        <v>2932.51</v>
      </c>
      <c r="T59" s="136">
        <v>51807.6</v>
      </c>
      <c r="U59" s="136" t="s">
        <v>4279</v>
      </c>
      <c r="V59" s="136" t="s">
        <v>4280</v>
      </c>
      <c r="W59" s="136" t="s">
        <v>4281</v>
      </c>
      <c r="X59" s="136" t="s">
        <v>4282</v>
      </c>
      <c r="Y59" s="136" t="s">
        <v>4281</v>
      </c>
      <c r="Z59" s="136" t="s">
        <v>4283</v>
      </c>
      <c r="AA59" s="136" t="s">
        <v>4588</v>
      </c>
    </row>
    <row r="60" spans="1:27" ht="15">
      <c r="A60" s="136" t="s">
        <v>4589</v>
      </c>
      <c r="B60" s="136" t="s">
        <v>1013</v>
      </c>
      <c r="C60" s="136" t="s">
        <v>1013</v>
      </c>
      <c r="D60" s="136" t="s">
        <v>4590</v>
      </c>
      <c r="E60" s="136" t="s">
        <v>4268</v>
      </c>
      <c r="F60" s="136" t="s">
        <v>4269</v>
      </c>
      <c r="G60" s="136" t="s">
        <v>4429</v>
      </c>
      <c r="H60" s="136" t="s">
        <v>4430</v>
      </c>
      <c r="I60" s="136" t="s">
        <v>4591</v>
      </c>
      <c r="J60" s="136" t="s">
        <v>4273</v>
      </c>
      <c r="K60" s="136" t="s">
        <v>1013</v>
      </c>
      <c r="L60" s="136" t="s">
        <v>4289</v>
      </c>
      <c r="M60" s="136" t="s">
        <v>4275</v>
      </c>
      <c r="N60" s="136" t="s">
        <v>4276</v>
      </c>
      <c r="O60" s="136" t="s">
        <v>4266</v>
      </c>
      <c r="P60" s="136" t="s">
        <v>4537</v>
      </c>
      <c r="Q60" s="136">
        <v>48874.879999999997</v>
      </c>
      <c r="R60" s="136" t="s">
        <v>4278</v>
      </c>
      <c r="S60" s="136">
        <v>2932.49</v>
      </c>
      <c r="T60" s="136">
        <v>51807.37</v>
      </c>
      <c r="U60" s="136" t="s">
        <v>4279</v>
      </c>
      <c r="V60" s="136" t="s">
        <v>4280</v>
      </c>
      <c r="W60" s="136" t="s">
        <v>4281</v>
      </c>
      <c r="X60" s="136" t="s">
        <v>4282</v>
      </c>
      <c r="Y60" s="136" t="s">
        <v>4281</v>
      </c>
      <c r="Z60" s="136" t="s">
        <v>4283</v>
      </c>
      <c r="AA60" s="136" t="s">
        <v>4459</v>
      </c>
    </row>
    <row r="61" spans="1:27" ht="15">
      <c r="A61" s="136" t="s">
        <v>4592</v>
      </c>
      <c r="B61" s="136" t="s">
        <v>1013</v>
      </c>
      <c r="C61" s="136" t="s">
        <v>1013</v>
      </c>
      <c r="D61" s="136" t="s">
        <v>4593</v>
      </c>
      <c r="E61" s="136" t="s">
        <v>4268</v>
      </c>
      <c r="F61" s="136" t="s">
        <v>4269</v>
      </c>
      <c r="G61" s="136" t="s">
        <v>4594</v>
      </c>
      <c r="H61" s="136" t="s">
        <v>4595</v>
      </c>
      <c r="I61" s="136" t="s">
        <v>4596</v>
      </c>
      <c r="J61" s="136" t="s">
        <v>4273</v>
      </c>
      <c r="K61" s="136" t="s">
        <v>1013</v>
      </c>
      <c r="L61" s="136" t="s">
        <v>4289</v>
      </c>
      <c r="M61" s="136" t="s">
        <v>4275</v>
      </c>
      <c r="N61" s="136" t="s">
        <v>4276</v>
      </c>
      <c r="O61" s="136" t="s">
        <v>4266</v>
      </c>
      <c r="P61" s="136" t="s">
        <v>4436</v>
      </c>
      <c r="Q61" s="136">
        <v>61093.599999999999</v>
      </c>
      <c r="R61" s="136" t="s">
        <v>4278</v>
      </c>
      <c r="S61" s="136">
        <v>3665.62</v>
      </c>
      <c r="T61" s="136">
        <v>64759.22</v>
      </c>
      <c r="U61" s="136" t="s">
        <v>4279</v>
      </c>
      <c r="V61" s="136" t="s">
        <v>4280</v>
      </c>
      <c r="W61" s="136" t="s">
        <v>4281</v>
      </c>
      <c r="X61" s="136" t="s">
        <v>4282</v>
      </c>
      <c r="Y61" s="136" t="s">
        <v>4281</v>
      </c>
      <c r="Z61" s="136" t="s">
        <v>4283</v>
      </c>
      <c r="AA61" s="136" t="s">
        <v>4597</v>
      </c>
    </row>
    <row r="62" spans="1:27" ht="15">
      <c r="A62" s="136" t="s">
        <v>4598</v>
      </c>
      <c r="B62" s="136" t="s">
        <v>1013</v>
      </c>
      <c r="C62" s="136" t="s">
        <v>1013</v>
      </c>
      <c r="D62" s="136" t="s">
        <v>4599</v>
      </c>
      <c r="E62" s="136" t="s">
        <v>4268</v>
      </c>
      <c r="F62" s="136" t="s">
        <v>4269</v>
      </c>
      <c r="G62" s="136" t="s">
        <v>4286</v>
      </c>
      <c r="H62" s="136" t="s">
        <v>4287</v>
      </c>
      <c r="I62" s="136" t="s">
        <v>4600</v>
      </c>
      <c r="J62" s="136" t="s">
        <v>4273</v>
      </c>
      <c r="K62" s="136" t="s">
        <v>1013</v>
      </c>
      <c r="L62" s="136" t="s">
        <v>4289</v>
      </c>
      <c r="M62" s="136" t="s">
        <v>4275</v>
      </c>
      <c r="N62" s="136" t="s">
        <v>4276</v>
      </c>
      <c r="O62" s="136" t="s">
        <v>4266</v>
      </c>
      <c r="P62" s="136" t="s">
        <v>4601</v>
      </c>
      <c r="Q62" s="136">
        <v>67202.960000000006</v>
      </c>
      <c r="R62" s="136" t="s">
        <v>4278</v>
      </c>
      <c r="S62" s="136">
        <v>4032.18</v>
      </c>
      <c r="T62" s="136">
        <v>71235.14</v>
      </c>
      <c r="U62" s="136" t="s">
        <v>4279</v>
      </c>
      <c r="V62" s="136" t="s">
        <v>4280</v>
      </c>
      <c r="W62" s="136" t="s">
        <v>4281</v>
      </c>
      <c r="X62" s="136" t="s">
        <v>4282</v>
      </c>
      <c r="Y62" s="136" t="s">
        <v>4281</v>
      </c>
      <c r="Z62" s="136" t="s">
        <v>4283</v>
      </c>
      <c r="AA62" s="136" t="s">
        <v>4291</v>
      </c>
    </row>
    <row r="63" spans="1:27" ht="15">
      <c r="A63" s="136" t="s">
        <v>4602</v>
      </c>
      <c r="B63" s="136" t="s">
        <v>1013</v>
      </c>
      <c r="C63" s="136" t="s">
        <v>1013</v>
      </c>
      <c r="D63" s="136" t="s">
        <v>4603</v>
      </c>
      <c r="E63" s="136" t="s">
        <v>4268</v>
      </c>
      <c r="F63" s="136" t="s">
        <v>4269</v>
      </c>
      <c r="G63" s="136" t="s">
        <v>4286</v>
      </c>
      <c r="H63" s="136" t="s">
        <v>4287</v>
      </c>
      <c r="I63" s="136" t="s">
        <v>4604</v>
      </c>
      <c r="J63" s="136" t="s">
        <v>4273</v>
      </c>
      <c r="K63" s="136" t="s">
        <v>1013</v>
      </c>
      <c r="L63" s="136" t="s">
        <v>4289</v>
      </c>
      <c r="M63" s="136" t="s">
        <v>4275</v>
      </c>
      <c r="N63" s="136" t="s">
        <v>4276</v>
      </c>
      <c r="O63" s="136" t="s">
        <v>4266</v>
      </c>
      <c r="P63" s="136" t="s">
        <v>4605</v>
      </c>
      <c r="Q63" s="136">
        <v>38108.089999999997</v>
      </c>
      <c r="R63" s="136" t="s">
        <v>4278</v>
      </c>
      <c r="S63" s="136">
        <v>2286.4899999999998</v>
      </c>
      <c r="T63" s="136">
        <v>40394.58</v>
      </c>
      <c r="U63" s="136" t="s">
        <v>4279</v>
      </c>
      <c r="V63" s="136" t="s">
        <v>4280</v>
      </c>
      <c r="W63" s="136" t="s">
        <v>4281</v>
      </c>
      <c r="X63" s="136" t="s">
        <v>4282</v>
      </c>
      <c r="Y63" s="136" t="s">
        <v>4281</v>
      </c>
      <c r="Z63" s="136" t="s">
        <v>4283</v>
      </c>
      <c r="AA63" s="136" t="s">
        <v>4303</v>
      </c>
    </row>
    <row r="64" spans="1:27" ht="15">
      <c r="A64" s="136" t="s">
        <v>4606</v>
      </c>
      <c r="B64" s="136" t="s">
        <v>1013</v>
      </c>
      <c r="C64" s="136" t="s">
        <v>1013</v>
      </c>
      <c r="D64" s="136" t="s">
        <v>4607</v>
      </c>
      <c r="E64" s="136" t="s">
        <v>4268</v>
      </c>
      <c r="F64" s="136" t="s">
        <v>4269</v>
      </c>
      <c r="G64" s="136" t="s">
        <v>4429</v>
      </c>
      <c r="H64" s="136" t="s">
        <v>4430</v>
      </c>
      <c r="I64" s="136" t="s">
        <v>4608</v>
      </c>
      <c r="J64" s="136" t="s">
        <v>4307</v>
      </c>
      <c r="K64" s="136" t="s">
        <v>1013</v>
      </c>
      <c r="L64" s="136" t="s">
        <v>4308</v>
      </c>
      <c r="M64" s="136" t="s">
        <v>4275</v>
      </c>
      <c r="N64" s="136" t="s">
        <v>4276</v>
      </c>
      <c r="O64" s="136" t="s">
        <v>4266</v>
      </c>
      <c r="P64" s="136" t="s">
        <v>4609</v>
      </c>
      <c r="Q64" s="136">
        <v>55432.92</v>
      </c>
      <c r="R64" s="136" t="s">
        <v>4278</v>
      </c>
      <c r="S64" s="136">
        <v>3325.98</v>
      </c>
      <c r="T64" s="136">
        <v>58758.9</v>
      </c>
      <c r="U64" s="136" t="s">
        <v>4279</v>
      </c>
      <c r="V64" s="136" t="s">
        <v>4280</v>
      </c>
      <c r="W64" s="136" t="s">
        <v>4281</v>
      </c>
      <c r="X64" s="136" t="s">
        <v>4282</v>
      </c>
      <c r="Y64" s="136" t="s">
        <v>4281</v>
      </c>
      <c r="Z64" s="136" t="s">
        <v>4283</v>
      </c>
      <c r="AA64" s="136" t="s">
        <v>4610</v>
      </c>
    </row>
    <row r="65" spans="1:27" ht="15">
      <c r="A65" s="136" t="s">
        <v>4611</v>
      </c>
      <c r="B65" s="136" t="s">
        <v>1013</v>
      </c>
      <c r="C65" s="136" t="s">
        <v>1013</v>
      </c>
      <c r="D65" s="136" t="s">
        <v>4612</v>
      </c>
      <c r="E65" s="136" t="s">
        <v>4268</v>
      </c>
      <c r="F65" s="136" t="s">
        <v>4269</v>
      </c>
      <c r="G65" s="136" t="s">
        <v>4429</v>
      </c>
      <c r="H65" s="136" t="s">
        <v>4430</v>
      </c>
      <c r="I65" s="136" t="s">
        <v>4613</v>
      </c>
      <c r="J65" s="136" t="s">
        <v>4273</v>
      </c>
      <c r="K65" s="136" t="s">
        <v>1013</v>
      </c>
      <c r="L65" s="136" t="s">
        <v>4289</v>
      </c>
      <c r="M65" s="136" t="s">
        <v>4275</v>
      </c>
      <c r="N65" s="136" t="s">
        <v>4276</v>
      </c>
      <c r="O65" s="136" t="s">
        <v>4266</v>
      </c>
      <c r="P65" s="136" t="s">
        <v>4614</v>
      </c>
      <c r="Q65" s="136">
        <v>161529.51</v>
      </c>
      <c r="R65" s="136" t="s">
        <v>4278</v>
      </c>
      <c r="S65" s="136">
        <v>9691.77</v>
      </c>
      <c r="T65" s="136">
        <v>171221.28</v>
      </c>
      <c r="U65" s="136" t="s">
        <v>4279</v>
      </c>
      <c r="V65" s="136" t="s">
        <v>4280</v>
      </c>
      <c r="W65" s="136" t="s">
        <v>4281</v>
      </c>
      <c r="X65" s="136" t="s">
        <v>4282</v>
      </c>
      <c r="Y65" s="136" t="s">
        <v>4281</v>
      </c>
      <c r="Z65" s="136" t="s">
        <v>4283</v>
      </c>
      <c r="AA65" s="136" t="s">
        <v>4502</v>
      </c>
    </row>
    <row r="66" spans="1:27" ht="15">
      <c r="A66" s="136" t="s">
        <v>4615</v>
      </c>
      <c r="B66" s="136" t="s">
        <v>1013</v>
      </c>
      <c r="C66" s="136" t="s">
        <v>1013</v>
      </c>
      <c r="D66" s="136" t="s">
        <v>4616</v>
      </c>
      <c r="E66" s="136" t="s">
        <v>4268</v>
      </c>
      <c r="F66" s="136" t="s">
        <v>4269</v>
      </c>
      <c r="G66" s="136" t="s">
        <v>4429</v>
      </c>
      <c r="H66" s="136" t="s">
        <v>4430</v>
      </c>
      <c r="I66" s="136" t="s">
        <v>4617</v>
      </c>
      <c r="J66" s="136" t="s">
        <v>4307</v>
      </c>
      <c r="K66" s="136" t="s">
        <v>1013</v>
      </c>
      <c r="L66" s="136" t="s">
        <v>4308</v>
      </c>
      <c r="M66" s="136" t="s">
        <v>4275</v>
      </c>
      <c r="N66" s="136" t="s">
        <v>4276</v>
      </c>
      <c r="O66" s="136" t="s">
        <v>4266</v>
      </c>
      <c r="P66" s="136" t="s">
        <v>4618</v>
      </c>
      <c r="Q66" s="136">
        <v>154818.66</v>
      </c>
      <c r="R66" s="136" t="s">
        <v>4278</v>
      </c>
      <c r="S66" s="136">
        <v>9289.1200000000008</v>
      </c>
      <c r="T66" s="136">
        <v>164107.78</v>
      </c>
      <c r="U66" s="136" t="s">
        <v>4279</v>
      </c>
      <c r="V66" s="136" t="s">
        <v>4280</v>
      </c>
      <c r="W66" s="136" t="s">
        <v>4281</v>
      </c>
      <c r="X66" s="136" t="s">
        <v>4282</v>
      </c>
      <c r="Y66" s="136" t="s">
        <v>4281</v>
      </c>
      <c r="Z66" s="136" t="s">
        <v>4283</v>
      </c>
      <c r="AA66" s="136" t="s">
        <v>4597</v>
      </c>
    </row>
    <row r="67" spans="1:27" ht="15">
      <c r="A67" s="136" t="s">
        <v>4619</v>
      </c>
      <c r="B67" s="136" t="s">
        <v>1013</v>
      </c>
      <c r="C67" s="136" t="s">
        <v>1013</v>
      </c>
      <c r="D67" s="136" t="s">
        <v>4620</v>
      </c>
      <c r="E67" s="136" t="s">
        <v>4268</v>
      </c>
      <c r="F67" s="136" t="s">
        <v>4269</v>
      </c>
      <c r="G67" s="136" t="s">
        <v>4429</v>
      </c>
      <c r="H67" s="136" t="s">
        <v>4430</v>
      </c>
      <c r="I67" s="136" t="s">
        <v>4621</v>
      </c>
      <c r="J67" s="136" t="s">
        <v>4307</v>
      </c>
      <c r="K67" s="136" t="s">
        <v>1013</v>
      </c>
      <c r="L67" s="136" t="s">
        <v>4308</v>
      </c>
      <c r="M67" s="136" t="s">
        <v>4275</v>
      </c>
      <c r="N67" s="136" t="s">
        <v>4276</v>
      </c>
      <c r="O67" s="136" t="s">
        <v>4266</v>
      </c>
      <c r="P67" s="136" t="s">
        <v>4622</v>
      </c>
      <c r="Q67" s="136">
        <v>425621.75</v>
      </c>
      <c r="R67" s="136" t="s">
        <v>4278</v>
      </c>
      <c r="S67" s="136">
        <v>25537.31</v>
      </c>
      <c r="T67" s="136">
        <v>451159.06</v>
      </c>
      <c r="U67" s="136" t="s">
        <v>4279</v>
      </c>
      <c r="V67" s="136" t="s">
        <v>4280</v>
      </c>
      <c r="W67" s="136" t="s">
        <v>4281</v>
      </c>
      <c r="X67" s="136" t="s">
        <v>4282</v>
      </c>
      <c r="Y67" s="136" t="s">
        <v>4281</v>
      </c>
      <c r="Z67" s="136" t="s">
        <v>4283</v>
      </c>
      <c r="AA67" s="136" t="s">
        <v>4597</v>
      </c>
    </row>
    <row r="68" spans="1:27" ht="15">
      <c r="A68" s="136" t="s">
        <v>4623</v>
      </c>
      <c r="B68" s="136" t="s">
        <v>1013</v>
      </c>
      <c r="C68" s="136" t="s">
        <v>1013</v>
      </c>
      <c r="D68" s="136" t="s">
        <v>4624</v>
      </c>
      <c r="E68" s="136" t="s">
        <v>4268</v>
      </c>
      <c r="F68" s="136" t="s">
        <v>4269</v>
      </c>
      <c r="G68" s="136" t="s">
        <v>4429</v>
      </c>
      <c r="H68" s="136" t="s">
        <v>4430</v>
      </c>
      <c r="I68" s="136" t="s">
        <v>4625</v>
      </c>
      <c r="J68" s="136" t="s">
        <v>4307</v>
      </c>
      <c r="K68" s="136" t="s">
        <v>1013</v>
      </c>
      <c r="L68" s="136" t="s">
        <v>4308</v>
      </c>
      <c r="M68" s="136" t="s">
        <v>4275</v>
      </c>
      <c r="N68" s="136" t="s">
        <v>4276</v>
      </c>
      <c r="O68" s="136" t="s">
        <v>4266</v>
      </c>
      <c r="P68" s="136" t="s">
        <v>4626</v>
      </c>
      <c r="Q68" s="136">
        <v>418867.92</v>
      </c>
      <c r="R68" s="136" t="s">
        <v>4278</v>
      </c>
      <c r="S68" s="136">
        <v>25132.080000000002</v>
      </c>
      <c r="T68" s="136">
        <v>444000</v>
      </c>
      <c r="U68" s="136" t="s">
        <v>4279</v>
      </c>
      <c r="V68" s="136" t="s">
        <v>4280</v>
      </c>
      <c r="W68" s="136" t="s">
        <v>4281</v>
      </c>
      <c r="X68" s="136" t="s">
        <v>4282</v>
      </c>
      <c r="Y68" s="136" t="s">
        <v>4281</v>
      </c>
      <c r="Z68" s="136" t="s">
        <v>4283</v>
      </c>
      <c r="AA68" s="136" t="s">
        <v>4597</v>
      </c>
    </row>
    <row r="69" spans="1:27" ht="15">
      <c r="A69" s="136" t="s">
        <v>4627</v>
      </c>
      <c r="B69" s="136" t="s">
        <v>1013</v>
      </c>
      <c r="C69" s="136" t="s">
        <v>1013</v>
      </c>
      <c r="D69" s="136" t="s">
        <v>4628</v>
      </c>
      <c r="E69" s="136" t="s">
        <v>4268</v>
      </c>
      <c r="F69" s="136" t="s">
        <v>4269</v>
      </c>
      <c r="G69" s="136" t="s">
        <v>4429</v>
      </c>
      <c r="H69" s="136" t="s">
        <v>4430</v>
      </c>
      <c r="I69" s="136" t="s">
        <v>4629</v>
      </c>
      <c r="J69" s="136" t="s">
        <v>4307</v>
      </c>
      <c r="K69" s="136" t="s">
        <v>1013</v>
      </c>
      <c r="L69" s="136" t="s">
        <v>4308</v>
      </c>
      <c r="M69" s="136" t="s">
        <v>4275</v>
      </c>
      <c r="N69" s="136" t="s">
        <v>4276</v>
      </c>
      <c r="O69" s="136" t="s">
        <v>4266</v>
      </c>
      <c r="P69" s="136" t="s">
        <v>4630</v>
      </c>
      <c r="Q69" s="136">
        <v>95587</v>
      </c>
      <c r="R69" s="136" t="s">
        <v>4278</v>
      </c>
      <c r="S69" s="136">
        <v>5735.22</v>
      </c>
      <c r="T69" s="136">
        <v>101322.22</v>
      </c>
      <c r="U69" s="136" t="s">
        <v>4279</v>
      </c>
      <c r="V69" s="136" t="s">
        <v>4280</v>
      </c>
      <c r="W69" s="136" t="s">
        <v>4281</v>
      </c>
      <c r="X69" s="136" t="s">
        <v>4282</v>
      </c>
      <c r="Y69" s="136" t="s">
        <v>4281</v>
      </c>
      <c r="Z69" s="136" t="s">
        <v>4283</v>
      </c>
      <c r="AA69" s="136" t="s">
        <v>4631</v>
      </c>
    </row>
    <row r="70" spans="1:27" ht="15">
      <c r="A70" s="136" t="s">
        <v>4632</v>
      </c>
      <c r="B70" s="136" t="s">
        <v>1013</v>
      </c>
      <c r="C70" s="136" t="s">
        <v>1013</v>
      </c>
      <c r="D70" s="136" t="s">
        <v>4633</v>
      </c>
      <c r="E70" s="136" t="s">
        <v>4268</v>
      </c>
      <c r="F70" s="136" t="s">
        <v>4269</v>
      </c>
      <c r="G70" s="136" t="s">
        <v>4429</v>
      </c>
      <c r="H70" s="136" t="s">
        <v>4430</v>
      </c>
      <c r="I70" s="136" t="s">
        <v>4634</v>
      </c>
      <c r="J70" s="136" t="s">
        <v>4307</v>
      </c>
      <c r="K70" s="136" t="s">
        <v>1013</v>
      </c>
      <c r="L70" s="136" t="s">
        <v>4308</v>
      </c>
      <c r="M70" s="136" t="s">
        <v>4275</v>
      </c>
      <c r="N70" s="136" t="s">
        <v>4276</v>
      </c>
      <c r="O70" s="136" t="s">
        <v>4266</v>
      </c>
      <c r="P70" s="136" t="s">
        <v>4635</v>
      </c>
      <c r="Q70" s="136">
        <v>116668.76</v>
      </c>
      <c r="R70" s="136" t="s">
        <v>4278</v>
      </c>
      <c r="S70" s="136">
        <v>7000.13</v>
      </c>
      <c r="T70" s="136">
        <v>123668.89</v>
      </c>
      <c r="U70" s="136" t="s">
        <v>4279</v>
      </c>
      <c r="V70" s="136" t="s">
        <v>4280</v>
      </c>
      <c r="W70" s="136" t="s">
        <v>4281</v>
      </c>
      <c r="X70" s="136" t="s">
        <v>4282</v>
      </c>
      <c r="Y70" s="136" t="s">
        <v>4281</v>
      </c>
      <c r="Z70" s="136" t="s">
        <v>4283</v>
      </c>
      <c r="AA70" s="136" t="s">
        <v>4636</v>
      </c>
    </row>
    <row r="71" spans="1:27" ht="15">
      <c r="A71" s="136" t="s">
        <v>4637</v>
      </c>
      <c r="B71" s="136" t="s">
        <v>1013</v>
      </c>
      <c r="C71" s="136" t="s">
        <v>1013</v>
      </c>
      <c r="D71" s="136" t="s">
        <v>4638</v>
      </c>
      <c r="E71" s="136" t="s">
        <v>4268</v>
      </c>
      <c r="F71" s="136" t="s">
        <v>4269</v>
      </c>
      <c r="G71" s="136" t="s">
        <v>4429</v>
      </c>
      <c r="H71" s="136" t="s">
        <v>4430</v>
      </c>
      <c r="I71" s="136" t="s">
        <v>4639</v>
      </c>
      <c r="J71" s="136" t="s">
        <v>4307</v>
      </c>
      <c r="K71" s="136" t="s">
        <v>1013</v>
      </c>
      <c r="L71" s="136" t="s">
        <v>4308</v>
      </c>
      <c r="M71" s="136" t="s">
        <v>4275</v>
      </c>
      <c r="N71" s="136" t="s">
        <v>4276</v>
      </c>
      <c r="O71" s="136" t="s">
        <v>4266</v>
      </c>
      <c r="P71" s="136" t="s">
        <v>4640</v>
      </c>
      <c r="Q71" s="136">
        <v>61695.18</v>
      </c>
      <c r="R71" s="136" t="s">
        <v>4278</v>
      </c>
      <c r="S71" s="136">
        <v>3701.71</v>
      </c>
      <c r="T71" s="136">
        <v>65396.89</v>
      </c>
      <c r="U71" s="136" t="s">
        <v>4279</v>
      </c>
      <c r="V71" s="136" t="s">
        <v>4280</v>
      </c>
      <c r="W71" s="136" t="s">
        <v>4281</v>
      </c>
      <c r="X71" s="136" t="s">
        <v>4282</v>
      </c>
      <c r="Y71" s="136" t="s">
        <v>4281</v>
      </c>
      <c r="Z71" s="136" t="s">
        <v>4283</v>
      </c>
      <c r="AA71" s="136" t="s">
        <v>4631</v>
      </c>
    </row>
    <row r="72" spans="1:27" ht="15">
      <c r="A72" s="136" t="s">
        <v>4641</v>
      </c>
      <c r="B72" s="136" t="s">
        <v>1013</v>
      </c>
      <c r="C72" s="136" t="s">
        <v>1013</v>
      </c>
      <c r="D72" s="136" t="s">
        <v>4642</v>
      </c>
      <c r="E72" s="136" t="s">
        <v>4268</v>
      </c>
      <c r="F72" s="136" t="s">
        <v>4269</v>
      </c>
      <c r="G72" s="136" t="s">
        <v>4429</v>
      </c>
      <c r="H72" s="136" t="s">
        <v>4430</v>
      </c>
      <c r="I72" s="136" t="s">
        <v>4643</v>
      </c>
      <c r="J72" s="136" t="s">
        <v>4307</v>
      </c>
      <c r="K72" s="136" t="s">
        <v>1013</v>
      </c>
      <c r="L72" s="136" t="s">
        <v>4308</v>
      </c>
      <c r="M72" s="136" t="s">
        <v>4275</v>
      </c>
      <c r="N72" s="136" t="s">
        <v>4276</v>
      </c>
      <c r="O72" s="136" t="s">
        <v>4266</v>
      </c>
      <c r="P72" s="136" t="s">
        <v>4644</v>
      </c>
      <c r="Q72" s="136">
        <v>31994.75</v>
      </c>
      <c r="R72" s="136" t="s">
        <v>4278</v>
      </c>
      <c r="S72" s="136">
        <v>1919.69</v>
      </c>
      <c r="T72" s="136">
        <v>33914.44</v>
      </c>
      <c r="U72" s="136" t="s">
        <v>4279</v>
      </c>
      <c r="V72" s="136" t="s">
        <v>4280</v>
      </c>
      <c r="W72" s="136" t="s">
        <v>4281</v>
      </c>
      <c r="X72" s="136" t="s">
        <v>4282</v>
      </c>
      <c r="Y72" s="136" t="s">
        <v>4281</v>
      </c>
      <c r="Z72" s="136" t="s">
        <v>4283</v>
      </c>
      <c r="AA72" s="136" t="s">
        <v>4645</v>
      </c>
    </row>
    <row r="73" spans="1:27" ht="15">
      <c r="A73" s="136" t="s">
        <v>4646</v>
      </c>
      <c r="B73" s="136" t="s">
        <v>1013</v>
      </c>
      <c r="C73" s="136" t="s">
        <v>1013</v>
      </c>
      <c r="D73" s="136" t="s">
        <v>4647</v>
      </c>
      <c r="E73" s="136" t="s">
        <v>4268</v>
      </c>
      <c r="F73" s="136" t="s">
        <v>4269</v>
      </c>
      <c r="G73" s="136" t="s">
        <v>4429</v>
      </c>
      <c r="H73" s="136" t="s">
        <v>4430</v>
      </c>
      <c r="I73" s="136" t="s">
        <v>4648</v>
      </c>
      <c r="J73" s="136" t="s">
        <v>4307</v>
      </c>
      <c r="K73" s="136" t="s">
        <v>1013</v>
      </c>
      <c r="L73" s="136" t="s">
        <v>4308</v>
      </c>
      <c r="M73" s="136" t="s">
        <v>4275</v>
      </c>
      <c r="N73" s="136" t="s">
        <v>4276</v>
      </c>
      <c r="O73" s="136" t="s">
        <v>4266</v>
      </c>
      <c r="P73" s="136" t="s">
        <v>4649</v>
      </c>
      <c r="Q73" s="136">
        <v>106708.58</v>
      </c>
      <c r="R73" s="136" t="s">
        <v>4278</v>
      </c>
      <c r="S73" s="136">
        <v>6402.51</v>
      </c>
      <c r="T73" s="136">
        <v>113111.09</v>
      </c>
      <c r="U73" s="136" t="s">
        <v>4279</v>
      </c>
      <c r="V73" s="136" t="s">
        <v>4280</v>
      </c>
      <c r="W73" s="136" t="s">
        <v>4281</v>
      </c>
      <c r="X73" s="136" t="s">
        <v>4282</v>
      </c>
      <c r="Y73" s="136" t="s">
        <v>4281</v>
      </c>
      <c r="Z73" s="136" t="s">
        <v>4283</v>
      </c>
      <c r="AA73" s="136" t="s">
        <v>4631</v>
      </c>
    </row>
    <row r="74" spans="1:27" ht="15">
      <c r="A74" s="136" t="s">
        <v>4650</v>
      </c>
      <c r="B74" s="136" t="s">
        <v>1013</v>
      </c>
      <c r="C74" s="136" t="s">
        <v>1013</v>
      </c>
      <c r="D74" s="136" t="s">
        <v>4651</v>
      </c>
      <c r="E74" s="136" t="s">
        <v>4268</v>
      </c>
      <c r="F74" s="136" t="s">
        <v>4269</v>
      </c>
      <c r="G74" s="136" t="s">
        <v>4429</v>
      </c>
      <c r="H74" s="136" t="s">
        <v>4430</v>
      </c>
      <c r="I74" s="136" t="s">
        <v>4652</v>
      </c>
      <c r="J74" s="136" t="s">
        <v>4307</v>
      </c>
      <c r="K74" s="136" t="s">
        <v>1013</v>
      </c>
      <c r="L74" s="136" t="s">
        <v>4308</v>
      </c>
      <c r="M74" s="136" t="s">
        <v>4275</v>
      </c>
      <c r="N74" s="136" t="s">
        <v>4276</v>
      </c>
      <c r="O74" s="136" t="s">
        <v>4266</v>
      </c>
      <c r="P74" s="136" t="s">
        <v>4653</v>
      </c>
      <c r="Q74" s="136">
        <v>68805.03</v>
      </c>
      <c r="R74" s="136" t="s">
        <v>4278</v>
      </c>
      <c r="S74" s="136">
        <v>4128.3</v>
      </c>
      <c r="T74" s="136">
        <v>72933.33</v>
      </c>
      <c r="U74" s="136" t="s">
        <v>4279</v>
      </c>
      <c r="V74" s="136" t="s">
        <v>4280</v>
      </c>
      <c r="W74" s="136" t="s">
        <v>4281</v>
      </c>
      <c r="X74" s="136" t="s">
        <v>4282</v>
      </c>
      <c r="Y74" s="136" t="s">
        <v>4281</v>
      </c>
      <c r="Z74" s="136" t="s">
        <v>4283</v>
      </c>
      <c r="AA74" s="136" t="s">
        <v>4645</v>
      </c>
    </row>
    <row r="75" spans="1:27" ht="15">
      <c r="A75" s="136" t="s">
        <v>4654</v>
      </c>
      <c r="B75" s="136" t="s">
        <v>1013</v>
      </c>
      <c r="C75" s="136" t="s">
        <v>1013</v>
      </c>
      <c r="D75" s="136" t="s">
        <v>4655</v>
      </c>
      <c r="E75" s="136" t="s">
        <v>4268</v>
      </c>
      <c r="F75" s="136" t="s">
        <v>4269</v>
      </c>
      <c r="G75" s="136" t="s">
        <v>4429</v>
      </c>
      <c r="H75" s="136" t="s">
        <v>4430</v>
      </c>
      <c r="I75" s="136" t="s">
        <v>4656</v>
      </c>
      <c r="J75" s="136" t="s">
        <v>4307</v>
      </c>
      <c r="K75" s="136" t="s">
        <v>1013</v>
      </c>
      <c r="L75" s="136" t="s">
        <v>4308</v>
      </c>
      <c r="M75" s="136" t="s">
        <v>4275</v>
      </c>
      <c r="N75" s="136" t="s">
        <v>4276</v>
      </c>
      <c r="O75" s="136" t="s">
        <v>4266</v>
      </c>
      <c r="P75" s="136" t="s">
        <v>4657</v>
      </c>
      <c r="Q75" s="136">
        <v>180036.16</v>
      </c>
      <c r="R75" s="136" t="s">
        <v>4278</v>
      </c>
      <c r="S75" s="136">
        <v>10802.17</v>
      </c>
      <c r="T75" s="136">
        <v>190838.33</v>
      </c>
      <c r="U75" s="136" t="s">
        <v>4279</v>
      </c>
      <c r="V75" s="136" t="s">
        <v>4280</v>
      </c>
      <c r="W75" s="136" t="s">
        <v>4281</v>
      </c>
      <c r="X75" s="136" t="s">
        <v>4282</v>
      </c>
      <c r="Y75" s="136" t="s">
        <v>4281</v>
      </c>
      <c r="Z75" s="136" t="s">
        <v>4283</v>
      </c>
      <c r="AA75" s="136" t="s">
        <v>4636</v>
      </c>
    </row>
    <row r="76" spans="1:27" ht="15">
      <c r="A76" s="136" t="s">
        <v>4658</v>
      </c>
      <c r="B76" s="136" t="s">
        <v>1013</v>
      </c>
      <c r="C76" s="136" t="s">
        <v>1013</v>
      </c>
      <c r="D76" s="136" t="s">
        <v>4659</v>
      </c>
      <c r="E76" s="136" t="s">
        <v>4268</v>
      </c>
      <c r="F76" s="136" t="s">
        <v>4269</v>
      </c>
      <c r="G76" s="136" t="s">
        <v>4429</v>
      </c>
      <c r="H76" s="136" t="s">
        <v>4430</v>
      </c>
      <c r="I76" s="136" t="s">
        <v>4660</v>
      </c>
      <c r="J76" s="136" t="s">
        <v>4307</v>
      </c>
      <c r="K76" s="136" t="s">
        <v>1013</v>
      </c>
      <c r="L76" s="136" t="s">
        <v>4308</v>
      </c>
      <c r="M76" s="136" t="s">
        <v>4275</v>
      </c>
      <c r="N76" s="136" t="s">
        <v>4276</v>
      </c>
      <c r="O76" s="136" t="s">
        <v>4266</v>
      </c>
      <c r="P76" s="136" t="s">
        <v>4661</v>
      </c>
      <c r="Q76" s="136">
        <v>103773.58</v>
      </c>
      <c r="R76" s="136" t="s">
        <v>4278</v>
      </c>
      <c r="S76" s="136">
        <v>6226.41</v>
      </c>
      <c r="T76" s="136">
        <v>109999.99</v>
      </c>
      <c r="U76" s="136" t="s">
        <v>4279</v>
      </c>
      <c r="V76" s="136" t="s">
        <v>4280</v>
      </c>
      <c r="W76" s="136" t="s">
        <v>4281</v>
      </c>
      <c r="X76" s="136" t="s">
        <v>4282</v>
      </c>
      <c r="Y76" s="136" t="s">
        <v>4281</v>
      </c>
      <c r="Z76" s="136" t="s">
        <v>4283</v>
      </c>
      <c r="AA76" s="136" t="s">
        <v>4636</v>
      </c>
    </row>
    <row r="77" spans="1:27" ht="15">
      <c r="A77" s="136" t="s">
        <v>4662</v>
      </c>
      <c r="B77" s="136" t="s">
        <v>1013</v>
      </c>
      <c r="C77" s="136" t="s">
        <v>1013</v>
      </c>
      <c r="D77" s="136" t="s">
        <v>4663</v>
      </c>
      <c r="E77" s="136" t="s">
        <v>4268</v>
      </c>
      <c r="F77" s="136" t="s">
        <v>4269</v>
      </c>
      <c r="G77" s="136" t="s">
        <v>4429</v>
      </c>
      <c r="H77" s="136" t="s">
        <v>4430</v>
      </c>
      <c r="I77" s="136" t="s">
        <v>4664</v>
      </c>
      <c r="J77" s="136" t="s">
        <v>4307</v>
      </c>
      <c r="K77" s="136" t="s">
        <v>1013</v>
      </c>
      <c r="L77" s="136" t="s">
        <v>4308</v>
      </c>
      <c r="M77" s="136" t="s">
        <v>4275</v>
      </c>
      <c r="N77" s="136" t="s">
        <v>4276</v>
      </c>
      <c r="O77" s="136" t="s">
        <v>4266</v>
      </c>
      <c r="P77" s="136" t="s">
        <v>4665</v>
      </c>
      <c r="Q77" s="136">
        <v>44687.19</v>
      </c>
      <c r="R77" s="136" t="s">
        <v>4278</v>
      </c>
      <c r="S77" s="136">
        <v>2681.23</v>
      </c>
      <c r="T77" s="136">
        <v>47368.42</v>
      </c>
      <c r="U77" s="136" t="s">
        <v>4279</v>
      </c>
      <c r="V77" s="136" t="s">
        <v>4280</v>
      </c>
      <c r="W77" s="136" t="s">
        <v>4281</v>
      </c>
      <c r="X77" s="136" t="s">
        <v>4282</v>
      </c>
      <c r="Y77" s="136" t="s">
        <v>4281</v>
      </c>
      <c r="Z77" s="136" t="s">
        <v>4283</v>
      </c>
      <c r="AA77" s="136" t="s">
        <v>4636</v>
      </c>
    </row>
    <row r="78" spans="1:27" ht="15">
      <c r="A78" s="136" t="s">
        <v>4666</v>
      </c>
      <c r="B78" s="136" t="s">
        <v>1013</v>
      </c>
      <c r="C78" s="136" t="s">
        <v>1013</v>
      </c>
      <c r="D78" s="136" t="s">
        <v>4667</v>
      </c>
      <c r="E78" s="136" t="s">
        <v>4268</v>
      </c>
      <c r="F78" s="136" t="s">
        <v>4269</v>
      </c>
      <c r="G78" s="136" t="s">
        <v>4429</v>
      </c>
      <c r="H78" s="136" t="s">
        <v>4430</v>
      </c>
      <c r="I78" s="136" t="s">
        <v>4668</v>
      </c>
      <c r="J78" s="136" t="s">
        <v>4307</v>
      </c>
      <c r="K78" s="136" t="s">
        <v>1013</v>
      </c>
      <c r="L78" s="136" t="s">
        <v>4308</v>
      </c>
      <c r="M78" s="136" t="s">
        <v>4275</v>
      </c>
      <c r="N78" s="136" t="s">
        <v>4276</v>
      </c>
      <c r="O78" s="136" t="s">
        <v>4266</v>
      </c>
      <c r="P78" s="136" t="s">
        <v>4669</v>
      </c>
      <c r="Q78" s="136">
        <v>46121.59</v>
      </c>
      <c r="R78" s="136" t="s">
        <v>4278</v>
      </c>
      <c r="S78" s="136">
        <v>2767.3</v>
      </c>
      <c r="T78" s="136">
        <v>48888.89</v>
      </c>
      <c r="U78" s="136" t="s">
        <v>4279</v>
      </c>
      <c r="V78" s="136" t="s">
        <v>4280</v>
      </c>
      <c r="W78" s="136" t="s">
        <v>4281</v>
      </c>
      <c r="X78" s="136" t="s">
        <v>4282</v>
      </c>
      <c r="Y78" s="136" t="s">
        <v>4281</v>
      </c>
      <c r="Z78" s="136" t="s">
        <v>4283</v>
      </c>
      <c r="AA78" s="136" t="s">
        <v>4645</v>
      </c>
    </row>
    <row r="79" spans="1:27" ht="15">
      <c r="A79" s="136" t="s">
        <v>4670</v>
      </c>
      <c r="B79" s="136" t="s">
        <v>1013</v>
      </c>
      <c r="C79" s="136" t="s">
        <v>1013</v>
      </c>
      <c r="D79" s="136" t="s">
        <v>4671</v>
      </c>
      <c r="E79" s="136" t="s">
        <v>4268</v>
      </c>
      <c r="F79" s="136" t="s">
        <v>4269</v>
      </c>
      <c r="G79" s="136" t="s">
        <v>4429</v>
      </c>
      <c r="H79" s="136" t="s">
        <v>4430</v>
      </c>
      <c r="I79" s="136" t="s">
        <v>4672</v>
      </c>
      <c r="J79" s="136" t="s">
        <v>4307</v>
      </c>
      <c r="K79" s="136" t="s">
        <v>1013</v>
      </c>
      <c r="L79" s="136" t="s">
        <v>4308</v>
      </c>
      <c r="M79" s="136" t="s">
        <v>4275</v>
      </c>
      <c r="N79" s="136" t="s">
        <v>4276</v>
      </c>
      <c r="O79" s="136" t="s">
        <v>4266</v>
      </c>
      <c r="P79" s="136" t="s">
        <v>4673</v>
      </c>
      <c r="Q79" s="136">
        <v>59748.43</v>
      </c>
      <c r="R79" s="136" t="s">
        <v>4278</v>
      </c>
      <c r="S79" s="136">
        <v>3584.91</v>
      </c>
      <c r="T79" s="136">
        <v>63333.34</v>
      </c>
      <c r="U79" s="136" t="s">
        <v>4279</v>
      </c>
      <c r="V79" s="136" t="s">
        <v>4280</v>
      </c>
      <c r="W79" s="136" t="s">
        <v>4281</v>
      </c>
      <c r="X79" s="136" t="s">
        <v>4282</v>
      </c>
      <c r="Y79" s="136" t="s">
        <v>4281</v>
      </c>
      <c r="Z79" s="136" t="s">
        <v>4283</v>
      </c>
      <c r="AA79" s="136" t="s">
        <v>4631</v>
      </c>
    </row>
    <row r="80" spans="1:27" ht="15">
      <c r="A80" s="136" t="s">
        <v>4674</v>
      </c>
      <c r="B80" s="136" t="s">
        <v>1013</v>
      </c>
      <c r="C80" s="136" t="s">
        <v>1013</v>
      </c>
      <c r="D80" s="136" t="s">
        <v>4675</v>
      </c>
      <c r="E80" s="136" t="s">
        <v>4268</v>
      </c>
      <c r="F80" s="136" t="s">
        <v>4269</v>
      </c>
      <c r="G80" s="136" t="s">
        <v>4429</v>
      </c>
      <c r="H80" s="136" t="s">
        <v>4430</v>
      </c>
      <c r="I80" s="136" t="s">
        <v>4676</v>
      </c>
      <c r="J80" s="136" t="s">
        <v>4307</v>
      </c>
      <c r="K80" s="136" t="s">
        <v>1013</v>
      </c>
      <c r="L80" s="136" t="s">
        <v>4308</v>
      </c>
      <c r="M80" s="136" t="s">
        <v>4275</v>
      </c>
      <c r="N80" s="136" t="s">
        <v>4276</v>
      </c>
      <c r="O80" s="136" t="s">
        <v>4266</v>
      </c>
      <c r="P80" s="136" t="s">
        <v>4677</v>
      </c>
      <c r="Q80" s="136">
        <v>172955.97</v>
      </c>
      <c r="R80" s="136" t="s">
        <v>4278</v>
      </c>
      <c r="S80" s="136">
        <v>10377.36</v>
      </c>
      <c r="T80" s="136">
        <v>183333.33</v>
      </c>
      <c r="U80" s="136" t="s">
        <v>4279</v>
      </c>
      <c r="V80" s="136" t="s">
        <v>4280</v>
      </c>
      <c r="W80" s="136" t="s">
        <v>4281</v>
      </c>
      <c r="X80" s="136" t="s">
        <v>4282</v>
      </c>
      <c r="Y80" s="136" t="s">
        <v>4281</v>
      </c>
      <c r="Z80" s="136" t="s">
        <v>4283</v>
      </c>
      <c r="AA80" s="136" t="s">
        <v>4636</v>
      </c>
    </row>
    <row r="81" spans="1:27" ht="15">
      <c r="A81" s="136" t="s">
        <v>4678</v>
      </c>
      <c r="B81" s="136" t="s">
        <v>1013</v>
      </c>
      <c r="C81" s="136" t="s">
        <v>1013</v>
      </c>
      <c r="D81" s="136" t="s">
        <v>4679</v>
      </c>
      <c r="E81" s="136" t="s">
        <v>4268</v>
      </c>
      <c r="F81" s="136" t="s">
        <v>4269</v>
      </c>
      <c r="G81" s="136" t="s">
        <v>4429</v>
      </c>
      <c r="H81" s="136" t="s">
        <v>4430</v>
      </c>
      <c r="I81" s="136" t="s">
        <v>4680</v>
      </c>
      <c r="J81" s="136" t="s">
        <v>4307</v>
      </c>
      <c r="K81" s="136" t="s">
        <v>1013</v>
      </c>
      <c r="L81" s="136" t="s">
        <v>4308</v>
      </c>
      <c r="M81" s="136" t="s">
        <v>4275</v>
      </c>
      <c r="N81" s="136" t="s">
        <v>4276</v>
      </c>
      <c r="O81" s="136" t="s">
        <v>4266</v>
      </c>
      <c r="P81" s="136" t="s">
        <v>4681</v>
      </c>
      <c r="Q81" s="136">
        <v>136268.34</v>
      </c>
      <c r="R81" s="136" t="s">
        <v>4278</v>
      </c>
      <c r="S81" s="136">
        <v>8176.1</v>
      </c>
      <c r="T81" s="136">
        <v>144444.44</v>
      </c>
      <c r="U81" s="136" t="s">
        <v>4279</v>
      </c>
      <c r="V81" s="136" t="s">
        <v>4280</v>
      </c>
      <c r="W81" s="136" t="s">
        <v>4281</v>
      </c>
      <c r="X81" s="136" t="s">
        <v>4282</v>
      </c>
      <c r="Y81" s="136" t="s">
        <v>4281</v>
      </c>
      <c r="Z81" s="136" t="s">
        <v>4283</v>
      </c>
      <c r="AA81" s="136" t="s">
        <v>4682</v>
      </c>
    </row>
    <row r="82" spans="1:27" ht="15">
      <c r="A82" s="136" t="s">
        <v>4683</v>
      </c>
      <c r="B82" s="136" t="s">
        <v>1013</v>
      </c>
      <c r="C82" s="136" t="s">
        <v>1013</v>
      </c>
      <c r="D82" s="136" t="s">
        <v>4684</v>
      </c>
      <c r="E82" s="136" t="s">
        <v>4268</v>
      </c>
      <c r="F82" s="136" t="s">
        <v>4269</v>
      </c>
      <c r="G82" s="136" t="s">
        <v>4429</v>
      </c>
      <c r="H82" s="136" t="s">
        <v>4430</v>
      </c>
      <c r="I82" s="136" t="s">
        <v>4685</v>
      </c>
      <c r="J82" s="136" t="s">
        <v>4307</v>
      </c>
      <c r="K82" s="136" t="s">
        <v>1013</v>
      </c>
      <c r="L82" s="136" t="s">
        <v>4308</v>
      </c>
      <c r="M82" s="136" t="s">
        <v>4275</v>
      </c>
      <c r="N82" s="136" t="s">
        <v>4276</v>
      </c>
      <c r="O82" s="136" t="s">
        <v>4266</v>
      </c>
      <c r="P82" s="136" t="s">
        <v>4686</v>
      </c>
      <c r="Q82" s="136">
        <v>72127.88</v>
      </c>
      <c r="R82" s="136" t="s">
        <v>4278</v>
      </c>
      <c r="S82" s="136">
        <v>4327.67</v>
      </c>
      <c r="T82" s="136">
        <v>76455.55</v>
      </c>
      <c r="U82" s="136" t="s">
        <v>4279</v>
      </c>
      <c r="V82" s="136" t="s">
        <v>4280</v>
      </c>
      <c r="W82" s="136" t="s">
        <v>4281</v>
      </c>
      <c r="X82" s="136" t="s">
        <v>4282</v>
      </c>
      <c r="Y82" s="136" t="s">
        <v>4281</v>
      </c>
      <c r="Z82" s="136" t="s">
        <v>4283</v>
      </c>
      <c r="AA82" s="136" t="s">
        <v>4645</v>
      </c>
    </row>
    <row r="83" spans="1:27" ht="15">
      <c r="A83" s="136" t="s">
        <v>4687</v>
      </c>
      <c r="B83" s="136" t="s">
        <v>1013</v>
      </c>
      <c r="C83" s="136" t="s">
        <v>1013</v>
      </c>
      <c r="D83" s="136" t="s">
        <v>4688</v>
      </c>
      <c r="E83" s="136" t="s">
        <v>4268</v>
      </c>
      <c r="F83" s="136" t="s">
        <v>4269</v>
      </c>
      <c r="G83" s="136" t="s">
        <v>4429</v>
      </c>
      <c r="H83" s="136" t="s">
        <v>4430</v>
      </c>
      <c r="I83" s="136" t="s">
        <v>4689</v>
      </c>
      <c r="J83" s="136" t="s">
        <v>4307</v>
      </c>
      <c r="K83" s="136" t="s">
        <v>1013</v>
      </c>
      <c r="L83" s="136" t="s">
        <v>4308</v>
      </c>
      <c r="M83" s="136" t="s">
        <v>4275</v>
      </c>
      <c r="N83" s="136" t="s">
        <v>4276</v>
      </c>
      <c r="O83" s="136" t="s">
        <v>4266</v>
      </c>
      <c r="P83" s="136" t="s">
        <v>4690</v>
      </c>
      <c r="Q83" s="136">
        <v>324318.65999999997</v>
      </c>
      <c r="R83" s="136" t="s">
        <v>4278</v>
      </c>
      <c r="S83" s="136">
        <v>19459.12</v>
      </c>
      <c r="T83" s="136">
        <v>343777.78</v>
      </c>
      <c r="U83" s="136" t="s">
        <v>4279</v>
      </c>
      <c r="V83" s="136" t="s">
        <v>4280</v>
      </c>
      <c r="W83" s="136" t="s">
        <v>4281</v>
      </c>
      <c r="X83" s="136" t="s">
        <v>4282</v>
      </c>
      <c r="Y83" s="136" t="s">
        <v>4281</v>
      </c>
      <c r="Z83" s="136" t="s">
        <v>4283</v>
      </c>
      <c r="AA83" s="136" t="s">
        <v>4682</v>
      </c>
    </row>
    <row r="84" spans="1:27" ht="15">
      <c r="A84" s="136" t="s">
        <v>4691</v>
      </c>
      <c r="B84" s="136" t="s">
        <v>1013</v>
      </c>
      <c r="C84" s="136" t="s">
        <v>1013</v>
      </c>
      <c r="D84" s="136" t="s">
        <v>4692</v>
      </c>
      <c r="E84" s="136" t="s">
        <v>4268</v>
      </c>
      <c r="F84" s="136" t="s">
        <v>4269</v>
      </c>
      <c r="G84" s="136" t="s">
        <v>4270</v>
      </c>
      <c r="H84" s="136" t="s">
        <v>4271</v>
      </c>
      <c r="I84" s="136" t="s">
        <v>4693</v>
      </c>
      <c r="J84" s="136" t="s">
        <v>4307</v>
      </c>
      <c r="K84" s="136" t="s">
        <v>1013</v>
      </c>
      <c r="L84" s="136" t="s">
        <v>4308</v>
      </c>
      <c r="M84" s="136" t="s">
        <v>4275</v>
      </c>
      <c r="N84" s="136" t="s">
        <v>4276</v>
      </c>
      <c r="O84" s="136" t="s">
        <v>4266</v>
      </c>
      <c r="P84" s="136" t="s">
        <v>4694</v>
      </c>
      <c r="Q84" s="136">
        <v>298056.78000000003</v>
      </c>
      <c r="R84" s="136" t="s">
        <v>4278</v>
      </c>
      <c r="S84" s="136">
        <v>17883.41</v>
      </c>
      <c r="T84" s="136">
        <v>315940.19</v>
      </c>
      <c r="U84" s="136" t="s">
        <v>4279</v>
      </c>
      <c r="V84" s="136" t="s">
        <v>4280</v>
      </c>
      <c r="W84" s="136" t="s">
        <v>4281</v>
      </c>
      <c r="X84" s="136" t="s">
        <v>4282</v>
      </c>
      <c r="Y84" s="136" t="s">
        <v>4281</v>
      </c>
      <c r="Z84" s="136" t="s">
        <v>4283</v>
      </c>
      <c r="AA84" s="136" t="s">
        <v>4695</v>
      </c>
    </row>
    <row r="85" spans="1:27" ht="15">
      <c r="A85" s="136" t="s">
        <v>4696</v>
      </c>
      <c r="B85" s="136" t="s">
        <v>1013</v>
      </c>
      <c r="C85" s="136" t="s">
        <v>1013</v>
      </c>
      <c r="D85" s="136" t="s">
        <v>4697</v>
      </c>
      <c r="E85" s="136" t="s">
        <v>4268</v>
      </c>
      <c r="F85" s="136" t="s">
        <v>4269</v>
      </c>
      <c r="G85" s="136" t="s">
        <v>4698</v>
      </c>
      <c r="H85" s="136" t="s">
        <v>4699</v>
      </c>
      <c r="I85" s="136" t="s">
        <v>4700</v>
      </c>
      <c r="J85" s="136" t="s">
        <v>4701</v>
      </c>
      <c r="K85" s="136" t="s">
        <v>1013</v>
      </c>
      <c r="L85" s="136" t="s">
        <v>4702</v>
      </c>
      <c r="M85" s="136"/>
      <c r="N85" s="136" t="s">
        <v>4703</v>
      </c>
      <c r="O85" s="136" t="s">
        <v>4266</v>
      </c>
      <c r="P85" s="136" t="s">
        <v>4704</v>
      </c>
      <c r="Q85" s="136">
        <v>137146.46</v>
      </c>
      <c r="R85" s="136" t="s">
        <v>4386</v>
      </c>
      <c r="S85" s="136">
        <v>17829.04</v>
      </c>
      <c r="T85" s="136">
        <v>154975.5</v>
      </c>
      <c r="U85" s="136" t="s">
        <v>4279</v>
      </c>
      <c r="V85" s="136" t="s">
        <v>4280</v>
      </c>
      <c r="W85" s="136" t="s">
        <v>4281</v>
      </c>
      <c r="X85" s="136" t="s">
        <v>4282</v>
      </c>
      <c r="Y85" s="136" t="s">
        <v>4281</v>
      </c>
      <c r="Z85" s="136" t="s">
        <v>4283</v>
      </c>
      <c r="AA85" s="136"/>
    </row>
    <row r="86" spans="1:27" ht="15">
      <c r="A86" s="136" t="s">
        <v>4705</v>
      </c>
      <c r="B86" s="136" t="s">
        <v>1013</v>
      </c>
      <c r="C86" s="136" t="s">
        <v>1013</v>
      </c>
      <c r="D86" s="136" t="s">
        <v>4706</v>
      </c>
      <c r="E86" s="136" t="s">
        <v>4268</v>
      </c>
      <c r="F86" s="136" t="s">
        <v>4269</v>
      </c>
      <c r="G86" s="136" t="s">
        <v>4698</v>
      </c>
      <c r="H86" s="136" t="s">
        <v>4699</v>
      </c>
      <c r="I86" s="136" t="s">
        <v>4700</v>
      </c>
      <c r="J86" s="136" t="s">
        <v>4701</v>
      </c>
      <c r="K86" s="136" t="s">
        <v>1013</v>
      </c>
      <c r="L86" s="136" t="s">
        <v>4707</v>
      </c>
      <c r="M86" s="136"/>
      <c r="N86" s="136" t="s">
        <v>4703</v>
      </c>
      <c r="O86" s="136" t="s">
        <v>4266</v>
      </c>
      <c r="P86" s="136" t="s">
        <v>4708</v>
      </c>
      <c r="Q86" s="136">
        <v>224623.96</v>
      </c>
      <c r="R86" s="136" t="s">
        <v>4386</v>
      </c>
      <c r="S86" s="136">
        <v>29201.119999999999</v>
      </c>
      <c r="T86" s="136">
        <v>253825.08</v>
      </c>
      <c r="U86" s="136" t="s">
        <v>4279</v>
      </c>
      <c r="V86" s="136" t="s">
        <v>4280</v>
      </c>
      <c r="W86" s="136" t="s">
        <v>4281</v>
      </c>
      <c r="X86" s="136" t="s">
        <v>4282</v>
      </c>
      <c r="Y86" s="136" t="s">
        <v>4281</v>
      </c>
      <c r="Z86" s="136" t="s">
        <v>4283</v>
      </c>
      <c r="AA86" s="136"/>
    </row>
    <row r="87" spans="1:27" ht="15">
      <c r="A87" s="136" t="s">
        <v>4709</v>
      </c>
      <c r="B87" s="136" t="s">
        <v>1013</v>
      </c>
      <c r="C87" s="136" t="s">
        <v>1013</v>
      </c>
      <c r="D87" s="136" t="s">
        <v>4710</v>
      </c>
      <c r="E87" s="136" t="s">
        <v>4268</v>
      </c>
      <c r="F87" s="136" t="s">
        <v>4269</v>
      </c>
      <c r="G87" s="136" t="s">
        <v>4711</v>
      </c>
      <c r="H87" s="136" t="s">
        <v>4712</v>
      </c>
      <c r="I87" s="136" t="s">
        <v>4713</v>
      </c>
      <c r="J87" s="136" t="s">
        <v>4714</v>
      </c>
      <c r="K87" s="136" t="s">
        <v>1013</v>
      </c>
      <c r="L87" s="136" t="s">
        <v>4715</v>
      </c>
      <c r="M87" s="136" t="s">
        <v>4716</v>
      </c>
      <c r="N87" s="136" t="s">
        <v>4276</v>
      </c>
      <c r="O87" s="136" t="s">
        <v>4266</v>
      </c>
      <c r="P87" s="136" t="s">
        <v>4717</v>
      </c>
      <c r="Q87" s="136">
        <v>185322.75</v>
      </c>
      <c r="R87" s="136" t="s">
        <v>4278</v>
      </c>
      <c r="S87" s="136">
        <v>11119.36</v>
      </c>
      <c r="T87" s="136">
        <v>196442.11</v>
      </c>
      <c r="U87" s="136" t="s">
        <v>4279</v>
      </c>
      <c r="V87" s="136" t="s">
        <v>4280</v>
      </c>
      <c r="W87" s="136" t="s">
        <v>4281</v>
      </c>
      <c r="X87" s="136" t="s">
        <v>4282</v>
      </c>
      <c r="Y87" s="136" t="s">
        <v>4281</v>
      </c>
      <c r="Z87" s="136" t="s">
        <v>4283</v>
      </c>
      <c r="AA87" s="136"/>
    </row>
    <row r="88" spans="1:27" ht="15">
      <c r="A88" s="136" t="s">
        <v>4718</v>
      </c>
      <c r="B88" s="136" t="s">
        <v>1013</v>
      </c>
      <c r="C88" s="136" t="s">
        <v>1013</v>
      </c>
      <c r="D88" s="136" t="s">
        <v>4719</v>
      </c>
      <c r="E88" s="136" t="s">
        <v>4268</v>
      </c>
      <c r="F88" s="136" t="s">
        <v>4269</v>
      </c>
      <c r="G88" s="136" t="s">
        <v>4720</v>
      </c>
      <c r="H88" s="136" t="s">
        <v>145</v>
      </c>
      <c r="I88" s="136" t="s">
        <v>4721</v>
      </c>
      <c r="J88" s="136" t="s">
        <v>4701</v>
      </c>
      <c r="K88" s="136" t="s">
        <v>1013</v>
      </c>
      <c r="L88" s="136" t="s">
        <v>4722</v>
      </c>
      <c r="M88" s="136"/>
      <c r="N88" s="136" t="s">
        <v>4723</v>
      </c>
      <c r="O88" s="136" t="s">
        <v>4341</v>
      </c>
      <c r="P88" s="136" t="s">
        <v>4724</v>
      </c>
      <c r="Q88" s="136">
        <v>867256.64</v>
      </c>
      <c r="R88" s="136" t="s">
        <v>4386</v>
      </c>
      <c r="S88" s="136">
        <v>112743.36</v>
      </c>
      <c r="T88" s="136">
        <v>980000</v>
      </c>
      <c r="U88" s="136" t="s">
        <v>4279</v>
      </c>
      <c r="V88" s="136" t="s">
        <v>4280</v>
      </c>
      <c r="W88" s="136" t="s">
        <v>4281</v>
      </c>
      <c r="X88" s="136" t="s">
        <v>4282</v>
      </c>
      <c r="Y88" s="136" t="s">
        <v>4281</v>
      </c>
      <c r="Z88" s="136" t="s">
        <v>4283</v>
      </c>
      <c r="AA88" s="136" t="s">
        <v>4725</v>
      </c>
    </row>
    <row r="89" spans="1:27" ht="15">
      <c r="A89" s="136" t="s">
        <v>4726</v>
      </c>
      <c r="B89" s="136" t="s">
        <v>1013</v>
      </c>
      <c r="C89" s="136" t="s">
        <v>1013</v>
      </c>
      <c r="D89" s="136" t="s">
        <v>4727</v>
      </c>
      <c r="E89" s="136" t="s">
        <v>4268</v>
      </c>
      <c r="F89" s="136" t="s">
        <v>4269</v>
      </c>
      <c r="G89" s="136" t="s">
        <v>4720</v>
      </c>
      <c r="H89" s="136" t="s">
        <v>145</v>
      </c>
      <c r="I89" s="136" t="s">
        <v>4721</v>
      </c>
      <c r="J89" s="136" t="s">
        <v>4701</v>
      </c>
      <c r="K89" s="136" t="s">
        <v>1013</v>
      </c>
      <c r="L89" s="136" t="s">
        <v>4728</v>
      </c>
      <c r="M89" s="136"/>
      <c r="N89" s="136" t="s">
        <v>4723</v>
      </c>
      <c r="O89" s="136" t="s">
        <v>4729</v>
      </c>
      <c r="P89" s="136" t="s">
        <v>4730</v>
      </c>
      <c r="Q89" s="136">
        <v>178097.35</v>
      </c>
      <c r="R89" s="136" t="s">
        <v>4386</v>
      </c>
      <c r="S89" s="136">
        <v>23152.65</v>
      </c>
      <c r="T89" s="136">
        <v>201250</v>
      </c>
      <c r="U89" s="136" t="s">
        <v>4279</v>
      </c>
      <c r="V89" s="136" t="s">
        <v>4280</v>
      </c>
      <c r="W89" s="136" t="s">
        <v>4281</v>
      </c>
      <c r="X89" s="136" t="s">
        <v>4282</v>
      </c>
      <c r="Y89" s="136" t="s">
        <v>4281</v>
      </c>
      <c r="Z89" s="136" t="s">
        <v>4283</v>
      </c>
      <c r="AA89" s="136" t="s">
        <v>4725</v>
      </c>
    </row>
    <row r="90" spans="1:27" ht="15">
      <c r="A90" s="136" t="s">
        <v>4731</v>
      </c>
      <c r="B90" s="136" t="s">
        <v>1013</v>
      </c>
      <c r="C90" s="136" t="s">
        <v>1013</v>
      </c>
      <c r="D90" s="136" t="s">
        <v>4732</v>
      </c>
      <c r="E90" s="136" t="s">
        <v>4268</v>
      </c>
      <c r="F90" s="136" t="s">
        <v>4269</v>
      </c>
      <c r="G90" s="136" t="s">
        <v>4720</v>
      </c>
      <c r="H90" s="136" t="s">
        <v>145</v>
      </c>
      <c r="I90" s="136" t="s">
        <v>4721</v>
      </c>
      <c r="J90" s="136" t="s">
        <v>4701</v>
      </c>
      <c r="K90" s="136" t="s">
        <v>1013</v>
      </c>
      <c r="L90" s="136" t="s">
        <v>4733</v>
      </c>
      <c r="M90" s="136"/>
      <c r="N90" s="136" t="s">
        <v>4723</v>
      </c>
      <c r="O90" s="136" t="s">
        <v>4347</v>
      </c>
      <c r="P90" s="136" t="s">
        <v>4734</v>
      </c>
      <c r="Q90" s="136">
        <v>1321460.18</v>
      </c>
      <c r="R90" s="136" t="s">
        <v>4386</v>
      </c>
      <c r="S90" s="136">
        <v>171789.82</v>
      </c>
      <c r="T90" s="136">
        <v>1493250</v>
      </c>
      <c r="U90" s="136" t="s">
        <v>4279</v>
      </c>
      <c r="V90" s="136" t="s">
        <v>4280</v>
      </c>
      <c r="W90" s="136" t="s">
        <v>4281</v>
      </c>
      <c r="X90" s="136" t="s">
        <v>4282</v>
      </c>
      <c r="Y90" s="136" t="s">
        <v>4281</v>
      </c>
      <c r="Z90" s="136" t="s">
        <v>4283</v>
      </c>
      <c r="AA90" s="136" t="s">
        <v>4725</v>
      </c>
    </row>
    <row r="91" spans="1:27" ht="15">
      <c r="A91" s="136" t="s">
        <v>4735</v>
      </c>
      <c r="B91" s="136" t="s">
        <v>1013</v>
      </c>
      <c r="C91" s="136" t="s">
        <v>1013</v>
      </c>
      <c r="D91" s="136" t="s">
        <v>4736</v>
      </c>
      <c r="E91" s="136" t="s">
        <v>4268</v>
      </c>
      <c r="F91" s="136" t="s">
        <v>4269</v>
      </c>
      <c r="G91" s="136" t="s">
        <v>4720</v>
      </c>
      <c r="H91" s="136" t="s">
        <v>145</v>
      </c>
      <c r="I91" s="136" t="s">
        <v>4721</v>
      </c>
      <c r="J91" s="136" t="s">
        <v>4701</v>
      </c>
      <c r="K91" s="136" t="s">
        <v>1013</v>
      </c>
      <c r="L91" s="136" t="s">
        <v>4737</v>
      </c>
      <c r="M91" s="136"/>
      <c r="N91" s="136" t="s">
        <v>4723</v>
      </c>
      <c r="O91" s="136" t="s">
        <v>4341</v>
      </c>
      <c r="P91" s="136" t="s">
        <v>4738</v>
      </c>
      <c r="Q91" s="136">
        <v>15044.25</v>
      </c>
      <c r="R91" s="136" t="s">
        <v>4386</v>
      </c>
      <c r="S91" s="136">
        <v>1955.75</v>
      </c>
      <c r="T91" s="136">
        <v>17000</v>
      </c>
      <c r="U91" s="136" t="s">
        <v>4279</v>
      </c>
      <c r="V91" s="136" t="s">
        <v>4280</v>
      </c>
      <c r="W91" s="136" t="s">
        <v>4281</v>
      </c>
      <c r="X91" s="136" t="s">
        <v>4282</v>
      </c>
      <c r="Y91" s="136" t="s">
        <v>4281</v>
      </c>
      <c r="Z91" s="136" t="s">
        <v>4283</v>
      </c>
      <c r="AA91" s="136" t="s">
        <v>4725</v>
      </c>
    </row>
    <row r="92" spans="1:27" ht="15">
      <c r="A92" s="136" t="s">
        <v>4739</v>
      </c>
      <c r="B92" s="136" t="s">
        <v>1013</v>
      </c>
      <c r="C92" s="136" t="s">
        <v>1013</v>
      </c>
      <c r="D92" s="136" t="s">
        <v>4740</v>
      </c>
      <c r="E92" s="136" t="s">
        <v>4268</v>
      </c>
      <c r="F92" s="136" t="s">
        <v>4269</v>
      </c>
      <c r="G92" s="136" t="s">
        <v>4720</v>
      </c>
      <c r="H92" s="136" t="s">
        <v>145</v>
      </c>
      <c r="I92" s="136" t="s">
        <v>4721</v>
      </c>
      <c r="J92" s="136" t="s">
        <v>4701</v>
      </c>
      <c r="K92" s="136" t="s">
        <v>1013</v>
      </c>
      <c r="L92" s="136" t="s">
        <v>4741</v>
      </c>
      <c r="M92" s="136"/>
      <c r="N92" s="136" t="s">
        <v>4383</v>
      </c>
      <c r="O92" s="136" t="s">
        <v>4341</v>
      </c>
      <c r="P92" s="136" t="s">
        <v>4742</v>
      </c>
      <c r="Q92" s="136">
        <v>69469.03</v>
      </c>
      <c r="R92" s="136" t="s">
        <v>4386</v>
      </c>
      <c r="S92" s="136">
        <v>9030.9699999999993</v>
      </c>
      <c r="T92" s="136">
        <v>78500</v>
      </c>
      <c r="U92" s="136" t="s">
        <v>4279</v>
      </c>
      <c r="V92" s="136" t="s">
        <v>4280</v>
      </c>
      <c r="W92" s="136" t="s">
        <v>4281</v>
      </c>
      <c r="X92" s="136" t="s">
        <v>4282</v>
      </c>
      <c r="Y92" s="136" t="s">
        <v>4281</v>
      </c>
      <c r="Z92" s="136" t="s">
        <v>4283</v>
      </c>
      <c r="AA92" s="136" t="s">
        <v>4725</v>
      </c>
    </row>
    <row r="93" spans="1:27" ht="15">
      <c r="A93" s="136" t="s">
        <v>4743</v>
      </c>
      <c r="B93" s="136" t="s">
        <v>1013</v>
      </c>
      <c r="C93" s="136" t="s">
        <v>1013</v>
      </c>
      <c r="D93" s="136" t="s">
        <v>4744</v>
      </c>
      <c r="E93" s="136" t="s">
        <v>4268</v>
      </c>
      <c r="F93" s="136" t="s">
        <v>4269</v>
      </c>
      <c r="G93" s="136" t="s">
        <v>4270</v>
      </c>
      <c r="H93" s="136" t="s">
        <v>4271</v>
      </c>
      <c r="I93" s="136" t="s">
        <v>4745</v>
      </c>
      <c r="J93" s="136" t="s">
        <v>4315</v>
      </c>
      <c r="K93" s="136" t="s">
        <v>4316</v>
      </c>
      <c r="L93" s="136" t="s">
        <v>4317</v>
      </c>
      <c r="M93" s="136" t="s">
        <v>4275</v>
      </c>
      <c r="N93" s="136"/>
      <c r="O93" s="136" t="s">
        <v>4266</v>
      </c>
      <c r="P93" s="136" t="s">
        <v>4746</v>
      </c>
      <c r="Q93" s="136">
        <v>1085643.52</v>
      </c>
      <c r="R93" s="136" t="s">
        <v>4319</v>
      </c>
      <c r="S93" s="136">
        <v>97707.92</v>
      </c>
      <c r="T93" s="136">
        <v>1183351.44</v>
      </c>
      <c r="U93" s="136" t="s">
        <v>4279</v>
      </c>
      <c r="V93" s="136" t="s">
        <v>4280</v>
      </c>
      <c r="W93" s="136" t="s">
        <v>4281</v>
      </c>
      <c r="X93" s="136" t="s">
        <v>4282</v>
      </c>
      <c r="Y93" s="136" t="s">
        <v>4281</v>
      </c>
      <c r="Z93" s="136" t="s">
        <v>4283</v>
      </c>
      <c r="AA93" s="136" t="s">
        <v>4747</v>
      </c>
    </row>
    <row r="94" spans="1:27" ht="15">
      <c r="A94" s="136" t="s">
        <v>4748</v>
      </c>
      <c r="B94" s="136" t="s">
        <v>1013</v>
      </c>
      <c r="C94" s="136" t="s">
        <v>1013</v>
      </c>
      <c r="D94" s="136" t="s">
        <v>4749</v>
      </c>
      <c r="E94" s="136" t="s">
        <v>4268</v>
      </c>
      <c r="F94" s="136" t="s">
        <v>4269</v>
      </c>
      <c r="G94" s="136" t="s">
        <v>4270</v>
      </c>
      <c r="H94" s="136" t="s">
        <v>4271</v>
      </c>
      <c r="I94" s="136" t="s">
        <v>4750</v>
      </c>
      <c r="J94" s="136" t="s">
        <v>4307</v>
      </c>
      <c r="K94" s="136" t="s">
        <v>1013</v>
      </c>
      <c r="L94" s="136" t="s">
        <v>4308</v>
      </c>
      <c r="M94" s="136" t="s">
        <v>4275</v>
      </c>
      <c r="N94" s="136" t="s">
        <v>4276</v>
      </c>
      <c r="O94" s="136" t="s">
        <v>4266</v>
      </c>
      <c r="P94" s="136" t="s">
        <v>4751</v>
      </c>
      <c r="Q94" s="136">
        <v>2688539.22</v>
      </c>
      <c r="R94" s="136" t="s">
        <v>4278</v>
      </c>
      <c r="S94" s="136">
        <v>161312.35</v>
      </c>
      <c r="T94" s="136">
        <v>2849851.57</v>
      </c>
      <c r="U94" s="136" t="s">
        <v>4279</v>
      </c>
      <c r="V94" s="136" t="s">
        <v>4280</v>
      </c>
      <c r="W94" s="136" t="s">
        <v>4281</v>
      </c>
      <c r="X94" s="136" t="s">
        <v>4282</v>
      </c>
      <c r="Y94" s="136" t="s">
        <v>4281</v>
      </c>
      <c r="Z94" s="136" t="s">
        <v>4283</v>
      </c>
      <c r="AA94" s="136" t="s">
        <v>4752</v>
      </c>
    </row>
    <row r="95" spans="1:27" ht="15">
      <c r="A95" s="136" t="s">
        <v>4753</v>
      </c>
      <c r="B95" s="136" t="s">
        <v>1013</v>
      </c>
      <c r="C95" s="136" t="s">
        <v>1013</v>
      </c>
      <c r="D95" s="136" t="s">
        <v>4754</v>
      </c>
      <c r="E95" s="136" t="s">
        <v>4268</v>
      </c>
      <c r="F95" s="136" t="s">
        <v>4269</v>
      </c>
      <c r="G95" s="136" t="s">
        <v>4270</v>
      </c>
      <c r="H95" s="136" t="s">
        <v>4271</v>
      </c>
      <c r="I95" s="136" t="s">
        <v>4755</v>
      </c>
      <c r="J95" s="136" t="s">
        <v>4315</v>
      </c>
      <c r="K95" s="136" t="s">
        <v>4316</v>
      </c>
      <c r="L95" s="136" t="s">
        <v>4317</v>
      </c>
      <c r="M95" s="136" t="s">
        <v>4275</v>
      </c>
      <c r="N95" s="136"/>
      <c r="O95" s="136" t="s">
        <v>4266</v>
      </c>
      <c r="P95" s="136" t="s">
        <v>4756</v>
      </c>
      <c r="Q95" s="136">
        <v>4783256.88</v>
      </c>
      <c r="R95" s="136" t="s">
        <v>4319</v>
      </c>
      <c r="S95" s="136">
        <v>430493.11</v>
      </c>
      <c r="T95" s="136">
        <v>5213749.99</v>
      </c>
      <c r="U95" s="136" t="s">
        <v>4279</v>
      </c>
      <c r="V95" s="136" t="s">
        <v>4280</v>
      </c>
      <c r="W95" s="136" t="s">
        <v>4281</v>
      </c>
      <c r="X95" s="136" t="s">
        <v>4282</v>
      </c>
      <c r="Y95" s="136" t="s">
        <v>4281</v>
      </c>
      <c r="Z95" s="136" t="s">
        <v>4283</v>
      </c>
      <c r="AA95" s="136" t="s">
        <v>4747</v>
      </c>
    </row>
    <row r="96" spans="1:27" ht="15">
      <c r="A96" s="136" t="s">
        <v>4757</v>
      </c>
      <c r="B96" s="136" t="s">
        <v>1013</v>
      </c>
      <c r="C96" s="136" t="s">
        <v>1013</v>
      </c>
      <c r="D96" s="136" t="s">
        <v>4758</v>
      </c>
      <c r="E96" s="136" t="s">
        <v>4268</v>
      </c>
      <c r="F96" s="136" t="s">
        <v>4269</v>
      </c>
      <c r="G96" s="136" t="s">
        <v>4270</v>
      </c>
      <c r="H96" s="136" t="s">
        <v>4271</v>
      </c>
      <c r="I96" s="136" t="s">
        <v>4759</v>
      </c>
      <c r="J96" s="136" t="s">
        <v>4701</v>
      </c>
      <c r="K96" s="136" t="s">
        <v>1013</v>
      </c>
      <c r="L96" s="136" t="s">
        <v>4760</v>
      </c>
      <c r="M96" s="136" t="s">
        <v>4761</v>
      </c>
      <c r="N96" s="136" t="s">
        <v>4383</v>
      </c>
      <c r="O96" s="136" t="s">
        <v>4266</v>
      </c>
      <c r="P96" s="136" t="s">
        <v>4762</v>
      </c>
      <c r="Q96" s="136">
        <v>3421711.52</v>
      </c>
      <c r="R96" s="136" t="s">
        <v>4386</v>
      </c>
      <c r="S96" s="136">
        <v>444822.5</v>
      </c>
      <c r="T96" s="136">
        <v>3866534.02</v>
      </c>
      <c r="U96" s="136" t="s">
        <v>4279</v>
      </c>
      <c r="V96" s="136" t="s">
        <v>4280</v>
      </c>
      <c r="W96" s="136" t="s">
        <v>4281</v>
      </c>
      <c r="X96" s="136" t="s">
        <v>4282</v>
      </c>
      <c r="Y96" s="136" t="s">
        <v>4281</v>
      </c>
      <c r="Z96" s="136" t="s">
        <v>4283</v>
      </c>
      <c r="AA96" s="136" t="s">
        <v>4752</v>
      </c>
    </row>
    <row r="97" spans="1:27" ht="15">
      <c r="A97" s="136" t="s">
        <v>4763</v>
      </c>
      <c r="B97" s="136" t="s">
        <v>1013</v>
      </c>
      <c r="C97" s="136" t="s">
        <v>1013</v>
      </c>
      <c r="D97" s="136" t="s">
        <v>4764</v>
      </c>
      <c r="E97" s="136" t="s">
        <v>4268</v>
      </c>
      <c r="F97" s="136" t="s">
        <v>4269</v>
      </c>
      <c r="G97" s="136" t="s">
        <v>4486</v>
      </c>
      <c r="H97" s="136" t="s">
        <v>4487</v>
      </c>
      <c r="I97" s="136" t="s">
        <v>4765</v>
      </c>
      <c r="J97" s="136" t="s">
        <v>4307</v>
      </c>
      <c r="K97" s="136" t="s">
        <v>1013</v>
      </c>
      <c r="L97" s="136" t="s">
        <v>4308</v>
      </c>
      <c r="M97" s="136" t="s">
        <v>4275</v>
      </c>
      <c r="N97" s="136" t="s">
        <v>4276</v>
      </c>
      <c r="O97" s="136" t="s">
        <v>4266</v>
      </c>
      <c r="P97" s="136" t="s">
        <v>4766</v>
      </c>
      <c r="Q97" s="136">
        <v>5377078.4199999999</v>
      </c>
      <c r="R97" s="136" t="s">
        <v>4278</v>
      </c>
      <c r="S97" s="136">
        <v>322624.7</v>
      </c>
      <c r="T97" s="136">
        <v>5699703.1200000001</v>
      </c>
      <c r="U97" s="136" t="s">
        <v>4279</v>
      </c>
      <c r="V97" s="136" t="s">
        <v>4280</v>
      </c>
      <c r="W97" s="136" t="s">
        <v>4281</v>
      </c>
      <c r="X97" s="136" t="s">
        <v>4282</v>
      </c>
      <c r="Y97" s="136" t="s">
        <v>4281</v>
      </c>
      <c r="Z97" s="136" t="s">
        <v>4283</v>
      </c>
      <c r="AA97" s="136" t="s">
        <v>4752</v>
      </c>
    </row>
    <row r="98" spans="1:27" ht="15">
      <c r="A98" s="136" t="s">
        <v>4767</v>
      </c>
      <c r="B98" s="136" t="s">
        <v>1013</v>
      </c>
      <c r="C98" s="136" t="s">
        <v>1013</v>
      </c>
      <c r="D98" s="136" t="s">
        <v>4768</v>
      </c>
      <c r="E98" s="136" t="s">
        <v>4268</v>
      </c>
      <c r="F98" s="136" t="s">
        <v>4269</v>
      </c>
      <c r="G98" s="136" t="s">
        <v>4486</v>
      </c>
      <c r="H98" s="136" t="s">
        <v>4487</v>
      </c>
      <c r="I98" s="136" t="s">
        <v>4769</v>
      </c>
      <c r="J98" s="136" t="s">
        <v>4315</v>
      </c>
      <c r="K98" s="136" t="s">
        <v>4316</v>
      </c>
      <c r="L98" s="136" t="s">
        <v>4317</v>
      </c>
      <c r="M98" s="136" t="s">
        <v>4275</v>
      </c>
      <c r="N98" s="136"/>
      <c r="O98" s="136" t="s">
        <v>4266</v>
      </c>
      <c r="P98" s="136" t="s">
        <v>4770</v>
      </c>
      <c r="Q98" s="136">
        <v>2171287.04</v>
      </c>
      <c r="R98" s="136" t="s">
        <v>4319</v>
      </c>
      <c r="S98" s="136">
        <v>195415.84</v>
      </c>
      <c r="T98" s="136">
        <v>2366702.88</v>
      </c>
      <c r="U98" s="136" t="s">
        <v>4279</v>
      </c>
      <c r="V98" s="136" t="s">
        <v>4280</v>
      </c>
      <c r="W98" s="136" t="s">
        <v>4281</v>
      </c>
      <c r="X98" s="136" t="s">
        <v>4282</v>
      </c>
      <c r="Y98" s="136" t="s">
        <v>4281</v>
      </c>
      <c r="Z98" s="136" t="s">
        <v>4283</v>
      </c>
      <c r="AA98" s="136" t="s">
        <v>4747</v>
      </c>
    </row>
    <row r="99" spans="1:27" ht="15">
      <c r="A99" s="136" t="s">
        <v>4771</v>
      </c>
      <c r="B99" s="136" t="s">
        <v>1013</v>
      </c>
      <c r="C99" s="136" t="s">
        <v>1013</v>
      </c>
      <c r="D99" s="136" t="s">
        <v>4772</v>
      </c>
      <c r="E99" s="136" t="s">
        <v>4268</v>
      </c>
      <c r="F99" s="136" t="s">
        <v>4269</v>
      </c>
      <c r="G99" s="136" t="s">
        <v>4486</v>
      </c>
      <c r="H99" s="136" t="s">
        <v>4487</v>
      </c>
      <c r="I99" s="136" t="s">
        <v>4773</v>
      </c>
      <c r="J99" s="136" t="s">
        <v>4315</v>
      </c>
      <c r="K99" s="136" t="s">
        <v>4316</v>
      </c>
      <c r="L99" s="136" t="s">
        <v>4317</v>
      </c>
      <c r="M99" s="136" t="s">
        <v>4275</v>
      </c>
      <c r="N99" s="136"/>
      <c r="O99" s="136" t="s">
        <v>4266</v>
      </c>
      <c r="P99" s="136" t="s">
        <v>4774</v>
      </c>
      <c r="Q99" s="136">
        <v>3542568.8</v>
      </c>
      <c r="R99" s="136" t="s">
        <v>4319</v>
      </c>
      <c r="S99" s="136">
        <v>318831.2</v>
      </c>
      <c r="T99" s="136">
        <v>3861400</v>
      </c>
      <c r="U99" s="136" t="s">
        <v>4279</v>
      </c>
      <c r="V99" s="136" t="s">
        <v>4280</v>
      </c>
      <c r="W99" s="136" t="s">
        <v>4281</v>
      </c>
      <c r="X99" s="136" t="s">
        <v>4282</v>
      </c>
      <c r="Y99" s="136" t="s">
        <v>4281</v>
      </c>
      <c r="Z99" s="136" t="s">
        <v>4283</v>
      </c>
      <c r="AA99" s="136" t="s">
        <v>4747</v>
      </c>
    </row>
    <row r="100" spans="1:27" ht="15">
      <c r="A100" s="136" t="s">
        <v>4775</v>
      </c>
      <c r="B100" s="136" t="s">
        <v>1013</v>
      </c>
      <c r="C100" s="136" t="s">
        <v>1013</v>
      </c>
      <c r="D100" s="136" t="s">
        <v>4776</v>
      </c>
      <c r="E100" s="136" t="s">
        <v>4268</v>
      </c>
      <c r="F100" s="136" t="s">
        <v>4269</v>
      </c>
      <c r="G100" s="136" t="s">
        <v>4486</v>
      </c>
      <c r="H100" s="136" t="s">
        <v>4487</v>
      </c>
      <c r="I100" s="136" t="s">
        <v>4777</v>
      </c>
      <c r="J100" s="136" t="s">
        <v>4701</v>
      </c>
      <c r="K100" s="136" t="s">
        <v>1013</v>
      </c>
      <c r="L100" s="136" t="s">
        <v>4760</v>
      </c>
      <c r="M100" s="136" t="s">
        <v>4778</v>
      </c>
      <c r="N100" s="136" t="s">
        <v>4383</v>
      </c>
      <c r="O100" s="136" t="s">
        <v>4284</v>
      </c>
      <c r="P100" s="136" t="s">
        <v>4779</v>
      </c>
      <c r="Q100" s="136">
        <v>9524681.2300000004</v>
      </c>
      <c r="R100" s="136" t="s">
        <v>4386</v>
      </c>
      <c r="S100" s="136">
        <v>1238208.56</v>
      </c>
      <c r="T100" s="136">
        <v>10762889.789999999</v>
      </c>
      <c r="U100" s="136" t="s">
        <v>4279</v>
      </c>
      <c r="V100" s="136" t="s">
        <v>4280</v>
      </c>
      <c r="W100" s="136" t="s">
        <v>4281</v>
      </c>
      <c r="X100" s="136" t="s">
        <v>4282</v>
      </c>
      <c r="Y100" s="136" t="s">
        <v>4281</v>
      </c>
      <c r="Z100" s="136" t="s">
        <v>4283</v>
      </c>
      <c r="AA100" s="136" t="s">
        <v>4752</v>
      </c>
    </row>
    <row r="101" spans="1:27" ht="15">
      <c r="A101" s="136" t="s">
        <v>4780</v>
      </c>
      <c r="B101" s="136" t="s">
        <v>1013</v>
      </c>
      <c r="C101" s="136" t="s">
        <v>1013</v>
      </c>
      <c r="D101" s="136" t="s">
        <v>4781</v>
      </c>
      <c r="E101" s="136" t="s">
        <v>4268</v>
      </c>
      <c r="F101" s="136" t="s">
        <v>4269</v>
      </c>
      <c r="G101" s="136" t="s">
        <v>4486</v>
      </c>
      <c r="H101" s="136" t="s">
        <v>4487</v>
      </c>
      <c r="I101" s="136" t="s">
        <v>4782</v>
      </c>
      <c r="J101" s="136" t="s">
        <v>4307</v>
      </c>
      <c r="K101" s="136" t="s">
        <v>1013</v>
      </c>
      <c r="L101" s="136" t="s">
        <v>4308</v>
      </c>
      <c r="M101" s="136" t="s">
        <v>4275</v>
      </c>
      <c r="N101" s="136" t="s">
        <v>4276</v>
      </c>
      <c r="O101" s="136" t="s">
        <v>4266</v>
      </c>
      <c r="P101" s="136" t="s">
        <v>4783</v>
      </c>
      <c r="Q101" s="136">
        <v>47158.02</v>
      </c>
      <c r="R101" s="136" t="s">
        <v>4278</v>
      </c>
      <c r="S101" s="136">
        <v>2829.48</v>
      </c>
      <c r="T101" s="136">
        <v>49987.5</v>
      </c>
      <c r="U101" s="136" t="s">
        <v>4279</v>
      </c>
      <c r="V101" s="136" t="s">
        <v>4280</v>
      </c>
      <c r="W101" s="136" t="s">
        <v>4281</v>
      </c>
      <c r="X101" s="136" t="s">
        <v>4282</v>
      </c>
      <c r="Y101" s="136" t="s">
        <v>4281</v>
      </c>
      <c r="Z101" s="136" t="s">
        <v>4283</v>
      </c>
      <c r="AA101" s="136" t="s">
        <v>4476</v>
      </c>
    </row>
    <row r="102" spans="1:27" ht="15">
      <c r="A102" s="136" t="s">
        <v>4784</v>
      </c>
      <c r="B102" s="136" t="s">
        <v>1013</v>
      </c>
      <c r="C102" s="136" t="s">
        <v>1013</v>
      </c>
      <c r="D102" s="136" t="s">
        <v>4785</v>
      </c>
      <c r="E102" s="136" t="s">
        <v>4268</v>
      </c>
      <c r="F102" s="136" t="s">
        <v>4269</v>
      </c>
      <c r="G102" s="136" t="s">
        <v>4486</v>
      </c>
      <c r="H102" s="136" t="s">
        <v>4487</v>
      </c>
      <c r="I102" s="136" t="s">
        <v>4786</v>
      </c>
      <c r="J102" s="136" t="s">
        <v>4315</v>
      </c>
      <c r="K102" s="136" t="s">
        <v>4316</v>
      </c>
      <c r="L102" s="136" t="s">
        <v>4317</v>
      </c>
      <c r="M102" s="136" t="s">
        <v>4275</v>
      </c>
      <c r="N102" s="136"/>
      <c r="O102" s="136" t="s">
        <v>4266</v>
      </c>
      <c r="P102" s="136" t="s">
        <v>4787</v>
      </c>
      <c r="Q102" s="136">
        <v>2613532.11</v>
      </c>
      <c r="R102" s="136" t="s">
        <v>4319</v>
      </c>
      <c r="S102" s="136">
        <v>235217.89</v>
      </c>
      <c r="T102" s="136">
        <v>2848750</v>
      </c>
      <c r="U102" s="136" t="s">
        <v>4279</v>
      </c>
      <c r="V102" s="136" t="s">
        <v>4280</v>
      </c>
      <c r="W102" s="136" t="s">
        <v>4281</v>
      </c>
      <c r="X102" s="136" t="s">
        <v>4282</v>
      </c>
      <c r="Y102" s="136" t="s">
        <v>4281</v>
      </c>
      <c r="Z102" s="136" t="s">
        <v>4283</v>
      </c>
      <c r="AA102" s="136" t="s">
        <v>4471</v>
      </c>
    </row>
    <row r="103" spans="1:27" ht="15">
      <c r="A103" s="136" t="s">
        <v>4788</v>
      </c>
      <c r="B103" s="136" t="s">
        <v>1013</v>
      </c>
      <c r="C103" s="136" t="s">
        <v>1013</v>
      </c>
      <c r="D103" s="136" t="s">
        <v>4789</v>
      </c>
      <c r="E103" s="136" t="s">
        <v>4268</v>
      </c>
      <c r="F103" s="136" t="s">
        <v>4269</v>
      </c>
      <c r="G103" s="136" t="s">
        <v>4486</v>
      </c>
      <c r="H103" s="136" t="s">
        <v>4487</v>
      </c>
      <c r="I103" s="136" t="s">
        <v>4790</v>
      </c>
      <c r="J103" s="136" t="s">
        <v>4315</v>
      </c>
      <c r="K103" s="136" t="s">
        <v>4316</v>
      </c>
      <c r="L103" s="136" t="s">
        <v>4317</v>
      </c>
      <c r="M103" s="136" t="s">
        <v>4275</v>
      </c>
      <c r="N103" s="136"/>
      <c r="O103" s="136" t="s">
        <v>4266</v>
      </c>
      <c r="P103" s="136" t="s">
        <v>4791</v>
      </c>
      <c r="Q103" s="136">
        <v>478401.17</v>
      </c>
      <c r="R103" s="136" t="s">
        <v>4319</v>
      </c>
      <c r="S103" s="136">
        <v>43056.11</v>
      </c>
      <c r="T103" s="136">
        <v>521457.28</v>
      </c>
      <c r="U103" s="136" t="s">
        <v>4279</v>
      </c>
      <c r="V103" s="136" t="s">
        <v>4280</v>
      </c>
      <c r="W103" s="136" t="s">
        <v>4281</v>
      </c>
      <c r="X103" s="136" t="s">
        <v>4282</v>
      </c>
      <c r="Y103" s="136" t="s">
        <v>4281</v>
      </c>
      <c r="Z103" s="136" t="s">
        <v>4283</v>
      </c>
      <c r="AA103" s="136" t="s">
        <v>4471</v>
      </c>
    </row>
    <row r="104" spans="1:27" ht="15">
      <c r="A104" s="136" t="s">
        <v>4792</v>
      </c>
      <c r="B104" s="136" t="s">
        <v>1013</v>
      </c>
      <c r="C104" s="136" t="s">
        <v>1013</v>
      </c>
      <c r="D104" s="136" t="s">
        <v>4793</v>
      </c>
      <c r="E104" s="136" t="s">
        <v>4268</v>
      </c>
      <c r="F104" s="136" t="s">
        <v>4269</v>
      </c>
      <c r="G104" s="136" t="s">
        <v>4794</v>
      </c>
      <c r="H104" s="136" t="s">
        <v>128</v>
      </c>
      <c r="I104" s="136" t="s">
        <v>4795</v>
      </c>
      <c r="J104" s="136" t="s">
        <v>4796</v>
      </c>
      <c r="K104" s="136" t="s">
        <v>1013</v>
      </c>
      <c r="L104" s="136" t="s">
        <v>4797</v>
      </c>
      <c r="M104" s="136" t="s">
        <v>4798</v>
      </c>
      <c r="N104" s="136" t="s">
        <v>4723</v>
      </c>
      <c r="O104" s="136" t="s">
        <v>4266</v>
      </c>
      <c r="P104" s="136" t="s">
        <v>4799</v>
      </c>
      <c r="Q104" s="136">
        <v>81415.929999999993</v>
      </c>
      <c r="R104" s="136" t="s">
        <v>4386</v>
      </c>
      <c r="S104" s="136">
        <v>10584.07</v>
      </c>
      <c r="T104" s="136">
        <v>92000</v>
      </c>
      <c r="U104" s="136" t="s">
        <v>4279</v>
      </c>
      <c r="V104" s="136" t="s">
        <v>4280</v>
      </c>
      <c r="W104" s="136" t="s">
        <v>4281</v>
      </c>
      <c r="X104" s="136" t="s">
        <v>4282</v>
      </c>
      <c r="Y104" s="136" t="s">
        <v>4281</v>
      </c>
      <c r="Z104" s="136" t="s">
        <v>4283</v>
      </c>
      <c r="AA104" s="136"/>
    </row>
    <row r="105" spans="1:27" ht="15">
      <c r="A105" s="136" t="s">
        <v>4800</v>
      </c>
      <c r="B105" s="136" t="s">
        <v>1013</v>
      </c>
      <c r="C105" s="136" t="s">
        <v>1013</v>
      </c>
      <c r="D105" s="136" t="s">
        <v>4801</v>
      </c>
      <c r="E105" s="136" t="s">
        <v>4268</v>
      </c>
      <c r="F105" s="136" t="s">
        <v>4269</v>
      </c>
      <c r="G105" s="136" t="s">
        <v>4802</v>
      </c>
      <c r="H105" s="136" t="s">
        <v>4803</v>
      </c>
      <c r="I105" s="136" t="s">
        <v>4804</v>
      </c>
      <c r="J105" s="136" t="s">
        <v>4805</v>
      </c>
      <c r="K105" s="136" t="s">
        <v>1013</v>
      </c>
      <c r="L105" s="136" t="s">
        <v>4806</v>
      </c>
      <c r="M105" s="136" t="s">
        <v>4807</v>
      </c>
      <c r="N105" s="136" t="s">
        <v>4276</v>
      </c>
      <c r="O105" s="136" t="s">
        <v>4266</v>
      </c>
      <c r="P105" s="136" t="s">
        <v>4808</v>
      </c>
      <c r="Q105" s="136">
        <v>18239</v>
      </c>
      <c r="R105" s="136" t="s">
        <v>4278</v>
      </c>
      <c r="S105" s="136">
        <v>1094.3399999999999</v>
      </c>
      <c r="T105" s="136">
        <v>19333.34</v>
      </c>
      <c r="U105" s="136" t="s">
        <v>4279</v>
      </c>
      <c r="V105" s="136" t="s">
        <v>4280</v>
      </c>
      <c r="W105" s="136" t="s">
        <v>4281</v>
      </c>
      <c r="X105" s="136" t="s">
        <v>4282</v>
      </c>
      <c r="Y105" s="136" t="s">
        <v>4281</v>
      </c>
      <c r="Z105" s="136" t="s">
        <v>4283</v>
      </c>
      <c r="AA105" s="136" t="s">
        <v>4809</v>
      </c>
    </row>
    <row r="106" spans="1:27" ht="15">
      <c r="A106" s="136" t="s">
        <v>4810</v>
      </c>
      <c r="B106" s="136" t="s">
        <v>1013</v>
      </c>
      <c r="C106" s="136" t="s">
        <v>1013</v>
      </c>
      <c r="D106" s="136" t="s">
        <v>4811</v>
      </c>
      <c r="E106" s="136" t="s">
        <v>4268</v>
      </c>
      <c r="F106" s="136" t="s">
        <v>4269</v>
      </c>
      <c r="G106" s="136" t="s">
        <v>4802</v>
      </c>
      <c r="H106" s="136" t="s">
        <v>4803</v>
      </c>
      <c r="I106" s="136" t="s">
        <v>4812</v>
      </c>
      <c r="J106" s="136" t="s">
        <v>4714</v>
      </c>
      <c r="K106" s="136" t="s">
        <v>1013</v>
      </c>
      <c r="L106" s="136" t="s">
        <v>4715</v>
      </c>
      <c r="M106" s="136" t="s">
        <v>4813</v>
      </c>
      <c r="N106" s="136" t="s">
        <v>4276</v>
      </c>
      <c r="O106" s="136" t="s">
        <v>4266</v>
      </c>
      <c r="P106" s="136" t="s">
        <v>4814</v>
      </c>
      <c r="Q106" s="136">
        <v>203389.86</v>
      </c>
      <c r="R106" s="136" t="s">
        <v>4278</v>
      </c>
      <c r="S106" s="136">
        <v>12203.39</v>
      </c>
      <c r="T106" s="136">
        <v>215593.25</v>
      </c>
      <c r="U106" s="136" t="s">
        <v>4279</v>
      </c>
      <c r="V106" s="136" t="s">
        <v>4280</v>
      </c>
      <c r="W106" s="136" t="s">
        <v>4281</v>
      </c>
      <c r="X106" s="136" t="s">
        <v>4282</v>
      </c>
      <c r="Y106" s="136" t="s">
        <v>4281</v>
      </c>
      <c r="Z106" s="136" t="s">
        <v>4283</v>
      </c>
      <c r="AA106" s="136" t="s">
        <v>4815</v>
      </c>
    </row>
    <row r="108" spans="1:27">
      <c r="A108" s="763" t="s">
        <v>4816</v>
      </c>
      <c r="B108" s="763" t="s">
        <v>4816</v>
      </c>
      <c r="C108" s="763" t="s">
        <v>4816</v>
      </c>
      <c r="D108" s="763" t="s">
        <v>4816</v>
      </c>
      <c r="E108" s="763" t="s">
        <v>4816</v>
      </c>
      <c r="F108" s="763" t="s">
        <v>4816</v>
      </c>
      <c r="G108" s="763" t="s">
        <v>4816</v>
      </c>
      <c r="H108" s="763" t="s">
        <v>4816</v>
      </c>
      <c r="I108" s="763" t="s">
        <v>4816</v>
      </c>
      <c r="J108" s="763" t="s">
        <v>4816</v>
      </c>
      <c r="K108" s="763" t="s">
        <v>4816</v>
      </c>
      <c r="L108" s="763" t="s">
        <v>4816</v>
      </c>
      <c r="M108" s="763" t="s">
        <v>4816</v>
      </c>
      <c r="N108" s="763" t="s">
        <v>4816</v>
      </c>
    </row>
    <row r="109" spans="1:27" ht="15">
      <c r="A109" s="137" t="s">
        <v>4817</v>
      </c>
      <c r="B109" s="133" t="s">
        <v>4268</v>
      </c>
    </row>
    <row r="110" spans="1:27" ht="15">
      <c r="A110" s="137" t="s">
        <v>4818</v>
      </c>
      <c r="B110" s="133" t="s">
        <v>4269</v>
      </c>
    </row>
    <row r="111" spans="1:27" ht="15">
      <c r="A111" s="137" t="s">
        <v>4819</v>
      </c>
      <c r="B111" s="133" t="s">
        <v>4820</v>
      </c>
    </row>
    <row r="112" spans="1:27" ht="37.5">
      <c r="A112" s="134" t="s">
        <v>4242</v>
      </c>
      <c r="B112" s="134" t="s">
        <v>4821</v>
      </c>
      <c r="C112" s="134" t="s">
        <v>4822</v>
      </c>
      <c r="D112" s="134" t="s">
        <v>4823</v>
      </c>
      <c r="E112" s="134" t="s">
        <v>4824</v>
      </c>
      <c r="F112" s="134" t="s">
        <v>4825</v>
      </c>
      <c r="G112" s="134" t="s">
        <v>4826</v>
      </c>
      <c r="H112" s="134" t="s">
        <v>4827</v>
      </c>
      <c r="I112" s="134" t="s">
        <v>4828</v>
      </c>
      <c r="J112" s="134" t="s">
        <v>4829</v>
      </c>
      <c r="K112" s="134" t="s">
        <v>4830</v>
      </c>
      <c r="L112" s="134" t="s">
        <v>4831</v>
      </c>
      <c r="M112" s="134" t="s">
        <v>4832</v>
      </c>
      <c r="N112" s="134" t="s">
        <v>4833</v>
      </c>
    </row>
    <row r="113" spans="1:21" ht="15">
      <c r="A113" s="85" t="s">
        <v>4266</v>
      </c>
      <c r="B113" s="85" t="s">
        <v>4834</v>
      </c>
      <c r="C113" s="85" t="s">
        <v>4835</v>
      </c>
      <c r="D113" s="85" t="s">
        <v>4836</v>
      </c>
      <c r="E113" s="85" t="s">
        <v>4837</v>
      </c>
      <c r="F113" s="85" t="s">
        <v>4838</v>
      </c>
      <c r="G113" s="85" t="s">
        <v>4838</v>
      </c>
      <c r="H113" s="85" t="s">
        <v>4839</v>
      </c>
      <c r="I113" s="85" t="s">
        <v>4840</v>
      </c>
      <c r="J113" s="85" t="s">
        <v>4838</v>
      </c>
      <c r="K113" s="85" t="s">
        <v>4838</v>
      </c>
      <c r="L113" s="85">
        <v>20265501.629999999</v>
      </c>
      <c r="M113" s="85">
        <v>1215930.1200000001</v>
      </c>
      <c r="N113" s="85" t="s">
        <v>4841</v>
      </c>
      <c r="O113" s="85"/>
      <c r="P113" s="85"/>
      <c r="Q113" s="85"/>
      <c r="R113" s="85"/>
      <c r="S113" s="85"/>
      <c r="T113" s="85"/>
      <c r="U113" s="85"/>
    </row>
    <row r="114" spans="1:21" ht="15">
      <c r="A114" s="85" t="s">
        <v>4284</v>
      </c>
      <c r="B114" s="85" t="s">
        <v>4834</v>
      </c>
      <c r="C114" s="85" t="s">
        <v>4842</v>
      </c>
      <c r="D114" s="85" t="s">
        <v>4843</v>
      </c>
      <c r="E114" s="85" t="s">
        <v>4844</v>
      </c>
      <c r="F114" s="85" t="s">
        <v>4838</v>
      </c>
      <c r="G114" s="85" t="s">
        <v>4838</v>
      </c>
      <c r="H114" s="85" t="s">
        <v>4838</v>
      </c>
      <c r="I114" s="85" t="s">
        <v>4838</v>
      </c>
      <c r="J114" s="85" t="s">
        <v>4838</v>
      </c>
      <c r="K114" s="85" t="s">
        <v>4838</v>
      </c>
      <c r="L114" s="85">
        <v>854194844.01999998</v>
      </c>
      <c r="M114" s="85">
        <v>111045329.72</v>
      </c>
      <c r="N114" s="85" t="s">
        <v>4845</v>
      </c>
      <c r="O114" s="85"/>
      <c r="P114" s="85"/>
      <c r="Q114" s="85"/>
      <c r="R114" s="85"/>
      <c r="S114" s="85"/>
      <c r="T114" s="85"/>
      <c r="U114" s="85"/>
    </row>
    <row r="115" spans="1:21" ht="15">
      <c r="A115" s="85" t="s">
        <v>4292</v>
      </c>
      <c r="B115" s="85" t="s">
        <v>4834</v>
      </c>
      <c r="C115" s="85" t="s">
        <v>4846</v>
      </c>
      <c r="D115" s="85" t="s">
        <v>4847</v>
      </c>
      <c r="E115" s="85" t="s">
        <v>4848</v>
      </c>
      <c r="F115" s="85" t="s">
        <v>4838</v>
      </c>
      <c r="G115" s="85" t="s">
        <v>4838</v>
      </c>
      <c r="H115" s="85" t="s">
        <v>4838</v>
      </c>
      <c r="I115" s="85" t="s">
        <v>4838</v>
      </c>
      <c r="J115" s="85" t="s">
        <v>4838</v>
      </c>
      <c r="K115" s="85" t="s">
        <v>4838</v>
      </c>
      <c r="L115" s="85">
        <v>220186683.55000001</v>
      </c>
      <c r="M115" s="85">
        <v>19816801.550000001</v>
      </c>
      <c r="N115" s="85" t="s">
        <v>4849</v>
      </c>
      <c r="O115" s="85"/>
      <c r="P115" s="85"/>
      <c r="Q115" s="85"/>
      <c r="R115" s="85"/>
      <c r="S115" s="85"/>
      <c r="T115" s="85"/>
      <c r="U115" s="85"/>
    </row>
    <row r="116" spans="1:21" ht="15">
      <c r="A116" s="85" t="s">
        <v>4299</v>
      </c>
      <c r="B116" s="85" t="s">
        <v>33</v>
      </c>
      <c r="C116" s="85"/>
      <c r="D116" s="85" t="s">
        <v>4850</v>
      </c>
      <c r="E116" s="85" t="s">
        <v>4851</v>
      </c>
      <c r="F116" s="85" t="s">
        <v>4838</v>
      </c>
      <c r="G116" s="85" t="s">
        <v>4838</v>
      </c>
      <c r="H116" s="85" t="s">
        <v>4839</v>
      </c>
      <c r="I116" s="85" t="s">
        <v>4840</v>
      </c>
      <c r="J116" s="85" t="s">
        <v>4838</v>
      </c>
      <c r="K116" s="85" t="s">
        <v>4838</v>
      </c>
      <c r="L116" s="85">
        <v>1094647029.2</v>
      </c>
      <c r="M116" s="85">
        <v>132078061.39</v>
      </c>
      <c r="N116" s="85"/>
      <c r="O116" s="85"/>
      <c r="P116" s="85"/>
      <c r="Q116" s="85"/>
      <c r="R116" s="85"/>
      <c r="S116" s="85"/>
      <c r="T116" s="85"/>
      <c r="U116" s="85"/>
    </row>
  </sheetData>
  <mergeCells count="1">
    <mergeCell ref="A108:N108"/>
  </mergeCells>
  <phoneticPr fontId="85" type="noConversion"/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S569"/>
  <sheetViews>
    <sheetView zoomScale="70" zoomScaleNormal="70" workbookViewId="0">
      <pane ySplit="1" topLeftCell="A101" activePane="bottomLeft" state="frozen"/>
      <selection pane="bottomLeft" activeCell="S10" sqref="A3:S10"/>
    </sheetView>
  </sheetViews>
  <sheetFormatPr defaultColWidth="9" defaultRowHeight="14.25"/>
  <cols>
    <col min="1" max="10" width="9" style="133"/>
    <col min="11" max="13" width="12.625" style="133" customWidth="1"/>
    <col min="14" max="16384" width="9" style="133"/>
  </cols>
  <sheetData>
    <row r="1" spans="1:19">
      <c r="A1" s="763" t="s">
        <v>4852</v>
      </c>
      <c r="B1" s="763" t="s">
        <v>4852</v>
      </c>
      <c r="C1" s="763" t="s">
        <v>4852</v>
      </c>
      <c r="D1" s="763" t="s">
        <v>4852</v>
      </c>
      <c r="E1" s="763" t="s">
        <v>4852</v>
      </c>
      <c r="F1" s="763" t="s">
        <v>4852</v>
      </c>
      <c r="G1" s="763" t="s">
        <v>4852</v>
      </c>
      <c r="H1" s="763" t="s">
        <v>4852</v>
      </c>
      <c r="I1" s="763" t="s">
        <v>4852</v>
      </c>
      <c r="J1" s="763" t="s">
        <v>4852</v>
      </c>
      <c r="K1" s="763" t="s">
        <v>4852</v>
      </c>
      <c r="L1" s="763" t="s">
        <v>4852</v>
      </c>
      <c r="M1" s="763" t="s">
        <v>4852</v>
      </c>
      <c r="N1" s="763" t="s">
        <v>4852</v>
      </c>
      <c r="O1" s="763" t="s">
        <v>4852</v>
      </c>
      <c r="P1" s="763" t="s">
        <v>4852</v>
      </c>
      <c r="Q1" s="763" t="s">
        <v>4852</v>
      </c>
      <c r="R1" s="763" t="s">
        <v>4852</v>
      </c>
      <c r="S1" s="763" t="s">
        <v>4852</v>
      </c>
    </row>
    <row r="2" spans="1:19">
      <c r="A2" s="133" t="s">
        <v>4853</v>
      </c>
      <c r="B2" s="133" t="s">
        <v>4268</v>
      </c>
      <c r="E2" s="133" t="s">
        <v>4854</v>
      </c>
      <c r="F2" s="133" t="s">
        <v>4855</v>
      </c>
      <c r="H2" s="133" t="s">
        <v>4856</v>
      </c>
      <c r="I2" s="133" t="s">
        <v>4269</v>
      </c>
    </row>
    <row r="3" spans="1:19" ht="56.25">
      <c r="A3" s="134" t="s">
        <v>4242</v>
      </c>
      <c r="B3" s="134" t="s">
        <v>4857</v>
      </c>
      <c r="C3" s="134" t="s">
        <v>4259</v>
      </c>
      <c r="D3" s="134" t="s">
        <v>4858</v>
      </c>
      <c r="E3" s="134" t="s">
        <v>4245</v>
      </c>
      <c r="F3" s="134" t="s">
        <v>4243</v>
      </c>
      <c r="G3" s="134" t="s">
        <v>4244</v>
      </c>
      <c r="H3" s="134" t="s">
        <v>4250</v>
      </c>
      <c r="I3" s="134" t="s">
        <v>4859</v>
      </c>
      <c r="J3" s="134" t="s">
        <v>4860</v>
      </c>
      <c r="K3" s="134" t="s">
        <v>948</v>
      </c>
      <c r="L3" s="134" t="s">
        <v>726</v>
      </c>
      <c r="M3" s="134" t="s">
        <v>4861</v>
      </c>
      <c r="N3" s="134" t="s">
        <v>4862</v>
      </c>
      <c r="O3" s="134" t="s">
        <v>4863</v>
      </c>
      <c r="P3" s="134" t="s">
        <v>4261</v>
      </c>
      <c r="Q3" s="134" t="s">
        <v>4864</v>
      </c>
      <c r="R3" s="134" t="s">
        <v>4263</v>
      </c>
      <c r="S3" s="134" t="s">
        <v>4865</v>
      </c>
    </row>
    <row r="4" spans="1:19">
      <c r="A4" s="133" t="s">
        <v>4266</v>
      </c>
      <c r="B4" s="133" t="s">
        <v>4866</v>
      </c>
      <c r="C4" s="133" t="s">
        <v>4279</v>
      </c>
      <c r="D4" s="133" t="s">
        <v>1013</v>
      </c>
      <c r="E4" s="133" t="s">
        <v>4867</v>
      </c>
      <c r="H4" s="133" t="s">
        <v>4868</v>
      </c>
      <c r="I4" s="133" t="s">
        <v>4869</v>
      </c>
      <c r="J4" s="133" t="s">
        <v>4870</v>
      </c>
      <c r="K4" s="133">
        <v>289.11</v>
      </c>
      <c r="L4" s="133">
        <v>2.89</v>
      </c>
      <c r="M4" s="133">
        <v>2.89</v>
      </c>
      <c r="N4" s="133" t="s">
        <v>4280</v>
      </c>
      <c r="O4" s="133" t="s">
        <v>4871</v>
      </c>
      <c r="P4" s="133" t="s">
        <v>4281</v>
      </c>
      <c r="Q4" s="133" t="s">
        <v>4872</v>
      </c>
      <c r="R4" s="133" t="s">
        <v>4281</v>
      </c>
      <c r="S4" s="133" t="s">
        <v>4873</v>
      </c>
    </row>
    <row r="5" spans="1:19">
      <c r="A5" s="133" t="s">
        <v>4284</v>
      </c>
      <c r="B5" s="133" t="s">
        <v>4866</v>
      </c>
      <c r="C5" s="133" t="s">
        <v>4279</v>
      </c>
      <c r="D5" s="133" t="s">
        <v>1013</v>
      </c>
      <c r="E5" s="133" t="s">
        <v>2724</v>
      </c>
      <c r="H5" s="133" t="s">
        <v>4874</v>
      </c>
      <c r="I5" s="133" t="s">
        <v>4875</v>
      </c>
      <c r="J5" s="133" t="s">
        <v>4876</v>
      </c>
      <c r="K5" s="133">
        <v>36697.25</v>
      </c>
      <c r="L5" s="133">
        <v>2201.83</v>
      </c>
      <c r="M5" s="133">
        <v>2201.83</v>
      </c>
      <c r="N5" s="133" t="s">
        <v>4280</v>
      </c>
      <c r="O5" s="133" t="s">
        <v>4871</v>
      </c>
      <c r="P5" s="133" t="s">
        <v>4281</v>
      </c>
      <c r="Q5" s="133" t="s">
        <v>4872</v>
      </c>
      <c r="R5" s="133" t="s">
        <v>4281</v>
      </c>
      <c r="S5" s="133" t="s">
        <v>4873</v>
      </c>
    </row>
    <row r="6" spans="1:19">
      <c r="A6" s="133" t="s">
        <v>4292</v>
      </c>
      <c r="B6" s="133" t="s">
        <v>4866</v>
      </c>
      <c r="C6" s="133" t="s">
        <v>4279</v>
      </c>
      <c r="D6" s="133" t="s">
        <v>1013</v>
      </c>
      <c r="E6" s="133" t="s">
        <v>2808</v>
      </c>
      <c r="H6" s="133" t="s">
        <v>4877</v>
      </c>
      <c r="I6" s="133" t="s">
        <v>4875</v>
      </c>
      <c r="J6" s="133" t="s">
        <v>4876</v>
      </c>
      <c r="K6" s="133">
        <v>27522.93</v>
      </c>
      <c r="L6" s="133">
        <v>1651.38</v>
      </c>
      <c r="M6" s="133">
        <v>1651.38</v>
      </c>
      <c r="N6" s="133" t="s">
        <v>4280</v>
      </c>
      <c r="O6" s="133" t="s">
        <v>4871</v>
      </c>
      <c r="P6" s="133" t="s">
        <v>4281</v>
      </c>
      <c r="Q6" s="133" t="s">
        <v>4872</v>
      </c>
      <c r="R6" s="133" t="s">
        <v>4281</v>
      </c>
      <c r="S6" s="133" t="s">
        <v>4873</v>
      </c>
    </row>
    <row r="7" spans="1:19">
      <c r="A7" s="133" t="s">
        <v>4299</v>
      </c>
      <c r="B7" s="133" t="s">
        <v>4866</v>
      </c>
      <c r="C7" s="133" t="s">
        <v>4279</v>
      </c>
      <c r="D7" s="133" t="s">
        <v>1013</v>
      </c>
      <c r="E7" s="133" t="s">
        <v>3762</v>
      </c>
      <c r="H7" s="133" t="s">
        <v>4878</v>
      </c>
      <c r="I7" s="133" t="s">
        <v>4879</v>
      </c>
      <c r="J7" s="133" t="s">
        <v>4880</v>
      </c>
      <c r="K7" s="133">
        <v>3092.88</v>
      </c>
      <c r="L7" s="133">
        <v>185.57</v>
      </c>
      <c r="M7" s="133">
        <v>185.57</v>
      </c>
      <c r="N7" s="133" t="s">
        <v>4280</v>
      </c>
      <c r="O7" s="133" t="s">
        <v>4871</v>
      </c>
      <c r="P7" s="133" t="s">
        <v>4281</v>
      </c>
      <c r="Q7" s="133" t="s">
        <v>4872</v>
      </c>
      <c r="R7" s="133" t="s">
        <v>4281</v>
      </c>
      <c r="S7" s="133" t="s">
        <v>4873</v>
      </c>
    </row>
    <row r="8" spans="1:19">
      <c r="A8" s="133" t="s">
        <v>4304</v>
      </c>
      <c r="B8" s="133" t="s">
        <v>4866</v>
      </c>
      <c r="C8" s="133" t="s">
        <v>4279</v>
      </c>
      <c r="D8" s="133" t="s">
        <v>1013</v>
      </c>
      <c r="E8" s="133" t="s">
        <v>4881</v>
      </c>
      <c r="H8" s="133" t="s">
        <v>4882</v>
      </c>
      <c r="I8" s="133" t="s">
        <v>4883</v>
      </c>
      <c r="J8" s="133" t="s">
        <v>4884</v>
      </c>
      <c r="K8" s="133">
        <v>1752293.58</v>
      </c>
      <c r="L8" s="133">
        <v>157706.42000000001</v>
      </c>
      <c r="M8" s="133">
        <v>157706.42000000001</v>
      </c>
      <c r="N8" s="133" t="s">
        <v>4280</v>
      </c>
      <c r="O8" s="133" t="s">
        <v>4871</v>
      </c>
      <c r="P8" s="133" t="s">
        <v>4281</v>
      </c>
      <c r="Q8" s="133" t="s">
        <v>4872</v>
      </c>
      <c r="R8" s="133" t="s">
        <v>4281</v>
      </c>
      <c r="S8" s="133" t="s">
        <v>4873</v>
      </c>
    </row>
    <row r="9" spans="1:19">
      <c r="A9" s="133" t="s">
        <v>4310</v>
      </c>
      <c r="B9" s="133" t="s">
        <v>4866</v>
      </c>
      <c r="C9" s="133" t="s">
        <v>4279</v>
      </c>
      <c r="D9" s="133" t="s">
        <v>1013</v>
      </c>
      <c r="E9" s="133" t="s">
        <v>4885</v>
      </c>
      <c r="H9" s="133" t="s">
        <v>4886</v>
      </c>
      <c r="I9" s="133" t="s">
        <v>4887</v>
      </c>
      <c r="J9" s="133" t="s">
        <v>4888</v>
      </c>
      <c r="K9" s="133">
        <v>330275.23</v>
      </c>
      <c r="L9" s="133">
        <v>29724.77</v>
      </c>
      <c r="M9" s="133">
        <v>29724.77</v>
      </c>
      <c r="N9" s="133" t="s">
        <v>4280</v>
      </c>
      <c r="O9" s="133" t="s">
        <v>4871</v>
      </c>
      <c r="P9" s="133" t="s">
        <v>4281</v>
      </c>
      <c r="Q9" s="133" t="s">
        <v>4872</v>
      </c>
      <c r="R9" s="133" t="s">
        <v>4281</v>
      </c>
      <c r="S9" s="133" t="s">
        <v>4873</v>
      </c>
    </row>
    <row r="10" spans="1:19">
      <c r="A10" s="133" t="s">
        <v>4321</v>
      </c>
      <c r="B10" s="133" t="s">
        <v>4866</v>
      </c>
      <c r="C10" s="133" t="s">
        <v>4279</v>
      </c>
      <c r="D10" s="133" t="s">
        <v>1013</v>
      </c>
      <c r="E10" s="133" t="s">
        <v>4889</v>
      </c>
      <c r="H10" s="133" t="s">
        <v>4890</v>
      </c>
      <c r="I10" s="133" t="s">
        <v>4887</v>
      </c>
      <c r="J10" s="133" t="s">
        <v>4888</v>
      </c>
      <c r="K10" s="133">
        <v>108770.64</v>
      </c>
      <c r="L10" s="133">
        <v>9789.36</v>
      </c>
      <c r="M10" s="133">
        <v>9789.36</v>
      </c>
      <c r="N10" s="133" t="s">
        <v>4280</v>
      </c>
      <c r="O10" s="133" t="s">
        <v>4871</v>
      </c>
      <c r="P10" s="133" t="s">
        <v>4281</v>
      </c>
      <c r="Q10" s="133" t="s">
        <v>4872</v>
      </c>
      <c r="R10" s="133" t="s">
        <v>4281</v>
      </c>
      <c r="S10" s="133" t="s">
        <v>4873</v>
      </c>
    </row>
    <row r="11" spans="1:19">
      <c r="A11" s="133" t="s">
        <v>4328</v>
      </c>
      <c r="B11" s="133" t="s">
        <v>4866</v>
      </c>
      <c r="C11" s="133" t="s">
        <v>4279</v>
      </c>
      <c r="D11" s="133" t="s">
        <v>1013</v>
      </c>
      <c r="E11" s="133" t="s">
        <v>4891</v>
      </c>
      <c r="H11" s="133" t="s">
        <v>4892</v>
      </c>
      <c r="I11" s="133" t="s">
        <v>4893</v>
      </c>
      <c r="J11" s="133" t="s">
        <v>4894</v>
      </c>
      <c r="K11" s="133">
        <v>365566.04</v>
      </c>
      <c r="L11" s="133">
        <v>21933.96</v>
      </c>
      <c r="M11" s="133">
        <v>21933.96</v>
      </c>
      <c r="N11" s="133" t="s">
        <v>4280</v>
      </c>
      <c r="O11" s="133" t="s">
        <v>4871</v>
      </c>
      <c r="P11" s="133" t="s">
        <v>4281</v>
      </c>
      <c r="Q11" s="133" t="s">
        <v>4872</v>
      </c>
      <c r="R11" s="133" t="s">
        <v>4281</v>
      </c>
      <c r="S11" s="133" t="s">
        <v>4873</v>
      </c>
    </row>
    <row r="12" spans="1:19">
      <c r="A12" s="133" t="s">
        <v>4335</v>
      </c>
      <c r="B12" s="133" t="s">
        <v>4866</v>
      </c>
      <c r="C12" s="133" t="s">
        <v>4279</v>
      </c>
      <c r="D12" s="133" t="s">
        <v>1013</v>
      </c>
      <c r="E12" s="133" t="s">
        <v>4895</v>
      </c>
      <c r="H12" s="133" t="s">
        <v>4896</v>
      </c>
      <c r="I12" s="133" t="s">
        <v>4893</v>
      </c>
      <c r="J12" s="133" t="s">
        <v>4894</v>
      </c>
      <c r="K12" s="133">
        <v>396226.42</v>
      </c>
      <c r="L12" s="133">
        <v>23773.58</v>
      </c>
      <c r="M12" s="133">
        <v>23773.58</v>
      </c>
      <c r="N12" s="133" t="s">
        <v>4280</v>
      </c>
      <c r="O12" s="133" t="s">
        <v>4871</v>
      </c>
      <c r="P12" s="133" t="s">
        <v>4281</v>
      </c>
      <c r="Q12" s="133" t="s">
        <v>4872</v>
      </c>
      <c r="R12" s="133" t="s">
        <v>4281</v>
      </c>
      <c r="S12" s="133" t="s">
        <v>4873</v>
      </c>
    </row>
    <row r="13" spans="1:19">
      <c r="A13" s="133" t="s">
        <v>4341</v>
      </c>
      <c r="B13" s="133" t="s">
        <v>4866</v>
      </c>
      <c r="C13" s="133" t="s">
        <v>4279</v>
      </c>
      <c r="D13" s="133" t="s">
        <v>1013</v>
      </c>
      <c r="E13" s="133" t="s">
        <v>3700</v>
      </c>
      <c r="H13" s="133" t="s">
        <v>4897</v>
      </c>
      <c r="I13" s="133" t="s">
        <v>4898</v>
      </c>
      <c r="J13" s="133" t="s">
        <v>4899</v>
      </c>
      <c r="K13" s="133">
        <v>83168.320000000007</v>
      </c>
      <c r="L13" s="133">
        <v>831.68</v>
      </c>
      <c r="M13" s="133">
        <v>831.68</v>
      </c>
      <c r="N13" s="133" t="s">
        <v>4280</v>
      </c>
      <c r="O13" s="133" t="s">
        <v>4871</v>
      </c>
      <c r="P13" s="133" t="s">
        <v>4281</v>
      </c>
      <c r="Q13" s="133" t="s">
        <v>4872</v>
      </c>
      <c r="R13" s="133" t="s">
        <v>4281</v>
      </c>
      <c r="S13" s="133" t="s">
        <v>4873</v>
      </c>
    </row>
    <row r="14" spans="1:19">
      <c r="A14" s="133" t="s">
        <v>4347</v>
      </c>
      <c r="B14" s="133" t="s">
        <v>4866</v>
      </c>
      <c r="C14" s="133" t="s">
        <v>4279</v>
      </c>
      <c r="D14" s="133" t="s">
        <v>1013</v>
      </c>
      <c r="E14" s="133" t="s">
        <v>4900</v>
      </c>
      <c r="H14" s="133" t="s">
        <v>4901</v>
      </c>
      <c r="I14" s="133" t="s">
        <v>4902</v>
      </c>
      <c r="J14" s="133" t="s">
        <v>4903</v>
      </c>
      <c r="K14" s="133">
        <v>1359275.23</v>
      </c>
      <c r="L14" s="133">
        <v>122334.77</v>
      </c>
      <c r="M14" s="133">
        <v>122334.77</v>
      </c>
      <c r="N14" s="133" t="s">
        <v>4280</v>
      </c>
      <c r="O14" s="133" t="s">
        <v>4871</v>
      </c>
      <c r="P14" s="133" t="s">
        <v>4281</v>
      </c>
      <c r="Q14" s="133" t="s">
        <v>4872</v>
      </c>
      <c r="R14" s="133" t="s">
        <v>4281</v>
      </c>
      <c r="S14" s="133" t="s">
        <v>4873</v>
      </c>
    </row>
    <row r="15" spans="1:19">
      <c r="A15" s="133" t="s">
        <v>4354</v>
      </c>
      <c r="B15" s="133" t="s">
        <v>4866</v>
      </c>
      <c r="C15" s="133" t="s">
        <v>4279</v>
      </c>
      <c r="D15" s="133" t="s">
        <v>1013</v>
      </c>
      <c r="E15" s="133" t="s">
        <v>4904</v>
      </c>
      <c r="H15" s="133" t="s">
        <v>4905</v>
      </c>
      <c r="I15" s="133" t="s">
        <v>4902</v>
      </c>
      <c r="J15" s="133" t="s">
        <v>4903</v>
      </c>
      <c r="K15" s="133">
        <v>1440724.77</v>
      </c>
      <c r="L15" s="133">
        <v>129665.23</v>
      </c>
      <c r="M15" s="133">
        <v>129665.23</v>
      </c>
      <c r="N15" s="133" t="s">
        <v>4280</v>
      </c>
      <c r="O15" s="133" t="s">
        <v>4871</v>
      </c>
      <c r="P15" s="133" t="s">
        <v>4281</v>
      </c>
      <c r="Q15" s="133" t="s">
        <v>4872</v>
      </c>
      <c r="R15" s="133" t="s">
        <v>4281</v>
      </c>
      <c r="S15" s="133" t="s">
        <v>4873</v>
      </c>
    </row>
    <row r="16" spans="1:19">
      <c r="A16" s="133" t="s">
        <v>4361</v>
      </c>
      <c r="B16" s="133" t="s">
        <v>4866</v>
      </c>
      <c r="C16" s="133" t="s">
        <v>4279</v>
      </c>
      <c r="D16" s="133" t="s">
        <v>1013</v>
      </c>
      <c r="E16" s="133" t="s">
        <v>3352</v>
      </c>
      <c r="H16" s="133" t="s">
        <v>4906</v>
      </c>
      <c r="I16" s="133" t="s">
        <v>4907</v>
      </c>
      <c r="J16" s="133" t="s">
        <v>4908</v>
      </c>
      <c r="K16" s="133">
        <v>310679.61</v>
      </c>
      <c r="L16" s="133">
        <v>9320.39</v>
      </c>
      <c r="M16" s="133">
        <v>9320.39</v>
      </c>
      <c r="N16" s="133" t="s">
        <v>4280</v>
      </c>
      <c r="O16" s="133" t="s">
        <v>4871</v>
      </c>
      <c r="P16" s="133" t="s">
        <v>4281</v>
      </c>
      <c r="Q16" s="133" t="s">
        <v>4872</v>
      </c>
      <c r="R16" s="133" t="s">
        <v>4281</v>
      </c>
      <c r="S16" s="133" t="s">
        <v>4873</v>
      </c>
    </row>
    <row r="17" spans="1:19">
      <c r="A17" s="133" t="s">
        <v>4368</v>
      </c>
      <c r="B17" s="133" t="s">
        <v>4866</v>
      </c>
      <c r="C17" s="133" t="s">
        <v>4279</v>
      </c>
      <c r="D17" s="133" t="s">
        <v>1013</v>
      </c>
      <c r="E17" s="133" t="s">
        <v>4909</v>
      </c>
      <c r="H17" s="133" t="s">
        <v>4910</v>
      </c>
      <c r="I17" s="133" t="s">
        <v>4911</v>
      </c>
      <c r="J17" s="133" t="s">
        <v>4912</v>
      </c>
      <c r="K17" s="133">
        <v>2991984.07</v>
      </c>
      <c r="L17" s="133">
        <v>388957.93</v>
      </c>
      <c r="M17" s="133">
        <v>388957.93</v>
      </c>
      <c r="N17" s="133" t="s">
        <v>4280</v>
      </c>
      <c r="O17" s="133" t="s">
        <v>4871</v>
      </c>
      <c r="P17" s="133" t="s">
        <v>4281</v>
      </c>
      <c r="Q17" s="133" t="s">
        <v>4872</v>
      </c>
      <c r="R17" s="133" t="s">
        <v>4281</v>
      </c>
      <c r="S17" s="133" t="s">
        <v>4873</v>
      </c>
    </row>
    <row r="18" spans="1:19">
      <c r="A18" s="133" t="s">
        <v>4372</v>
      </c>
      <c r="B18" s="133" t="s">
        <v>4866</v>
      </c>
      <c r="C18" s="133" t="s">
        <v>4279</v>
      </c>
      <c r="D18" s="133" t="s">
        <v>1013</v>
      </c>
      <c r="E18" s="133" t="s">
        <v>4913</v>
      </c>
      <c r="H18" s="133" t="s">
        <v>4914</v>
      </c>
      <c r="I18" s="133" t="s">
        <v>4915</v>
      </c>
      <c r="J18" s="133" t="s">
        <v>4916</v>
      </c>
      <c r="K18" s="133">
        <v>2389380.54</v>
      </c>
      <c r="L18" s="133">
        <v>310619.46999999997</v>
      </c>
      <c r="M18" s="133">
        <v>310619.46999999997</v>
      </c>
      <c r="N18" s="133" t="s">
        <v>4280</v>
      </c>
      <c r="O18" s="133" t="s">
        <v>4871</v>
      </c>
      <c r="P18" s="133" t="s">
        <v>4281</v>
      </c>
      <c r="Q18" s="133" t="s">
        <v>4872</v>
      </c>
      <c r="R18" s="133" t="s">
        <v>4281</v>
      </c>
      <c r="S18" s="133" t="s">
        <v>4873</v>
      </c>
    </row>
    <row r="19" spans="1:19">
      <c r="A19" s="133" t="s">
        <v>4376</v>
      </c>
      <c r="B19" s="133" t="s">
        <v>4866</v>
      </c>
      <c r="C19" s="133" t="s">
        <v>4279</v>
      </c>
      <c r="D19" s="133" t="s">
        <v>1013</v>
      </c>
      <c r="E19" s="133" t="s">
        <v>4917</v>
      </c>
      <c r="H19" s="133" t="s">
        <v>4918</v>
      </c>
      <c r="I19" s="133" t="s">
        <v>4915</v>
      </c>
      <c r="J19" s="133" t="s">
        <v>4916</v>
      </c>
      <c r="K19" s="133">
        <v>4778761.0599999996</v>
      </c>
      <c r="L19" s="133">
        <v>621238.93999999994</v>
      </c>
      <c r="M19" s="133">
        <v>621238.93999999994</v>
      </c>
      <c r="N19" s="133" t="s">
        <v>4280</v>
      </c>
      <c r="O19" s="133" t="s">
        <v>4871</v>
      </c>
      <c r="P19" s="133" t="s">
        <v>4281</v>
      </c>
      <c r="Q19" s="133" t="s">
        <v>4872</v>
      </c>
      <c r="R19" s="133" t="s">
        <v>4281</v>
      </c>
      <c r="S19" s="133" t="s">
        <v>4873</v>
      </c>
    </row>
    <row r="20" spans="1:19">
      <c r="A20" s="133" t="s">
        <v>4387</v>
      </c>
      <c r="B20" s="133" t="s">
        <v>4866</v>
      </c>
      <c r="C20" s="133" t="s">
        <v>4279</v>
      </c>
      <c r="D20" s="133" t="s">
        <v>1013</v>
      </c>
      <c r="E20" s="133" t="s">
        <v>4919</v>
      </c>
      <c r="H20" s="133" t="s">
        <v>4920</v>
      </c>
      <c r="I20" s="133" t="s">
        <v>4921</v>
      </c>
      <c r="J20" s="133" t="s">
        <v>4922</v>
      </c>
      <c r="K20" s="133">
        <v>890185.29</v>
      </c>
      <c r="L20" s="133">
        <v>80116.679999999993</v>
      </c>
      <c r="M20" s="133">
        <v>80116.679999999993</v>
      </c>
      <c r="N20" s="133" t="s">
        <v>4280</v>
      </c>
      <c r="O20" s="133" t="s">
        <v>4871</v>
      </c>
      <c r="P20" s="133" t="s">
        <v>4281</v>
      </c>
      <c r="Q20" s="133" t="s">
        <v>4872</v>
      </c>
      <c r="R20" s="133" t="s">
        <v>4281</v>
      </c>
      <c r="S20" s="133" t="s">
        <v>4873</v>
      </c>
    </row>
    <row r="21" spans="1:19">
      <c r="A21" s="133" t="s">
        <v>4392</v>
      </c>
      <c r="B21" s="133" t="s">
        <v>4866</v>
      </c>
      <c r="C21" s="133" t="s">
        <v>4279</v>
      </c>
      <c r="D21" s="133" t="s">
        <v>1013</v>
      </c>
      <c r="E21" s="133" t="s">
        <v>3532</v>
      </c>
      <c r="H21" s="133" t="s">
        <v>4923</v>
      </c>
      <c r="I21" s="133" t="s">
        <v>4924</v>
      </c>
      <c r="J21" s="133" t="s">
        <v>4925</v>
      </c>
      <c r="K21" s="133">
        <v>3944.13</v>
      </c>
      <c r="L21" s="133">
        <v>236.65</v>
      </c>
      <c r="M21" s="133">
        <v>236.65</v>
      </c>
      <c r="N21" s="133" t="s">
        <v>4280</v>
      </c>
      <c r="O21" s="133" t="s">
        <v>4871</v>
      </c>
      <c r="P21" s="133" t="s">
        <v>4281</v>
      </c>
      <c r="Q21" s="133" t="s">
        <v>4872</v>
      </c>
      <c r="R21" s="133" t="s">
        <v>4281</v>
      </c>
      <c r="S21" s="133" t="s">
        <v>4873</v>
      </c>
    </row>
    <row r="22" spans="1:19">
      <c r="A22" s="133" t="s">
        <v>4399</v>
      </c>
      <c r="B22" s="133" t="s">
        <v>4866</v>
      </c>
      <c r="C22" s="133" t="s">
        <v>4279</v>
      </c>
      <c r="D22" s="133" t="s">
        <v>1013</v>
      </c>
      <c r="E22" s="133" t="s">
        <v>4926</v>
      </c>
      <c r="H22" s="133" t="s">
        <v>4927</v>
      </c>
      <c r="I22" s="133" t="s">
        <v>4924</v>
      </c>
      <c r="J22" s="133" t="s">
        <v>4925</v>
      </c>
      <c r="K22" s="133">
        <v>11544.73</v>
      </c>
      <c r="L22" s="133">
        <v>692.68</v>
      </c>
      <c r="M22" s="133">
        <v>692.68</v>
      </c>
      <c r="N22" s="133" t="s">
        <v>4280</v>
      </c>
      <c r="O22" s="133" t="s">
        <v>4871</v>
      </c>
      <c r="P22" s="133" t="s">
        <v>4281</v>
      </c>
      <c r="Q22" s="133" t="s">
        <v>4872</v>
      </c>
      <c r="R22" s="133" t="s">
        <v>4281</v>
      </c>
      <c r="S22" s="133" t="s">
        <v>4873</v>
      </c>
    </row>
    <row r="23" spans="1:19">
      <c r="A23" s="133" t="s">
        <v>4404</v>
      </c>
      <c r="B23" s="133" t="s">
        <v>4866</v>
      </c>
      <c r="C23" s="133" t="s">
        <v>4279</v>
      </c>
      <c r="D23" s="133" t="s">
        <v>1013</v>
      </c>
      <c r="E23" s="133" t="s">
        <v>4928</v>
      </c>
      <c r="H23" s="133" t="s">
        <v>4929</v>
      </c>
      <c r="I23" s="133" t="s">
        <v>4924</v>
      </c>
      <c r="J23" s="133" t="s">
        <v>4925</v>
      </c>
      <c r="K23" s="133">
        <v>17095.509999999998</v>
      </c>
      <c r="L23" s="133">
        <v>1025.73</v>
      </c>
      <c r="M23" s="133">
        <v>1025.73</v>
      </c>
      <c r="N23" s="133" t="s">
        <v>4280</v>
      </c>
      <c r="O23" s="133" t="s">
        <v>4871</v>
      </c>
      <c r="P23" s="133" t="s">
        <v>4281</v>
      </c>
      <c r="Q23" s="133" t="s">
        <v>4872</v>
      </c>
      <c r="R23" s="133" t="s">
        <v>4281</v>
      </c>
      <c r="S23" s="133" t="s">
        <v>4873</v>
      </c>
    </row>
    <row r="24" spans="1:19">
      <c r="A24" s="133" t="s">
        <v>4410</v>
      </c>
      <c r="B24" s="133" t="s">
        <v>4866</v>
      </c>
      <c r="C24" s="133" t="s">
        <v>4279</v>
      </c>
      <c r="D24" s="133" t="s">
        <v>1013</v>
      </c>
      <c r="E24" s="133" t="s">
        <v>4930</v>
      </c>
      <c r="H24" s="133" t="s">
        <v>4931</v>
      </c>
      <c r="I24" s="133" t="s">
        <v>4932</v>
      </c>
      <c r="J24" s="133" t="s">
        <v>4933</v>
      </c>
      <c r="K24" s="133">
        <v>143545.23000000001</v>
      </c>
      <c r="L24" s="133">
        <v>12919.07</v>
      </c>
      <c r="M24" s="133">
        <v>12919.07</v>
      </c>
      <c r="N24" s="133" t="s">
        <v>4280</v>
      </c>
      <c r="O24" s="133" t="s">
        <v>4871</v>
      </c>
      <c r="P24" s="133" t="s">
        <v>4281</v>
      </c>
      <c r="Q24" s="133" t="s">
        <v>4872</v>
      </c>
      <c r="R24" s="133" t="s">
        <v>4281</v>
      </c>
      <c r="S24" s="133" t="s">
        <v>4873</v>
      </c>
    </row>
    <row r="25" spans="1:19">
      <c r="A25" s="133" t="s">
        <v>4414</v>
      </c>
      <c r="B25" s="133" t="s">
        <v>4866</v>
      </c>
      <c r="C25" s="133" t="s">
        <v>4279</v>
      </c>
      <c r="D25" s="133" t="s">
        <v>1013</v>
      </c>
      <c r="E25" s="133" t="s">
        <v>4934</v>
      </c>
      <c r="H25" s="133" t="s">
        <v>4935</v>
      </c>
      <c r="I25" s="133" t="s">
        <v>4932</v>
      </c>
      <c r="J25" s="133" t="s">
        <v>4933</v>
      </c>
      <c r="K25" s="133">
        <v>796419.54</v>
      </c>
      <c r="L25" s="133">
        <v>71677.759999999995</v>
      </c>
      <c r="M25" s="133">
        <v>71677.759999999995</v>
      </c>
      <c r="N25" s="133" t="s">
        <v>4280</v>
      </c>
      <c r="O25" s="133" t="s">
        <v>4871</v>
      </c>
      <c r="P25" s="133" t="s">
        <v>4281</v>
      </c>
      <c r="Q25" s="133" t="s">
        <v>4872</v>
      </c>
      <c r="R25" s="133" t="s">
        <v>4281</v>
      </c>
      <c r="S25" s="133" t="s">
        <v>4873</v>
      </c>
    </row>
    <row r="26" spans="1:19">
      <c r="A26" s="133" t="s">
        <v>4419</v>
      </c>
      <c r="B26" s="133" t="s">
        <v>4866</v>
      </c>
      <c r="C26" s="133" t="s">
        <v>4279</v>
      </c>
      <c r="D26" s="133" t="s">
        <v>1013</v>
      </c>
      <c r="E26" s="133" t="s">
        <v>4936</v>
      </c>
      <c r="H26" s="133" t="s">
        <v>4937</v>
      </c>
      <c r="I26" s="133" t="s">
        <v>4932</v>
      </c>
      <c r="J26" s="133" t="s">
        <v>4933</v>
      </c>
      <c r="K26" s="133">
        <v>644148.62</v>
      </c>
      <c r="L26" s="133">
        <v>57973.38</v>
      </c>
      <c r="M26" s="133">
        <v>57973.38</v>
      </c>
      <c r="N26" s="133" t="s">
        <v>4280</v>
      </c>
      <c r="O26" s="133" t="s">
        <v>4871</v>
      </c>
      <c r="P26" s="133" t="s">
        <v>4281</v>
      </c>
      <c r="Q26" s="133" t="s">
        <v>4872</v>
      </c>
      <c r="R26" s="133" t="s">
        <v>4281</v>
      </c>
      <c r="S26" s="133" t="s">
        <v>4873</v>
      </c>
    </row>
    <row r="27" spans="1:19">
      <c r="A27" s="133" t="s">
        <v>4422</v>
      </c>
      <c r="B27" s="133" t="s">
        <v>4866</v>
      </c>
      <c r="C27" s="133" t="s">
        <v>4279</v>
      </c>
      <c r="D27" s="133" t="s">
        <v>1013</v>
      </c>
      <c r="E27" s="133" t="s">
        <v>4938</v>
      </c>
      <c r="H27" s="133" t="s">
        <v>4939</v>
      </c>
      <c r="I27" s="133" t="s">
        <v>4932</v>
      </c>
      <c r="J27" s="133" t="s">
        <v>4933</v>
      </c>
      <c r="K27" s="133">
        <v>95271.49</v>
      </c>
      <c r="L27" s="133">
        <v>8574.43</v>
      </c>
      <c r="M27" s="133">
        <v>8574.43</v>
      </c>
      <c r="N27" s="133" t="s">
        <v>4280</v>
      </c>
      <c r="O27" s="133" t="s">
        <v>4871</v>
      </c>
      <c r="P27" s="133" t="s">
        <v>4281</v>
      </c>
      <c r="Q27" s="133" t="s">
        <v>4872</v>
      </c>
      <c r="R27" s="133" t="s">
        <v>4281</v>
      </c>
      <c r="S27" s="133" t="s">
        <v>4873</v>
      </c>
    </row>
    <row r="28" spans="1:19">
      <c r="A28" s="133" t="s">
        <v>4427</v>
      </c>
      <c r="B28" s="133" t="s">
        <v>4866</v>
      </c>
      <c r="C28" s="133" t="s">
        <v>4279</v>
      </c>
      <c r="D28" s="133" t="s">
        <v>1013</v>
      </c>
      <c r="E28" s="133" t="s">
        <v>4940</v>
      </c>
      <c r="H28" s="133" t="s">
        <v>4941</v>
      </c>
      <c r="I28" s="133" t="s">
        <v>4932</v>
      </c>
      <c r="J28" s="133" t="s">
        <v>4933</v>
      </c>
      <c r="K28" s="133">
        <v>507859.16</v>
      </c>
      <c r="L28" s="133">
        <v>45707.32</v>
      </c>
      <c r="M28" s="133">
        <v>45707.32</v>
      </c>
      <c r="N28" s="133" t="s">
        <v>4280</v>
      </c>
      <c r="O28" s="133" t="s">
        <v>4871</v>
      </c>
      <c r="P28" s="133" t="s">
        <v>4281</v>
      </c>
      <c r="Q28" s="133" t="s">
        <v>4872</v>
      </c>
      <c r="R28" s="133" t="s">
        <v>4281</v>
      </c>
      <c r="S28" s="133" t="s">
        <v>4873</v>
      </c>
    </row>
    <row r="29" spans="1:19">
      <c r="A29" s="133" t="s">
        <v>4433</v>
      </c>
      <c r="B29" s="133" t="s">
        <v>4866</v>
      </c>
      <c r="C29" s="133" t="s">
        <v>4279</v>
      </c>
      <c r="D29" s="133" t="s">
        <v>1013</v>
      </c>
      <c r="E29" s="133" t="s">
        <v>4942</v>
      </c>
      <c r="H29" s="133" t="s">
        <v>4943</v>
      </c>
      <c r="I29" s="133" t="s">
        <v>4932</v>
      </c>
      <c r="J29" s="133" t="s">
        <v>4933</v>
      </c>
      <c r="K29" s="133">
        <v>465744.79</v>
      </c>
      <c r="L29" s="133">
        <v>41917.03</v>
      </c>
      <c r="M29" s="133">
        <v>41917.03</v>
      </c>
      <c r="N29" s="133" t="s">
        <v>4280</v>
      </c>
      <c r="O29" s="133" t="s">
        <v>4871</v>
      </c>
      <c r="P29" s="133" t="s">
        <v>4281</v>
      </c>
      <c r="Q29" s="133" t="s">
        <v>4872</v>
      </c>
      <c r="R29" s="133" t="s">
        <v>4281</v>
      </c>
      <c r="S29" s="133" t="s">
        <v>4873</v>
      </c>
    </row>
    <row r="30" spans="1:19">
      <c r="A30" s="133" t="s">
        <v>4437</v>
      </c>
      <c r="B30" s="133" t="s">
        <v>4866</v>
      </c>
      <c r="C30" s="133" t="s">
        <v>4279</v>
      </c>
      <c r="D30" s="133" t="s">
        <v>1013</v>
      </c>
      <c r="E30" s="133" t="s">
        <v>4944</v>
      </c>
      <c r="H30" s="133" t="s">
        <v>4945</v>
      </c>
      <c r="I30" s="133" t="s">
        <v>4932</v>
      </c>
      <c r="J30" s="133" t="s">
        <v>4933</v>
      </c>
      <c r="K30" s="133">
        <v>1461259.27</v>
      </c>
      <c r="L30" s="133">
        <v>131513.32999999999</v>
      </c>
      <c r="M30" s="133">
        <v>131513.32999999999</v>
      </c>
      <c r="N30" s="133" t="s">
        <v>4280</v>
      </c>
      <c r="O30" s="133" t="s">
        <v>4871</v>
      </c>
      <c r="P30" s="133" t="s">
        <v>4281</v>
      </c>
      <c r="Q30" s="133" t="s">
        <v>4872</v>
      </c>
      <c r="R30" s="133" t="s">
        <v>4281</v>
      </c>
      <c r="S30" s="133" t="s">
        <v>4873</v>
      </c>
    </row>
    <row r="31" spans="1:19">
      <c r="A31" s="133" t="s">
        <v>4443</v>
      </c>
      <c r="B31" s="133" t="s">
        <v>4866</v>
      </c>
      <c r="C31" s="133" t="s">
        <v>4279</v>
      </c>
      <c r="D31" s="133" t="s">
        <v>1013</v>
      </c>
      <c r="E31" s="133" t="s">
        <v>4946</v>
      </c>
      <c r="H31" s="133" t="s">
        <v>4947</v>
      </c>
      <c r="I31" s="133" t="s">
        <v>4932</v>
      </c>
      <c r="J31" s="133" t="s">
        <v>4933</v>
      </c>
      <c r="K31" s="133">
        <v>32709.94</v>
      </c>
      <c r="L31" s="133">
        <v>2943.89</v>
      </c>
      <c r="M31" s="133">
        <v>2943.89</v>
      </c>
      <c r="N31" s="133" t="s">
        <v>4280</v>
      </c>
      <c r="O31" s="133" t="s">
        <v>4871</v>
      </c>
      <c r="P31" s="133" t="s">
        <v>4281</v>
      </c>
      <c r="Q31" s="133" t="s">
        <v>4872</v>
      </c>
      <c r="R31" s="133" t="s">
        <v>4281</v>
      </c>
      <c r="S31" s="133" t="s">
        <v>4873</v>
      </c>
    </row>
    <row r="32" spans="1:19">
      <c r="A32" s="133" t="s">
        <v>4447</v>
      </c>
      <c r="B32" s="133" t="s">
        <v>4866</v>
      </c>
      <c r="C32" s="133" t="s">
        <v>4279</v>
      </c>
      <c r="D32" s="133" t="s">
        <v>1013</v>
      </c>
      <c r="E32" s="133" t="s">
        <v>4948</v>
      </c>
      <c r="H32" s="133" t="s">
        <v>4949</v>
      </c>
      <c r="I32" s="133" t="s">
        <v>4932</v>
      </c>
      <c r="J32" s="133" t="s">
        <v>4933</v>
      </c>
      <c r="K32" s="133">
        <v>2718446.32</v>
      </c>
      <c r="L32" s="133">
        <v>244660.17</v>
      </c>
      <c r="M32" s="133">
        <v>244660.17</v>
      </c>
      <c r="N32" s="133" t="s">
        <v>4280</v>
      </c>
      <c r="O32" s="133" t="s">
        <v>4871</v>
      </c>
      <c r="P32" s="133" t="s">
        <v>4281</v>
      </c>
      <c r="Q32" s="133" t="s">
        <v>4872</v>
      </c>
      <c r="R32" s="133" t="s">
        <v>4281</v>
      </c>
      <c r="S32" s="133" t="s">
        <v>4873</v>
      </c>
    </row>
    <row r="33" spans="1:19">
      <c r="A33" s="133" t="s">
        <v>4425</v>
      </c>
      <c r="B33" s="133" t="s">
        <v>4866</v>
      </c>
      <c r="C33" s="133" t="s">
        <v>4279</v>
      </c>
      <c r="D33" s="133" t="s">
        <v>1013</v>
      </c>
      <c r="E33" s="133" t="s">
        <v>4950</v>
      </c>
      <c r="H33" s="133" t="s">
        <v>4951</v>
      </c>
      <c r="I33" s="133" t="s">
        <v>4932</v>
      </c>
      <c r="J33" s="133" t="s">
        <v>4933</v>
      </c>
      <c r="K33" s="133">
        <v>1320192.6399999999</v>
      </c>
      <c r="L33" s="133">
        <v>118817.34</v>
      </c>
      <c r="M33" s="133">
        <v>118817.34</v>
      </c>
      <c r="N33" s="133" t="s">
        <v>4280</v>
      </c>
      <c r="O33" s="133" t="s">
        <v>4871</v>
      </c>
      <c r="P33" s="133" t="s">
        <v>4281</v>
      </c>
      <c r="Q33" s="133" t="s">
        <v>4872</v>
      </c>
      <c r="R33" s="133" t="s">
        <v>4281</v>
      </c>
      <c r="S33" s="133" t="s">
        <v>4873</v>
      </c>
    </row>
    <row r="34" spans="1:19">
      <c r="A34" s="133" t="s">
        <v>4460</v>
      </c>
      <c r="B34" s="133" t="s">
        <v>4866</v>
      </c>
      <c r="C34" s="133" t="s">
        <v>4279</v>
      </c>
      <c r="D34" s="133" t="s">
        <v>1013</v>
      </c>
      <c r="E34" s="133" t="s">
        <v>4952</v>
      </c>
      <c r="H34" s="133" t="s">
        <v>4953</v>
      </c>
      <c r="I34" s="133" t="s">
        <v>4932</v>
      </c>
      <c r="J34" s="133" t="s">
        <v>4933</v>
      </c>
      <c r="K34" s="133">
        <v>2054134.24</v>
      </c>
      <c r="L34" s="133">
        <v>184872.08</v>
      </c>
      <c r="M34" s="133">
        <v>184872.08</v>
      </c>
      <c r="N34" s="133" t="s">
        <v>4280</v>
      </c>
      <c r="O34" s="133" t="s">
        <v>4871</v>
      </c>
      <c r="P34" s="133" t="s">
        <v>4281</v>
      </c>
      <c r="Q34" s="133" t="s">
        <v>4872</v>
      </c>
      <c r="R34" s="133" t="s">
        <v>4281</v>
      </c>
      <c r="S34" s="133" t="s">
        <v>4873</v>
      </c>
    </row>
    <row r="35" spans="1:19">
      <c r="A35" s="133" t="s">
        <v>4465</v>
      </c>
      <c r="B35" s="133" t="s">
        <v>4866</v>
      </c>
      <c r="C35" s="133" t="s">
        <v>4279</v>
      </c>
      <c r="D35" s="133" t="s">
        <v>1013</v>
      </c>
      <c r="E35" s="133" t="s">
        <v>4954</v>
      </c>
      <c r="H35" s="133" t="s">
        <v>4955</v>
      </c>
      <c r="I35" s="133" t="s">
        <v>4932</v>
      </c>
      <c r="J35" s="133" t="s">
        <v>4933</v>
      </c>
      <c r="K35" s="133">
        <v>2845038.57</v>
      </c>
      <c r="L35" s="133">
        <v>256053.47</v>
      </c>
      <c r="M35" s="133">
        <v>256053.47</v>
      </c>
      <c r="N35" s="133" t="s">
        <v>4280</v>
      </c>
      <c r="O35" s="133" t="s">
        <v>4871</v>
      </c>
      <c r="P35" s="133" t="s">
        <v>4281</v>
      </c>
      <c r="Q35" s="133" t="s">
        <v>4872</v>
      </c>
      <c r="R35" s="133" t="s">
        <v>4281</v>
      </c>
      <c r="S35" s="133" t="s">
        <v>4873</v>
      </c>
    </row>
    <row r="36" spans="1:19">
      <c r="A36" s="133" t="s">
        <v>4472</v>
      </c>
      <c r="B36" s="133" t="s">
        <v>4866</v>
      </c>
      <c r="C36" s="133" t="s">
        <v>4279</v>
      </c>
      <c r="D36" s="133" t="s">
        <v>1013</v>
      </c>
      <c r="E36" s="133" t="s">
        <v>4956</v>
      </c>
      <c r="H36" s="133" t="s">
        <v>4957</v>
      </c>
      <c r="I36" s="133" t="s">
        <v>4932</v>
      </c>
      <c r="J36" s="133" t="s">
        <v>4933</v>
      </c>
      <c r="K36" s="133">
        <v>979934.17</v>
      </c>
      <c r="L36" s="133">
        <v>88194.08</v>
      </c>
      <c r="M36" s="133">
        <v>88194.08</v>
      </c>
      <c r="N36" s="133" t="s">
        <v>4280</v>
      </c>
      <c r="O36" s="133" t="s">
        <v>4871</v>
      </c>
      <c r="P36" s="133" t="s">
        <v>4281</v>
      </c>
      <c r="Q36" s="133" t="s">
        <v>4872</v>
      </c>
      <c r="R36" s="133" t="s">
        <v>4281</v>
      </c>
      <c r="S36" s="133" t="s">
        <v>4873</v>
      </c>
    </row>
    <row r="37" spans="1:19">
      <c r="A37" s="133" t="s">
        <v>4477</v>
      </c>
      <c r="B37" s="133" t="s">
        <v>4866</v>
      </c>
      <c r="C37" s="133" t="s">
        <v>4279</v>
      </c>
      <c r="D37" s="133" t="s">
        <v>1013</v>
      </c>
      <c r="E37" s="133" t="s">
        <v>4958</v>
      </c>
      <c r="H37" s="133" t="s">
        <v>4959</v>
      </c>
      <c r="I37" s="133" t="s">
        <v>4932</v>
      </c>
      <c r="J37" s="133" t="s">
        <v>4933</v>
      </c>
      <c r="K37" s="133">
        <v>110627.15</v>
      </c>
      <c r="L37" s="133">
        <v>9956.44</v>
      </c>
      <c r="M37" s="133">
        <v>9956.44</v>
      </c>
      <c r="N37" s="133" t="s">
        <v>4280</v>
      </c>
      <c r="O37" s="133" t="s">
        <v>4871</v>
      </c>
      <c r="P37" s="133" t="s">
        <v>4281</v>
      </c>
      <c r="Q37" s="133" t="s">
        <v>4872</v>
      </c>
      <c r="R37" s="133" t="s">
        <v>4281</v>
      </c>
      <c r="S37" s="133" t="s">
        <v>4873</v>
      </c>
    </row>
    <row r="38" spans="1:19">
      <c r="A38" s="133" t="s">
        <v>4402</v>
      </c>
      <c r="B38" s="133" t="s">
        <v>4866</v>
      </c>
      <c r="C38" s="133" t="s">
        <v>4279</v>
      </c>
      <c r="D38" s="133" t="s">
        <v>1013</v>
      </c>
      <c r="E38" s="133" t="s">
        <v>4960</v>
      </c>
      <c r="H38" s="133" t="s">
        <v>4961</v>
      </c>
      <c r="I38" s="133" t="s">
        <v>4932</v>
      </c>
      <c r="J38" s="133" t="s">
        <v>4933</v>
      </c>
      <c r="K38" s="133">
        <v>206286.54</v>
      </c>
      <c r="L38" s="133">
        <v>18565.79</v>
      </c>
      <c r="M38" s="133">
        <v>18565.79</v>
      </c>
      <c r="N38" s="133" t="s">
        <v>4280</v>
      </c>
      <c r="O38" s="133" t="s">
        <v>4871</v>
      </c>
      <c r="P38" s="133" t="s">
        <v>4281</v>
      </c>
      <c r="Q38" s="133" t="s">
        <v>4872</v>
      </c>
      <c r="R38" s="133" t="s">
        <v>4281</v>
      </c>
      <c r="S38" s="133" t="s">
        <v>4873</v>
      </c>
    </row>
    <row r="39" spans="1:19">
      <c r="A39" s="133" t="s">
        <v>4484</v>
      </c>
      <c r="B39" s="133" t="s">
        <v>4866</v>
      </c>
      <c r="C39" s="133" t="s">
        <v>4279</v>
      </c>
      <c r="D39" s="133" t="s">
        <v>1013</v>
      </c>
      <c r="E39" s="133" t="s">
        <v>2640</v>
      </c>
      <c r="H39" s="133" t="s">
        <v>4962</v>
      </c>
      <c r="I39" s="133" t="s">
        <v>4963</v>
      </c>
      <c r="J39" s="133" t="s">
        <v>4964</v>
      </c>
      <c r="K39" s="133">
        <v>29902.91</v>
      </c>
      <c r="L39" s="133">
        <v>897.09</v>
      </c>
      <c r="M39" s="133">
        <v>897.09</v>
      </c>
      <c r="N39" s="133" t="s">
        <v>4280</v>
      </c>
      <c r="O39" s="133" t="s">
        <v>4871</v>
      </c>
      <c r="P39" s="133" t="s">
        <v>4281</v>
      </c>
      <c r="Q39" s="133" t="s">
        <v>4872</v>
      </c>
      <c r="R39" s="133" t="s">
        <v>4281</v>
      </c>
      <c r="S39" s="133" t="s">
        <v>4873</v>
      </c>
    </row>
    <row r="40" spans="1:19">
      <c r="A40" s="133" t="s">
        <v>4490</v>
      </c>
      <c r="B40" s="133" t="s">
        <v>4866</v>
      </c>
      <c r="C40" s="133" t="s">
        <v>4279</v>
      </c>
      <c r="D40" s="133" t="s">
        <v>1013</v>
      </c>
      <c r="E40" s="133" t="s">
        <v>2792</v>
      </c>
      <c r="H40" s="133" t="s">
        <v>4965</v>
      </c>
      <c r="I40" s="133" t="s">
        <v>4963</v>
      </c>
      <c r="J40" s="133" t="s">
        <v>4964</v>
      </c>
      <c r="K40" s="133">
        <v>13980.58</v>
      </c>
      <c r="L40" s="133">
        <v>419.42</v>
      </c>
      <c r="M40" s="133">
        <v>419.42</v>
      </c>
      <c r="N40" s="133" t="s">
        <v>4280</v>
      </c>
      <c r="O40" s="133" t="s">
        <v>4871</v>
      </c>
      <c r="P40" s="133" t="s">
        <v>4281</v>
      </c>
      <c r="Q40" s="133" t="s">
        <v>4872</v>
      </c>
      <c r="R40" s="133" t="s">
        <v>4281</v>
      </c>
      <c r="S40" s="133" t="s">
        <v>4873</v>
      </c>
    </row>
    <row r="41" spans="1:19">
      <c r="A41" s="133" t="s">
        <v>4494</v>
      </c>
      <c r="B41" s="133" t="s">
        <v>4866</v>
      </c>
      <c r="C41" s="133" t="s">
        <v>4279</v>
      </c>
      <c r="D41" s="133" t="s">
        <v>1013</v>
      </c>
      <c r="E41" s="133" t="s">
        <v>3797</v>
      </c>
      <c r="H41" s="133" t="s">
        <v>4966</v>
      </c>
      <c r="I41" s="133" t="s">
        <v>4963</v>
      </c>
      <c r="J41" s="133" t="s">
        <v>4964</v>
      </c>
      <c r="K41" s="133">
        <v>74682.52</v>
      </c>
      <c r="L41" s="133">
        <v>2240.48</v>
      </c>
      <c r="M41" s="133">
        <v>2240.48</v>
      </c>
      <c r="N41" s="133" t="s">
        <v>4280</v>
      </c>
      <c r="O41" s="133" t="s">
        <v>4871</v>
      </c>
      <c r="P41" s="133" t="s">
        <v>4281</v>
      </c>
      <c r="Q41" s="133" t="s">
        <v>4967</v>
      </c>
      <c r="R41" s="133" t="s">
        <v>4281</v>
      </c>
      <c r="S41" s="133" t="s">
        <v>4873</v>
      </c>
    </row>
    <row r="42" spans="1:19">
      <c r="A42" s="133" t="s">
        <v>4498</v>
      </c>
      <c r="B42" s="133" t="s">
        <v>4866</v>
      </c>
      <c r="C42" s="133" t="s">
        <v>4279</v>
      </c>
      <c r="D42" s="133" t="s">
        <v>1013</v>
      </c>
      <c r="E42" s="133" t="s">
        <v>4968</v>
      </c>
      <c r="H42" s="133" t="s">
        <v>4969</v>
      </c>
      <c r="I42" s="133" t="s">
        <v>4970</v>
      </c>
      <c r="J42" s="133" t="s">
        <v>4971</v>
      </c>
      <c r="K42" s="133">
        <v>96855.35</v>
      </c>
      <c r="L42" s="133">
        <v>5811.32</v>
      </c>
      <c r="M42" s="133">
        <v>5811.32</v>
      </c>
      <c r="N42" s="133" t="s">
        <v>4280</v>
      </c>
      <c r="O42" s="133" t="s">
        <v>4871</v>
      </c>
      <c r="P42" s="133" t="s">
        <v>4281</v>
      </c>
      <c r="Q42" s="133" t="s">
        <v>4872</v>
      </c>
      <c r="R42" s="133" t="s">
        <v>4281</v>
      </c>
      <c r="S42" s="133" t="s">
        <v>4873</v>
      </c>
    </row>
    <row r="43" spans="1:19">
      <c r="A43" s="133" t="s">
        <v>4503</v>
      </c>
      <c r="B43" s="133" t="s">
        <v>4866</v>
      </c>
      <c r="C43" s="133" t="s">
        <v>4279</v>
      </c>
      <c r="D43" s="133" t="s">
        <v>1013</v>
      </c>
      <c r="E43" s="133" t="s">
        <v>4972</v>
      </c>
      <c r="H43" s="133" t="s">
        <v>4973</v>
      </c>
      <c r="I43" s="133" t="s">
        <v>4974</v>
      </c>
      <c r="J43" s="133" t="s">
        <v>4975</v>
      </c>
      <c r="K43" s="133">
        <v>412972.48</v>
      </c>
      <c r="L43" s="133">
        <v>37167.519999999997</v>
      </c>
      <c r="M43" s="133">
        <v>37167.519999999997</v>
      </c>
      <c r="N43" s="133" t="s">
        <v>4280</v>
      </c>
      <c r="O43" s="133" t="s">
        <v>4871</v>
      </c>
      <c r="P43" s="133" t="s">
        <v>4281</v>
      </c>
      <c r="Q43" s="133" t="s">
        <v>4872</v>
      </c>
      <c r="R43" s="133" t="s">
        <v>4281</v>
      </c>
      <c r="S43" s="133" t="s">
        <v>4873</v>
      </c>
    </row>
    <row r="44" spans="1:19">
      <c r="A44" s="133" t="s">
        <v>4508</v>
      </c>
      <c r="B44" s="133" t="s">
        <v>4866</v>
      </c>
      <c r="C44" s="133" t="s">
        <v>4279</v>
      </c>
      <c r="D44" s="133" t="s">
        <v>1013</v>
      </c>
      <c r="E44" s="133" t="s">
        <v>3090</v>
      </c>
      <c r="H44" s="133" t="s">
        <v>4976</v>
      </c>
      <c r="I44" s="133" t="s">
        <v>4977</v>
      </c>
      <c r="J44" s="133" t="s">
        <v>4978</v>
      </c>
      <c r="K44" s="133">
        <v>53584.91</v>
      </c>
      <c r="L44" s="133">
        <v>3215.09</v>
      </c>
      <c r="M44" s="133">
        <v>3215.09</v>
      </c>
      <c r="N44" s="133" t="s">
        <v>4280</v>
      </c>
      <c r="O44" s="133" t="s">
        <v>4871</v>
      </c>
      <c r="P44" s="133" t="s">
        <v>4281</v>
      </c>
      <c r="Q44" s="133" t="s">
        <v>4872</v>
      </c>
      <c r="R44" s="133" t="s">
        <v>4281</v>
      </c>
      <c r="S44" s="133" t="s">
        <v>4873</v>
      </c>
    </row>
    <row r="45" spans="1:19">
      <c r="A45" s="133" t="s">
        <v>4512</v>
      </c>
      <c r="B45" s="133" t="s">
        <v>4866</v>
      </c>
      <c r="C45" s="133" t="s">
        <v>4279</v>
      </c>
      <c r="D45" s="133" t="s">
        <v>1013</v>
      </c>
      <c r="E45" s="133" t="s">
        <v>4979</v>
      </c>
      <c r="H45" s="133" t="s">
        <v>4980</v>
      </c>
      <c r="I45" s="133" t="s">
        <v>4981</v>
      </c>
      <c r="J45" s="133" t="s">
        <v>4982</v>
      </c>
      <c r="K45" s="133">
        <v>1832346.67</v>
      </c>
      <c r="L45" s="133">
        <v>164911.20000000001</v>
      </c>
      <c r="M45" s="133">
        <v>164911.20000000001</v>
      </c>
      <c r="N45" s="133" t="s">
        <v>4280</v>
      </c>
      <c r="O45" s="133" t="s">
        <v>4871</v>
      </c>
      <c r="P45" s="133" t="s">
        <v>4281</v>
      </c>
      <c r="Q45" s="133" t="s">
        <v>4872</v>
      </c>
      <c r="R45" s="133" t="s">
        <v>4281</v>
      </c>
      <c r="S45" s="133" t="s">
        <v>4873</v>
      </c>
    </row>
    <row r="46" spans="1:19">
      <c r="A46" s="133" t="s">
        <v>4518</v>
      </c>
      <c r="B46" s="133" t="s">
        <v>4866</v>
      </c>
      <c r="C46" s="133" t="s">
        <v>4279</v>
      </c>
      <c r="D46" s="133" t="s">
        <v>1013</v>
      </c>
      <c r="E46" s="133" t="s">
        <v>4983</v>
      </c>
      <c r="H46" s="133" t="s">
        <v>4984</v>
      </c>
      <c r="I46" s="133" t="s">
        <v>4981</v>
      </c>
      <c r="J46" s="133" t="s">
        <v>4982</v>
      </c>
      <c r="K46" s="133">
        <v>2091.7399999999998</v>
      </c>
      <c r="L46" s="133">
        <v>188.26</v>
      </c>
      <c r="M46" s="133">
        <v>188.26</v>
      </c>
      <c r="N46" s="133" t="s">
        <v>4280</v>
      </c>
      <c r="O46" s="133" t="s">
        <v>4871</v>
      </c>
      <c r="P46" s="133" t="s">
        <v>4281</v>
      </c>
      <c r="Q46" s="133" t="s">
        <v>4872</v>
      </c>
      <c r="R46" s="133" t="s">
        <v>4281</v>
      </c>
      <c r="S46" s="133" t="s">
        <v>4873</v>
      </c>
    </row>
    <row r="47" spans="1:19">
      <c r="A47" s="133" t="s">
        <v>4524</v>
      </c>
      <c r="B47" s="133" t="s">
        <v>4866</v>
      </c>
      <c r="C47" s="133" t="s">
        <v>4279</v>
      </c>
      <c r="D47" s="133" t="s">
        <v>1013</v>
      </c>
      <c r="E47" s="133" t="s">
        <v>3348</v>
      </c>
      <c r="H47" s="133" t="s">
        <v>4985</v>
      </c>
      <c r="I47" s="133" t="s">
        <v>4986</v>
      </c>
      <c r="J47" s="133" t="s">
        <v>4987</v>
      </c>
      <c r="K47" s="133">
        <v>19339.62</v>
      </c>
      <c r="L47" s="133">
        <v>1160.3800000000001</v>
      </c>
      <c r="M47" s="133">
        <v>1160.3800000000001</v>
      </c>
      <c r="N47" s="133" t="s">
        <v>4280</v>
      </c>
      <c r="O47" s="133" t="s">
        <v>4871</v>
      </c>
      <c r="P47" s="133" t="s">
        <v>4281</v>
      </c>
      <c r="Q47" s="133" t="s">
        <v>4872</v>
      </c>
      <c r="R47" s="133" t="s">
        <v>4281</v>
      </c>
      <c r="S47" s="133" t="s">
        <v>4873</v>
      </c>
    </row>
    <row r="48" spans="1:19">
      <c r="A48" s="133" t="s">
        <v>4528</v>
      </c>
      <c r="B48" s="133" t="s">
        <v>4866</v>
      </c>
      <c r="C48" s="133" t="s">
        <v>4279</v>
      </c>
      <c r="D48" s="133" t="s">
        <v>1013</v>
      </c>
      <c r="E48" s="133" t="s">
        <v>4988</v>
      </c>
      <c r="H48" s="133" t="s">
        <v>4989</v>
      </c>
      <c r="I48" s="133" t="s">
        <v>4986</v>
      </c>
      <c r="J48" s="133" t="s">
        <v>4987</v>
      </c>
      <c r="K48" s="133">
        <v>7075.47</v>
      </c>
      <c r="L48" s="133">
        <v>424.53</v>
      </c>
      <c r="M48" s="133">
        <v>424.53</v>
      </c>
      <c r="N48" s="133" t="s">
        <v>4280</v>
      </c>
      <c r="O48" s="133" t="s">
        <v>4871</v>
      </c>
      <c r="P48" s="133" t="s">
        <v>4281</v>
      </c>
      <c r="Q48" s="133" t="s">
        <v>4872</v>
      </c>
      <c r="R48" s="133" t="s">
        <v>4281</v>
      </c>
      <c r="S48" s="133" t="s">
        <v>4873</v>
      </c>
    </row>
    <row r="49" spans="1:19">
      <c r="A49" s="133" t="s">
        <v>4534</v>
      </c>
      <c r="B49" s="133" t="s">
        <v>4866</v>
      </c>
      <c r="C49" s="133" t="s">
        <v>4279</v>
      </c>
      <c r="D49" s="133" t="s">
        <v>1013</v>
      </c>
      <c r="E49" s="133" t="s">
        <v>4990</v>
      </c>
      <c r="H49" s="133" t="s">
        <v>4991</v>
      </c>
      <c r="I49" s="133" t="s">
        <v>4986</v>
      </c>
      <c r="J49" s="133" t="s">
        <v>4987</v>
      </c>
      <c r="K49" s="133">
        <v>9433.9599999999991</v>
      </c>
      <c r="L49" s="133">
        <v>566.04</v>
      </c>
      <c r="M49" s="133">
        <v>566.04</v>
      </c>
      <c r="N49" s="133" t="s">
        <v>4280</v>
      </c>
      <c r="O49" s="133" t="s">
        <v>4871</v>
      </c>
      <c r="P49" s="133" t="s">
        <v>4281</v>
      </c>
      <c r="Q49" s="133" t="s">
        <v>4872</v>
      </c>
      <c r="R49" s="133" t="s">
        <v>4281</v>
      </c>
      <c r="S49" s="133" t="s">
        <v>4873</v>
      </c>
    </row>
    <row r="50" spans="1:19">
      <c r="A50" s="133" t="s">
        <v>4538</v>
      </c>
      <c r="B50" s="133" t="s">
        <v>4866</v>
      </c>
      <c r="C50" s="133" t="s">
        <v>4279</v>
      </c>
      <c r="D50" s="133" t="s">
        <v>1013</v>
      </c>
      <c r="E50" s="133" t="s">
        <v>4992</v>
      </c>
      <c r="H50" s="133" t="s">
        <v>4993</v>
      </c>
      <c r="I50" s="133" t="s">
        <v>4986</v>
      </c>
      <c r="J50" s="133" t="s">
        <v>4987</v>
      </c>
      <c r="K50" s="133">
        <v>7547.17</v>
      </c>
      <c r="L50" s="133">
        <v>452.83</v>
      </c>
      <c r="M50" s="133">
        <v>452.83</v>
      </c>
      <c r="N50" s="133" t="s">
        <v>4280</v>
      </c>
      <c r="O50" s="133" t="s">
        <v>4871</v>
      </c>
      <c r="P50" s="133" t="s">
        <v>4281</v>
      </c>
      <c r="Q50" s="133" t="s">
        <v>4872</v>
      </c>
      <c r="R50" s="133" t="s">
        <v>4281</v>
      </c>
      <c r="S50" s="133" t="s">
        <v>4873</v>
      </c>
    </row>
    <row r="51" spans="1:19">
      <c r="A51" s="133" t="s">
        <v>4541</v>
      </c>
      <c r="B51" s="133" t="s">
        <v>4866</v>
      </c>
      <c r="C51" s="133" t="s">
        <v>4279</v>
      </c>
      <c r="D51" s="133" t="s">
        <v>1013</v>
      </c>
      <c r="E51" s="133" t="s">
        <v>4994</v>
      </c>
      <c r="H51" s="133" t="s">
        <v>4995</v>
      </c>
      <c r="I51" s="133" t="s">
        <v>4986</v>
      </c>
      <c r="J51" s="133" t="s">
        <v>4987</v>
      </c>
      <c r="K51" s="133">
        <v>6603.77</v>
      </c>
      <c r="L51" s="133">
        <v>396.23</v>
      </c>
      <c r="M51" s="133">
        <v>396.23</v>
      </c>
      <c r="N51" s="133" t="s">
        <v>4280</v>
      </c>
      <c r="O51" s="133" t="s">
        <v>4871</v>
      </c>
      <c r="P51" s="133" t="s">
        <v>4281</v>
      </c>
      <c r="Q51" s="133" t="s">
        <v>4872</v>
      </c>
      <c r="R51" s="133" t="s">
        <v>4281</v>
      </c>
      <c r="S51" s="133" t="s">
        <v>4873</v>
      </c>
    </row>
    <row r="52" spans="1:19">
      <c r="A52" s="133" t="s">
        <v>4544</v>
      </c>
      <c r="B52" s="133" t="s">
        <v>4866</v>
      </c>
      <c r="C52" s="133" t="s">
        <v>4279</v>
      </c>
      <c r="D52" s="133" t="s">
        <v>1013</v>
      </c>
      <c r="E52" s="133" t="s">
        <v>4996</v>
      </c>
      <c r="H52" s="133" t="s">
        <v>4997</v>
      </c>
      <c r="I52" s="133" t="s">
        <v>4998</v>
      </c>
      <c r="J52" s="133" t="s">
        <v>4999</v>
      </c>
      <c r="K52" s="133">
        <v>13240.65</v>
      </c>
      <c r="L52" s="133">
        <v>794.44</v>
      </c>
      <c r="M52" s="133">
        <v>794.44</v>
      </c>
      <c r="N52" s="133" t="s">
        <v>4280</v>
      </c>
      <c r="O52" s="133" t="s">
        <v>4871</v>
      </c>
      <c r="P52" s="133" t="s">
        <v>4281</v>
      </c>
      <c r="Q52" s="133" t="s">
        <v>4872</v>
      </c>
      <c r="R52" s="133" t="s">
        <v>4281</v>
      </c>
      <c r="S52" s="133" t="s">
        <v>4873</v>
      </c>
    </row>
    <row r="53" spans="1:19">
      <c r="A53" s="133" t="s">
        <v>4547</v>
      </c>
      <c r="B53" s="133" t="s">
        <v>4866</v>
      </c>
      <c r="C53" s="133" t="s">
        <v>4279</v>
      </c>
      <c r="D53" s="133" t="s">
        <v>1013</v>
      </c>
      <c r="E53" s="133" t="s">
        <v>5000</v>
      </c>
      <c r="H53" s="133" t="s">
        <v>5001</v>
      </c>
      <c r="I53" s="133" t="s">
        <v>5002</v>
      </c>
      <c r="J53" s="133" t="s">
        <v>5003</v>
      </c>
      <c r="K53" s="133">
        <v>43839.08</v>
      </c>
      <c r="L53" s="133">
        <v>5699.08</v>
      </c>
      <c r="M53" s="133">
        <v>5699.08</v>
      </c>
      <c r="N53" s="133" t="s">
        <v>4280</v>
      </c>
      <c r="O53" s="133" t="s">
        <v>4871</v>
      </c>
      <c r="P53" s="133" t="s">
        <v>4281</v>
      </c>
      <c r="Q53" s="133" t="s">
        <v>4872</v>
      </c>
      <c r="R53" s="133" t="s">
        <v>4281</v>
      </c>
      <c r="S53" s="133" t="s">
        <v>4873</v>
      </c>
    </row>
    <row r="54" spans="1:19">
      <c r="A54" s="133" t="s">
        <v>4550</v>
      </c>
      <c r="B54" s="133" t="s">
        <v>4866</v>
      </c>
      <c r="C54" s="133" t="s">
        <v>4279</v>
      </c>
      <c r="D54" s="133" t="s">
        <v>1013</v>
      </c>
      <c r="E54" s="133" t="s">
        <v>5004</v>
      </c>
      <c r="H54" s="133" t="s">
        <v>5005</v>
      </c>
      <c r="I54" s="133" t="s">
        <v>5006</v>
      </c>
      <c r="J54" s="133" t="s">
        <v>5007</v>
      </c>
      <c r="K54" s="133">
        <v>22960.35</v>
      </c>
      <c r="L54" s="133">
        <v>2984.85</v>
      </c>
      <c r="M54" s="133">
        <v>2984.85</v>
      </c>
      <c r="N54" s="133" t="s">
        <v>4280</v>
      </c>
      <c r="O54" s="133" t="s">
        <v>4871</v>
      </c>
      <c r="P54" s="133" t="s">
        <v>4281</v>
      </c>
      <c r="Q54" s="133" t="s">
        <v>4872</v>
      </c>
      <c r="R54" s="133" t="s">
        <v>4281</v>
      </c>
      <c r="S54" s="133" t="s">
        <v>4873</v>
      </c>
    </row>
    <row r="55" spans="1:19">
      <c r="A55" s="133" t="s">
        <v>4556</v>
      </c>
      <c r="B55" s="133" t="s">
        <v>4866</v>
      </c>
      <c r="C55" s="133" t="s">
        <v>4279</v>
      </c>
      <c r="D55" s="133" t="s">
        <v>1013</v>
      </c>
      <c r="E55" s="133" t="s">
        <v>5008</v>
      </c>
      <c r="H55" s="133" t="s">
        <v>5009</v>
      </c>
      <c r="I55" s="133" t="s">
        <v>5010</v>
      </c>
      <c r="J55" s="133" t="s">
        <v>5011</v>
      </c>
      <c r="K55" s="133">
        <v>1548.67</v>
      </c>
      <c r="L55" s="133">
        <v>201.33</v>
      </c>
      <c r="M55" s="133">
        <v>201.33</v>
      </c>
      <c r="N55" s="133" t="s">
        <v>4280</v>
      </c>
      <c r="O55" s="133" t="s">
        <v>4871</v>
      </c>
      <c r="P55" s="133" t="s">
        <v>4281</v>
      </c>
      <c r="Q55" s="133" t="s">
        <v>4872</v>
      </c>
      <c r="R55" s="133" t="s">
        <v>4281</v>
      </c>
      <c r="S55" s="133" t="s">
        <v>4873</v>
      </c>
    </row>
    <row r="56" spans="1:19">
      <c r="A56" s="133" t="s">
        <v>4560</v>
      </c>
      <c r="B56" s="133" t="s">
        <v>4866</v>
      </c>
      <c r="C56" s="133" t="s">
        <v>4279</v>
      </c>
      <c r="D56" s="133" t="s">
        <v>1013</v>
      </c>
      <c r="E56" s="133" t="s">
        <v>5012</v>
      </c>
      <c r="H56" s="133" t="s">
        <v>5013</v>
      </c>
      <c r="I56" s="133" t="s">
        <v>5010</v>
      </c>
      <c r="J56" s="133" t="s">
        <v>5011</v>
      </c>
      <c r="K56" s="133">
        <v>1548.67</v>
      </c>
      <c r="L56" s="133">
        <v>201.33</v>
      </c>
      <c r="M56" s="133">
        <v>201.33</v>
      </c>
      <c r="N56" s="133" t="s">
        <v>4280</v>
      </c>
      <c r="O56" s="133" t="s">
        <v>4871</v>
      </c>
      <c r="P56" s="133" t="s">
        <v>4281</v>
      </c>
      <c r="Q56" s="133" t="s">
        <v>4872</v>
      </c>
      <c r="R56" s="133" t="s">
        <v>4281</v>
      </c>
      <c r="S56" s="133" t="s">
        <v>4873</v>
      </c>
    </row>
    <row r="57" spans="1:19">
      <c r="A57" s="133" t="s">
        <v>4567</v>
      </c>
      <c r="B57" s="133" t="s">
        <v>4866</v>
      </c>
      <c r="C57" s="133" t="s">
        <v>4279</v>
      </c>
      <c r="D57" s="133" t="s">
        <v>1013</v>
      </c>
      <c r="E57" s="133" t="s">
        <v>5014</v>
      </c>
      <c r="H57" s="133" t="s">
        <v>5015</v>
      </c>
      <c r="I57" s="133" t="s">
        <v>5010</v>
      </c>
      <c r="J57" s="133" t="s">
        <v>5011</v>
      </c>
      <c r="K57" s="133">
        <v>1548.67</v>
      </c>
      <c r="L57" s="133">
        <v>201.33</v>
      </c>
      <c r="M57" s="133">
        <v>201.33</v>
      </c>
      <c r="N57" s="133" t="s">
        <v>4280</v>
      </c>
      <c r="O57" s="133" t="s">
        <v>4871</v>
      </c>
      <c r="P57" s="133" t="s">
        <v>4281</v>
      </c>
      <c r="Q57" s="133" t="s">
        <v>4872</v>
      </c>
      <c r="R57" s="133" t="s">
        <v>4281</v>
      </c>
      <c r="S57" s="133" t="s">
        <v>4873</v>
      </c>
    </row>
    <row r="58" spans="1:19">
      <c r="A58" s="133" t="s">
        <v>4571</v>
      </c>
      <c r="B58" s="133" t="s">
        <v>4866</v>
      </c>
      <c r="C58" s="133" t="s">
        <v>4279</v>
      </c>
      <c r="D58" s="133" t="s">
        <v>1013</v>
      </c>
      <c r="E58" s="133" t="s">
        <v>5016</v>
      </c>
      <c r="H58" s="133" t="s">
        <v>5017</v>
      </c>
      <c r="I58" s="133" t="s">
        <v>5010</v>
      </c>
      <c r="J58" s="133" t="s">
        <v>5011</v>
      </c>
      <c r="K58" s="133">
        <v>1548.67</v>
      </c>
      <c r="L58" s="133">
        <v>201.33</v>
      </c>
      <c r="M58" s="133">
        <v>201.33</v>
      </c>
      <c r="N58" s="133" t="s">
        <v>4280</v>
      </c>
      <c r="O58" s="133" t="s">
        <v>4871</v>
      </c>
      <c r="P58" s="133" t="s">
        <v>4281</v>
      </c>
      <c r="Q58" s="133" t="s">
        <v>4872</v>
      </c>
      <c r="R58" s="133" t="s">
        <v>4281</v>
      </c>
      <c r="S58" s="133" t="s">
        <v>4873</v>
      </c>
    </row>
    <row r="59" spans="1:19">
      <c r="A59" s="133" t="s">
        <v>4574</v>
      </c>
      <c r="B59" s="133" t="s">
        <v>4866</v>
      </c>
      <c r="C59" s="133" t="s">
        <v>4279</v>
      </c>
      <c r="D59" s="133" t="s">
        <v>1013</v>
      </c>
      <c r="E59" s="133" t="s">
        <v>5018</v>
      </c>
      <c r="H59" s="133" t="s">
        <v>5019</v>
      </c>
      <c r="I59" s="133" t="s">
        <v>5020</v>
      </c>
      <c r="J59" s="133" t="s">
        <v>5021</v>
      </c>
      <c r="K59" s="133">
        <v>327698.08</v>
      </c>
      <c r="L59" s="133">
        <v>29492.83</v>
      </c>
      <c r="M59" s="133">
        <v>29492.83</v>
      </c>
      <c r="N59" s="133" t="s">
        <v>4280</v>
      </c>
      <c r="O59" s="133" t="s">
        <v>4871</v>
      </c>
      <c r="P59" s="133" t="s">
        <v>4281</v>
      </c>
      <c r="Q59" s="133" t="s">
        <v>4872</v>
      </c>
      <c r="R59" s="133" t="s">
        <v>4281</v>
      </c>
      <c r="S59" s="133" t="s">
        <v>4873</v>
      </c>
    </row>
    <row r="60" spans="1:19">
      <c r="A60" s="133" t="s">
        <v>4578</v>
      </c>
      <c r="B60" s="133" t="s">
        <v>4866</v>
      </c>
      <c r="C60" s="133" t="s">
        <v>4279</v>
      </c>
      <c r="D60" s="133" t="s">
        <v>1013</v>
      </c>
      <c r="E60" s="133" t="s">
        <v>5022</v>
      </c>
      <c r="H60" s="133" t="s">
        <v>5023</v>
      </c>
      <c r="I60" s="133" t="s">
        <v>5020</v>
      </c>
      <c r="J60" s="133" t="s">
        <v>5021</v>
      </c>
      <c r="K60" s="133">
        <v>56674.12</v>
      </c>
      <c r="L60" s="133">
        <v>5100.67</v>
      </c>
      <c r="M60" s="133">
        <v>5100.67</v>
      </c>
      <c r="N60" s="133" t="s">
        <v>4280</v>
      </c>
      <c r="O60" s="133" t="s">
        <v>4871</v>
      </c>
      <c r="P60" s="133" t="s">
        <v>4281</v>
      </c>
      <c r="Q60" s="133" t="s">
        <v>4872</v>
      </c>
      <c r="R60" s="133" t="s">
        <v>4281</v>
      </c>
      <c r="S60" s="133" t="s">
        <v>4873</v>
      </c>
    </row>
    <row r="61" spans="1:19">
      <c r="A61" s="133" t="s">
        <v>4584</v>
      </c>
      <c r="B61" s="133" t="s">
        <v>4866</v>
      </c>
      <c r="C61" s="133" t="s">
        <v>4279</v>
      </c>
      <c r="D61" s="133" t="s">
        <v>1013</v>
      </c>
      <c r="E61" s="133" t="s">
        <v>5024</v>
      </c>
      <c r="H61" s="133" t="s">
        <v>5025</v>
      </c>
      <c r="I61" s="133" t="s">
        <v>5020</v>
      </c>
      <c r="J61" s="133" t="s">
        <v>5021</v>
      </c>
      <c r="K61" s="133">
        <v>193376.49</v>
      </c>
      <c r="L61" s="133">
        <v>17403.88</v>
      </c>
      <c r="M61" s="133">
        <v>17403.88</v>
      </c>
      <c r="N61" s="133" t="s">
        <v>4280</v>
      </c>
      <c r="O61" s="133" t="s">
        <v>4871</v>
      </c>
      <c r="P61" s="133" t="s">
        <v>4281</v>
      </c>
      <c r="Q61" s="133" t="s">
        <v>4872</v>
      </c>
      <c r="R61" s="133" t="s">
        <v>4281</v>
      </c>
      <c r="S61" s="133" t="s">
        <v>4873</v>
      </c>
    </row>
    <row r="62" spans="1:19">
      <c r="A62" s="133" t="s">
        <v>4589</v>
      </c>
      <c r="B62" s="133" t="s">
        <v>4866</v>
      </c>
      <c r="C62" s="133" t="s">
        <v>4279</v>
      </c>
      <c r="D62" s="133" t="s">
        <v>1013</v>
      </c>
      <c r="E62" s="133" t="s">
        <v>5026</v>
      </c>
      <c r="H62" s="133" t="s">
        <v>5027</v>
      </c>
      <c r="I62" s="133" t="s">
        <v>5020</v>
      </c>
      <c r="J62" s="133" t="s">
        <v>5021</v>
      </c>
      <c r="K62" s="133">
        <v>799166.05</v>
      </c>
      <c r="L62" s="133">
        <v>71924.94</v>
      </c>
      <c r="M62" s="133">
        <v>71924.94</v>
      </c>
      <c r="N62" s="133" t="s">
        <v>4280</v>
      </c>
      <c r="O62" s="133" t="s">
        <v>4871</v>
      </c>
      <c r="P62" s="133" t="s">
        <v>4281</v>
      </c>
      <c r="Q62" s="133" t="s">
        <v>4872</v>
      </c>
      <c r="R62" s="133" t="s">
        <v>4281</v>
      </c>
      <c r="S62" s="133" t="s">
        <v>4873</v>
      </c>
    </row>
    <row r="63" spans="1:19">
      <c r="A63" s="133" t="s">
        <v>4592</v>
      </c>
      <c r="B63" s="133" t="s">
        <v>4866</v>
      </c>
      <c r="C63" s="133" t="s">
        <v>4279</v>
      </c>
      <c r="D63" s="133" t="s">
        <v>1013</v>
      </c>
      <c r="E63" s="133" t="s">
        <v>3332</v>
      </c>
      <c r="H63" s="133" t="s">
        <v>5028</v>
      </c>
      <c r="I63" s="133" t="s">
        <v>5029</v>
      </c>
      <c r="J63" s="133" t="s">
        <v>5030</v>
      </c>
      <c r="K63" s="133">
        <v>41669.9</v>
      </c>
      <c r="L63" s="133">
        <v>1250.0999999999999</v>
      </c>
      <c r="M63" s="133">
        <v>1250.0999999999999</v>
      </c>
      <c r="N63" s="133" t="s">
        <v>4280</v>
      </c>
      <c r="O63" s="133" t="s">
        <v>4871</v>
      </c>
      <c r="P63" s="133" t="s">
        <v>4281</v>
      </c>
      <c r="Q63" s="133" t="s">
        <v>4872</v>
      </c>
      <c r="R63" s="133" t="s">
        <v>4281</v>
      </c>
      <c r="S63" s="133" t="s">
        <v>4873</v>
      </c>
    </row>
    <row r="64" spans="1:19">
      <c r="A64" s="133" t="s">
        <v>4598</v>
      </c>
      <c r="B64" s="133" t="s">
        <v>4866</v>
      </c>
      <c r="C64" s="133" t="s">
        <v>4279</v>
      </c>
      <c r="D64" s="133" t="s">
        <v>1013</v>
      </c>
      <c r="E64" s="133" t="s">
        <v>5031</v>
      </c>
      <c r="H64" s="133" t="s">
        <v>5032</v>
      </c>
      <c r="I64" s="133" t="s">
        <v>5029</v>
      </c>
      <c r="J64" s="133" t="s">
        <v>5030</v>
      </c>
      <c r="K64" s="133">
        <v>7463494.6100000003</v>
      </c>
      <c r="L64" s="133">
        <v>671714.51</v>
      </c>
      <c r="M64" s="133">
        <v>671714.51</v>
      </c>
      <c r="N64" s="133" t="s">
        <v>4280</v>
      </c>
      <c r="O64" s="133" t="s">
        <v>4871</v>
      </c>
      <c r="P64" s="133" t="s">
        <v>4281</v>
      </c>
      <c r="Q64" s="133" t="s">
        <v>4872</v>
      </c>
      <c r="R64" s="133" t="s">
        <v>4281</v>
      </c>
      <c r="S64" s="133" t="s">
        <v>4873</v>
      </c>
    </row>
    <row r="65" spans="1:19">
      <c r="A65" s="133" t="s">
        <v>4602</v>
      </c>
      <c r="B65" s="133" t="s">
        <v>4866</v>
      </c>
      <c r="C65" s="133" t="s">
        <v>4279</v>
      </c>
      <c r="D65" s="133" t="s">
        <v>1013</v>
      </c>
      <c r="E65" s="133" t="s">
        <v>5033</v>
      </c>
      <c r="H65" s="133" t="s">
        <v>5034</v>
      </c>
      <c r="I65" s="133" t="s">
        <v>5029</v>
      </c>
      <c r="J65" s="133" t="s">
        <v>5030</v>
      </c>
      <c r="K65" s="133">
        <v>6299984.5700000003</v>
      </c>
      <c r="L65" s="133">
        <v>566998.61</v>
      </c>
      <c r="M65" s="133">
        <v>566998.61</v>
      </c>
      <c r="N65" s="133" t="s">
        <v>4280</v>
      </c>
      <c r="O65" s="133" t="s">
        <v>4871</v>
      </c>
      <c r="P65" s="133" t="s">
        <v>4281</v>
      </c>
      <c r="Q65" s="133" t="s">
        <v>4872</v>
      </c>
      <c r="R65" s="133" t="s">
        <v>4281</v>
      </c>
      <c r="S65" s="133" t="s">
        <v>4873</v>
      </c>
    </row>
    <row r="66" spans="1:19">
      <c r="A66" s="133" t="s">
        <v>4606</v>
      </c>
      <c r="B66" s="133" t="s">
        <v>4866</v>
      </c>
      <c r="C66" s="133" t="s">
        <v>4279</v>
      </c>
      <c r="D66" s="133" t="s">
        <v>1013</v>
      </c>
      <c r="E66" s="133" t="s">
        <v>2627</v>
      </c>
      <c r="H66" s="133" t="s">
        <v>5035</v>
      </c>
      <c r="I66" s="133" t="s">
        <v>5029</v>
      </c>
      <c r="J66" s="133" t="s">
        <v>5030</v>
      </c>
      <c r="K66" s="133">
        <v>97087.38</v>
      </c>
      <c r="L66" s="133">
        <v>2912.62</v>
      </c>
      <c r="M66" s="133">
        <v>2912.62</v>
      </c>
      <c r="N66" s="133" t="s">
        <v>4280</v>
      </c>
      <c r="O66" s="133" t="s">
        <v>4871</v>
      </c>
      <c r="P66" s="133" t="s">
        <v>4281</v>
      </c>
      <c r="Q66" s="133" t="s">
        <v>4872</v>
      </c>
      <c r="R66" s="133" t="s">
        <v>4281</v>
      </c>
      <c r="S66" s="133" t="s">
        <v>4873</v>
      </c>
    </row>
    <row r="67" spans="1:19">
      <c r="A67" s="133" t="s">
        <v>4611</v>
      </c>
      <c r="B67" s="133" t="s">
        <v>4866</v>
      </c>
      <c r="C67" s="133" t="s">
        <v>4279</v>
      </c>
      <c r="D67" s="133" t="s">
        <v>1013</v>
      </c>
      <c r="E67" s="133" t="s">
        <v>5036</v>
      </c>
      <c r="H67" s="133" t="s">
        <v>5037</v>
      </c>
      <c r="I67" s="133" t="s">
        <v>5038</v>
      </c>
      <c r="J67" s="133" t="s">
        <v>5039</v>
      </c>
      <c r="K67" s="133">
        <v>93654.61</v>
      </c>
      <c r="L67" s="133">
        <v>8428.91</v>
      </c>
      <c r="M67" s="133">
        <v>8428.91</v>
      </c>
      <c r="N67" s="133" t="s">
        <v>4280</v>
      </c>
      <c r="O67" s="133" t="s">
        <v>4871</v>
      </c>
      <c r="P67" s="133" t="s">
        <v>4281</v>
      </c>
      <c r="Q67" s="133" t="s">
        <v>4872</v>
      </c>
      <c r="R67" s="133" t="s">
        <v>4281</v>
      </c>
      <c r="S67" s="133" t="s">
        <v>4873</v>
      </c>
    </row>
    <row r="68" spans="1:19">
      <c r="A68" s="133" t="s">
        <v>4615</v>
      </c>
      <c r="B68" s="133" t="s">
        <v>4866</v>
      </c>
      <c r="C68" s="133" t="s">
        <v>4279</v>
      </c>
      <c r="D68" s="133" t="s">
        <v>1013</v>
      </c>
      <c r="E68" s="133" t="s">
        <v>5040</v>
      </c>
      <c r="H68" s="133" t="s">
        <v>5041</v>
      </c>
      <c r="I68" s="133" t="s">
        <v>5042</v>
      </c>
      <c r="J68" s="133" t="s">
        <v>5043</v>
      </c>
      <c r="K68" s="133">
        <v>238.61</v>
      </c>
      <c r="L68" s="133">
        <v>2.39</v>
      </c>
      <c r="M68" s="133">
        <v>2.39</v>
      </c>
      <c r="N68" s="133" t="s">
        <v>4280</v>
      </c>
      <c r="O68" s="133" t="s">
        <v>4871</v>
      </c>
      <c r="P68" s="133" t="s">
        <v>4281</v>
      </c>
      <c r="Q68" s="133" t="s">
        <v>4872</v>
      </c>
      <c r="R68" s="133" t="s">
        <v>4281</v>
      </c>
      <c r="S68" s="133" t="s">
        <v>4873</v>
      </c>
    </row>
    <row r="69" spans="1:19">
      <c r="A69" s="133" t="s">
        <v>4619</v>
      </c>
      <c r="B69" s="133" t="s">
        <v>4866</v>
      </c>
      <c r="C69" s="133" t="s">
        <v>4279</v>
      </c>
      <c r="D69" s="133" t="s">
        <v>1013</v>
      </c>
      <c r="E69" s="133" t="s">
        <v>3100</v>
      </c>
      <c r="H69" s="133" t="s">
        <v>5044</v>
      </c>
      <c r="I69" s="133" t="s">
        <v>5045</v>
      </c>
      <c r="J69" s="133" t="s">
        <v>5046</v>
      </c>
      <c r="K69" s="133">
        <v>49504.95</v>
      </c>
      <c r="L69" s="133">
        <v>495.05</v>
      </c>
      <c r="M69" s="133">
        <v>495.05</v>
      </c>
      <c r="N69" s="133" t="s">
        <v>4280</v>
      </c>
      <c r="O69" s="133" t="s">
        <v>4871</v>
      </c>
      <c r="P69" s="133" t="s">
        <v>4281</v>
      </c>
      <c r="Q69" s="133" t="s">
        <v>4872</v>
      </c>
      <c r="R69" s="133" t="s">
        <v>4281</v>
      </c>
      <c r="S69" s="133" t="s">
        <v>4873</v>
      </c>
    </row>
    <row r="70" spans="1:19">
      <c r="A70" s="133" t="s">
        <v>4623</v>
      </c>
      <c r="B70" s="133" t="s">
        <v>4866</v>
      </c>
      <c r="C70" s="133" t="s">
        <v>4279</v>
      </c>
      <c r="D70" s="133" t="s">
        <v>1013</v>
      </c>
      <c r="E70" s="133" t="s">
        <v>5047</v>
      </c>
      <c r="H70" s="133" t="s">
        <v>5048</v>
      </c>
      <c r="I70" s="133" t="s">
        <v>5049</v>
      </c>
      <c r="J70" s="133" t="s">
        <v>5050</v>
      </c>
      <c r="K70" s="133">
        <v>7493808.8399999999</v>
      </c>
      <c r="L70" s="133">
        <v>674442.8</v>
      </c>
      <c r="M70" s="133">
        <v>674442.8</v>
      </c>
      <c r="N70" s="133" t="s">
        <v>4280</v>
      </c>
      <c r="O70" s="133" t="s">
        <v>4871</v>
      </c>
      <c r="P70" s="133" t="s">
        <v>4281</v>
      </c>
      <c r="Q70" s="133" t="s">
        <v>4872</v>
      </c>
      <c r="R70" s="133" t="s">
        <v>4281</v>
      </c>
      <c r="S70" s="133" t="s">
        <v>4873</v>
      </c>
    </row>
    <row r="71" spans="1:19">
      <c r="A71" s="133" t="s">
        <v>4627</v>
      </c>
      <c r="B71" s="133" t="s">
        <v>4866</v>
      </c>
      <c r="C71" s="133" t="s">
        <v>4279</v>
      </c>
      <c r="D71" s="133" t="s">
        <v>1013</v>
      </c>
      <c r="E71" s="133" t="s">
        <v>5051</v>
      </c>
      <c r="H71" s="133" t="s">
        <v>5052</v>
      </c>
      <c r="I71" s="133" t="s">
        <v>5049</v>
      </c>
      <c r="J71" s="133" t="s">
        <v>5050</v>
      </c>
      <c r="K71" s="133">
        <v>4456390.5199999996</v>
      </c>
      <c r="L71" s="133">
        <v>401075.15</v>
      </c>
      <c r="M71" s="133">
        <v>401075.15</v>
      </c>
      <c r="N71" s="133" t="s">
        <v>4280</v>
      </c>
      <c r="O71" s="133" t="s">
        <v>4871</v>
      </c>
      <c r="P71" s="133" t="s">
        <v>4281</v>
      </c>
      <c r="Q71" s="133" t="s">
        <v>4872</v>
      </c>
      <c r="R71" s="133" t="s">
        <v>4281</v>
      </c>
      <c r="S71" s="133" t="s">
        <v>4873</v>
      </c>
    </row>
    <row r="72" spans="1:19">
      <c r="A72" s="133" t="s">
        <v>4632</v>
      </c>
      <c r="B72" s="133" t="s">
        <v>4866</v>
      </c>
      <c r="C72" s="133" t="s">
        <v>4279</v>
      </c>
      <c r="D72" s="133" t="s">
        <v>1013</v>
      </c>
      <c r="E72" s="133" t="s">
        <v>5053</v>
      </c>
      <c r="H72" s="133" t="s">
        <v>5054</v>
      </c>
      <c r="I72" s="133" t="s">
        <v>5049</v>
      </c>
      <c r="J72" s="133" t="s">
        <v>5050</v>
      </c>
      <c r="K72" s="133">
        <v>4933085.79</v>
      </c>
      <c r="L72" s="133">
        <v>443977.72</v>
      </c>
      <c r="M72" s="133">
        <v>443977.72</v>
      </c>
      <c r="N72" s="133" t="s">
        <v>4280</v>
      </c>
      <c r="O72" s="133" t="s">
        <v>4871</v>
      </c>
      <c r="P72" s="133" t="s">
        <v>4281</v>
      </c>
      <c r="Q72" s="133" t="s">
        <v>4872</v>
      </c>
      <c r="R72" s="133" t="s">
        <v>4281</v>
      </c>
      <c r="S72" s="133" t="s">
        <v>4873</v>
      </c>
    </row>
    <row r="73" spans="1:19">
      <c r="A73" s="133" t="s">
        <v>4637</v>
      </c>
      <c r="B73" s="133" t="s">
        <v>4866</v>
      </c>
      <c r="C73" s="133" t="s">
        <v>4279</v>
      </c>
      <c r="D73" s="133" t="s">
        <v>1013</v>
      </c>
      <c r="E73" s="133" t="s">
        <v>5055</v>
      </c>
      <c r="H73" s="133" t="s">
        <v>5056</v>
      </c>
      <c r="I73" s="133" t="s">
        <v>5049</v>
      </c>
      <c r="J73" s="133" t="s">
        <v>5050</v>
      </c>
      <c r="K73" s="133">
        <v>4522422.0999999996</v>
      </c>
      <c r="L73" s="133">
        <v>407017.99</v>
      </c>
      <c r="M73" s="133">
        <v>407017.99</v>
      </c>
      <c r="N73" s="133" t="s">
        <v>4280</v>
      </c>
      <c r="O73" s="133" t="s">
        <v>4871</v>
      </c>
      <c r="P73" s="133" t="s">
        <v>4281</v>
      </c>
      <c r="Q73" s="133" t="s">
        <v>4872</v>
      </c>
      <c r="R73" s="133" t="s">
        <v>4281</v>
      </c>
      <c r="S73" s="133" t="s">
        <v>4873</v>
      </c>
    </row>
    <row r="74" spans="1:19">
      <c r="A74" s="133" t="s">
        <v>4641</v>
      </c>
      <c r="B74" s="133" t="s">
        <v>4866</v>
      </c>
      <c r="C74" s="133" t="s">
        <v>4279</v>
      </c>
      <c r="D74" s="133" t="s">
        <v>1013</v>
      </c>
      <c r="E74" s="133" t="s">
        <v>5057</v>
      </c>
      <c r="H74" s="133" t="s">
        <v>5058</v>
      </c>
      <c r="I74" s="133" t="s">
        <v>5049</v>
      </c>
      <c r="J74" s="133" t="s">
        <v>5050</v>
      </c>
      <c r="K74" s="133">
        <v>3559353.42</v>
      </c>
      <c r="L74" s="133">
        <v>320341.81</v>
      </c>
      <c r="M74" s="133">
        <v>320341.81</v>
      </c>
      <c r="N74" s="133" t="s">
        <v>4280</v>
      </c>
      <c r="O74" s="133" t="s">
        <v>4871</v>
      </c>
      <c r="P74" s="133" t="s">
        <v>4281</v>
      </c>
      <c r="Q74" s="133" t="s">
        <v>4872</v>
      </c>
      <c r="R74" s="133" t="s">
        <v>4281</v>
      </c>
      <c r="S74" s="133" t="s">
        <v>4873</v>
      </c>
    </row>
    <row r="75" spans="1:19">
      <c r="A75" s="133" t="s">
        <v>4646</v>
      </c>
      <c r="B75" s="133" t="s">
        <v>4866</v>
      </c>
      <c r="C75" s="133" t="s">
        <v>4279</v>
      </c>
      <c r="D75" s="133" t="s">
        <v>1013</v>
      </c>
      <c r="E75" s="133" t="s">
        <v>3540</v>
      </c>
      <c r="H75" s="133" t="s">
        <v>5059</v>
      </c>
      <c r="I75" s="133" t="s">
        <v>5060</v>
      </c>
      <c r="J75" s="133" t="s">
        <v>5061</v>
      </c>
      <c r="K75" s="133">
        <v>40600</v>
      </c>
      <c r="L75" s="133">
        <v>1218</v>
      </c>
      <c r="M75" s="133">
        <v>1218</v>
      </c>
      <c r="N75" s="133" t="s">
        <v>4280</v>
      </c>
      <c r="O75" s="133" t="s">
        <v>4871</v>
      </c>
      <c r="P75" s="133" t="s">
        <v>4281</v>
      </c>
      <c r="Q75" s="133" t="s">
        <v>4872</v>
      </c>
      <c r="R75" s="133" t="s">
        <v>4281</v>
      </c>
      <c r="S75" s="133" t="s">
        <v>4873</v>
      </c>
    </row>
    <row r="76" spans="1:19">
      <c r="A76" s="133" t="s">
        <v>4650</v>
      </c>
      <c r="B76" s="133" t="s">
        <v>4866</v>
      </c>
      <c r="C76" s="133" t="s">
        <v>4279</v>
      </c>
      <c r="D76" s="133" t="s">
        <v>1013</v>
      </c>
      <c r="E76" s="133" t="s">
        <v>2520</v>
      </c>
      <c r="H76" s="133" t="s">
        <v>5062</v>
      </c>
      <c r="I76" s="133" t="s">
        <v>5060</v>
      </c>
      <c r="J76" s="133" t="s">
        <v>5061</v>
      </c>
      <c r="K76" s="133">
        <v>90291.26</v>
      </c>
      <c r="L76" s="133">
        <v>2708.74</v>
      </c>
      <c r="M76" s="133">
        <v>2708.74</v>
      </c>
      <c r="N76" s="133" t="s">
        <v>4280</v>
      </c>
      <c r="O76" s="133" t="s">
        <v>4871</v>
      </c>
      <c r="P76" s="133" t="s">
        <v>4281</v>
      </c>
      <c r="Q76" s="133" t="s">
        <v>4872</v>
      </c>
      <c r="R76" s="133" t="s">
        <v>4281</v>
      </c>
      <c r="S76" s="133" t="s">
        <v>4873</v>
      </c>
    </row>
    <row r="77" spans="1:19">
      <c r="A77" s="133" t="s">
        <v>4654</v>
      </c>
      <c r="B77" s="133" t="s">
        <v>4866</v>
      </c>
      <c r="C77" s="133" t="s">
        <v>4279</v>
      </c>
      <c r="D77" s="133" t="s">
        <v>1013</v>
      </c>
      <c r="E77" s="133" t="s">
        <v>2516</v>
      </c>
      <c r="H77" s="133" t="s">
        <v>5063</v>
      </c>
      <c r="I77" s="133" t="s">
        <v>5060</v>
      </c>
      <c r="J77" s="133" t="s">
        <v>5061</v>
      </c>
      <c r="K77" s="133">
        <v>108349.51</v>
      </c>
      <c r="L77" s="133">
        <v>3250.49</v>
      </c>
      <c r="M77" s="133">
        <v>3250.49</v>
      </c>
      <c r="N77" s="133" t="s">
        <v>4280</v>
      </c>
      <c r="O77" s="133" t="s">
        <v>4871</v>
      </c>
      <c r="P77" s="133" t="s">
        <v>4281</v>
      </c>
      <c r="Q77" s="133" t="s">
        <v>4872</v>
      </c>
      <c r="R77" s="133" t="s">
        <v>4281</v>
      </c>
      <c r="S77" s="133" t="s">
        <v>4873</v>
      </c>
    </row>
    <row r="78" spans="1:19">
      <c r="A78" s="133" t="s">
        <v>4658</v>
      </c>
      <c r="B78" s="133" t="s">
        <v>4866</v>
      </c>
      <c r="C78" s="133" t="s">
        <v>4279</v>
      </c>
      <c r="D78" s="133" t="s">
        <v>1013</v>
      </c>
      <c r="E78" s="133" t="s">
        <v>2524</v>
      </c>
      <c r="H78" s="133" t="s">
        <v>5064</v>
      </c>
      <c r="I78" s="133" t="s">
        <v>5060</v>
      </c>
      <c r="J78" s="133" t="s">
        <v>5061</v>
      </c>
      <c r="K78" s="133">
        <v>117740</v>
      </c>
      <c r="L78" s="133">
        <v>3532.2</v>
      </c>
      <c r="M78" s="133">
        <v>3532.2</v>
      </c>
      <c r="N78" s="133" t="s">
        <v>4280</v>
      </c>
      <c r="O78" s="133" t="s">
        <v>4871</v>
      </c>
      <c r="P78" s="133" t="s">
        <v>4281</v>
      </c>
      <c r="Q78" s="133" t="s">
        <v>4872</v>
      </c>
      <c r="R78" s="133" t="s">
        <v>4281</v>
      </c>
      <c r="S78" s="133" t="s">
        <v>4873</v>
      </c>
    </row>
    <row r="79" spans="1:19">
      <c r="A79" s="133" t="s">
        <v>4662</v>
      </c>
      <c r="B79" s="133" t="s">
        <v>4866</v>
      </c>
      <c r="C79" s="133" t="s">
        <v>4279</v>
      </c>
      <c r="D79" s="133" t="s">
        <v>1013</v>
      </c>
      <c r="E79" s="133" t="s">
        <v>3807</v>
      </c>
      <c r="H79" s="133" t="s">
        <v>5065</v>
      </c>
      <c r="I79" s="133" t="s">
        <v>5066</v>
      </c>
      <c r="J79" s="133" t="s">
        <v>5067</v>
      </c>
      <c r="K79" s="133">
        <v>757477.06</v>
      </c>
      <c r="L79" s="133">
        <v>68172.94</v>
      </c>
      <c r="M79" s="133">
        <v>68172.94</v>
      </c>
      <c r="N79" s="133" t="s">
        <v>4280</v>
      </c>
      <c r="O79" s="133" t="s">
        <v>4871</v>
      </c>
      <c r="P79" s="133" t="s">
        <v>4281</v>
      </c>
      <c r="Q79" s="133" t="s">
        <v>4872</v>
      </c>
      <c r="R79" s="133" t="s">
        <v>4281</v>
      </c>
      <c r="S79" s="133" t="s">
        <v>4873</v>
      </c>
    </row>
    <row r="80" spans="1:19">
      <c r="A80" s="133" t="s">
        <v>4666</v>
      </c>
      <c r="B80" s="133" t="s">
        <v>4866</v>
      </c>
      <c r="C80" s="133" t="s">
        <v>4279</v>
      </c>
      <c r="D80" s="133" t="s">
        <v>1013</v>
      </c>
      <c r="E80" s="133" t="s">
        <v>5068</v>
      </c>
      <c r="H80" s="133" t="s">
        <v>5069</v>
      </c>
      <c r="I80" s="133" t="s">
        <v>5070</v>
      </c>
      <c r="J80" s="133" t="s">
        <v>5071</v>
      </c>
      <c r="K80" s="133">
        <v>150943.4</v>
      </c>
      <c r="L80" s="133">
        <v>9056.6</v>
      </c>
      <c r="M80" s="133">
        <v>9056.6</v>
      </c>
      <c r="N80" s="133" t="s">
        <v>4280</v>
      </c>
      <c r="O80" s="133" t="s">
        <v>4871</v>
      </c>
      <c r="P80" s="133" t="s">
        <v>4281</v>
      </c>
      <c r="Q80" s="133" t="s">
        <v>4872</v>
      </c>
      <c r="R80" s="133" t="s">
        <v>4281</v>
      </c>
      <c r="S80" s="133" t="s">
        <v>4873</v>
      </c>
    </row>
    <row r="81" spans="1:19">
      <c r="A81" s="133" t="s">
        <v>4670</v>
      </c>
      <c r="B81" s="133" t="s">
        <v>4866</v>
      </c>
      <c r="C81" s="133" t="s">
        <v>4279</v>
      </c>
      <c r="D81" s="133" t="s">
        <v>1013</v>
      </c>
      <c r="E81" s="133" t="s">
        <v>5072</v>
      </c>
      <c r="H81" s="133" t="s">
        <v>5073</v>
      </c>
      <c r="I81" s="133" t="s">
        <v>5070</v>
      </c>
      <c r="J81" s="133" t="s">
        <v>5071</v>
      </c>
      <c r="K81" s="133">
        <v>132075.47</v>
      </c>
      <c r="L81" s="133">
        <v>7924.53</v>
      </c>
      <c r="M81" s="133">
        <v>7924.53</v>
      </c>
      <c r="N81" s="133" t="s">
        <v>4280</v>
      </c>
      <c r="O81" s="133" t="s">
        <v>4871</v>
      </c>
      <c r="P81" s="133" t="s">
        <v>4281</v>
      </c>
      <c r="Q81" s="133" t="s">
        <v>4872</v>
      </c>
      <c r="R81" s="133" t="s">
        <v>4281</v>
      </c>
      <c r="S81" s="133" t="s">
        <v>4873</v>
      </c>
    </row>
    <row r="82" spans="1:19">
      <c r="A82" s="133" t="s">
        <v>4674</v>
      </c>
      <c r="B82" s="133" t="s">
        <v>4866</v>
      </c>
      <c r="C82" s="133" t="s">
        <v>4279</v>
      </c>
      <c r="D82" s="133" t="s">
        <v>1013</v>
      </c>
      <c r="E82" s="133" t="s">
        <v>3696</v>
      </c>
      <c r="H82" s="133" t="s">
        <v>5074</v>
      </c>
      <c r="I82" s="133" t="s">
        <v>5075</v>
      </c>
      <c r="J82" s="133" t="s">
        <v>5076</v>
      </c>
      <c r="K82" s="133">
        <v>507075.47</v>
      </c>
      <c r="L82" s="133">
        <v>30424.53</v>
      </c>
      <c r="M82" s="133">
        <v>30424.53</v>
      </c>
      <c r="N82" s="133" t="s">
        <v>4280</v>
      </c>
      <c r="O82" s="133" t="s">
        <v>4871</v>
      </c>
      <c r="P82" s="133" t="s">
        <v>4281</v>
      </c>
      <c r="Q82" s="133" t="s">
        <v>4872</v>
      </c>
      <c r="R82" s="133" t="s">
        <v>4281</v>
      </c>
      <c r="S82" s="133" t="s">
        <v>4873</v>
      </c>
    </row>
    <row r="83" spans="1:19">
      <c r="A83" s="133" t="s">
        <v>4678</v>
      </c>
      <c r="B83" s="133" t="s">
        <v>4866</v>
      </c>
      <c r="C83" s="133" t="s">
        <v>4279</v>
      </c>
      <c r="D83" s="133" t="s">
        <v>1013</v>
      </c>
      <c r="E83" s="133" t="s">
        <v>2698</v>
      </c>
      <c r="H83" s="133" t="s">
        <v>5077</v>
      </c>
      <c r="I83" s="133" t="s">
        <v>5078</v>
      </c>
      <c r="J83" s="133" t="s">
        <v>5079</v>
      </c>
      <c r="K83" s="133">
        <v>62504.85</v>
      </c>
      <c r="L83" s="133">
        <v>1875.15</v>
      </c>
      <c r="M83" s="133">
        <v>1875.15</v>
      </c>
      <c r="N83" s="133" t="s">
        <v>4280</v>
      </c>
      <c r="O83" s="133" t="s">
        <v>4871</v>
      </c>
      <c r="P83" s="133" t="s">
        <v>4281</v>
      </c>
      <c r="Q83" s="133" t="s">
        <v>4872</v>
      </c>
      <c r="R83" s="133" t="s">
        <v>4281</v>
      </c>
      <c r="S83" s="133" t="s">
        <v>4873</v>
      </c>
    </row>
    <row r="84" spans="1:19">
      <c r="A84" s="133" t="s">
        <v>4683</v>
      </c>
      <c r="B84" s="133" t="s">
        <v>4866</v>
      </c>
      <c r="C84" s="133" t="s">
        <v>4279</v>
      </c>
      <c r="D84" s="133" t="s">
        <v>1013</v>
      </c>
      <c r="E84" s="133" t="s">
        <v>2694</v>
      </c>
      <c r="H84" s="133" t="s">
        <v>5080</v>
      </c>
      <c r="I84" s="133" t="s">
        <v>5078</v>
      </c>
      <c r="J84" s="133" t="s">
        <v>5079</v>
      </c>
      <c r="K84" s="133">
        <v>93757.28</v>
      </c>
      <c r="L84" s="133">
        <v>2812.72</v>
      </c>
      <c r="M84" s="133">
        <v>2812.72</v>
      </c>
      <c r="N84" s="133" t="s">
        <v>4280</v>
      </c>
      <c r="O84" s="133" t="s">
        <v>4871</v>
      </c>
      <c r="P84" s="133" t="s">
        <v>4281</v>
      </c>
      <c r="Q84" s="133" t="s">
        <v>4872</v>
      </c>
      <c r="R84" s="133" t="s">
        <v>4281</v>
      </c>
      <c r="S84" s="133" t="s">
        <v>4873</v>
      </c>
    </row>
    <row r="85" spans="1:19">
      <c r="A85" s="133" t="s">
        <v>4687</v>
      </c>
      <c r="B85" s="133" t="s">
        <v>4866</v>
      </c>
      <c r="C85" s="133" t="s">
        <v>4279</v>
      </c>
      <c r="D85" s="133" t="s">
        <v>1013</v>
      </c>
      <c r="E85" s="133" t="s">
        <v>5081</v>
      </c>
      <c r="H85" s="133" t="s">
        <v>5082</v>
      </c>
      <c r="I85" s="133" t="s">
        <v>5083</v>
      </c>
      <c r="J85" s="133" t="s">
        <v>5084</v>
      </c>
      <c r="K85" s="133">
        <v>3110.46</v>
      </c>
      <c r="L85" s="133">
        <v>279.94</v>
      </c>
      <c r="M85" s="133">
        <v>279.94</v>
      </c>
      <c r="N85" s="133" t="s">
        <v>4280</v>
      </c>
      <c r="O85" s="133" t="s">
        <v>4871</v>
      </c>
      <c r="P85" s="133" t="s">
        <v>4281</v>
      </c>
      <c r="Q85" s="133" t="s">
        <v>4872</v>
      </c>
      <c r="R85" s="133" t="s">
        <v>4281</v>
      </c>
      <c r="S85" s="133" t="s">
        <v>4873</v>
      </c>
    </row>
    <row r="86" spans="1:19">
      <c r="A86" s="133" t="s">
        <v>4691</v>
      </c>
      <c r="B86" s="133" t="s">
        <v>4866</v>
      </c>
      <c r="C86" s="133" t="s">
        <v>4279</v>
      </c>
      <c r="D86" s="133" t="s">
        <v>1013</v>
      </c>
      <c r="E86" s="133" t="s">
        <v>5085</v>
      </c>
      <c r="H86" s="133" t="s">
        <v>5086</v>
      </c>
      <c r="I86" s="133" t="s">
        <v>5087</v>
      </c>
      <c r="J86" s="133" t="s">
        <v>5088</v>
      </c>
      <c r="K86" s="133">
        <v>9388695.3200000003</v>
      </c>
      <c r="L86" s="133">
        <v>844982.58</v>
      </c>
      <c r="M86" s="133">
        <v>844982.58</v>
      </c>
      <c r="N86" s="133" t="s">
        <v>4280</v>
      </c>
      <c r="O86" s="133" t="s">
        <v>4871</v>
      </c>
      <c r="P86" s="133" t="s">
        <v>4281</v>
      </c>
      <c r="Q86" s="133" t="s">
        <v>4872</v>
      </c>
      <c r="R86" s="133" t="s">
        <v>4281</v>
      </c>
      <c r="S86" s="133" t="s">
        <v>4873</v>
      </c>
    </row>
    <row r="87" spans="1:19">
      <c r="A87" s="133" t="s">
        <v>4696</v>
      </c>
      <c r="B87" s="133" t="s">
        <v>4866</v>
      </c>
      <c r="C87" s="133" t="s">
        <v>4279</v>
      </c>
      <c r="D87" s="133" t="s">
        <v>1013</v>
      </c>
      <c r="E87" s="133" t="s">
        <v>5089</v>
      </c>
      <c r="H87" s="133" t="s">
        <v>5090</v>
      </c>
      <c r="I87" s="133" t="s">
        <v>5091</v>
      </c>
      <c r="J87" s="133" t="s">
        <v>5092</v>
      </c>
      <c r="K87" s="133">
        <v>9433962.2599999998</v>
      </c>
      <c r="L87" s="133">
        <v>566037.74</v>
      </c>
      <c r="M87" s="133">
        <v>566037.74</v>
      </c>
      <c r="N87" s="133" t="s">
        <v>4280</v>
      </c>
      <c r="O87" s="133" t="s">
        <v>4871</v>
      </c>
      <c r="P87" s="133" t="s">
        <v>4281</v>
      </c>
      <c r="Q87" s="133" t="s">
        <v>4872</v>
      </c>
      <c r="R87" s="133" t="s">
        <v>4281</v>
      </c>
      <c r="S87" s="133" t="s">
        <v>4873</v>
      </c>
    </row>
    <row r="88" spans="1:19">
      <c r="A88" s="133" t="s">
        <v>4705</v>
      </c>
      <c r="B88" s="133" t="s">
        <v>4866</v>
      </c>
      <c r="C88" s="133" t="s">
        <v>4279</v>
      </c>
      <c r="D88" s="133" t="s">
        <v>1013</v>
      </c>
      <c r="E88" s="133" t="s">
        <v>5093</v>
      </c>
      <c r="H88" s="133" t="s">
        <v>5094</v>
      </c>
      <c r="I88" s="133" t="s">
        <v>5095</v>
      </c>
      <c r="J88" s="133" t="s">
        <v>5096</v>
      </c>
      <c r="K88" s="133">
        <v>9099266.0600000005</v>
      </c>
      <c r="L88" s="133">
        <v>818933.94</v>
      </c>
      <c r="M88" s="133">
        <v>818933.94</v>
      </c>
      <c r="N88" s="133" t="s">
        <v>4280</v>
      </c>
      <c r="O88" s="133" t="s">
        <v>4871</v>
      </c>
      <c r="P88" s="133" t="s">
        <v>4281</v>
      </c>
      <c r="Q88" s="133" t="s">
        <v>4872</v>
      </c>
      <c r="R88" s="133" t="s">
        <v>4281</v>
      </c>
      <c r="S88" s="133" t="s">
        <v>4873</v>
      </c>
    </row>
    <row r="89" spans="1:19">
      <c r="A89" s="133" t="s">
        <v>4709</v>
      </c>
      <c r="B89" s="133" t="s">
        <v>4866</v>
      </c>
      <c r="C89" s="133" t="s">
        <v>4279</v>
      </c>
      <c r="D89" s="133" t="s">
        <v>1013</v>
      </c>
      <c r="E89" s="133" t="s">
        <v>5097</v>
      </c>
      <c r="H89" s="133" t="s">
        <v>5098</v>
      </c>
      <c r="I89" s="133" t="s">
        <v>5099</v>
      </c>
      <c r="J89" s="133" t="s">
        <v>5100</v>
      </c>
      <c r="K89" s="133">
        <v>67.92</v>
      </c>
      <c r="L89" s="133">
        <v>4.08</v>
      </c>
      <c r="M89" s="133">
        <v>4.08</v>
      </c>
      <c r="N89" s="133" t="s">
        <v>4280</v>
      </c>
      <c r="O89" s="133" t="s">
        <v>4871</v>
      </c>
      <c r="P89" s="133" t="s">
        <v>4281</v>
      </c>
      <c r="Q89" s="133" t="s">
        <v>4872</v>
      </c>
      <c r="R89" s="133" t="s">
        <v>4281</v>
      </c>
      <c r="S89" s="133" t="s">
        <v>4873</v>
      </c>
    </row>
    <row r="90" spans="1:19">
      <c r="A90" s="133" t="s">
        <v>4718</v>
      </c>
      <c r="B90" s="133" t="s">
        <v>4866</v>
      </c>
      <c r="C90" s="133" t="s">
        <v>4279</v>
      </c>
      <c r="D90" s="133" t="s">
        <v>1013</v>
      </c>
      <c r="E90" s="133" t="s">
        <v>5101</v>
      </c>
      <c r="H90" s="133" t="s">
        <v>5102</v>
      </c>
      <c r="I90" s="133" t="s">
        <v>5103</v>
      </c>
      <c r="J90" s="133" t="s">
        <v>5104</v>
      </c>
      <c r="K90" s="133">
        <v>10642.2</v>
      </c>
      <c r="L90" s="133">
        <v>957.8</v>
      </c>
      <c r="M90" s="133">
        <v>957.8</v>
      </c>
      <c r="N90" s="133" t="s">
        <v>4280</v>
      </c>
      <c r="O90" s="133" t="s">
        <v>4871</v>
      </c>
      <c r="P90" s="133" t="s">
        <v>4281</v>
      </c>
      <c r="Q90" s="133" t="s">
        <v>4872</v>
      </c>
      <c r="R90" s="133" t="s">
        <v>4281</v>
      </c>
      <c r="S90" s="133" t="s">
        <v>4873</v>
      </c>
    </row>
    <row r="91" spans="1:19">
      <c r="A91" s="133" t="s">
        <v>4726</v>
      </c>
      <c r="B91" s="133" t="s">
        <v>4866</v>
      </c>
      <c r="C91" s="133" t="s">
        <v>4279</v>
      </c>
      <c r="D91" s="133" t="s">
        <v>1013</v>
      </c>
      <c r="E91" s="133" t="s">
        <v>5105</v>
      </c>
      <c r="H91" s="133" t="s">
        <v>5106</v>
      </c>
      <c r="I91" s="133" t="s">
        <v>5107</v>
      </c>
      <c r="J91" s="133" t="s">
        <v>5108</v>
      </c>
      <c r="K91" s="133">
        <v>9372.7099999999991</v>
      </c>
      <c r="L91" s="133">
        <v>1218.45</v>
      </c>
      <c r="M91" s="133">
        <v>1218.45</v>
      </c>
      <c r="N91" s="133" t="s">
        <v>4280</v>
      </c>
      <c r="O91" s="133" t="s">
        <v>4871</v>
      </c>
      <c r="P91" s="133" t="s">
        <v>4281</v>
      </c>
      <c r="Q91" s="133" t="s">
        <v>4872</v>
      </c>
      <c r="R91" s="133" t="s">
        <v>4281</v>
      </c>
      <c r="S91" s="133" t="s">
        <v>4873</v>
      </c>
    </row>
    <row r="92" spans="1:19">
      <c r="A92" s="133" t="s">
        <v>4731</v>
      </c>
      <c r="B92" s="133" t="s">
        <v>4866</v>
      </c>
      <c r="C92" s="133" t="s">
        <v>4279</v>
      </c>
      <c r="D92" s="133" t="s">
        <v>1013</v>
      </c>
      <c r="E92" s="133" t="s">
        <v>5109</v>
      </c>
      <c r="H92" s="133" t="s">
        <v>5110</v>
      </c>
      <c r="I92" s="133" t="s">
        <v>5111</v>
      </c>
      <c r="J92" s="133" t="s">
        <v>5112</v>
      </c>
      <c r="K92" s="133">
        <v>22234201.829999998</v>
      </c>
      <c r="L92" s="133">
        <v>2001078.17</v>
      </c>
      <c r="M92" s="133">
        <v>2001078.17</v>
      </c>
      <c r="N92" s="133" t="s">
        <v>4280</v>
      </c>
      <c r="O92" s="133" t="s">
        <v>4871</v>
      </c>
      <c r="P92" s="133" t="s">
        <v>4281</v>
      </c>
      <c r="Q92" s="133" t="s">
        <v>4872</v>
      </c>
      <c r="R92" s="133" t="s">
        <v>4281</v>
      </c>
      <c r="S92" s="133" t="s">
        <v>4873</v>
      </c>
    </row>
    <row r="93" spans="1:19">
      <c r="A93" s="133" t="s">
        <v>4735</v>
      </c>
      <c r="B93" s="133" t="s">
        <v>4866</v>
      </c>
      <c r="C93" s="133" t="s">
        <v>4279</v>
      </c>
      <c r="D93" s="133" t="s">
        <v>1013</v>
      </c>
      <c r="E93" s="133" t="s">
        <v>3516</v>
      </c>
      <c r="H93" s="133" t="s">
        <v>5113</v>
      </c>
      <c r="I93" s="133" t="s">
        <v>5114</v>
      </c>
      <c r="J93" s="133" t="s">
        <v>5115</v>
      </c>
      <c r="K93" s="133">
        <v>19358.68</v>
      </c>
      <c r="L93" s="133">
        <v>1161.52</v>
      </c>
      <c r="M93" s="133">
        <v>1161.52</v>
      </c>
      <c r="N93" s="133" t="s">
        <v>4280</v>
      </c>
      <c r="O93" s="133" t="s">
        <v>4871</v>
      </c>
      <c r="P93" s="133" t="s">
        <v>4281</v>
      </c>
      <c r="Q93" s="133" t="s">
        <v>4872</v>
      </c>
      <c r="R93" s="133" t="s">
        <v>4281</v>
      </c>
      <c r="S93" s="133" t="s">
        <v>4873</v>
      </c>
    </row>
    <row r="94" spans="1:19">
      <c r="A94" s="133" t="s">
        <v>4739</v>
      </c>
      <c r="B94" s="133" t="s">
        <v>4866</v>
      </c>
      <c r="C94" s="133" t="s">
        <v>4279</v>
      </c>
      <c r="D94" s="133" t="s">
        <v>1013</v>
      </c>
      <c r="E94" s="133" t="s">
        <v>3785</v>
      </c>
      <c r="H94" s="133" t="s">
        <v>5116</v>
      </c>
      <c r="I94" s="133" t="s">
        <v>5114</v>
      </c>
      <c r="J94" s="133" t="s">
        <v>5115</v>
      </c>
      <c r="K94" s="133">
        <v>9959.5</v>
      </c>
      <c r="L94" s="133">
        <v>597.57000000000005</v>
      </c>
      <c r="M94" s="133">
        <v>597.57000000000005</v>
      </c>
      <c r="N94" s="133" t="s">
        <v>4280</v>
      </c>
      <c r="O94" s="133" t="s">
        <v>4871</v>
      </c>
      <c r="P94" s="133" t="s">
        <v>4281</v>
      </c>
      <c r="Q94" s="133" t="s">
        <v>4872</v>
      </c>
      <c r="R94" s="133" t="s">
        <v>4281</v>
      </c>
      <c r="S94" s="133" t="s">
        <v>4873</v>
      </c>
    </row>
    <row r="95" spans="1:19">
      <c r="A95" s="133" t="s">
        <v>4743</v>
      </c>
      <c r="B95" s="133" t="s">
        <v>4866</v>
      </c>
      <c r="C95" s="133" t="s">
        <v>4279</v>
      </c>
      <c r="D95" s="133" t="s">
        <v>1013</v>
      </c>
      <c r="E95" s="133" t="s">
        <v>3773</v>
      </c>
      <c r="H95" s="133" t="s">
        <v>5117</v>
      </c>
      <c r="I95" s="133" t="s">
        <v>5114</v>
      </c>
      <c r="J95" s="133" t="s">
        <v>5115</v>
      </c>
      <c r="K95" s="133">
        <v>1923.21</v>
      </c>
      <c r="L95" s="133">
        <v>115.39</v>
      </c>
      <c r="M95" s="133">
        <v>115.39</v>
      </c>
      <c r="N95" s="133" t="s">
        <v>4280</v>
      </c>
      <c r="O95" s="133" t="s">
        <v>4871</v>
      </c>
      <c r="P95" s="133" t="s">
        <v>4281</v>
      </c>
      <c r="Q95" s="133" t="s">
        <v>4872</v>
      </c>
      <c r="R95" s="133" t="s">
        <v>4281</v>
      </c>
      <c r="S95" s="133" t="s">
        <v>4873</v>
      </c>
    </row>
    <row r="96" spans="1:19">
      <c r="A96" s="133" t="s">
        <v>4748</v>
      </c>
      <c r="B96" s="133" t="s">
        <v>4866</v>
      </c>
      <c r="C96" s="133" t="s">
        <v>4279</v>
      </c>
      <c r="D96" s="133" t="s">
        <v>1013</v>
      </c>
      <c r="E96" s="133" t="s">
        <v>3163</v>
      </c>
      <c r="H96" s="133" t="s">
        <v>5118</v>
      </c>
      <c r="I96" s="133" t="s">
        <v>5114</v>
      </c>
      <c r="J96" s="133" t="s">
        <v>5115</v>
      </c>
      <c r="K96" s="133">
        <v>1778.19</v>
      </c>
      <c r="L96" s="133">
        <v>106.69</v>
      </c>
      <c r="M96" s="133">
        <v>106.69</v>
      </c>
      <c r="N96" s="133" t="s">
        <v>4280</v>
      </c>
      <c r="O96" s="133" t="s">
        <v>4871</v>
      </c>
      <c r="P96" s="133" t="s">
        <v>4281</v>
      </c>
      <c r="Q96" s="133" t="s">
        <v>4872</v>
      </c>
      <c r="R96" s="133" t="s">
        <v>4281</v>
      </c>
      <c r="S96" s="133" t="s">
        <v>4873</v>
      </c>
    </row>
    <row r="97" spans="1:19">
      <c r="A97" s="133" t="s">
        <v>4753</v>
      </c>
      <c r="B97" s="133" t="s">
        <v>4866</v>
      </c>
      <c r="C97" s="133" t="s">
        <v>4279</v>
      </c>
      <c r="D97" s="133" t="s">
        <v>1013</v>
      </c>
      <c r="E97" s="133" t="s">
        <v>5119</v>
      </c>
      <c r="H97" s="133" t="s">
        <v>5120</v>
      </c>
      <c r="I97" s="133" t="s">
        <v>5121</v>
      </c>
      <c r="J97" s="133" t="s">
        <v>5122</v>
      </c>
      <c r="K97" s="133">
        <v>2444550.79</v>
      </c>
      <c r="L97" s="133">
        <v>317791.61</v>
      </c>
      <c r="M97" s="133">
        <v>317791.61</v>
      </c>
      <c r="N97" s="133" t="s">
        <v>4280</v>
      </c>
      <c r="O97" s="133" t="s">
        <v>4871</v>
      </c>
      <c r="P97" s="133" t="s">
        <v>4281</v>
      </c>
      <c r="Q97" s="133" t="s">
        <v>4872</v>
      </c>
      <c r="R97" s="133" t="s">
        <v>4281</v>
      </c>
      <c r="S97" s="133" t="s">
        <v>4873</v>
      </c>
    </row>
    <row r="98" spans="1:19">
      <c r="A98" s="133" t="s">
        <v>4757</v>
      </c>
      <c r="B98" s="133" t="s">
        <v>4866</v>
      </c>
      <c r="C98" s="133" t="s">
        <v>4279</v>
      </c>
      <c r="D98" s="133" t="s">
        <v>1013</v>
      </c>
      <c r="E98" s="133" t="s">
        <v>5123</v>
      </c>
      <c r="H98" s="133" t="s">
        <v>5124</v>
      </c>
      <c r="I98" s="133" t="s">
        <v>5121</v>
      </c>
      <c r="J98" s="133" t="s">
        <v>5122</v>
      </c>
      <c r="K98" s="133">
        <v>2278125.7400000002</v>
      </c>
      <c r="L98" s="133">
        <v>296156.34000000003</v>
      </c>
      <c r="M98" s="133">
        <v>296156.34000000003</v>
      </c>
      <c r="N98" s="133" t="s">
        <v>4280</v>
      </c>
      <c r="O98" s="133" t="s">
        <v>4871</v>
      </c>
      <c r="P98" s="133" t="s">
        <v>4281</v>
      </c>
      <c r="Q98" s="133" t="s">
        <v>4872</v>
      </c>
      <c r="R98" s="133" t="s">
        <v>4281</v>
      </c>
      <c r="S98" s="133" t="s">
        <v>4873</v>
      </c>
    </row>
    <row r="99" spans="1:19">
      <c r="A99" s="133" t="s">
        <v>4763</v>
      </c>
      <c r="B99" s="133" t="s">
        <v>4866</v>
      </c>
      <c r="C99" s="133" t="s">
        <v>4279</v>
      </c>
      <c r="D99" s="133" t="s">
        <v>1013</v>
      </c>
      <c r="E99" s="133" t="s">
        <v>5125</v>
      </c>
      <c r="H99" s="133" t="s">
        <v>5126</v>
      </c>
      <c r="I99" s="133" t="s">
        <v>5121</v>
      </c>
      <c r="J99" s="133" t="s">
        <v>5122</v>
      </c>
      <c r="K99" s="133">
        <v>640871.68000000005</v>
      </c>
      <c r="L99" s="133">
        <v>83313.320000000007</v>
      </c>
      <c r="M99" s="133">
        <v>83313.320000000007</v>
      </c>
      <c r="N99" s="133" t="s">
        <v>4280</v>
      </c>
      <c r="O99" s="133" t="s">
        <v>4871</v>
      </c>
      <c r="P99" s="133" t="s">
        <v>4281</v>
      </c>
      <c r="Q99" s="133" t="s">
        <v>4872</v>
      </c>
      <c r="R99" s="133" t="s">
        <v>4281</v>
      </c>
      <c r="S99" s="133" t="s">
        <v>4873</v>
      </c>
    </row>
    <row r="100" spans="1:19">
      <c r="A100" s="133" t="s">
        <v>4767</v>
      </c>
      <c r="B100" s="133" t="s">
        <v>4866</v>
      </c>
      <c r="C100" s="133" t="s">
        <v>4279</v>
      </c>
      <c r="D100" s="133" t="s">
        <v>1013</v>
      </c>
      <c r="E100" s="133" t="s">
        <v>5127</v>
      </c>
      <c r="H100" s="133" t="s">
        <v>5128</v>
      </c>
      <c r="I100" s="133" t="s">
        <v>5121</v>
      </c>
      <c r="J100" s="133" t="s">
        <v>5122</v>
      </c>
      <c r="K100" s="133">
        <v>428008.87</v>
      </c>
      <c r="L100" s="133">
        <v>55641.15</v>
      </c>
      <c r="M100" s="133">
        <v>55641.15</v>
      </c>
      <c r="N100" s="133" t="s">
        <v>4280</v>
      </c>
      <c r="O100" s="133" t="s">
        <v>4871</v>
      </c>
      <c r="P100" s="133" t="s">
        <v>4281</v>
      </c>
      <c r="Q100" s="133" t="s">
        <v>4872</v>
      </c>
      <c r="R100" s="133" t="s">
        <v>4281</v>
      </c>
      <c r="S100" s="133" t="s">
        <v>4873</v>
      </c>
    </row>
    <row r="101" spans="1:19">
      <c r="A101" s="133" t="s">
        <v>4771</v>
      </c>
      <c r="B101" s="133" t="s">
        <v>4866</v>
      </c>
      <c r="C101" s="133" t="s">
        <v>4279</v>
      </c>
      <c r="D101" s="133" t="s">
        <v>1013</v>
      </c>
      <c r="E101" s="133" t="s">
        <v>5129</v>
      </c>
      <c r="H101" s="133" t="s">
        <v>5130</v>
      </c>
      <c r="I101" s="133" t="s">
        <v>5121</v>
      </c>
      <c r="J101" s="133" t="s">
        <v>5122</v>
      </c>
      <c r="K101" s="133">
        <v>1499115.04</v>
      </c>
      <c r="L101" s="133">
        <v>194884.96</v>
      </c>
      <c r="M101" s="133">
        <v>194884.96</v>
      </c>
      <c r="N101" s="133" t="s">
        <v>4280</v>
      </c>
      <c r="O101" s="133" t="s">
        <v>4871</v>
      </c>
      <c r="P101" s="133" t="s">
        <v>4281</v>
      </c>
      <c r="Q101" s="133" t="s">
        <v>4872</v>
      </c>
      <c r="R101" s="133" t="s">
        <v>4281</v>
      </c>
      <c r="S101" s="133" t="s">
        <v>4873</v>
      </c>
    </row>
    <row r="102" spans="1:19">
      <c r="A102" s="133" t="s">
        <v>4775</v>
      </c>
      <c r="B102" s="133" t="s">
        <v>4866</v>
      </c>
      <c r="C102" s="133" t="s">
        <v>4279</v>
      </c>
      <c r="D102" s="133" t="s">
        <v>1013</v>
      </c>
      <c r="E102" s="133" t="s">
        <v>5131</v>
      </c>
      <c r="H102" s="133" t="s">
        <v>5132</v>
      </c>
      <c r="I102" s="133" t="s">
        <v>5121</v>
      </c>
      <c r="J102" s="133" t="s">
        <v>5122</v>
      </c>
      <c r="K102" s="133">
        <v>4122.57</v>
      </c>
      <c r="L102" s="133">
        <v>535.92999999999995</v>
      </c>
      <c r="M102" s="133">
        <v>535.92999999999995</v>
      </c>
      <c r="N102" s="133" t="s">
        <v>4280</v>
      </c>
      <c r="O102" s="133" t="s">
        <v>4871</v>
      </c>
      <c r="P102" s="133" t="s">
        <v>4281</v>
      </c>
      <c r="Q102" s="133" t="s">
        <v>4872</v>
      </c>
      <c r="R102" s="133" t="s">
        <v>4281</v>
      </c>
      <c r="S102" s="133" t="s">
        <v>4873</v>
      </c>
    </row>
    <row r="103" spans="1:19">
      <c r="A103" s="133" t="s">
        <v>4780</v>
      </c>
      <c r="B103" s="133" t="s">
        <v>4866</v>
      </c>
      <c r="C103" s="133" t="s">
        <v>4279</v>
      </c>
      <c r="D103" s="133" t="s">
        <v>1013</v>
      </c>
      <c r="E103" s="133" t="s">
        <v>5133</v>
      </c>
      <c r="H103" s="133" t="s">
        <v>5134</v>
      </c>
      <c r="I103" s="133" t="s">
        <v>5121</v>
      </c>
      <c r="J103" s="133" t="s">
        <v>5122</v>
      </c>
      <c r="K103" s="133">
        <v>487212.39</v>
      </c>
      <c r="L103" s="133">
        <v>63337.61</v>
      </c>
      <c r="M103" s="133">
        <v>63337.61</v>
      </c>
      <c r="N103" s="133" t="s">
        <v>4280</v>
      </c>
      <c r="O103" s="133" t="s">
        <v>4871</v>
      </c>
      <c r="P103" s="133" t="s">
        <v>4281</v>
      </c>
      <c r="Q103" s="133" t="s">
        <v>4872</v>
      </c>
      <c r="R103" s="133" t="s">
        <v>4281</v>
      </c>
      <c r="S103" s="133" t="s">
        <v>4873</v>
      </c>
    </row>
    <row r="104" spans="1:19">
      <c r="A104" s="133" t="s">
        <v>4784</v>
      </c>
      <c r="B104" s="133" t="s">
        <v>4866</v>
      </c>
      <c r="C104" s="133" t="s">
        <v>4279</v>
      </c>
      <c r="D104" s="133" t="s">
        <v>1013</v>
      </c>
      <c r="E104" s="133" t="s">
        <v>5135</v>
      </c>
      <c r="H104" s="133" t="s">
        <v>5136</v>
      </c>
      <c r="I104" s="133" t="s">
        <v>5121</v>
      </c>
      <c r="J104" s="133" t="s">
        <v>5122</v>
      </c>
      <c r="K104" s="133">
        <v>1311725.6599999999</v>
      </c>
      <c r="L104" s="133">
        <v>170524.34</v>
      </c>
      <c r="M104" s="133">
        <v>170524.34</v>
      </c>
      <c r="N104" s="133" t="s">
        <v>4280</v>
      </c>
      <c r="O104" s="133" t="s">
        <v>4871</v>
      </c>
      <c r="P104" s="133" t="s">
        <v>4281</v>
      </c>
      <c r="Q104" s="133" t="s">
        <v>4872</v>
      </c>
      <c r="R104" s="133" t="s">
        <v>4281</v>
      </c>
      <c r="S104" s="133" t="s">
        <v>4873</v>
      </c>
    </row>
    <row r="105" spans="1:19">
      <c r="A105" s="133" t="s">
        <v>4788</v>
      </c>
      <c r="B105" s="133" t="s">
        <v>4866</v>
      </c>
      <c r="C105" s="133" t="s">
        <v>4279</v>
      </c>
      <c r="D105" s="133" t="s">
        <v>1013</v>
      </c>
      <c r="E105" s="133" t="s">
        <v>3034</v>
      </c>
      <c r="H105" s="133" t="s">
        <v>5137</v>
      </c>
      <c r="I105" s="133" t="s">
        <v>5138</v>
      </c>
      <c r="J105" s="133" t="s">
        <v>5139</v>
      </c>
      <c r="K105" s="133">
        <v>48475.25</v>
      </c>
      <c r="L105" s="133">
        <v>484.75</v>
      </c>
      <c r="M105" s="133">
        <v>484.75</v>
      </c>
      <c r="N105" s="133" t="s">
        <v>4280</v>
      </c>
      <c r="O105" s="133" t="s">
        <v>4871</v>
      </c>
      <c r="P105" s="133" t="s">
        <v>4281</v>
      </c>
      <c r="Q105" s="133" t="s">
        <v>4872</v>
      </c>
      <c r="R105" s="133" t="s">
        <v>4281</v>
      </c>
      <c r="S105" s="133" t="s">
        <v>4873</v>
      </c>
    </row>
    <row r="106" spans="1:19">
      <c r="A106" s="133" t="s">
        <v>4792</v>
      </c>
      <c r="B106" s="133" t="s">
        <v>4866</v>
      </c>
      <c r="C106" s="133" t="s">
        <v>4279</v>
      </c>
      <c r="D106" s="133" t="s">
        <v>1013</v>
      </c>
      <c r="E106" s="133" t="s">
        <v>2903</v>
      </c>
      <c r="H106" s="133" t="s">
        <v>5140</v>
      </c>
      <c r="I106" s="133" t="s">
        <v>5138</v>
      </c>
      <c r="J106" s="133" t="s">
        <v>5139</v>
      </c>
      <c r="K106" s="133">
        <v>37918.42</v>
      </c>
      <c r="L106" s="133">
        <v>379.18</v>
      </c>
      <c r="M106" s="133">
        <v>379.18</v>
      </c>
      <c r="N106" s="133" t="s">
        <v>4280</v>
      </c>
      <c r="O106" s="133" t="s">
        <v>4871</v>
      </c>
      <c r="P106" s="133" t="s">
        <v>4281</v>
      </c>
      <c r="Q106" s="133" t="s">
        <v>4872</v>
      </c>
      <c r="R106" s="133" t="s">
        <v>4281</v>
      </c>
      <c r="S106" s="133" t="s">
        <v>4873</v>
      </c>
    </row>
    <row r="107" spans="1:19">
      <c r="A107" s="133" t="s">
        <v>4800</v>
      </c>
      <c r="B107" s="133" t="s">
        <v>4866</v>
      </c>
      <c r="C107" s="133" t="s">
        <v>4279</v>
      </c>
      <c r="D107" s="133" t="s">
        <v>1013</v>
      </c>
      <c r="E107" s="133" t="s">
        <v>3053</v>
      </c>
      <c r="H107" s="133" t="s">
        <v>5141</v>
      </c>
      <c r="I107" s="133" t="s">
        <v>5138</v>
      </c>
      <c r="J107" s="133" t="s">
        <v>5139</v>
      </c>
      <c r="K107" s="133">
        <v>30320.79</v>
      </c>
      <c r="L107" s="133">
        <v>303.20999999999998</v>
      </c>
      <c r="M107" s="133">
        <v>303.20999999999998</v>
      </c>
      <c r="N107" s="133" t="s">
        <v>4280</v>
      </c>
      <c r="O107" s="133" t="s">
        <v>4871</v>
      </c>
      <c r="P107" s="133" t="s">
        <v>4281</v>
      </c>
      <c r="Q107" s="133" t="s">
        <v>4872</v>
      </c>
      <c r="R107" s="133" t="s">
        <v>4281</v>
      </c>
      <c r="S107" s="133" t="s">
        <v>4873</v>
      </c>
    </row>
    <row r="108" spans="1:19">
      <c r="A108" s="133" t="s">
        <v>4810</v>
      </c>
      <c r="B108" s="133" t="s">
        <v>4866</v>
      </c>
      <c r="C108" s="133" t="s">
        <v>4279</v>
      </c>
      <c r="D108" s="133" t="s">
        <v>1013</v>
      </c>
      <c r="E108" s="133" t="s">
        <v>3057</v>
      </c>
      <c r="H108" s="133" t="s">
        <v>5142</v>
      </c>
      <c r="I108" s="133" t="s">
        <v>5138</v>
      </c>
      <c r="J108" s="133" t="s">
        <v>5139</v>
      </c>
      <c r="K108" s="133">
        <v>30320.79</v>
      </c>
      <c r="L108" s="133">
        <v>303.20999999999998</v>
      </c>
      <c r="M108" s="133">
        <v>303.20999999999998</v>
      </c>
      <c r="N108" s="133" t="s">
        <v>4280</v>
      </c>
      <c r="O108" s="133" t="s">
        <v>4871</v>
      </c>
      <c r="P108" s="133" t="s">
        <v>4281</v>
      </c>
      <c r="Q108" s="133" t="s">
        <v>4872</v>
      </c>
      <c r="R108" s="133" t="s">
        <v>4281</v>
      </c>
      <c r="S108" s="133" t="s">
        <v>4873</v>
      </c>
    </row>
    <row r="109" spans="1:19">
      <c r="A109" s="133" t="s">
        <v>5143</v>
      </c>
      <c r="B109" s="133" t="s">
        <v>4866</v>
      </c>
      <c r="C109" s="133" t="s">
        <v>4279</v>
      </c>
      <c r="D109" s="133" t="s">
        <v>1013</v>
      </c>
      <c r="E109" s="133" t="s">
        <v>2887</v>
      </c>
      <c r="H109" s="133" t="s">
        <v>5144</v>
      </c>
      <c r="I109" s="133" t="s">
        <v>5138</v>
      </c>
      <c r="J109" s="133" t="s">
        <v>5139</v>
      </c>
      <c r="K109" s="133">
        <v>33394.06</v>
      </c>
      <c r="L109" s="133">
        <v>333.94</v>
      </c>
      <c r="M109" s="133">
        <v>333.94</v>
      </c>
      <c r="N109" s="133" t="s">
        <v>4280</v>
      </c>
      <c r="O109" s="133" t="s">
        <v>4871</v>
      </c>
      <c r="P109" s="133" t="s">
        <v>4281</v>
      </c>
      <c r="Q109" s="133" t="s">
        <v>4872</v>
      </c>
      <c r="R109" s="133" t="s">
        <v>4281</v>
      </c>
      <c r="S109" s="133" t="s">
        <v>4873</v>
      </c>
    </row>
    <row r="110" spans="1:19">
      <c r="A110" s="133" t="s">
        <v>5145</v>
      </c>
      <c r="B110" s="133" t="s">
        <v>4866</v>
      </c>
      <c r="C110" s="133" t="s">
        <v>4279</v>
      </c>
      <c r="D110" s="133" t="s">
        <v>1013</v>
      </c>
      <c r="E110" s="133" t="s">
        <v>5146</v>
      </c>
      <c r="H110" s="133" t="s">
        <v>5147</v>
      </c>
      <c r="I110" s="133" t="s">
        <v>5148</v>
      </c>
      <c r="J110" s="133" t="s">
        <v>5149</v>
      </c>
      <c r="K110" s="133">
        <v>2165137.61</v>
      </c>
      <c r="L110" s="133">
        <v>194862.39</v>
      </c>
      <c r="M110" s="133">
        <v>194862.39</v>
      </c>
      <c r="N110" s="133" t="s">
        <v>4280</v>
      </c>
      <c r="O110" s="133" t="s">
        <v>4871</v>
      </c>
      <c r="P110" s="133" t="s">
        <v>4281</v>
      </c>
      <c r="Q110" s="133" t="s">
        <v>4872</v>
      </c>
      <c r="R110" s="133" t="s">
        <v>4281</v>
      </c>
      <c r="S110" s="133" t="s">
        <v>4873</v>
      </c>
    </row>
    <row r="111" spans="1:19">
      <c r="A111" s="133" t="s">
        <v>5150</v>
      </c>
      <c r="B111" s="133" t="s">
        <v>4866</v>
      </c>
      <c r="C111" s="133" t="s">
        <v>4279</v>
      </c>
      <c r="D111" s="133" t="s">
        <v>1013</v>
      </c>
      <c r="E111" s="133" t="s">
        <v>5151</v>
      </c>
      <c r="H111" s="133" t="s">
        <v>5152</v>
      </c>
      <c r="I111" s="133" t="s">
        <v>5153</v>
      </c>
      <c r="J111" s="133" t="s">
        <v>5154</v>
      </c>
      <c r="K111" s="133">
        <v>3532110.09</v>
      </c>
      <c r="L111" s="133">
        <v>317889.90999999997</v>
      </c>
      <c r="M111" s="133">
        <v>317889.90999999997</v>
      </c>
      <c r="N111" s="133" t="s">
        <v>4280</v>
      </c>
      <c r="O111" s="133" t="s">
        <v>4871</v>
      </c>
      <c r="P111" s="133" t="s">
        <v>4281</v>
      </c>
      <c r="Q111" s="133" t="s">
        <v>4872</v>
      </c>
      <c r="R111" s="133" t="s">
        <v>4281</v>
      </c>
      <c r="S111" s="133" t="s">
        <v>4873</v>
      </c>
    </row>
    <row r="112" spans="1:19">
      <c r="A112" s="133" t="s">
        <v>5155</v>
      </c>
      <c r="B112" s="133" t="s">
        <v>4866</v>
      </c>
      <c r="C112" s="133" t="s">
        <v>4279</v>
      </c>
      <c r="D112" s="133" t="s">
        <v>1013</v>
      </c>
      <c r="E112" s="133" t="s">
        <v>5156</v>
      </c>
      <c r="H112" s="133" t="s">
        <v>5157</v>
      </c>
      <c r="I112" s="133" t="s">
        <v>5153</v>
      </c>
      <c r="J112" s="133" t="s">
        <v>5154</v>
      </c>
      <c r="K112" s="133">
        <v>2872636.12</v>
      </c>
      <c r="L112" s="133">
        <v>258537.25</v>
      </c>
      <c r="M112" s="133">
        <v>258537.25</v>
      </c>
      <c r="N112" s="133" t="s">
        <v>4280</v>
      </c>
      <c r="O112" s="133" t="s">
        <v>4871</v>
      </c>
      <c r="P112" s="133" t="s">
        <v>4281</v>
      </c>
      <c r="Q112" s="133" t="s">
        <v>4872</v>
      </c>
      <c r="R112" s="133" t="s">
        <v>4281</v>
      </c>
      <c r="S112" s="133" t="s">
        <v>4873</v>
      </c>
    </row>
    <row r="113" spans="1:19">
      <c r="A113" s="133" t="s">
        <v>5158</v>
      </c>
      <c r="B113" s="133" t="s">
        <v>4866</v>
      </c>
      <c r="C113" s="133" t="s">
        <v>4279</v>
      </c>
      <c r="D113" s="133" t="s">
        <v>1013</v>
      </c>
      <c r="E113" s="133" t="s">
        <v>2657</v>
      </c>
      <c r="H113" s="133" t="s">
        <v>5159</v>
      </c>
      <c r="I113" s="133" t="s">
        <v>5153</v>
      </c>
      <c r="J113" s="133" t="s">
        <v>5154</v>
      </c>
      <c r="K113" s="133">
        <v>135436.89000000001</v>
      </c>
      <c r="L113" s="133">
        <v>4063.11</v>
      </c>
      <c r="M113" s="133">
        <v>4063.11</v>
      </c>
      <c r="N113" s="133" t="s">
        <v>4280</v>
      </c>
      <c r="O113" s="133" t="s">
        <v>4871</v>
      </c>
      <c r="P113" s="133" t="s">
        <v>4281</v>
      </c>
      <c r="Q113" s="133" t="s">
        <v>4872</v>
      </c>
      <c r="R113" s="133" t="s">
        <v>4281</v>
      </c>
      <c r="S113" s="133" t="s">
        <v>4873</v>
      </c>
    </row>
    <row r="114" spans="1:19">
      <c r="A114" s="133" t="s">
        <v>5160</v>
      </c>
      <c r="B114" s="133" t="s">
        <v>4866</v>
      </c>
      <c r="C114" s="133" t="s">
        <v>4279</v>
      </c>
      <c r="D114" s="133" t="s">
        <v>1013</v>
      </c>
      <c r="E114" s="133" t="s">
        <v>5161</v>
      </c>
      <c r="H114" s="133" t="s">
        <v>5162</v>
      </c>
      <c r="I114" s="133" t="s">
        <v>5163</v>
      </c>
      <c r="J114" s="133" t="s">
        <v>5164</v>
      </c>
      <c r="K114" s="133">
        <v>309.25</v>
      </c>
      <c r="L114" s="133">
        <v>18.55</v>
      </c>
      <c r="M114" s="133">
        <v>18.55</v>
      </c>
      <c r="N114" s="133" t="s">
        <v>4280</v>
      </c>
      <c r="O114" s="133" t="s">
        <v>4871</v>
      </c>
      <c r="P114" s="133" t="s">
        <v>4281</v>
      </c>
      <c r="Q114" s="133" t="s">
        <v>4872</v>
      </c>
      <c r="R114" s="133" t="s">
        <v>4281</v>
      </c>
      <c r="S114" s="133" t="s">
        <v>4873</v>
      </c>
    </row>
    <row r="115" spans="1:19">
      <c r="A115" s="133" t="s">
        <v>5165</v>
      </c>
      <c r="B115" s="133" t="s">
        <v>4866</v>
      </c>
      <c r="C115" s="133" t="s">
        <v>4279</v>
      </c>
      <c r="D115" s="133" t="s">
        <v>1013</v>
      </c>
      <c r="E115" s="133" t="s">
        <v>5166</v>
      </c>
      <c r="H115" s="133" t="s">
        <v>5167</v>
      </c>
      <c r="I115" s="133" t="s">
        <v>5168</v>
      </c>
      <c r="J115" s="133" t="s">
        <v>5169</v>
      </c>
      <c r="K115" s="133">
        <v>1306079.6399999999</v>
      </c>
      <c r="L115" s="133">
        <v>169790.35</v>
      </c>
      <c r="M115" s="133">
        <v>169790.35</v>
      </c>
      <c r="N115" s="133" t="s">
        <v>4280</v>
      </c>
      <c r="O115" s="133" t="s">
        <v>4871</v>
      </c>
      <c r="P115" s="133" t="s">
        <v>4281</v>
      </c>
      <c r="Q115" s="133" t="s">
        <v>4872</v>
      </c>
      <c r="R115" s="133" t="s">
        <v>4281</v>
      </c>
      <c r="S115" s="133" t="s">
        <v>4873</v>
      </c>
    </row>
    <row r="116" spans="1:19">
      <c r="A116" s="133" t="s">
        <v>5170</v>
      </c>
      <c r="B116" s="133" t="s">
        <v>4866</v>
      </c>
      <c r="C116" s="133" t="s">
        <v>4279</v>
      </c>
      <c r="D116" s="133" t="s">
        <v>1013</v>
      </c>
      <c r="E116" s="133" t="s">
        <v>5171</v>
      </c>
      <c r="H116" s="133" t="s">
        <v>5172</v>
      </c>
      <c r="I116" s="133" t="s">
        <v>5168</v>
      </c>
      <c r="J116" s="133" t="s">
        <v>5169</v>
      </c>
      <c r="K116" s="133">
        <v>5343738.05</v>
      </c>
      <c r="L116" s="133">
        <v>694685.95</v>
      </c>
      <c r="M116" s="133">
        <v>694685.95</v>
      </c>
      <c r="N116" s="133" t="s">
        <v>4280</v>
      </c>
      <c r="O116" s="133" t="s">
        <v>4871</v>
      </c>
      <c r="P116" s="133" t="s">
        <v>4281</v>
      </c>
      <c r="Q116" s="133" t="s">
        <v>4872</v>
      </c>
      <c r="R116" s="133" t="s">
        <v>4281</v>
      </c>
      <c r="S116" s="133" t="s">
        <v>4873</v>
      </c>
    </row>
    <row r="117" spans="1:19">
      <c r="A117" s="133" t="s">
        <v>5173</v>
      </c>
      <c r="B117" s="133" t="s">
        <v>4866</v>
      </c>
      <c r="C117" s="133" t="s">
        <v>4279</v>
      </c>
      <c r="D117" s="133" t="s">
        <v>1013</v>
      </c>
      <c r="E117" s="133" t="s">
        <v>5174</v>
      </c>
      <c r="H117" s="133" t="s">
        <v>5175</v>
      </c>
      <c r="I117" s="133" t="s">
        <v>5176</v>
      </c>
      <c r="J117" s="133" t="s">
        <v>5177</v>
      </c>
      <c r="K117" s="133">
        <v>8488575.4700000007</v>
      </c>
      <c r="L117" s="133">
        <v>509314.53</v>
      </c>
      <c r="M117" s="133">
        <v>509314.53</v>
      </c>
      <c r="N117" s="133" t="s">
        <v>4280</v>
      </c>
      <c r="O117" s="133" t="s">
        <v>4871</v>
      </c>
      <c r="P117" s="133" t="s">
        <v>4281</v>
      </c>
      <c r="Q117" s="133" t="s">
        <v>4872</v>
      </c>
      <c r="R117" s="133" t="s">
        <v>4281</v>
      </c>
      <c r="S117" s="133" t="s">
        <v>4873</v>
      </c>
    </row>
    <row r="118" spans="1:19">
      <c r="A118" s="133" t="s">
        <v>5178</v>
      </c>
      <c r="B118" s="133" t="s">
        <v>4866</v>
      </c>
      <c r="C118" s="133" t="s">
        <v>4279</v>
      </c>
      <c r="D118" s="133" t="s">
        <v>1013</v>
      </c>
      <c r="E118" s="133" t="s">
        <v>3336</v>
      </c>
      <c r="H118" s="133" t="s">
        <v>5179</v>
      </c>
      <c r="I118" s="133" t="s">
        <v>5180</v>
      </c>
      <c r="J118" s="133" t="s">
        <v>5181</v>
      </c>
      <c r="K118" s="133">
        <v>74757.279999999999</v>
      </c>
      <c r="L118" s="133">
        <v>2242.7199999999998</v>
      </c>
      <c r="M118" s="133">
        <v>2242.7199999999998</v>
      </c>
      <c r="N118" s="133" t="s">
        <v>4280</v>
      </c>
      <c r="O118" s="133" t="s">
        <v>4871</v>
      </c>
      <c r="P118" s="133" t="s">
        <v>4281</v>
      </c>
      <c r="Q118" s="133" t="s">
        <v>4872</v>
      </c>
      <c r="R118" s="133" t="s">
        <v>4281</v>
      </c>
      <c r="S118" s="133" t="s">
        <v>4873</v>
      </c>
    </row>
    <row r="119" spans="1:19">
      <c r="A119" s="133" t="s">
        <v>5182</v>
      </c>
      <c r="B119" s="133" t="s">
        <v>4866</v>
      </c>
      <c r="C119" s="133" t="s">
        <v>4279</v>
      </c>
      <c r="D119" s="133" t="s">
        <v>1013</v>
      </c>
      <c r="E119" s="133" t="s">
        <v>4061</v>
      </c>
      <c r="H119" s="133" t="s">
        <v>5183</v>
      </c>
      <c r="I119" s="133" t="s">
        <v>5184</v>
      </c>
      <c r="J119" s="133" t="s">
        <v>5185</v>
      </c>
      <c r="K119" s="133">
        <v>4554.46</v>
      </c>
      <c r="L119" s="133">
        <v>45.54</v>
      </c>
      <c r="M119" s="133">
        <v>45.54</v>
      </c>
      <c r="N119" s="133" t="s">
        <v>4280</v>
      </c>
      <c r="O119" s="133" t="s">
        <v>4871</v>
      </c>
      <c r="P119" s="133" t="s">
        <v>4281</v>
      </c>
      <c r="Q119" s="133" t="s">
        <v>4872</v>
      </c>
      <c r="R119" s="133" t="s">
        <v>4281</v>
      </c>
      <c r="S119" s="133" t="s">
        <v>4873</v>
      </c>
    </row>
    <row r="120" spans="1:19">
      <c r="A120" s="133" t="s">
        <v>5186</v>
      </c>
      <c r="B120" s="133" t="s">
        <v>4866</v>
      </c>
      <c r="C120" s="133" t="s">
        <v>4279</v>
      </c>
      <c r="D120" s="133" t="s">
        <v>1013</v>
      </c>
      <c r="E120" s="133" t="s">
        <v>4066</v>
      </c>
      <c r="H120" s="133" t="s">
        <v>5187</v>
      </c>
      <c r="I120" s="133" t="s">
        <v>5184</v>
      </c>
      <c r="J120" s="133" t="s">
        <v>5185</v>
      </c>
      <c r="K120" s="133">
        <v>14801.98</v>
      </c>
      <c r="L120" s="133">
        <v>148.02000000000001</v>
      </c>
      <c r="M120" s="133">
        <v>148.02000000000001</v>
      </c>
      <c r="N120" s="133" t="s">
        <v>4280</v>
      </c>
      <c r="O120" s="133" t="s">
        <v>4871</v>
      </c>
      <c r="P120" s="133" t="s">
        <v>4281</v>
      </c>
      <c r="Q120" s="133" t="s">
        <v>4872</v>
      </c>
      <c r="R120" s="133" t="s">
        <v>4281</v>
      </c>
      <c r="S120" s="133" t="s">
        <v>4873</v>
      </c>
    </row>
    <row r="121" spans="1:19">
      <c r="A121" s="133" t="s">
        <v>5188</v>
      </c>
      <c r="B121" s="133" t="s">
        <v>4866</v>
      </c>
      <c r="C121" s="133" t="s">
        <v>4279</v>
      </c>
      <c r="D121" s="133" t="s">
        <v>1013</v>
      </c>
      <c r="E121" s="133" t="s">
        <v>5189</v>
      </c>
      <c r="H121" s="133" t="s">
        <v>5190</v>
      </c>
      <c r="I121" s="133" t="s">
        <v>5191</v>
      </c>
      <c r="J121" s="133" t="s">
        <v>5192</v>
      </c>
      <c r="K121" s="133">
        <v>4231.55</v>
      </c>
      <c r="L121" s="133">
        <v>253.89</v>
      </c>
      <c r="M121" s="133">
        <v>253.89</v>
      </c>
      <c r="N121" s="133" t="s">
        <v>4280</v>
      </c>
      <c r="O121" s="133" t="s">
        <v>4871</v>
      </c>
      <c r="P121" s="133" t="s">
        <v>4281</v>
      </c>
      <c r="Q121" s="133" t="s">
        <v>4872</v>
      </c>
      <c r="R121" s="133" t="s">
        <v>4281</v>
      </c>
      <c r="S121" s="133" t="s">
        <v>4873</v>
      </c>
    </row>
    <row r="122" spans="1:19">
      <c r="A122" s="133" t="s">
        <v>5193</v>
      </c>
      <c r="B122" s="133" t="s">
        <v>4866</v>
      </c>
      <c r="C122" s="133" t="s">
        <v>4279</v>
      </c>
      <c r="D122" s="133" t="s">
        <v>1013</v>
      </c>
      <c r="E122" s="133" t="s">
        <v>5194</v>
      </c>
      <c r="H122" s="133" t="s">
        <v>5195</v>
      </c>
      <c r="I122" s="133" t="s">
        <v>5191</v>
      </c>
      <c r="J122" s="133" t="s">
        <v>5192</v>
      </c>
      <c r="K122" s="133">
        <v>4689.6400000000003</v>
      </c>
      <c r="L122" s="133">
        <v>281.38</v>
      </c>
      <c r="M122" s="133">
        <v>281.38</v>
      </c>
      <c r="N122" s="133" t="s">
        <v>4280</v>
      </c>
      <c r="O122" s="133" t="s">
        <v>4871</v>
      </c>
      <c r="P122" s="133" t="s">
        <v>4281</v>
      </c>
      <c r="Q122" s="133" t="s">
        <v>4872</v>
      </c>
      <c r="R122" s="133" t="s">
        <v>4281</v>
      </c>
      <c r="S122" s="133" t="s">
        <v>4873</v>
      </c>
    </row>
    <row r="123" spans="1:19">
      <c r="A123" s="133" t="s">
        <v>5196</v>
      </c>
      <c r="B123" s="133" t="s">
        <v>4866</v>
      </c>
      <c r="C123" s="133" t="s">
        <v>4279</v>
      </c>
      <c r="D123" s="133" t="s">
        <v>1013</v>
      </c>
      <c r="E123" s="133" t="s">
        <v>5197</v>
      </c>
      <c r="H123" s="133" t="s">
        <v>5198</v>
      </c>
      <c r="I123" s="133" t="s">
        <v>5191</v>
      </c>
      <c r="J123" s="133" t="s">
        <v>5192</v>
      </c>
      <c r="K123" s="133">
        <v>6696.18</v>
      </c>
      <c r="L123" s="133">
        <v>401.77</v>
      </c>
      <c r="M123" s="133">
        <v>401.77</v>
      </c>
      <c r="N123" s="133" t="s">
        <v>4280</v>
      </c>
      <c r="O123" s="133" t="s">
        <v>4871</v>
      </c>
      <c r="P123" s="133" t="s">
        <v>4281</v>
      </c>
      <c r="Q123" s="133" t="s">
        <v>4872</v>
      </c>
      <c r="R123" s="133" t="s">
        <v>4281</v>
      </c>
      <c r="S123" s="133" t="s">
        <v>4873</v>
      </c>
    </row>
    <row r="124" spans="1:19">
      <c r="A124" s="133" t="s">
        <v>5199</v>
      </c>
      <c r="B124" s="133" t="s">
        <v>4866</v>
      </c>
      <c r="C124" s="133" t="s">
        <v>4279</v>
      </c>
      <c r="D124" s="133" t="s">
        <v>1013</v>
      </c>
      <c r="E124" s="133" t="s">
        <v>5200</v>
      </c>
      <c r="H124" s="133" t="s">
        <v>5201</v>
      </c>
      <c r="I124" s="133" t="s">
        <v>5191</v>
      </c>
      <c r="J124" s="133" t="s">
        <v>5192</v>
      </c>
      <c r="K124" s="133">
        <v>6285.41</v>
      </c>
      <c r="L124" s="133">
        <v>377.12</v>
      </c>
      <c r="M124" s="133">
        <v>377.12</v>
      </c>
      <c r="N124" s="133" t="s">
        <v>4280</v>
      </c>
      <c r="O124" s="133" t="s">
        <v>4871</v>
      </c>
      <c r="P124" s="133" t="s">
        <v>4281</v>
      </c>
      <c r="Q124" s="133" t="s">
        <v>4872</v>
      </c>
      <c r="R124" s="133" t="s">
        <v>4281</v>
      </c>
      <c r="S124" s="133" t="s">
        <v>4873</v>
      </c>
    </row>
    <row r="125" spans="1:19">
      <c r="A125" s="133" t="s">
        <v>5202</v>
      </c>
      <c r="B125" s="133" t="s">
        <v>4866</v>
      </c>
      <c r="C125" s="133" t="s">
        <v>4279</v>
      </c>
      <c r="D125" s="133" t="s">
        <v>1013</v>
      </c>
      <c r="E125" s="133" t="s">
        <v>5203</v>
      </c>
      <c r="H125" s="133" t="s">
        <v>5204</v>
      </c>
      <c r="I125" s="133" t="s">
        <v>5191</v>
      </c>
      <c r="J125" s="133" t="s">
        <v>5192</v>
      </c>
      <c r="K125" s="133">
        <v>1985.4</v>
      </c>
      <c r="L125" s="133">
        <v>119.12</v>
      </c>
      <c r="M125" s="133">
        <v>119.12</v>
      </c>
      <c r="N125" s="133" t="s">
        <v>4280</v>
      </c>
      <c r="O125" s="133" t="s">
        <v>4871</v>
      </c>
      <c r="P125" s="133" t="s">
        <v>4281</v>
      </c>
      <c r="Q125" s="133" t="s">
        <v>4872</v>
      </c>
      <c r="R125" s="133" t="s">
        <v>4281</v>
      </c>
      <c r="S125" s="133" t="s">
        <v>4873</v>
      </c>
    </row>
    <row r="126" spans="1:19">
      <c r="A126" s="133" t="s">
        <v>5205</v>
      </c>
      <c r="B126" s="133" t="s">
        <v>4866</v>
      </c>
      <c r="C126" s="133" t="s">
        <v>4279</v>
      </c>
      <c r="D126" s="133" t="s">
        <v>1013</v>
      </c>
      <c r="E126" s="133" t="s">
        <v>5206</v>
      </c>
      <c r="H126" s="133" t="s">
        <v>5207</v>
      </c>
      <c r="I126" s="133" t="s">
        <v>5191</v>
      </c>
      <c r="J126" s="133" t="s">
        <v>5192</v>
      </c>
      <c r="K126" s="133">
        <v>1916.93</v>
      </c>
      <c r="L126" s="133">
        <v>115.02</v>
      </c>
      <c r="M126" s="133">
        <v>115.02</v>
      </c>
      <c r="N126" s="133" t="s">
        <v>4280</v>
      </c>
      <c r="O126" s="133" t="s">
        <v>4871</v>
      </c>
      <c r="P126" s="133" t="s">
        <v>4281</v>
      </c>
      <c r="Q126" s="133" t="s">
        <v>4872</v>
      </c>
      <c r="R126" s="133" t="s">
        <v>4281</v>
      </c>
      <c r="S126" s="133" t="s">
        <v>4873</v>
      </c>
    </row>
    <row r="127" spans="1:19">
      <c r="A127" s="133" t="s">
        <v>5208</v>
      </c>
      <c r="B127" s="133" t="s">
        <v>4866</v>
      </c>
      <c r="C127" s="133" t="s">
        <v>4279</v>
      </c>
      <c r="D127" s="133" t="s">
        <v>1013</v>
      </c>
      <c r="E127" s="133" t="s">
        <v>5209</v>
      </c>
      <c r="H127" s="133" t="s">
        <v>5207</v>
      </c>
      <c r="I127" s="133" t="s">
        <v>5191</v>
      </c>
      <c r="J127" s="133" t="s">
        <v>5192</v>
      </c>
      <c r="K127" s="133">
        <v>6696.58</v>
      </c>
      <c r="L127" s="133">
        <v>401.79</v>
      </c>
      <c r="M127" s="133">
        <v>401.79</v>
      </c>
      <c r="N127" s="133" t="s">
        <v>4280</v>
      </c>
      <c r="O127" s="133" t="s">
        <v>4871</v>
      </c>
      <c r="P127" s="133" t="s">
        <v>4281</v>
      </c>
      <c r="Q127" s="133" t="s">
        <v>4872</v>
      </c>
      <c r="R127" s="133" t="s">
        <v>4281</v>
      </c>
      <c r="S127" s="133" t="s">
        <v>4873</v>
      </c>
    </row>
    <row r="128" spans="1:19">
      <c r="A128" s="133" t="s">
        <v>5210</v>
      </c>
      <c r="B128" s="133" t="s">
        <v>4866</v>
      </c>
      <c r="C128" s="133" t="s">
        <v>4279</v>
      </c>
      <c r="D128" s="133" t="s">
        <v>1013</v>
      </c>
      <c r="E128" s="133" t="s">
        <v>5211</v>
      </c>
      <c r="H128" s="133" t="s">
        <v>5212</v>
      </c>
      <c r="I128" s="133" t="s">
        <v>5191</v>
      </c>
      <c r="J128" s="133" t="s">
        <v>5192</v>
      </c>
      <c r="K128" s="133">
        <v>4745.01</v>
      </c>
      <c r="L128" s="133">
        <v>284.7</v>
      </c>
      <c r="M128" s="133">
        <v>284.7</v>
      </c>
      <c r="N128" s="133" t="s">
        <v>4280</v>
      </c>
      <c r="O128" s="133" t="s">
        <v>4871</v>
      </c>
      <c r="P128" s="133" t="s">
        <v>4281</v>
      </c>
      <c r="Q128" s="133" t="s">
        <v>4872</v>
      </c>
      <c r="R128" s="133" t="s">
        <v>4281</v>
      </c>
      <c r="S128" s="133" t="s">
        <v>4873</v>
      </c>
    </row>
    <row r="129" spans="1:19">
      <c r="A129" s="133" t="s">
        <v>5213</v>
      </c>
      <c r="B129" s="133" t="s">
        <v>4866</v>
      </c>
      <c r="C129" s="133" t="s">
        <v>4279</v>
      </c>
      <c r="D129" s="133" t="s">
        <v>1013</v>
      </c>
      <c r="E129" s="133" t="s">
        <v>5214</v>
      </c>
      <c r="H129" s="133" t="s">
        <v>5215</v>
      </c>
      <c r="I129" s="133" t="s">
        <v>5191</v>
      </c>
      <c r="J129" s="133" t="s">
        <v>5192</v>
      </c>
      <c r="K129" s="133">
        <v>4745.01</v>
      </c>
      <c r="L129" s="133">
        <v>284.7</v>
      </c>
      <c r="M129" s="133">
        <v>284.7</v>
      </c>
      <c r="N129" s="133" t="s">
        <v>4280</v>
      </c>
      <c r="O129" s="133" t="s">
        <v>4871</v>
      </c>
      <c r="P129" s="133" t="s">
        <v>4281</v>
      </c>
      <c r="Q129" s="133" t="s">
        <v>4872</v>
      </c>
      <c r="R129" s="133" t="s">
        <v>4281</v>
      </c>
      <c r="S129" s="133" t="s">
        <v>4873</v>
      </c>
    </row>
    <row r="130" spans="1:19">
      <c r="A130" s="133" t="s">
        <v>5216</v>
      </c>
      <c r="B130" s="133" t="s">
        <v>4866</v>
      </c>
      <c r="C130" s="133" t="s">
        <v>4279</v>
      </c>
      <c r="D130" s="133" t="s">
        <v>1013</v>
      </c>
      <c r="E130" s="133" t="s">
        <v>5217</v>
      </c>
      <c r="H130" s="133" t="s">
        <v>5218</v>
      </c>
      <c r="I130" s="133" t="s">
        <v>5191</v>
      </c>
      <c r="J130" s="133" t="s">
        <v>5192</v>
      </c>
      <c r="K130" s="133">
        <v>5915.05</v>
      </c>
      <c r="L130" s="133">
        <v>354.9</v>
      </c>
      <c r="M130" s="133">
        <v>354.9</v>
      </c>
      <c r="N130" s="133" t="s">
        <v>4280</v>
      </c>
      <c r="O130" s="133" t="s">
        <v>4871</v>
      </c>
      <c r="P130" s="133" t="s">
        <v>4281</v>
      </c>
      <c r="Q130" s="133" t="s">
        <v>4872</v>
      </c>
      <c r="R130" s="133" t="s">
        <v>4281</v>
      </c>
      <c r="S130" s="133" t="s">
        <v>4873</v>
      </c>
    </row>
    <row r="131" spans="1:19">
      <c r="A131" s="133" t="s">
        <v>5219</v>
      </c>
      <c r="B131" s="133" t="s">
        <v>4866</v>
      </c>
      <c r="C131" s="133" t="s">
        <v>4279</v>
      </c>
      <c r="D131" s="133" t="s">
        <v>1013</v>
      </c>
      <c r="E131" s="133" t="s">
        <v>2812</v>
      </c>
      <c r="H131" s="133" t="s">
        <v>5220</v>
      </c>
      <c r="I131" s="133" t="s">
        <v>5221</v>
      </c>
      <c r="J131" s="133" t="s">
        <v>5222</v>
      </c>
      <c r="K131" s="133">
        <v>66037.740000000005</v>
      </c>
      <c r="L131" s="133">
        <v>3962.26</v>
      </c>
      <c r="M131" s="133">
        <v>3962.26</v>
      </c>
      <c r="N131" s="133" t="s">
        <v>4280</v>
      </c>
      <c r="O131" s="133" t="s">
        <v>4871</v>
      </c>
      <c r="P131" s="133" t="s">
        <v>4281</v>
      </c>
      <c r="Q131" s="133" t="s">
        <v>4872</v>
      </c>
      <c r="R131" s="133" t="s">
        <v>4281</v>
      </c>
      <c r="S131" s="133" t="s">
        <v>4873</v>
      </c>
    </row>
    <row r="132" spans="1:19">
      <c r="A132" s="133" t="s">
        <v>5223</v>
      </c>
      <c r="B132" s="133" t="s">
        <v>4866</v>
      </c>
      <c r="C132" s="133" t="s">
        <v>4279</v>
      </c>
      <c r="D132" s="133" t="s">
        <v>1013</v>
      </c>
      <c r="E132" s="133" t="s">
        <v>5224</v>
      </c>
      <c r="H132" s="133" t="s">
        <v>5225</v>
      </c>
      <c r="I132" s="133" t="s">
        <v>5226</v>
      </c>
      <c r="J132" s="133" t="s">
        <v>5227</v>
      </c>
      <c r="K132" s="133">
        <v>884.96</v>
      </c>
      <c r="L132" s="133">
        <v>115.04</v>
      </c>
      <c r="M132" s="133">
        <v>115.04</v>
      </c>
      <c r="N132" s="133" t="s">
        <v>4280</v>
      </c>
      <c r="O132" s="133" t="s">
        <v>4871</v>
      </c>
      <c r="P132" s="133" t="s">
        <v>4281</v>
      </c>
      <c r="Q132" s="133" t="s">
        <v>4872</v>
      </c>
      <c r="R132" s="133" t="s">
        <v>4281</v>
      </c>
      <c r="S132" s="133" t="s">
        <v>4873</v>
      </c>
    </row>
    <row r="133" spans="1:19">
      <c r="A133" s="133" t="s">
        <v>5228</v>
      </c>
      <c r="B133" s="133" t="s">
        <v>4866</v>
      </c>
      <c r="C133" s="133" t="s">
        <v>4279</v>
      </c>
      <c r="D133" s="133" t="s">
        <v>1013</v>
      </c>
      <c r="E133" s="133" t="s">
        <v>5229</v>
      </c>
      <c r="H133" s="133" t="s">
        <v>5230</v>
      </c>
      <c r="I133" s="133" t="s">
        <v>5231</v>
      </c>
      <c r="J133" s="133" t="s">
        <v>5232</v>
      </c>
      <c r="K133" s="133">
        <v>58252.43</v>
      </c>
      <c r="L133" s="133">
        <v>1747.57</v>
      </c>
      <c r="M133" s="133">
        <v>1747.57</v>
      </c>
      <c r="N133" s="133" t="s">
        <v>4280</v>
      </c>
      <c r="O133" s="133" t="s">
        <v>4871</v>
      </c>
      <c r="P133" s="133" t="s">
        <v>4281</v>
      </c>
      <c r="Q133" s="133" t="s">
        <v>4872</v>
      </c>
      <c r="R133" s="133" t="s">
        <v>4281</v>
      </c>
      <c r="S133" s="133" t="s">
        <v>4873</v>
      </c>
    </row>
    <row r="134" spans="1:19">
      <c r="A134" s="133" t="s">
        <v>5233</v>
      </c>
      <c r="B134" s="133" t="s">
        <v>4866</v>
      </c>
      <c r="C134" s="133" t="s">
        <v>4279</v>
      </c>
      <c r="D134" s="133" t="s">
        <v>1013</v>
      </c>
      <c r="E134" s="133" t="s">
        <v>2502</v>
      </c>
      <c r="H134" s="133" t="s">
        <v>5234</v>
      </c>
      <c r="I134" s="133" t="s">
        <v>5231</v>
      </c>
      <c r="J134" s="133" t="s">
        <v>5232</v>
      </c>
      <c r="K134" s="133">
        <v>33069.31</v>
      </c>
      <c r="L134" s="133">
        <v>330.69</v>
      </c>
      <c r="M134" s="133">
        <v>330.69</v>
      </c>
      <c r="N134" s="133" t="s">
        <v>4280</v>
      </c>
      <c r="O134" s="133" t="s">
        <v>4871</v>
      </c>
      <c r="P134" s="133" t="s">
        <v>4281</v>
      </c>
      <c r="Q134" s="133" t="s">
        <v>4872</v>
      </c>
      <c r="R134" s="133" t="s">
        <v>4281</v>
      </c>
      <c r="S134" s="133" t="s">
        <v>4873</v>
      </c>
    </row>
    <row r="135" spans="1:19">
      <c r="A135" s="133" t="s">
        <v>5235</v>
      </c>
      <c r="B135" s="133" t="s">
        <v>4866</v>
      </c>
      <c r="C135" s="133" t="s">
        <v>4279</v>
      </c>
      <c r="D135" s="133" t="s">
        <v>1013</v>
      </c>
      <c r="E135" s="133" t="s">
        <v>3266</v>
      </c>
      <c r="H135" s="133" t="s">
        <v>5236</v>
      </c>
      <c r="I135" s="133" t="s">
        <v>5237</v>
      </c>
      <c r="J135" s="133" t="s">
        <v>5238</v>
      </c>
      <c r="K135" s="133">
        <v>29800</v>
      </c>
      <c r="L135" s="133">
        <v>894</v>
      </c>
      <c r="M135" s="133">
        <v>894</v>
      </c>
      <c r="N135" s="133" t="s">
        <v>4280</v>
      </c>
      <c r="O135" s="133" t="s">
        <v>4871</v>
      </c>
      <c r="P135" s="133" t="s">
        <v>4281</v>
      </c>
      <c r="Q135" s="133" t="s">
        <v>4872</v>
      </c>
      <c r="R135" s="133" t="s">
        <v>4281</v>
      </c>
      <c r="S135" s="133" t="s">
        <v>4873</v>
      </c>
    </row>
    <row r="136" spans="1:19">
      <c r="A136" s="133" t="s">
        <v>5239</v>
      </c>
      <c r="B136" s="133" t="s">
        <v>4866</v>
      </c>
      <c r="C136" s="133" t="s">
        <v>4279</v>
      </c>
      <c r="D136" s="133" t="s">
        <v>1013</v>
      </c>
      <c r="E136" s="133" t="s">
        <v>3450</v>
      </c>
      <c r="H136" s="133" t="s">
        <v>5240</v>
      </c>
      <c r="I136" s="133" t="s">
        <v>5237</v>
      </c>
      <c r="J136" s="133" t="s">
        <v>5238</v>
      </c>
      <c r="K136" s="133">
        <v>60000</v>
      </c>
      <c r="L136" s="133">
        <v>1800</v>
      </c>
      <c r="M136" s="133">
        <v>1800</v>
      </c>
      <c r="N136" s="133" t="s">
        <v>4280</v>
      </c>
      <c r="O136" s="133" t="s">
        <v>4871</v>
      </c>
      <c r="P136" s="133" t="s">
        <v>4281</v>
      </c>
      <c r="Q136" s="133" t="s">
        <v>4872</v>
      </c>
      <c r="R136" s="133" t="s">
        <v>4281</v>
      </c>
      <c r="S136" s="133" t="s">
        <v>4873</v>
      </c>
    </row>
    <row r="137" spans="1:19">
      <c r="A137" s="133" t="s">
        <v>5241</v>
      </c>
      <c r="B137" s="133" t="s">
        <v>4866</v>
      </c>
      <c r="C137" s="133" t="s">
        <v>4279</v>
      </c>
      <c r="D137" s="133" t="s">
        <v>1013</v>
      </c>
      <c r="E137" s="133" t="s">
        <v>3061</v>
      </c>
      <c r="H137" s="133" t="s">
        <v>5242</v>
      </c>
      <c r="I137" s="133" t="s">
        <v>5243</v>
      </c>
      <c r="J137" s="133" t="s">
        <v>5244</v>
      </c>
      <c r="K137" s="133">
        <v>286748.26</v>
      </c>
      <c r="L137" s="133">
        <v>25807.34</v>
      </c>
      <c r="M137" s="133">
        <v>25807.34</v>
      </c>
      <c r="N137" s="133" t="s">
        <v>4280</v>
      </c>
      <c r="O137" s="133" t="s">
        <v>4871</v>
      </c>
      <c r="P137" s="133" t="s">
        <v>4281</v>
      </c>
      <c r="Q137" s="133" t="s">
        <v>4872</v>
      </c>
      <c r="R137" s="133" t="s">
        <v>4281</v>
      </c>
      <c r="S137" s="133" t="s">
        <v>4873</v>
      </c>
    </row>
    <row r="138" spans="1:19">
      <c r="A138" s="133" t="s">
        <v>5245</v>
      </c>
      <c r="B138" s="133" t="s">
        <v>4866</v>
      </c>
      <c r="C138" s="133" t="s">
        <v>4279</v>
      </c>
      <c r="D138" s="133" t="s">
        <v>1013</v>
      </c>
      <c r="E138" s="133" t="s">
        <v>5246</v>
      </c>
      <c r="H138" s="133" t="s">
        <v>5247</v>
      </c>
      <c r="I138" s="133" t="s">
        <v>5248</v>
      </c>
      <c r="J138" s="133" t="s">
        <v>5249</v>
      </c>
      <c r="K138" s="133">
        <v>2262500.6</v>
      </c>
      <c r="L138" s="133">
        <v>203625.05</v>
      </c>
      <c r="M138" s="133">
        <v>203625.05</v>
      </c>
      <c r="N138" s="133" t="s">
        <v>4280</v>
      </c>
      <c r="O138" s="133" t="s">
        <v>4871</v>
      </c>
      <c r="P138" s="133" t="s">
        <v>4281</v>
      </c>
      <c r="Q138" s="133" t="s">
        <v>4872</v>
      </c>
      <c r="R138" s="133" t="s">
        <v>4281</v>
      </c>
      <c r="S138" s="133" t="s">
        <v>4873</v>
      </c>
    </row>
    <row r="139" spans="1:19">
      <c r="A139" s="133" t="s">
        <v>5250</v>
      </c>
      <c r="B139" s="133" t="s">
        <v>4866</v>
      </c>
      <c r="C139" s="133" t="s">
        <v>4279</v>
      </c>
      <c r="D139" s="133" t="s">
        <v>1013</v>
      </c>
      <c r="E139" s="133" t="s">
        <v>5251</v>
      </c>
      <c r="H139" s="133" t="s">
        <v>5252</v>
      </c>
      <c r="I139" s="133" t="s">
        <v>5248</v>
      </c>
      <c r="J139" s="133" t="s">
        <v>5249</v>
      </c>
      <c r="K139" s="133">
        <v>1006518.69</v>
      </c>
      <c r="L139" s="133">
        <v>90586.68</v>
      </c>
      <c r="M139" s="133">
        <v>90586.68</v>
      </c>
      <c r="N139" s="133" t="s">
        <v>4280</v>
      </c>
      <c r="O139" s="133" t="s">
        <v>4871</v>
      </c>
      <c r="P139" s="133" t="s">
        <v>4281</v>
      </c>
      <c r="Q139" s="133" t="s">
        <v>4872</v>
      </c>
      <c r="R139" s="133" t="s">
        <v>4281</v>
      </c>
      <c r="S139" s="133" t="s">
        <v>4873</v>
      </c>
    </row>
    <row r="140" spans="1:19">
      <c r="A140" s="133" t="s">
        <v>5253</v>
      </c>
      <c r="B140" s="133" t="s">
        <v>4866</v>
      </c>
      <c r="C140" s="133" t="s">
        <v>4279</v>
      </c>
      <c r="D140" s="133" t="s">
        <v>1013</v>
      </c>
      <c r="E140" s="133" t="s">
        <v>5254</v>
      </c>
      <c r="H140" s="133" t="s">
        <v>5255</v>
      </c>
      <c r="I140" s="133" t="s">
        <v>5248</v>
      </c>
      <c r="J140" s="133" t="s">
        <v>5249</v>
      </c>
      <c r="K140" s="133">
        <v>4024869.11</v>
      </c>
      <c r="L140" s="133">
        <v>362238.22</v>
      </c>
      <c r="M140" s="133">
        <v>362238.22</v>
      </c>
      <c r="N140" s="133" t="s">
        <v>4280</v>
      </c>
      <c r="O140" s="133" t="s">
        <v>4871</v>
      </c>
      <c r="P140" s="133" t="s">
        <v>4281</v>
      </c>
      <c r="Q140" s="133" t="s">
        <v>4872</v>
      </c>
      <c r="R140" s="133" t="s">
        <v>4281</v>
      </c>
      <c r="S140" s="133" t="s">
        <v>4873</v>
      </c>
    </row>
    <row r="141" spans="1:19">
      <c r="A141" s="133" t="s">
        <v>5256</v>
      </c>
      <c r="B141" s="133" t="s">
        <v>4866</v>
      </c>
      <c r="C141" s="133" t="s">
        <v>4279</v>
      </c>
      <c r="D141" s="133" t="s">
        <v>1013</v>
      </c>
      <c r="E141" s="133" t="s">
        <v>5257</v>
      </c>
      <c r="H141" s="133" t="s">
        <v>5258</v>
      </c>
      <c r="I141" s="133" t="s">
        <v>5248</v>
      </c>
      <c r="J141" s="133" t="s">
        <v>5249</v>
      </c>
      <c r="K141" s="133">
        <v>868220.63</v>
      </c>
      <c r="L141" s="133">
        <v>78139.86</v>
      </c>
      <c r="M141" s="133">
        <v>78139.86</v>
      </c>
      <c r="N141" s="133" t="s">
        <v>4280</v>
      </c>
      <c r="O141" s="133" t="s">
        <v>4871</v>
      </c>
      <c r="P141" s="133" t="s">
        <v>4281</v>
      </c>
      <c r="Q141" s="133" t="s">
        <v>4872</v>
      </c>
      <c r="R141" s="133" t="s">
        <v>4281</v>
      </c>
      <c r="S141" s="133" t="s">
        <v>4873</v>
      </c>
    </row>
    <row r="142" spans="1:19">
      <c r="A142" s="133" t="s">
        <v>5259</v>
      </c>
      <c r="B142" s="133" t="s">
        <v>4866</v>
      </c>
      <c r="C142" s="133" t="s">
        <v>4279</v>
      </c>
      <c r="D142" s="133" t="s">
        <v>1013</v>
      </c>
      <c r="E142" s="133" t="s">
        <v>5260</v>
      </c>
      <c r="H142" s="133" t="s">
        <v>5261</v>
      </c>
      <c r="I142" s="133" t="s">
        <v>5248</v>
      </c>
      <c r="J142" s="133" t="s">
        <v>5249</v>
      </c>
      <c r="K142" s="133">
        <v>288913.69</v>
      </c>
      <c r="L142" s="133">
        <v>26002.23</v>
      </c>
      <c r="M142" s="133">
        <v>26002.23</v>
      </c>
      <c r="N142" s="133" t="s">
        <v>4280</v>
      </c>
      <c r="O142" s="133" t="s">
        <v>4871</v>
      </c>
      <c r="P142" s="133" t="s">
        <v>4281</v>
      </c>
      <c r="Q142" s="133" t="s">
        <v>4872</v>
      </c>
      <c r="R142" s="133" t="s">
        <v>4281</v>
      </c>
      <c r="S142" s="133" t="s">
        <v>4873</v>
      </c>
    </row>
    <row r="143" spans="1:19">
      <c r="A143" s="133" t="s">
        <v>5262</v>
      </c>
      <c r="B143" s="133" t="s">
        <v>4866</v>
      </c>
      <c r="C143" s="133" t="s">
        <v>4279</v>
      </c>
      <c r="D143" s="133" t="s">
        <v>1013</v>
      </c>
      <c r="E143" s="133" t="s">
        <v>5263</v>
      </c>
      <c r="H143" s="133" t="s">
        <v>5264</v>
      </c>
      <c r="I143" s="133" t="s">
        <v>5265</v>
      </c>
      <c r="J143" s="133" t="s">
        <v>5266</v>
      </c>
      <c r="K143" s="133">
        <v>73.3</v>
      </c>
      <c r="L143" s="133">
        <v>4.4000000000000004</v>
      </c>
      <c r="M143" s="133">
        <v>4.4000000000000004</v>
      </c>
      <c r="N143" s="133" t="s">
        <v>4280</v>
      </c>
      <c r="O143" s="133" t="s">
        <v>4871</v>
      </c>
      <c r="P143" s="133" t="s">
        <v>4281</v>
      </c>
      <c r="Q143" s="133" t="s">
        <v>4872</v>
      </c>
      <c r="R143" s="133" t="s">
        <v>4281</v>
      </c>
      <c r="S143" s="133" t="s">
        <v>4873</v>
      </c>
    </row>
    <row r="144" spans="1:19">
      <c r="A144" s="133" t="s">
        <v>5267</v>
      </c>
      <c r="B144" s="133" t="s">
        <v>4866</v>
      </c>
      <c r="C144" s="133" t="s">
        <v>4279</v>
      </c>
      <c r="D144" s="133" t="s">
        <v>1013</v>
      </c>
      <c r="E144" s="133" t="s">
        <v>3145</v>
      </c>
      <c r="H144" s="133" t="s">
        <v>5268</v>
      </c>
      <c r="I144" s="133" t="s">
        <v>5269</v>
      </c>
      <c r="J144" s="133" t="s">
        <v>5270</v>
      </c>
      <c r="K144" s="133">
        <v>50485.440000000002</v>
      </c>
      <c r="L144" s="133">
        <v>1514.56</v>
      </c>
      <c r="M144" s="133">
        <v>1514.56</v>
      </c>
      <c r="N144" s="133" t="s">
        <v>4280</v>
      </c>
      <c r="O144" s="133" t="s">
        <v>4871</v>
      </c>
      <c r="P144" s="133" t="s">
        <v>4281</v>
      </c>
      <c r="Q144" s="133" t="s">
        <v>4872</v>
      </c>
      <c r="R144" s="133" t="s">
        <v>4281</v>
      </c>
      <c r="S144" s="133" t="s">
        <v>4873</v>
      </c>
    </row>
    <row r="145" spans="1:19">
      <c r="A145" s="133" t="s">
        <v>5271</v>
      </c>
      <c r="B145" s="133" t="s">
        <v>4866</v>
      </c>
      <c r="C145" s="133" t="s">
        <v>4279</v>
      </c>
      <c r="D145" s="133" t="s">
        <v>1013</v>
      </c>
      <c r="E145" s="133" t="s">
        <v>3137</v>
      </c>
      <c r="H145" s="133" t="s">
        <v>5272</v>
      </c>
      <c r="I145" s="133" t="s">
        <v>5269</v>
      </c>
      <c r="J145" s="133" t="s">
        <v>5270</v>
      </c>
      <c r="K145" s="133">
        <v>21359.22</v>
      </c>
      <c r="L145" s="133">
        <v>640.78</v>
      </c>
      <c r="M145" s="133">
        <v>640.78</v>
      </c>
      <c r="N145" s="133" t="s">
        <v>4280</v>
      </c>
      <c r="O145" s="133" t="s">
        <v>4871</v>
      </c>
      <c r="P145" s="133" t="s">
        <v>4281</v>
      </c>
      <c r="Q145" s="133" t="s">
        <v>4872</v>
      </c>
      <c r="R145" s="133" t="s">
        <v>4281</v>
      </c>
      <c r="S145" s="133" t="s">
        <v>4873</v>
      </c>
    </row>
    <row r="146" spans="1:19">
      <c r="A146" s="133" t="s">
        <v>5273</v>
      </c>
      <c r="B146" s="133" t="s">
        <v>4866</v>
      </c>
      <c r="C146" s="133" t="s">
        <v>4279</v>
      </c>
      <c r="D146" s="133" t="s">
        <v>1013</v>
      </c>
      <c r="E146" s="133" t="s">
        <v>3141</v>
      </c>
      <c r="H146" s="133" t="s">
        <v>5274</v>
      </c>
      <c r="I146" s="133" t="s">
        <v>5269</v>
      </c>
      <c r="J146" s="133" t="s">
        <v>5270</v>
      </c>
      <c r="K146" s="133">
        <v>21359.22</v>
      </c>
      <c r="L146" s="133">
        <v>640.78</v>
      </c>
      <c r="M146" s="133">
        <v>640.78</v>
      </c>
      <c r="N146" s="133" t="s">
        <v>4280</v>
      </c>
      <c r="O146" s="133" t="s">
        <v>4871</v>
      </c>
      <c r="P146" s="133" t="s">
        <v>4281</v>
      </c>
      <c r="Q146" s="133" t="s">
        <v>4872</v>
      </c>
      <c r="R146" s="133" t="s">
        <v>4281</v>
      </c>
      <c r="S146" s="133" t="s">
        <v>4873</v>
      </c>
    </row>
    <row r="147" spans="1:19">
      <c r="A147" s="133" t="s">
        <v>5275</v>
      </c>
      <c r="B147" s="133" t="s">
        <v>4866</v>
      </c>
      <c r="C147" s="133" t="s">
        <v>4279</v>
      </c>
      <c r="D147" s="133" t="s">
        <v>1013</v>
      </c>
      <c r="E147" s="133" t="s">
        <v>3859</v>
      </c>
      <c r="H147" s="133" t="s">
        <v>5276</v>
      </c>
      <c r="I147" s="133" t="s">
        <v>4429</v>
      </c>
      <c r="J147" s="133" t="s">
        <v>4430</v>
      </c>
      <c r="K147" s="133">
        <v>961308.12</v>
      </c>
      <c r="L147" s="133">
        <v>124970.06</v>
      </c>
      <c r="M147" s="133">
        <v>124970.06</v>
      </c>
      <c r="N147" s="133" t="s">
        <v>4280</v>
      </c>
      <c r="O147" s="133" t="s">
        <v>4871</v>
      </c>
      <c r="P147" s="133" t="s">
        <v>4281</v>
      </c>
      <c r="Q147" s="133" t="s">
        <v>4872</v>
      </c>
      <c r="R147" s="133" t="s">
        <v>4281</v>
      </c>
      <c r="S147" s="133" t="s">
        <v>4873</v>
      </c>
    </row>
    <row r="148" spans="1:19">
      <c r="A148" s="133" t="s">
        <v>5277</v>
      </c>
      <c r="B148" s="133" t="s">
        <v>4866</v>
      </c>
      <c r="C148" s="133" t="s">
        <v>4279</v>
      </c>
      <c r="D148" s="133" t="s">
        <v>1013</v>
      </c>
      <c r="E148" s="133" t="s">
        <v>3979</v>
      </c>
      <c r="H148" s="133" t="s">
        <v>5278</v>
      </c>
      <c r="I148" s="133" t="s">
        <v>4429</v>
      </c>
      <c r="J148" s="133" t="s">
        <v>4430</v>
      </c>
      <c r="K148" s="133">
        <v>360796.46</v>
      </c>
      <c r="L148" s="133">
        <v>32471.68</v>
      </c>
      <c r="M148" s="133">
        <v>32471.68</v>
      </c>
      <c r="N148" s="133" t="s">
        <v>4280</v>
      </c>
      <c r="O148" s="133" t="s">
        <v>4871</v>
      </c>
      <c r="P148" s="133" t="s">
        <v>4281</v>
      </c>
      <c r="Q148" s="133" t="s">
        <v>4872</v>
      </c>
      <c r="R148" s="133" t="s">
        <v>4281</v>
      </c>
      <c r="S148" s="133" t="s">
        <v>4873</v>
      </c>
    </row>
    <row r="149" spans="1:19">
      <c r="A149" s="133" t="s">
        <v>5279</v>
      </c>
      <c r="B149" s="133" t="s">
        <v>4866</v>
      </c>
      <c r="C149" s="133" t="s">
        <v>4279</v>
      </c>
      <c r="D149" s="133" t="s">
        <v>1013</v>
      </c>
      <c r="E149" s="133" t="s">
        <v>4003</v>
      </c>
      <c r="H149" s="133" t="s">
        <v>5280</v>
      </c>
      <c r="I149" s="133" t="s">
        <v>4429</v>
      </c>
      <c r="J149" s="133" t="s">
        <v>4430</v>
      </c>
      <c r="K149" s="133">
        <v>1890.26</v>
      </c>
      <c r="L149" s="133">
        <v>245.73</v>
      </c>
      <c r="M149" s="133">
        <v>245.73</v>
      </c>
      <c r="N149" s="133" t="s">
        <v>4280</v>
      </c>
      <c r="O149" s="133" t="s">
        <v>4871</v>
      </c>
      <c r="P149" s="133" t="s">
        <v>4281</v>
      </c>
      <c r="Q149" s="133" t="s">
        <v>4872</v>
      </c>
      <c r="R149" s="133" t="s">
        <v>4281</v>
      </c>
      <c r="S149" s="133" t="s">
        <v>4873</v>
      </c>
    </row>
    <row r="150" spans="1:19">
      <c r="A150" s="133" t="s">
        <v>5281</v>
      </c>
      <c r="B150" s="133" t="s">
        <v>4866</v>
      </c>
      <c r="C150" s="133" t="s">
        <v>4279</v>
      </c>
      <c r="D150" s="133" t="s">
        <v>1013</v>
      </c>
      <c r="E150" s="133" t="s">
        <v>3901</v>
      </c>
      <c r="H150" s="133" t="s">
        <v>5282</v>
      </c>
      <c r="I150" s="133" t="s">
        <v>4429</v>
      </c>
      <c r="J150" s="133" t="s">
        <v>4430</v>
      </c>
      <c r="K150" s="133">
        <v>11923000.4</v>
      </c>
      <c r="L150" s="133">
        <v>1073070.04</v>
      </c>
      <c r="M150" s="133">
        <v>1073070.04</v>
      </c>
      <c r="N150" s="133" t="s">
        <v>4280</v>
      </c>
      <c r="O150" s="133" t="s">
        <v>4871</v>
      </c>
      <c r="P150" s="133" t="s">
        <v>4281</v>
      </c>
      <c r="Q150" s="133" t="s">
        <v>4872</v>
      </c>
      <c r="R150" s="133" t="s">
        <v>4281</v>
      </c>
      <c r="S150" s="133" t="s">
        <v>4873</v>
      </c>
    </row>
    <row r="151" spans="1:19">
      <c r="A151" s="133" t="s">
        <v>5283</v>
      </c>
      <c r="B151" s="133" t="s">
        <v>4866</v>
      </c>
      <c r="C151" s="133" t="s">
        <v>4279</v>
      </c>
      <c r="D151" s="133" t="s">
        <v>1013</v>
      </c>
      <c r="E151" s="133" t="s">
        <v>3994</v>
      </c>
      <c r="H151" s="133" t="s">
        <v>5284</v>
      </c>
      <c r="I151" s="133" t="s">
        <v>4429</v>
      </c>
      <c r="J151" s="133" t="s">
        <v>4430</v>
      </c>
      <c r="K151" s="133">
        <v>134667.26</v>
      </c>
      <c r="L151" s="133">
        <v>17506.740000000002</v>
      </c>
      <c r="M151" s="133">
        <v>17506.740000000002</v>
      </c>
      <c r="N151" s="133" t="s">
        <v>4280</v>
      </c>
      <c r="O151" s="133" t="s">
        <v>4871</v>
      </c>
      <c r="P151" s="133" t="s">
        <v>4281</v>
      </c>
      <c r="Q151" s="133" t="s">
        <v>4872</v>
      </c>
      <c r="R151" s="133" t="s">
        <v>4281</v>
      </c>
      <c r="S151" s="133" t="s">
        <v>4873</v>
      </c>
    </row>
    <row r="152" spans="1:19">
      <c r="A152" s="133" t="s">
        <v>5285</v>
      </c>
      <c r="B152" s="133" t="s">
        <v>4866</v>
      </c>
      <c r="C152" s="133" t="s">
        <v>4279</v>
      </c>
      <c r="D152" s="133" t="s">
        <v>1013</v>
      </c>
      <c r="E152" s="133" t="s">
        <v>4024</v>
      </c>
      <c r="H152" s="133" t="s">
        <v>5280</v>
      </c>
      <c r="I152" s="133" t="s">
        <v>4429</v>
      </c>
      <c r="J152" s="133" t="s">
        <v>4430</v>
      </c>
      <c r="K152" s="133">
        <v>31028.84</v>
      </c>
      <c r="L152" s="133">
        <v>4033.75</v>
      </c>
      <c r="M152" s="133">
        <v>4033.75</v>
      </c>
      <c r="N152" s="133" t="s">
        <v>4280</v>
      </c>
      <c r="O152" s="133" t="s">
        <v>4871</v>
      </c>
      <c r="P152" s="133" t="s">
        <v>4281</v>
      </c>
      <c r="Q152" s="133" t="s">
        <v>4872</v>
      </c>
      <c r="R152" s="133" t="s">
        <v>4281</v>
      </c>
      <c r="S152" s="133" t="s">
        <v>4873</v>
      </c>
    </row>
    <row r="153" spans="1:19">
      <c r="A153" s="133" t="s">
        <v>5286</v>
      </c>
      <c r="B153" s="133" t="s">
        <v>4866</v>
      </c>
      <c r="C153" s="133" t="s">
        <v>4279</v>
      </c>
      <c r="D153" s="133" t="s">
        <v>1013</v>
      </c>
      <c r="E153" s="133" t="s">
        <v>3910</v>
      </c>
      <c r="H153" s="133" t="s">
        <v>5287</v>
      </c>
      <c r="I153" s="133" t="s">
        <v>4429</v>
      </c>
      <c r="J153" s="133" t="s">
        <v>4430</v>
      </c>
      <c r="K153" s="133">
        <v>471698.12</v>
      </c>
      <c r="L153" s="133">
        <v>28301.89</v>
      </c>
      <c r="M153" s="133">
        <v>28301.89</v>
      </c>
      <c r="N153" s="133" t="s">
        <v>4280</v>
      </c>
      <c r="O153" s="133" t="s">
        <v>4871</v>
      </c>
      <c r="P153" s="133" t="s">
        <v>4281</v>
      </c>
      <c r="Q153" s="133" t="s">
        <v>4872</v>
      </c>
      <c r="R153" s="133" t="s">
        <v>4281</v>
      </c>
      <c r="S153" s="133" t="s">
        <v>4873</v>
      </c>
    </row>
    <row r="154" spans="1:19">
      <c r="A154" s="133" t="s">
        <v>5288</v>
      </c>
      <c r="B154" s="133" t="s">
        <v>4866</v>
      </c>
      <c r="C154" s="133" t="s">
        <v>4279</v>
      </c>
      <c r="D154" s="133" t="s">
        <v>1013</v>
      </c>
      <c r="E154" s="133" t="s">
        <v>3931</v>
      </c>
      <c r="H154" s="133" t="s">
        <v>5289</v>
      </c>
      <c r="I154" s="133" t="s">
        <v>4429</v>
      </c>
      <c r="J154" s="133" t="s">
        <v>4430</v>
      </c>
      <c r="K154" s="133">
        <v>452830.18</v>
      </c>
      <c r="L154" s="133">
        <v>27169.81</v>
      </c>
      <c r="M154" s="133">
        <v>27169.81</v>
      </c>
      <c r="N154" s="133" t="s">
        <v>4280</v>
      </c>
      <c r="O154" s="133" t="s">
        <v>4871</v>
      </c>
      <c r="P154" s="133" t="s">
        <v>4281</v>
      </c>
      <c r="Q154" s="133" t="s">
        <v>4872</v>
      </c>
      <c r="R154" s="133" t="s">
        <v>4281</v>
      </c>
      <c r="S154" s="133" t="s">
        <v>4873</v>
      </c>
    </row>
    <row r="155" spans="1:19">
      <c r="A155" s="133" t="s">
        <v>5290</v>
      </c>
      <c r="B155" s="133" t="s">
        <v>4866</v>
      </c>
      <c r="C155" s="133" t="s">
        <v>4279</v>
      </c>
      <c r="D155" s="133" t="s">
        <v>1013</v>
      </c>
      <c r="E155" s="133" t="s">
        <v>3964</v>
      </c>
      <c r="H155" s="133" t="s">
        <v>5278</v>
      </c>
      <c r="I155" s="133" t="s">
        <v>4429</v>
      </c>
      <c r="J155" s="133" t="s">
        <v>4430</v>
      </c>
      <c r="K155" s="133">
        <v>201769.92</v>
      </c>
      <c r="L155" s="133">
        <v>26230.09</v>
      </c>
      <c r="M155" s="133">
        <v>26230.09</v>
      </c>
      <c r="N155" s="133" t="s">
        <v>4280</v>
      </c>
      <c r="O155" s="133" t="s">
        <v>4871</v>
      </c>
      <c r="P155" s="133" t="s">
        <v>4281</v>
      </c>
      <c r="Q155" s="133" t="s">
        <v>4872</v>
      </c>
      <c r="R155" s="133" t="s">
        <v>4281</v>
      </c>
      <c r="S155" s="133" t="s">
        <v>4873</v>
      </c>
    </row>
    <row r="156" spans="1:19">
      <c r="A156" s="133" t="s">
        <v>5291</v>
      </c>
      <c r="B156" s="133" t="s">
        <v>4866</v>
      </c>
      <c r="C156" s="133" t="s">
        <v>4279</v>
      </c>
      <c r="D156" s="133" t="s">
        <v>1013</v>
      </c>
      <c r="E156" s="133" t="s">
        <v>3865</v>
      </c>
      <c r="H156" s="133" t="s">
        <v>5292</v>
      </c>
      <c r="I156" s="133" t="s">
        <v>4429</v>
      </c>
      <c r="J156" s="133" t="s">
        <v>4430</v>
      </c>
      <c r="K156" s="133">
        <v>457496.54</v>
      </c>
      <c r="L156" s="133">
        <v>41174.69</v>
      </c>
      <c r="M156" s="133">
        <v>41174.69</v>
      </c>
      <c r="N156" s="133" t="s">
        <v>4280</v>
      </c>
      <c r="O156" s="133" t="s">
        <v>4871</v>
      </c>
      <c r="P156" s="133" t="s">
        <v>4281</v>
      </c>
      <c r="Q156" s="133" t="s">
        <v>4872</v>
      </c>
      <c r="R156" s="133" t="s">
        <v>4281</v>
      </c>
      <c r="S156" s="133" t="s">
        <v>4873</v>
      </c>
    </row>
    <row r="157" spans="1:19">
      <c r="A157" s="133" t="s">
        <v>5293</v>
      </c>
      <c r="B157" s="133" t="s">
        <v>4866</v>
      </c>
      <c r="C157" s="133" t="s">
        <v>4279</v>
      </c>
      <c r="D157" s="133" t="s">
        <v>1013</v>
      </c>
      <c r="E157" s="133" t="s">
        <v>3892</v>
      </c>
      <c r="H157" s="133" t="s">
        <v>5282</v>
      </c>
      <c r="I157" s="133" t="s">
        <v>4429</v>
      </c>
      <c r="J157" s="133" t="s">
        <v>4430</v>
      </c>
      <c r="K157" s="133">
        <v>3640446.94</v>
      </c>
      <c r="L157" s="133">
        <v>327640.21999999997</v>
      </c>
      <c r="M157" s="133">
        <v>327640.21999999997</v>
      </c>
      <c r="N157" s="133" t="s">
        <v>4280</v>
      </c>
      <c r="O157" s="133" t="s">
        <v>4871</v>
      </c>
      <c r="P157" s="133" t="s">
        <v>4281</v>
      </c>
      <c r="Q157" s="133" t="s">
        <v>4872</v>
      </c>
      <c r="R157" s="133" t="s">
        <v>4281</v>
      </c>
      <c r="S157" s="133" t="s">
        <v>4873</v>
      </c>
    </row>
    <row r="158" spans="1:19">
      <c r="A158" s="133" t="s">
        <v>5294</v>
      </c>
      <c r="B158" s="133" t="s">
        <v>4866</v>
      </c>
      <c r="C158" s="133" t="s">
        <v>4279</v>
      </c>
      <c r="D158" s="133" t="s">
        <v>1013</v>
      </c>
      <c r="E158" s="133" t="s">
        <v>3904</v>
      </c>
      <c r="H158" s="133" t="s">
        <v>5287</v>
      </c>
      <c r="I158" s="133" t="s">
        <v>4429</v>
      </c>
      <c r="J158" s="133" t="s">
        <v>4430</v>
      </c>
      <c r="K158" s="133">
        <v>13447798</v>
      </c>
      <c r="L158" s="133">
        <v>1748213.74</v>
      </c>
      <c r="M158" s="133">
        <v>1748213.74</v>
      </c>
      <c r="N158" s="133" t="s">
        <v>4280</v>
      </c>
      <c r="O158" s="133" t="s">
        <v>4871</v>
      </c>
      <c r="P158" s="133" t="s">
        <v>4281</v>
      </c>
      <c r="Q158" s="133" t="s">
        <v>4872</v>
      </c>
      <c r="R158" s="133" t="s">
        <v>4281</v>
      </c>
      <c r="S158" s="133" t="s">
        <v>4873</v>
      </c>
    </row>
    <row r="159" spans="1:19">
      <c r="A159" s="133" t="s">
        <v>5295</v>
      </c>
      <c r="B159" s="133" t="s">
        <v>4866</v>
      </c>
      <c r="C159" s="133" t="s">
        <v>4279</v>
      </c>
      <c r="D159" s="133" t="s">
        <v>1013</v>
      </c>
      <c r="E159" s="133" t="s">
        <v>3943</v>
      </c>
      <c r="H159" s="133" t="s">
        <v>5296</v>
      </c>
      <c r="I159" s="133" t="s">
        <v>4429</v>
      </c>
      <c r="J159" s="133" t="s">
        <v>4430</v>
      </c>
      <c r="K159" s="133">
        <v>3524796.44</v>
      </c>
      <c r="L159" s="133">
        <v>458223.54</v>
      </c>
      <c r="M159" s="133">
        <v>458223.54</v>
      </c>
      <c r="N159" s="133" t="s">
        <v>4280</v>
      </c>
      <c r="O159" s="133" t="s">
        <v>4871</v>
      </c>
      <c r="P159" s="133" t="s">
        <v>4281</v>
      </c>
      <c r="Q159" s="133" t="s">
        <v>4872</v>
      </c>
      <c r="R159" s="133" t="s">
        <v>4281</v>
      </c>
      <c r="S159" s="133" t="s">
        <v>4873</v>
      </c>
    </row>
    <row r="160" spans="1:19">
      <c r="A160" s="133" t="s">
        <v>5297</v>
      </c>
      <c r="B160" s="133" t="s">
        <v>4866</v>
      </c>
      <c r="C160" s="133" t="s">
        <v>4279</v>
      </c>
      <c r="D160" s="133" t="s">
        <v>1013</v>
      </c>
      <c r="E160" s="133" t="s">
        <v>4009</v>
      </c>
      <c r="H160" s="133" t="s">
        <v>5280</v>
      </c>
      <c r="I160" s="133" t="s">
        <v>4429</v>
      </c>
      <c r="J160" s="133" t="s">
        <v>4430</v>
      </c>
      <c r="K160" s="133">
        <v>28300.880000000001</v>
      </c>
      <c r="L160" s="133">
        <v>3679.11</v>
      </c>
      <c r="M160" s="133">
        <v>3679.11</v>
      </c>
      <c r="N160" s="133" t="s">
        <v>4280</v>
      </c>
      <c r="O160" s="133" t="s">
        <v>4871</v>
      </c>
      <c r="P160" s="133" t="s">
        <v>4281</v>
      </c>
      <c r="Q160" s="133" t="s">
        <v>4872</v>
      </c>
      <c r="R160" s="133" t="s">
        <v>4281</v>
      </c>
      <c r="S160" s="133" t="s">
        <v>4873</v>
      </c>
    </row>
    <row r="161" spans="1:19">
      <c r="A161" s="133" t="s">
        <v>5298</v>
      </c>
      <c r="B161" s="133" t="s">
        <v>4866</v>
      </c>
      <c r="C161" s="133" t="s">
        <v>4279</v>
      </c>
      <c r="D161" s="133" t="s">
        <v>1013</v>
      </c>
      <c r="E161" s="133" t="s">
        <v>4027</v>
      </c>
      <c r="H161" s="133" t="s">
        <v>5280</v>
      </c>
      <c r="I161" s="133" t="s">
        <v>4429</v>
      </c>
      <c r="J161" s="133" t="s">
        <v>4430</v>
      </c>
      <c r="K161" s="133">
        <v>149410.62</v>
      </c>
      <c r="L161" s="133">
        <v>19423.38</v>
      </c>
      <c r="M161" s="133">
        <v>19423.38</v>
      </c>
      <c r="N161" s="133" t="s">
        <v>4280</v>
      </c>
      <c r="O161" s="133" t="s">
        <v>4871</v>
      </c>
      <c r="P161" s="133" t="s">
        <v>4281</v>
      </c>
      <c r="Q161" s="133" t="s">
        <v>4872</v>
      </c>
      <c r="R161" s="133" t="s">
        <v>4281</v>
      </c>
      <c r="S161" s="133" t="s">
        <v>4873</v>
      </c>
    </row>
    <row r="162" spans="1:19">
      <c r="A162" s="133" t="s">
        <v>5299</v>
      </c>
      <c r="B162" s="133" t="s">
        <v>4866</v>
      </c>
      <c r="C162" s="133" t="s">
        <v>4279</v>
      </c>
      <c r="D162" s="133" t="s">
        <v>1013</v>
      </c>
      <c r="E162" s="133" t="s">
        <v>3898</v>
      </c>
      <c r="H162" s="133" t="s">
        <v>5282</v>
      </c>
      <c r="I162" s="133" t="s">
        <v>4429</v>
      </c>
      <c r="J162" s="133" t="s">
        <v>4430</v>
      </c>
      <c r="K162" s="133">
        <v>3302752.3</v>
      </c>
      <c r="L162" s="133">
        <v>297247.71000000002</v>
      </c>
      <c r="M162" s="133">
        <v>297247.71000000002</v>
      </c>
      <c r="N162" s="133" t="s">
        <v>4280</v>
      </c>
      <c r="O162" s="133" t="s">
        <v>4871</v>
      </c>
      <c r="P162" s="133" t="s">
        <v>4281</v>
      </c>
      <c r="Q162" s="133" t="s">
        <v>4872</v>
      </c>
      <c r="R162" s="133" t="s">
        <v>4281</v>
      </c>
      <c r="S162" s="133" t="s">
        <v>4873</v>
      </c>
    </row>
    <row r="163" spans="1:19">
      <c r="A163" s="133" t="s">
        <v>5300</v>
      </c>
      <c r="B163" s="133" t="s">
        <v>4866</v>
      </c>
      <c r="C163" s="133" t="s">
        <v>4279</v>
      </c>
      <c r="D163" s="133" t="s">
        <v>1013</v>
      </c>
      <c r="E163" s="133" t="s">
        <v>3958</v>
      </c>
      <c r="H163" s="133" t="s">
        <v>5278</v>
      </c>
      <c r="I163" s="133" t="s">
        <v>4429</v>
      </c>
      <c r="J163" s="133" t="s">
        <v>4430</v>
      </c>
      <c r="K163" s="133">
        <v>44339.64</v>
      </c>
      <c r="L163" s="133">
        <v>2660.38</v>
      </c>
      <c r="M163" s="133">
        <v>2660.38</v>
      </c>
      <c r="N163" s="133" t="s">
        <v>4280</v>
      </c>
      <c r="O163" s="133" t="s">
        <v>4871</v>
      </c>
      <c r="P163" s="133" t="s">
        <v>4281</v>
      </c>
      <c r="Q163" s="133" t="s">
        <v>4872</v>
      </c>
      <c r="R163" s="133" t="s">
        <v>4281</v>
      </c>
      <c r="S163" s="133" t="s">
        <v>4873</v>
      </c>
    </row>
    <row r="164" spans="1:19">
      <c r="A164" s="133" t="s">
        <v>4729</v>
      </c>
      <c r="B164" s="133" t="s">
        <v>4866</v>
      </c>
      <c r="C164" s="133" t="s">
        <v>4279</v>
      </c>
      <c r="D164" s="133" t="s">
        <v>1013</v>
      </c>
      <c r="E164" s="133" t="s">
        <v>3871</v>
      </c>
      <c r="H164" s="133" t="s">
        <v>5276</v>
      </c>
      <c r="I164" s="133" t="s">
        <v>4429</v>
      </c>
      <c r="J164" s="133" t="s">
        <v>4430</v>
      </c>
      <c r="K164" s="133">
        <v>182389.94</v>
      </c>
      <c r="L164" s="133">
        <v>10943.4</v>
      </c>
      <c r="M164" s="133">
        <v>10943.4</v>
      </c>
      <c r="N164" s="133" t="s">
        <v>4280</v>
      </c>
      <c r="O164" s="133" t="s">
        <v>4871</v>
      </c>
      <c r="P164" s="133" t="s">
        <v>4281</v>
      </c>
      <c r="Q164" s="133" t="s">
        <v>4872</v>
      </c>
      <c r="R164" s="133" t="s">
        <v>4281</v>
      </c>
      <c r="S164" s="133" t="s">
        <v>4873</v>
      </c>
    </row>
    <row r="165" spans="1:19">
      <c r="A165" s="133" t="s">
        <v>5301</v>
      </c>
      <c r="B165" s="133" t="s">
        <v>4866</v>
      </c>
      <c r="C165" s="133" t="s">
        <v>4279</v>
      </c>
      <c r="D165" s="133" t="s">
        <v>1013</v>
      </c>
      <c r="E165" s="133" t="s">
        <v>3913</v>
      </c>
      <c r="H165" s="133" t="s">
        <v>5287</v>
      </c>
      <c r="I165" s="133" t="s">
        <v>4429</v>
      </c>
      <c r="J165" s="133" t="s">
        <v>4430</v>
      </c>
      <c r="K165" s="133">
        <v>277227.71999999997</v>
      </c>
      <c r="L165" s="133">
        <v>16633.66</v>
      </c>
      <c r="M165" s="133">
        <v>16633.66</v>
      </c>
      <c r="N165" s="133" t="s">
        <v>4280</v>
      </c>
      <c r="O165" s="133" t="s">
        <v>4871</v>
      </c>
      <c r="P165" s="133" t="s">
        <v>4281</v>
      </c>
      <c r="Q165" s="133" t="s">
        <v>4872</v>
      </c>
      <c r="R165" s="133" t="s">
        <v>4281</v>
      </c>
      <c r="S165" s="133" t="s">
        <v>4873</v>
      </c>
    </row>
    <row r="166" spans="1:19">
      <c r="A166" s="133" t="s">
        <v>5302</v>
      </c>
      <c r="B166" s="133" t="s">
        <v>4866</v>
      </c>
      <c r="C166" s="133" t="s">
        <v>4279</v>
      </c>
      <c r="D166" s="133" t="s">
        <v>1013</v>
      </c>
      <c r="E166" s="133" t="s">
        <v>3949</v>
      </c>
      <c r="H166" s="133" t="s">
        <v>5278</v>
      </c>
      <c r="I166" s="133" t="s">
        <v>4429</v>
      </c>
      <c r="J166" s="133" t="s">
        <v>4430</v>
      </c>
      <c r="K166" s="133">
        <v>5028053.0999999996</v>
      </c>
      <c r="L166" s="133">
        <v>653646.9</v>
      </c>
      <c r="M166" s="133">
        <v>653646.9</v>
      </c>
      <c r="N166" s="133" t="s">
        <v>4280</v>
      </c>
      <c r="O166" s="133" t="s">
        <v>4871</v>
      </c>
      <c r="P166" s="133" t="s">
        <v>4281</v>
      </c>
      <c r="Q166" s="133" t="s">
        <v>4872</v>
      </c>
      <c r="R166" s="133" t="s">
        <v>4281</v>
      </c>
      <c r="S166" s="133" t="s">
        <v>4873</v>
      </c>
    </row>
    <row r="167" spans="1:19">
      <c r="A167" s="133" t="s">
        <v>5303</v>
      </c>
      <c r="B167" s="133" t="s">
        <v>4866</v>
      </c>
      <c r="C167" s="133" t="s">
        <v>4279</v>
      </c>
      <c r="D167" s="133" t="s">
        <v>1013</v>
      </c>
      <c r="E167" s="133" t="s">
        <v>4000</v>
      </c>
      <c r="H167" s="133" t="s">
        <v>5280</v>
      </c>
      <c r="I167" s="133" t="s">
        <v>4429</v>
      </c>
      <c r="J167" s="133" t="s">
        <v>4430</v>
      </c>
      <c r="K167" s="133">
        <v>24286.720000000001</v>
      </c>
      <c r="L167" s="133">
        <v>3157.27</v>
      </c>
      <c r="M167" s="133">
        <v>3157.27</v>
      </c>
      <c r="N167" s="133" t="s">
        <v>4280</v>
      </c>
      <c r="O167" s="133" t="s">
        <v>4871</v>
      </c>
      <c r="P167" s="133" t="s">
        <v>4281</v>
      </c>
      <c r="Q167" s="133" t="s">
        <v>4872</v>
      </c>
      <c r="R167" s="133" t="s">
        <v>4281</v>
      </c>
      <c r="S167" s="133" t="s">
        <v>4873</v>
      </c>
    </row>
    <row r="168" spans="1:19">
      <c r="A168" s="133" t="s">
        <v>5304</v>
      </c>
      <c r="B168" s="133" t="s">
        <v>4866</v>
      </c>
      <c r="C168" s="133" t="s">
        <v>4279</v>
      </c>
      <c r="D168" s="133" t="s">
        <v>1013</v>
      </c>
      <c r="E168" s="133" t="s">
        <v>3868</v>
      </c>
      <c r="H168" s="133" t="s">
        <v>5276</v>
      </c>
      <c r="I168" s="133" t="s">
        <v>4429</v>
      </c>
      <c r="J168" s="133" t="s">
        <v>4430</v>
      </c>
      <c r="K168" s="133">
        <v>132075.48000000001</v>
      </c>
      <c r="L168" s="133">
        <v>7924.53</v>
      </c>
      <c r="M168" s="133">
        <v>7924.53</v>
      </c>
      <c r="N168" s="133" t="s">
        <v>4280</v>
      </c>
      <c r="O168" s="133" t="s">
        <v>4871</v>
      </c>
      <c r="P168" s="133" t="s">
        <v>4281</v>
      </c>
      <c r="Q168" s="133" t="s">
        <v>4872</v>
      </c>
      <c r="R168" s="133" t="s">
        <v>4281</v>
      </c>
      <c r="S168" s="133" t="s">
        <v>4873</v>
      </c>
    </row>
    <row r="169" spans="1:19">
      <c r="A169" s="133" t="s">
        <v>5305</v>
      </c>
      <c r="B169" s="133" t="s">
        <v>4866</v>
      </c>
      <c r="C169" s="133" t="s">
        <v>4279</v>
      </c>
      <c r="D169" s="133" t="s">
        <v>1013</v>
      </c>
      <c r="E169" s="133" t="s">
        <v>3988</v>
      </c>
      <c r="H169" s="133" t="s">
        <v>5284</v>
      </c>
      <c r="I169" s="133" t="s">
        <v>4429</v>
      </c>
      <c r="J169" s="133" t="s">
        <v>4430</v>
      </c>
      <c r="K169" s="133">
        <v>135092.04</v>
      </c>
      <c r="L169" s="133">
        <v>17561.97</v>
      </c>
      <c r="M169" s="133">
        <v>17561.97</v>
      </c>
      <c r="N169" s="133" t="s">
        <v>4280</v>
      </c>
      <c r="O169" s="133" t="s">
        <v>4871</v>
      </c>
      <c r="P169" s="133" t="s">
        <v>4281</v>
      </c>
      <c r="Q169" s="133" t="s">
        <v>4872</v>
      </c>
      <c r="R169" s="133" t="s">
        <v>4281</v>
      </c>
      <c r="S169" s="133" t="s">
        <v>4873</v>
      </c>
    </row>
    <row r="170" spans="1:19">
      <c r="A170" s="133" t="s">
        <v>5306</v>
      </c>
      <c r="B170" s="133" t="s">
        <v>4866</v>
      </c>
      <c r="C170" s="133" t="s">
        <v>4279</v>
      </c>
      <c r="D170" s="133" t="s">
        <v>1013</v>
      </c>
      <c r="E170" s="133" t="s">
        <v>4012</v>
      </c>
      <c r="H170" s="133" t="s">
        <v>5280</v>
      </c>
      <c r="I170" s="133" t="s">
        <v>4429</v>
      </c>
      <c r="J170" s="133" t="s">
        <v>4430</v>
      </c>
      <c r="K170" s="133">
        <v>901787.78</v>
      </c>
      <c r="L170" s="133">
        <v>117232.41</v>
      </c>
      <c r="M170" s="133">
        <v>117232.41</v>
      </c>
      <c r="N170" s="133" t="s">
        <v>4280</v>
      </c>
      <c r="O170" s="133" t="s">
        <v>4871</v>
      </c>
      <c r="P170" s="133" t="s">
        <v>4281</v>
      </c>
      <c r="Q170" s="133" t="s">
        <v>4872</v>
      </c>
      <c r="R170" s="133" t="s">
        <v>4281</v>
      </c>
      <c r="S170" s="133" t="s">
        <v>4873</v>
      </c>
    </row>
    <row r="171" spans="1:19">
      <c r="A171" s="133" t="s">
        <v>5307</v>
      </c>
      <c r="B171" s="133" t="s">
        <v>4866</v>
      </c>
      <c r="C171" s="133" t="s">
        <v>4279</v>
      </c>
      <c r="D171" s="133" t="s">
        <v>1013</v>
      </c>
      <c r="E171" s="133" t="s">
        <v>3841</v>
      </c>
      <c r="H171" s="133" t="s">
        <v>5308</v>
      </c>
      <c r="I171" s="133" t="s">
        <v>4429</v>
      </c>
      <c r="J171" s="133" t="s">
        <v>4430</v>
      </c>
      <c r="K171" s="133">
        <v>596999.22</v>
      </c>
      <c r="L171" s="133">
        <v>53729.93</v>
      </c>
      <c r="M171" s="133">
        <v>53729.93</v>
      </c>
      <c r="N171" s="133" t="s">
        <v>4280</v>
      </c>
      <c r="O171" s="133" t="s">
        <v>4871</v>
      </c>
      <c r="P171" s="133" t="s">
        <v>4281</v>
      </c>
      <c r="Q171" s="133" t="s">
        <v>4872</v>
      </c>
      <c r="R171" s="133" t="s">
        <v>4281</v>
      </c>
      <c r="S171" s="133" t="s">
        <v>4873</v>
      </c>
    </row>
    <row r="172" spans="1:19">
      <c r="A172" s="133" t="s">
        <v>5309</v>
      </c>
      <c r="B172" s="133" t="s">
        <v>4866</v>
      </c>
      <c r="C172" s="133" t="s">
        <v>4279</v>
      </c>
      <c r="D172" s="133" t="s">
        <v>1013</v>
      </c>
      <c r="E172" s="133" t="s">
        <v>3856</v>
      </c>
      <c r="H172" s="133" t="s">
        <v>5276</v>
      </c>
      <c r="I172" s="133" t="s">
        <v>4429</v>
      </c>
      <c r="J172" s="133" t="s">
        <v>4430</v>
      </c>
      <c r="K172" s="133">
        <v>182389.94</v>
      </c>
      <c r="L172" s="133">
        <v>10943.4</v>
      </c>
      <c r="M172" s="133">
        <v>10943.4</v>
      </c>
      <c r="N172" s="133" t="s">
        <v>4280</v>
      </c>
      <c r="O172" s="133" t="s">
        <v>4871</v>
      </c>
      <c r="P172" s="133" t="s">
        <v>4281</v>
      </c>
      <c r="Q172" s="133" t="s">
        <v>4872</v>
      </c>
      <c r="R172" s="133" t="s">
        <v>4281</v>
      </c>
      <c r="S172" s="133" t="s">
        <v>4873</v>
      </c>
    </row>
    <row r="173" spans="1:19">
      <c r="A173" s="133" t="s">
        <v>5310</v>
      </c>
      <c r="B173" s="133" t="s">
        <v>4866</v>
      </c>
      <c r="C173" s="133" t="s">
        <v>4279</v>
      </c>
      <c r="D173" s="133" t="s">
        <v>1013</v>
      </c>
      <c r="E173" s="133" t="s">
        <v>3970</v>
      </c>
      <c r="H173" s="133" t="s">
        <v>5296</v>
      </c>
      <c r="I173" s="133" t="s">
        <v>4429</v>
      </c>
      <c r="J173" s="133" t="s">
        <v>4430</v>
      </c>
      <c r="K173" s="133">
        <v>186173.8</v>
      </c>
      <c r="L173" s="133">
        <v>24202.59</v>
      </c>
      <c r="M173" s="133">
        <v>24202.59</v>
      </c>
      <c r="N173" s="133" t="s">
        <v>4280</v>
      </c>
      <c r="O173" s="133" t="s">
        <v>4871</v>
      </c>
      <c r="P173" s="133" t="s">
        <v>4281</v>
      </c>
      <c r="Q173" s="133" t="s">
        <v>4872</v>
      </c>
      <c r="R173" s="133" t="s">
        <v>4281</v>
      </c>
      <c r="S173" s="133" t="s">
        <v>4873</v>
      </c>
    </row>
    <row r="174" spans="1:19">
      <c r="A174" s="133" t="s">
        <v>5311</v>
      </c>
      <c r="B174" s="133" t="s">
        <v>4866</v>
      </c>
      <c r="C174" s="133" t="s">
        <v>4279</v>
      </c>
      <c r="D174" s="133" t="s">
        <v>1013</v>
      </c>
      <c r="E174" s="133" t="s">
        <v>3874</v>
      </c>
      <c r="H174" s="133" t="s">
        <v>5292</v>
      </c>
      <c r="I174" s="133" t="s">
        <v>4429</v>
      </c>
      <c r="J174" s="133" t="s">
        <v>4430</v>
      </c>
      <c r="K174" s="133">
        <v>24863938.120000001</v>
      </c>
      <c r="L174" s="133">
        <v>3232311.96</v>
      </c>
      <c r="M174" s="133">
        <v>3232311.96</v>
      </c>
      <c r="N174" s="133" t="s">
        <v>4280</v>
      </c>
      <c r="O174" s="133" t="s">
        <v>4871</v>
      </c>
      <c r="P174" s="133" t="s">
        <v>4281</v>
      </c>
      <c r="Q174" s="133" t="s">
        <v>4872</v>
      </c>
      <c r="R174" s="133" t="s">
        <v>4281</v>
      </c>
      <c r="S174" s="133" t="s">
        <v>4873</v>
      </c>
    </row>
    <row r="175" spans="1:19">
      <c r="A175" s="133" t="s">
        <v>5312</v>
      </c>
      <c r="B175" s="133" t="s">
        <v>4866</v>
      </c>
      <c r="C175" s="133" t="s">
        <v>4279</v>
      </c>
      <c r="D175" s="133" t="s">
        <v>1013</v>
      </c>
      <c r="E175" s="133" t="s">
        <v>3952</v>
      </c>
      <c r="H175" s="133" t="s">
        <v>5296</v>
      </c>
      <c r="I175" s="133" t="s">
        <v>4429</v>
      </c>
      <c r="J175" s="133" t="s">
        <v>4430</v>
      </c>
      <c r="K175" s="133">
        <v>230072.64</v>
      </c>
      <c r="L175" s="133">
        <v>13804.36</v>
      </c>
      <c r="M175" s="133">
        <v>13804.36</v>
      </c>
      <c r="N175" s="133" t="s">
        <v>4280</v>
      </c>
      <c r="O175" s="133" t="s">
        <v>4871</v>
      </c>
      <c r="P175" s="133" t="s">
        <v>4281</v>
      </c>
      <c r="Q175" s="133" t="s">
        <v>4872</v>
      </c>
      <c r="R175" s="133" t="s">
        <v>4281</v>
      </c>
      <c r="S175" s="133" t="s">
        <v>4873</v>
      </c>
    </row>
    <row r="176" spans="1:19">
      <c r="A176" s="133" t="s">
        <v>5313</v>
      </c>
      <c r="B176" s="133" t="s">
        <v>4866</v>
      </c>
      <c r="C176" s="133" t="s">
        <v>4279</v>
      </c>
      <c r="D176" s="133" t="s">
        <v>1013</v>
      </c>
      <c r="E176" s="133" t="s">
        <v>3838</v>
      </c>
      <c r="H176" s="133" t="s">
        <v>5314</v>
      </c>
      <c r="I176" s="133" t="s">
        <v>4429</v>
      </c>
      <c r="J176" s="133" t="s">
        <v>4430</v>
      </c>
      <c r="K176" s="133">
        <v>33018.86</v>
      </c>
      <c r="L176" s="133">
        <v>1981.13</v>
      </c>
      <c r="M176" s="133">
        <v>1981.13</v>
      </c>
      <c r="N176" s="133" t="s">
        <v>4280</v>
      </c>
      <c r="O176" s="133" t="s">
        <v>4871</v>
      </c>
      <c r="P176" s="133" t="s">
        <v>4281</v>
      </c>
      <c r="Q176" s="133" t="s">
        <v>4872</v>
      </c>
      <c r="R176" s="133" t="s">
        <v>4281</v>
      </c>
      <c r="S176" s="133" t="s">
        <v>4873</v>
      </c>
    </row>
    <row r="177" spans="1:19">
      <c r="A177" s="133" t="s">
        <v>5315</v>
      </c>
      <c r="B177" s="133" t="s">
        <v>4866</v>
      </c>
      <c r="C177" s="133" t="s">
        <v>4279</v>
      </c>
      <c r="D177" s="133" t="s">
        <v>1013</v>
      </c>
      <c r="E177" s="133" t="s">
        <v>3883</v>
      </c>
      <c r="H177" s="133" t="s">
        <v>5276</v>
      </c>
      <c r="I177" s="133" t="s">
        <v>4429</v>
      </c>
      <c r="J177" s="133" t="s">
        <v>4430</v>
      </c>
      <c r="K177" s="133">
        <v>7990736.4199999999</v>
      </c>
      <c r="L177" s="133">
        <v>719166.28</v>
      </c>
      <c r="M177" s="133">
        <v>719166.28</v>
      </c>
      <c r="N177" s="133" t="s">
        <v>4280</v>
      </c>
      <c r="O177" s="133" t="s">
        <v>4871</v>
      </c>
      <c r="P177" s="133" t="s">
        <v>4281</v>
      </c>
      <c r="Q177" s="133" t="s">
        <v>4872</v>
      </c>
      <c r="R177" s="133" t="s">
        <v>4281</v>
      </c>
      <c r="S177" s="133" t="s">
        <v>4873</v>
      </c>
    </row>
    <row r="178" spans="1:19">
      <c r="A178" s="133" t="s">
        <v>5316</v>
      </c>
      <c r="B178" s="133" t="s">
        <v>4866</v>
      </c>
      <c r="C178" s="133" t="s">
        <v>4279</v>
      </c>
      <c r="D178" s="133" t="s">
        <v>1013</v>
      </c>
      <c r="E178" s="133" t="s">
        <v>3928</v>
      </c>
      <c r="H178" s="133" t="s">
        <v>5287</v>
      </c>
      <c r="I178" s="133" t="s">
        <v>4429</v>
      </c>
      <c r="J178" s="133" t="s">
        <v>4430</v>
      </c>
      <c r="K178" s="133">
        <v>198019.8</v>
      </c>
      <c r="L178" s="133">
        <v>11881.19</v>
      </c>
      <c r="M178" s="133">
        <v>11881.19</v>
      </c>
      <c r="N178" s="133" t="s">
        <v>4280</v>
      </c>
      <c r="O178" s="133" t="s">
        <v>4871</v>
      </c>
      <c r="P178" s="133" t="s">
        <v>4281</v>
      </c>
      <c r="Q178" s="133" t="s">
        <v>4872</v>
      </c>
      <c r="R178" s="133" t="s">
        <v>4281</v>
      </c>
      <c r="S178" s="133" t="s">
        <v>4873</v>
      </c>
    </row>
    <row r="179" spans="1:19">
      <c r="A179" s="133" t="s">
        <v>5317</v>
      </c>
      <c r="B179" s="133" t="s">
        <v>4866</v>
      </c>
      <c r="C179" s="133" t="s">
        <v>4279</v>
      </c>
      <c r="D179" s="133" t="s">
        <v>1013</v>
      </c>
      <c r="E179" s="133" t="s">
        <v>3976</v>
      </c>
      <c r="H179" s="133" t="s">
        <v>5278</v>
      </c>
      <c r="I179" s="133" t="s">
        <v>4429</v>
      </c>
      <c r="J179" s="133" t="s">
        <v>4430</v>
      </c>
      <c r="K179" s="133">
        <v>56603.78</v>
      </c>
      <c r="L179" s="133">
        <v>3396.23</v>
      </c>
      <c r="M179" s="133">
        <v>3396.23</v>
      </c>
      <c r="N179" s="133" t="s">
        <v>4280</v>
      </c>
      <c r="O179" s="133" t="s">
        <v>4871</v>
      </c>
      <c r="P179" s="133" t="s">
        <v>4281</v>
      </c>
      <c r="Q179" s="133" t="s">
        <v>4872</v>
      </c>
      <c r="R179" s="133" t="s">
        <v>4281</v>
      </c>
      <c r="S179" s="133" t="s">
        <v>4873</v>
      </c>
    </row>
    <row r="180" spans="1:19">
      <c r="A180" s="133" t="s">
        <v>5318</v>
      </c>
      <c r="B180" s="133" t="s">
        <v>4866</v>
      </c>
      <c r="C180" s="133" t="s">
        <v>4279</v>
      </c>
      <c r="D180" s="133" t="s">
        <v>1013</v>
      </c>
      <c r="E180" s="133" t="s">
        <v>3877</v>
      </c>
      <c r="H180" s="133" t="s">
        <v>5292</v>
      </c>
      <c r="I180" s="133" t="s">
        <v>4429</v>
      </c>
      <c r="J180" s="133" t="s">
        <v>4430</v>
      </c>
      <c r="K180" s="133">
        <v>211132.08</v>
      </c>
      <c r="L180" s="133">
        <v>12667.92</v>
      </c>
      <c r="M180" s="133">
        <v>12667.92</v>
      </c>
      <c r="N180" s="133" t="s">
        <v>4280</v>
      </c>
      <c r="O180" s="133" t="s">
        <v>4871</v>
      </c>
      <c r="P180" s="133" t="s">
        <v>4281</v>
      </c>
      <c r="Q180" s="133" t="s">
        <v>4872</v>
      </c>
      <c r="R180" s="133" t="s">
        <v>4281</v>
      </c>
      <c r="S180" s="133" t="s">
        <v>4873</v>
      </c>
    </row>
    <row r="181" spans="1:19">
      <c r="A181" s="133" t="s">
        <v>5319</v>
      </c>
      <c r="B181" s="133" t="s">
        <v>4866</v>
      </c>
      <c r="C181" s="133" t="s">
        <v>4279</v>
      </c>
      <c r="D181" s="133" t="s">
        <v>1013</v>
      </c>
      <c r="E181" s="133" t="s">
        <v>3982</v>
      </c>
      <c r="H181" s="133" t="s">
        <v>5284</v>
      </c>
      <c r="I181" s="133" t="s">
        <v>4429</v>
      </c>
      <c r="J181" s="133" t="s">
        <v>4430</v>
      </c>
      <c r="K181" s="133">
        <v>193943.36</v>
      </c>
      <c r="L181" s="133">
        <v>25212.639999999999</v>
      </c>
      <c r="M181" s="133">
        <v>25212.639999999999</v>
      </c>
      <c r="N181" s="133" t="s">
        <v>4280</v>
      </c>
      <c r="O181" s="133" t="s">
        <v>4871</v>
      </c>
      <c r="P181" s="133" t="s">
        <v>4281</v>
      </c>
      <c r="Q181" s="133" t="s">
        <v>4872</v>
      </c>
      <c r="R181" s="133" t="s">
        <v>4281</v>
      </c>
      <c r="S181" s="133" t="s">
        <v>4873</v>
      </c>
    </row>
    <row r="182" spans="1:19">
      <c r="A182" s="133" t="s">
        <v>5320</v>
      </c>
      <c r="B182" s="133" t="s">
        <v>4866</v>
      </c>
      <c r="C182" s="133" t="s">
        <v>4279</v>
      </c>
      <c r="D182" s="133" t="s">
        <v>1013</v>
      </c>
      <c r="E182" s="133" t="s">
        <v>4030</v>
      </c>
      <c r="H182" s="133" t="s">
        <v>5284</v>
      </c>
      <c r="I182" s="133" t="s">
        <v>4429</v>
      </c>
      <c r="J182" s="133" t="s">
        <v>4430</v>
      </c>
      <c r="K182" s="133">
        <v>103579.66</v>
      </c>
      <c r="L182" s="133">
        <v>13465.36</v>
      </c>
      <c r="M182" s="133">
        <v>13465.36</v>
      </c>
      <c r="N182" s="133" t="s">
        <v>4280</v>
      </c>
      <c r="O182" s="133" t="s">
        <v>4871</v>
      </c>
      <c r="P182" s="133" t="s">
        <v>4281</v>
      </c>
      <c r="Q182" s="133" t="s">
        <v>4872</v>
      </c>
      <c r="R182" s="133" t="s">
        <v>4281</v>
      </c>
      <c r="S182" s="133" t="s">
        <v>4873</v>
      </c>
    </row>
    <row r="183" spans="1:19">
      <c r="A183" s="133" t="s">
        <v>5321</v>
      </c>
      <c r="B183" s="133" t="s">
        <v>4866</v>
      </c>
      <c r="C183" s="133" t="s">
        <v>4279</v>
      </c>
      <c r="D183" s="133" t="s">
        <v>1013</v>
      </c>
      <c r="E183" s="133" t="s">
        <v>4015</v>
      </c>
      <c r="H183" s="133" t="s">
        <v>5322</v>
      </c>
      <c r="I183" s="133" t="s">
        <v>4429</v>
      </c>
      <c r="J183" s="133" t="s">
        <v>4430</v>
      </c>
      <c r="K183" s="133">
        <v>1001197.06</v>
      </c>
      <c r="L183" s="133">
        <v>130155.62</v>
      </c>
      <c r="M183" s="133">
        <v>130155.62</v>
      </c>
      <c r="N183" s="133" t="s">
        <v>4280</v>
      </c>
      <c r="O183" s="133" t="s">
        <v>4871</v>
      </c>
      <c r="P183" s="133" t="s">
        <v>4281</v>
      </c>
      <c r="Q183" s="133" t="s">
        <v>4872</v>
      </c>
      <c r="R183" s="133" t="s">
        <v>4281</v>
      </c>
      <c r="S183" s="133" t="s">
        <v>4873</v>
      </c>
    </row>
    <row r="184" spans="1:19">
      <c r="A184" s="133" t="s">
        <v>5323</v>
      </c>
      <c r="B184" s="133" t="s">
        <v>4866</v>
      </c>
      <c r="C184" s="133" t="s">
        <v>4279</v>
      </c>
      <c r="D184" s="133" t="s">
        <v>1013</v>
      </c>
      <c r="E184" s="133" t="s">
        <v>3847</v>
      </c>
      <c r="H184" s="133" t="s">
        <v>5276</v>
      </c>
      <c r="I184" s="133" t="s">
        <v>4429</v>
      </c>
      <c r="J184" s="133" t="s">
        <v>4430</v>
      </c>
      <c r="K184" s="133">
        <v>942623.86</v>
      </c>
      <c r="L184" s="133">
        <v>84836.15</v>
      </c>
      <c r="M184" s="133">
        <v>84836.15</v>
      </c>
      <c r="N184" s="133" t="s">
        <v>4280</v>
      </c>
      <c r="O184" s="133" t="s">
        <v>4871</v>
      </c>
      <c r="P184" s="133" t="s">
        <v>4281</v>
      </c>
      <c r="Q184" s="133" t="s">
        <v>4872</v>
      </c>
      <c r="R184" s="133" t="s">
        <v>4281</v>
      </c>
      <c r="S184" s="133" t="s">
        <v>4873</v>
      </c>
    </row>
    <row r="185" spans="1:19">
      <c r="A185" s="133" t="s">
        <v>5324</v>
      </c>
      <c r="B185" s="133" t="s">
        <v>4866</v>
      </c>
      <c r="C185" s="133" t="s">
        <v>4279</v>
      </c>
      <c r="D185" s="133" t="s">
        <v>1013</v>
      </c>
      <c r="E185" s="133" t="s">
        <v>3862</v>
      </c>
      <c r="H185" s="133" t="s">
        <v>5276</v>
      </c>
      <c r="I185" s="133" t="s">
        <v>4429</v>
      </c>
      <c r="J185" s="133" t="s">
        <v>4430</v>
      </c>
      <c r="K185" s="133">
        <v>14207964.640000001</v>
      </c>
      <c r="L185" s="133">
        <v>1847035.4</v>
      </c>
      <c r="M185" s="133">
        <v>1847035.4</v>
      </c>
      <c r="N185" s="133" t="s">
        <v>4280</v>
      </c>
      <c r="O185" s="133" t="s">
        <v>4871</v>
      </c>
      <c r="P185" s="133" t="s">
        <v>4281</v>
      </c>
      <c r="Q185" s="133" t="s">
        <v>4872</v>
      </c>
      <c r="R185" s="133" t="s">
        <v>4281</v>
      </c>
      <c r="S185" s="133" t="s">
        <v>4873</v>
      </c>
    </row>
    <row r="186" spans="1:19">
      <c r="A186" s="133" t="s">
        <v>5325</v>
      </c>
      <c r="B186" s="133" t="s">
        <v>4866</v>
      </c>
      <c r="C186" s="133" t="s">
        <v>4279</v>
      </c>
      <c r="D186" s="133" t="s">
        <v>1013</v>
      </c>
      <c r="E186" s="133" t="s">
        <v>3889</v>
      </c>
      <c r="H186" s="133" t="s">
        <v>5282</v>
      </c>
      <c r="I186" s="133" t="s">
        <v>4429</v>
      </c>
      <c r="J186" s="133" t="s">
        <v>4430</v>
      </c>
      <c r="K186" s="133">
        <v>457496.52</v>
      </c>
      <c r="L186" s="133">
        <v>41174.69</v>
      </c>
      <c r="M186" s="133">
        <v>41174.69</v>
      </c>
      <c r="N186" s="133" t="s">
        <v>4280</v>
      </c>
      <c r="O186" s="133" t="s">
        <v>4871</v>
      </c>
      <c r="P186" s="133" t="s">
        <v>4281</v>
      </c>
      <c r="Q186" s="133" t="s">
        <v>4872</v>
      </c>
      <c r="R186" s="133" t="s">
        <v>4281</v>
      </c>
      <c r="S186" s="133" t="s">
        <v>4873</v>
      </c>
    </row>
    <row r="187" spans="1:19">
      <c r="A187" s="133" t="s">
        <v>5326</v>
      </c>
      <c r="B187" s="133" t="s">
        <v>4866</v>
      </c>
      <c r="C187" s="133" t="s">
        <v>4279</v>
      </c>
      <c r="D187" s="133" t="s">
        <v>1013</v>
      </c>
      <c r="E187" s="133" t="s">
        <v>3880</v>
      </c>
      <c r="H187" s="133" t="s">
        <v>5282</v>
      </c>
      <c r="I187" s="133" t="s">
        <v>4429</v>
      </c>
      <c r="J187" s="133" t="s">
        <v>4430</v>
      </c>
      <c r="K187" s="133">
        <v>1442846.98</v>
      </c>
      <c r="L187" s="133">
        <v>129856.23</v>
      </c>
      <c r="M187" s="133">
        <v>129856.23</v>
      </c>
      <c r="N187" s="133" t="s">
        <v>4280</v>
      </c>
      <c r="O187" s="133" t="s">
        <v>4871</v>
      </c>
      <c r="P187" s="133" t="s">
        <v>4281</v>
      </c>
      <c r="Q187" s="133" t="s">
        <v>4872</v>
      </c>
      <c r="R187" s="133" t="s">
        <v>4281</v>
      </c>
      <c r="S187" s="133" t="s">
        <v>4873</v>
      </c>
    </row>
    <row r="188" spans="1:19">
      <c r="A188" s="133" t="s">
        <v>5327</v>
      </c>
      <c r="B188" s="133" t="s">
        <v>4866</v>
      </c>
      <c r="C188" s="133" t="s">
        <v>4279</v>
      </c>
      <c r="D188" s="133" t="s">
        <v>1013</v>
      </c>
      <c r="E188" s="133" t="s">
        <v>3886</v>
      </c>
      <c r="H188" s="133" t="s">
        <v>5292</v>
      </c>
      <c r="I188" s="133" t="s">
        <v>4429</v>
      </c>
      <c r="J188" s="133" t="s">
        <v>4430</v>
      </c>
      <c r="K188" s="133">
        <v>30967381.899999999</v>
      </c>
      <c r="L188" s="133">
        <v>2787064.37</v>
      </c>
      <c r="M188" s="133">
        <v>2787064.37</v>
      </c>
      <c r="N188" s="133" t="s">
        <v>4280</v>
      </c>
      <c r="O188" s="133" t="s">
        <v>4871</v>
      </c>
      <c r="P188" s="133" t="s">
        <v>4281</v>
      </c>
      <c r="Q188" s="133" t="s">
        <v>4872</v>
      </c>
      <c r="R188" s="133" t="s">
        <v>4281</v>
      </c>
      <c r="S188" s="133" t="s">
        <v>4873</v>
      </c>
    </row>
    <row r="189" spans="1:19">
      <c r="A189" s="133" t="s">
        <v>5328</v>
      </c>
      <c r="B189" s="133" t="s">
        <v>4866</v>
      </c>
      <c r="C189" s="133" t="s">
        <v>4279</v>
      </c>
      <c r="D189" s="133" t="s">
        <v>1013</v>
      </c>
      <c r="E189" s="133" t="s">
        <v>3967</v>
      </c>
      <c r="H189" s="133" t="s">
        <v>5278</v>
      </c>
      <c r="I189" s="133" t="s">
        <v>4429</v>
      </c>
      <c r="J189" s="133" t="s">
        <v>4430</v>
      </c>
      <c r="K189" s="133">
        <v>987610.62</v>
      </c>
      <c r="L189" s="133">
        <v>128389.38</v>
      </c>
      <c r="M189" s="133">
        <v>128389.38</v>
      </c>
      <c r="N189" s="133" t="s">
        <v>4280</v>
      </c>
      <c r="O189" s="133" t="s">
        <v>4871</v>
      </c>
      <c r="P189" s="133" t="s">
        <v>4281</v>
      </c>
      <c r="Q189" s="133" t="s">
        <v>4872</v>
      </c>
      <c r="R189" s="133" t="s">
        <v>4281</v>
      </c>
      <c r="S189" s="133" t="s">
        <v>4873</v>
      </c>
    </row>
    <row r="190" spans="1:19">
      <c r="A190" s="133" t="s">
        <v>5329</v>
      </c>
      <c r="B190" s="133" t="s">
        <v>4866</v>
      </c>
      <c r="C190" s="133" t="s">
        <v>4279</v>
      </c>
      <c r="D190" s="133" t="s">
        <v>1013</v>
      </c>
      <c r="E190" s="133" t="s">
        <v>4018</v>
      </c>
      <c r="H190" s="133" t="s">
        <v>5280</v>
      </c>
      <c r="I190" s="133" t="s">
        <v>4429</v>
      </c>
      <c r="J190" s="133" t="s">
        <v>4430</v>
      </c>
      <c r="K190" s="133">
        <v>25544.639999999999</v>
      </c>
      <c r="L190" s="133">
        <v>3320.8</v>
      </c>
      <c r="M190" s="133">
        <v>3320.8</v>
      </c>
      <c r="N190" s="133" t="s">
        <v>4280</v>
      </c>
      <c r="O190" s="133" t="s">
        <v>4871</v>
      </c>
      <c r="P190" s="133" t="s">
        <v>4281</v>
      </c>
      <c r="Q190" s="133" t="s">
        <v>4872</v>
      </c>
      <c r="R190" s="133" t="s">
        <v>4281</v>
      </c>
      <c r="S190" s="133" t="s">
        <v>4873</v>
      </c>
    </row>
    <row r="191" spans="1:19">
      <c r="A191" s="133" t="s">
        <v>5330</v>
      </c>
      <c r="B191" s="133" t="s">
        <v>4866</v>
      </c>
      <c r="C191" s="133" t="s">
        <v>4279</v>
      </c>
      <c r="D191" s="133" t="s">
        <v>1013</v>
      </c>
      <c r="E191" s="133" t="s">
        <v>3850</v>
      </c>
      <c r="H191" s="133" t="s">
        <v>5276</v>
      </c>
      <c r="I191" s="133" t="s">
        <v>4429</v>
      </c>
      <c r="J191" s="133" t="s">
        <v>4430</v>
      </c>
      <c r="K191" s="133">
        <v>1613536.52</v>
      </c>
      <c r="L191" s="133">
        <v>145218.29</v>
      </c>
      <c r="M191" s="133">
        <v>145218.29</v>
      </c>
      <c r="N191" s="133" t="s">
        <v>4280</v>
      </c>
      <c r="O191" s="133" t="s">
        <v>4871</v>
      </c>
      <c r="P191" s="133" t="s">
        <v>4281</v>
      </c>
      <c r="Q191" s="133" t="s">
        <v>4872</v>
      </c>
      <c r="R191" s="133" t="s">
        <v>4281</v>
      </c>
      <c r="S191" s="133" t="s">
        <v>4873</v>
      </c>
    </row>
    <row r="192" spans="1:19">
      <c r="A192" s="133" t="s">
        <v>5331</v>
      </c>
      <c r="B192" s="133" t="s">
        <v>4866</v>
      </c>
      <c r="C192" s="133" t="s">
        <v>4279</v>
      </c>
      <c r="D192" s="133" t="s">
        <v>1013</v>
      </c>
      <c r="E192" s="133" t="s">
        <v>3907</v>
      </c>
      <c r="H192" s="133" t="s">
        <v>5287</v>
      </c>
      <c r="I192" s="133" t="s">
        <v>4429</v>
      </c>
      <c r="J192" s="133" t="s">
        <v>4430</v>
      </c>
      <c r="K192" s="133">
        <v>291262.14</v>
      </c>
      <c r="L192" s="133">
        <v>26213.59</v>
      </c>
      <c r="M192" s="133">
        <v>26213.59</v>
      </c>
      <c r="N192" s="133" t="s">
        <v>4280</v>
      </c>
      <c r="O192" s="133" t="s">
        <v>4871</v>
      </c>
      <c r="P192" s="133" t="s">
        <v>4281</v>
      </c>
      <c r="Q192" s="133" t="s">
        <v>4872</v>
      </c>
      <c r="R192" s="133" t="s">
        <v>4281</v>
      </c>
      <c r="S192" s="133" t="s">
        <v>4873</v>
      </c>
    </row>
    <row r="193" spans="1:19">
      <c r="A193" s="133" t="s">
        <v>5332</v>
      </c>
      <c r="B193" s="133" t="s">
        <v>4866</v>
      </c>
      <c r="C193" s="133" t="s">
        <v>4279</v>
      </c>
      <c r="D193" s="133" t="s">
        <v>1013</v>
      </c>
      <c r="E193" s="133" t="s">
        <v>3919</v>
      </c>
      <c r="H193" s="133" t="s">
        <v>5287</v>
      </c>
      <c r="I193" s="133" t="s">
        <v>4429</v>
      </c>
      <c r="J193" s="133" t="s">
        <v>4430</v>
      </c>
      <c r="K193" s="133">
        <v>339622.64</v>
      </c>
      <c r="L193" s="133">
        <v>20377.36</v>
      </c>
      <c r="M193" s="133">
        <v>20377.36</v>
      </c>
      <c r="N193" s="133" t="s">
        <v>4280</v>
      </c>
      <c r="O193" s="133" t="s">
        <v>4871</v>
      </c>
      <c r="P193" s="133" t="s">
        <v>4281</v>
      </c>
      <c r="Q193" s="133" t="s">
        <v>4872</v>
      </c>
      <c r="R193" s="133" t="s">
        <v>4281</v>
      </c>
      <c r="S193" s="133" t="s">
        <v>4873</v>
      </c>
    </row>
    <row r="194" spans="1:19">
      <c r="A194" s="133" t="s">
        <v>5333</v>
      </c>
      <c r="B194" s="133" t="s">
        <v>4866</v>
      </c>
      <c r="C194" s="133" t="s">
        <v>4279</v>
      </c>
      <c r="D194" s="133" t="s">
        <v>1013</v>
      </c>
      <c r="E194" s="133" t="s">
        <v>3922</v>
      </c>
      <c r="H194" s="133" t="s">
        <v>5287</v>
      </c>
      <c r="I194" s="133" t="s">
        <v>4429</v>
      </c>
      <c r="J194" s="133" t="s">
        <v>4430</v>
      </c>
      <c r="K194" s="133">
        <v>226415.1</v>
      </c>
      <c r="L194" s="133">
        <v>13584.91</v>
      </c>
      <c r="M194" s="133">
        <v>13584.91</v>
      </c>
      <c r="N194" s="133" t="s">
        <v>4280</v>
      </c>
      <c r="O194" s="133" t="s">
        <v>4871</v>
      </c>
      <c r="P194" s="133" t="s">
        <v>4281</v>
      </c>
      <c r="Q194" s="133" t="s">
        <v>4872</v>
      </c>
      <c r="R194" s="133" t="s">
        <v>4281</v>
      </c>
      <c r="S194" s="133" t="s">
        <v>4873</v>
      </c>
    </row>
    <row r="195" spans="1:19">
      <c r="A195" s="133" t="s">
        <v>5334</v>
      </c>
      <c r="B195" s="133" t="s">
        <v>4866</v>
      </c>
      <c r="C195" s="133" t="s">
        <v>4279</v>
      </c>
      <c r="D195" s="133" t="s">
        <v>1013</v>
      </c>
      <c r="E195" s="133" t="s">
        <v>3925</v>
      </c>
      <c r="H195" s="133" t="s">
        <v>5287</v>
      </c>
      <c r="I195" s="133" t="s">
        <v>4429</v>
      </c>
      <c r="J195" s="133" t="s">
        <v>4430</v>
      </c>
      <c r="K195" s="133">
        <v>245283.02</v>
      </c>
      <c r="L195" s="133">
        <v>14716.98</v>
      </c>
      <c r="M195" s="133">
        <v>14716.98</v>
      </c>
      <c r="N195" s="133" t="s">
        <v>4280</v>
      </c>
      <c r="O195" s="133" t="s">
        <v>4871</v>
      </c>
      <c r="P195" s="133" t="s">
        <v>4281</v>
      </c>
      <c r="Q195" s="133" t="s">
        <v>4872</v>
      </c>
      <c r="R195" s="133" t="s">
        <v>4281</v>
      </c>
      <c r="S195" s="133" t="s">
        <v>4873</v>
      </c>
    </row>
    <row r="196" spans="1:19">
      <c r="A196" s="133" t="s">
        <v>5335</v>
      </c>
      <c r="B196" s="133" t="s">
        <v>4866</v>
      </c>
      <c r="C196" s="133" t="s">
        <v>4279</v>
      </c>
      <c r="D196" s="133" t="s">
        <v>1013</v>
      </c>
      <c r="E196" s="133" t="s">
        <v>3895</v>
      </c>
      <c r="H196" s="133" t="s">
        <v>5282</v>
      </c>
      <c r="I196" s="133" t="s">
        <v>4429</v>
      </c>
      <c r="J196" s="133" t="s">
        <v>4430</v>
      </c>
      <c r="K196" s="133">
        <v>17947616.82</v>
      </c>
      <c r="L196" s="133">
        <v>1615285.51</v>
      </c>
      <c r="M196" s="133">
        <v>1615285.51</v>
      </c>
      <c r="N196" s="133" t="s">
        <v>4280</v>
      </c>
      <c r="O196" s="133" t="s">
        <v>4871</v>
      </c>
      <c r="P196" s="133" t="s">
        <v>4281</v>
      </c>
      <c r="Q196" s="133" t="s">
        <v>4872</v>
      </c>
      <c r="R196" s="133" t="s">
        <v>4281</v>
      </c>
      <c r="S196" s="133" t="s">
        <v>4873</v>
      </c>
    </row>
    <row r="197" spans="1:19">
      <c r="A197" s="133" t="s">
        <v>5336</v>
      </c>
      <c r="B197" s="133" t="s">
        <v>4866</v>
      </c>
      <c r="C197" s="133" t="s">
        <v>4279</v>
      </c>
      <c r="D197" s="133" t="s">
        <v>1013</v>
      </c>
      <c r="E197" s="133" t="s">
        <v>3940</v>
      </c>
      <c r="H197" s="133" t="s">
        <v>5289</v>
      </c>
      <c r="I197" s="133" t="s">
        <v>4429</v>
      </c>
      <c r="J197" s="133" t="s">
        <v>4430</v>
      </c>
      <c r="K197" s="133">
        <v>207547.16</v>
      </c>
      <c r="L197" s="133">
        <v>12452.83</v>
      </c>
      <c r="M197" s="133">
        <v>12452.83</v>
      </c>
      <c r="N197" s="133" t="s">
        <v>4280</v>
      </c>
      <c r="O197" s="133" t="s">
        <v>4871</v>
      </c>
      <c r="P197" s="133" t="s">
        <v>4281</v>
      </c>
      <c r="Q197" s="133" t="s">
        <v>4872</v>
      </c>
      <c r="R197" s="133" t="s">
        <v>4281</v>
      </c>
      <c r="S197" s="133" t="s">
        <v>4873</v>
      </c>
    </row>
    <row r="198" spans="1:19">
      <c r="A198" s="133" t="s">
        <v>5337</v>
      </c>
      <c r="B198" s="133" t="s">
        <v>4866</v>
      </c>
      <c r="C198" s="133" t="s">
        <v>4279</v>
      </c>
      <c r="D198" s="133" t="s">
        <v>1013</v>
      </c>
      <c r="E198" s="133" t="s">
        <v>3934</v>
      </c>
      <c r="H198" s="133" t="s">
        <v>5296</v>
      </c>
      <c r="I198" s="133" t="s">
        <v>4429</v>
      </c>
      <c r="J198" s="133" t="s">
        <v>4430</v>
      </c>
      <c r="K198" s="133">
        <v>237623.76</v>
      </c>
      <c r="L198" s="133">
        <v>14257.43</v>
      </c>
      <c r="M198" s="133">
        <v>14257.43</v>
      </c>
      <c r="N198" s="133" t="s">
        <v>4280</v>
      </c>
      <c r="O198" s="133" t="s">
        <v>4871</v>
      </c>
      <c r="P198" s="133" t="s">
        <v>4281</v>
      </c>
      <c r="Q198" s="133" t="s">
        <v>4872</v>
      </c>
      <c r="R198" s="133" t="s">
        <v>4281</v>
      </c>
      <c r="S198" s="133" t="s">
        <v>4873</v>
      </c>
    </row>
    <row r="199" spans="1:19">
      <c r="A199" s="133" t="s">
        <v>5338</v>
      </c>
      <c r="B199" s="133" t="s">
        <v>4866</v>
      </c>
      <c r="C199" s="133" t="s">
        <v>4279</v>
      </c>
      <c r="D199" s="133" t="s">
        <v>1013</v>
      </c>
      <c r="E199" s="133" t="s">
        <v>3991</v>
      </c>
      <c r="H199" s="133" t="s">
        <v>5284</v>
      </c>
      <c r="I199" s="133" t="s">
        <v>4429</v>
      </c>
      <c r="J199" s="133" t="s">
        <v>4430</v>
      </c>
      <c r="K199" s="133">
        <v>98911.5</v>
      </c>
      <c r="L199" s="133">
        <v>12858.5</v>
      </c>
      <c r="M199" s="133">
        <v>12858.5</v>
      </c>
      <c r="N199" s="133" t="s">
        <v>4280</v>
      </c>
      <c r="O199" s="133" t="s">
        <v>4871</v>
      </c>
      <c r="P199" s="133" t="s">
        <v>4281</v>
      </c>
      <c r="Q199" s="133" t="s">
        <v>4872</v>
      </c>
      <c r="R199" s="133" t="s">
        <v>4281</v>
      </c>
      <c r="S199" s="133" t="s">
        <v>4873</v>
      </c>
    </row>
    <row r="200" spans="1:19">
      <c r="A200" s="133" t="s">
        <v>5339</v>
      </c>
      <c r="B200" s="133" t="s">
        <v>4866</v>
      </c>
      <c r="C200" s="133" t="s">
        <v>4279</v>
      </c>
      <c r="D200" s="133" t="s">
        <v>1013</v>
      </c>
      <c r="E200" s="133" t="s">
        <v>3834</v>
      </c>
      <c r="H200" s="133" t="s">
        <v>5314</v>
      </c>
      <c r="I200" s="133" t="s">
        <v>4429</v>
      </c>
      <c r="J200" s="133" t="s">
        <v>4430</v>
      </c>
      <c r="K200" s="133">
        <v>34905.660000000003</v>
      </c>
      <c r="L200" s="133">
        <v>2094.34</v>
      </c>
      <c r="M200" s="133">
        <v>2094.34</v>
      </c>
      <c r="N200" s="133" t="s">
        <v>4280</v>
      </c>
      <c r="O200" s="133" t="s">
        <v>4871</v>
      </c>
      <c r="P200" s="133" t="s">
        <v>4281</v>
      </c>
      <c r="Q200" s="133" t="s">
        <v>4872</v>
      </c>
      <c r="R200" s="133" t="s">
        <v>4281</v>
      </c>
      <c r="S200" s="133" t="s">
        <v>4873</v>
      </c>
    </row>
    <row r="201" spans="1:19">
      <c r="A201" s="133" t="s">
        <v>5340</v>
      </c>
      <c r="B201" s="133" t="s">
        <v>4866</v>
      </c>
      <c r="C201" s="133" t="s">
        <v>4279</v>
      </c>
      <c r="D201" s="133" t="s">
        <v>1013</v>
      </c>
      <c r="E201" s="133" t="s">
        <v>3916</v>
      </c>
      <c r="H201" s="133" t="s">
        <v>5287</v>
      </c>
      <c r="I201" s="133" t="s">
        <v>4429</v>
      </c>
      <c r="J201" s="133" t="s">
        <v>4430</v>
      </c>
      <c r="K201" s="133">
        <v>251485.14</v>
      </c>
      <c r="L201" s="133">
        <v>15089.11</v>
      </c>
      <c r="M201" s="133">
        <v>15089.11</v>
      </c>
      <c r="N201" s="133" t="s">
        <v>4280</v>
      </c>
      <c r="O201" s="133" t="s">
        <v>4871</v>
      </c>
      <c r="P201" s="133" t="s">
        <v>4281</v>
      </c>
      <c r="Q201" s="133" t="s">
        <v>4872</v>
      </c>
      <c r="R201" s="133" t="s">
        <v>4281</v>
      </c>
      <c r="S201" s="133" t="s">
        <v>4873</v>
      </c>
    </row>
    <row r="202" spans="1:19">
      <c r="A202" s="133" t="s">
        <v>5341</v>
      </c>
      <c r="B202" s="133" t="s">
        <v>4866</v>
      </c>
      <c r="C202" s="133" t="s">
        <v>4279</v>
      </c>
      <c r="D202" s="133" t="s">
        <v>1013</v>
      </c>
      <c r="E202" s="133" t="s">
        <v>3973</v>
      </c>
      <c r="H202" s="133" t="s">
        <v>5278</v>
      </c>
      <c r="I202" s="133" t="s">
        <v>4429</v>
      </c>
      <c r="J202" s="133" t="s">
        <v>4430</v>
      </c>
      <c r="K202" s="133">
        <v>289380.53999999998</v>
      </c>
      <c r="L202" s="133">
        <v>37619.47</v>
      </c>
      <c r="M202" s="133">
        <v>37619.47</v>
      </c>
      <c r="N202" s="133" t="s">
        <v>4280</v>
      </c>
      <c r="O202" s="133" t="s">
        <v>4871</v>
      </c>
      <c r="P202" s="133" t="s">
        <v>4281</v>
      </c>
      <c r="Q202" s="133" t="s">
        <v>4872</v>
      </c>
      <c r="R202" s="133" t="s">
        <v>4281</v>
      </c>
      <c r="S202" s="133" t="s">
        <v>4873</v>
      </c>
    </row>
    <row r="203" spans="1:19">
      <c r="A203" s="133" t="s">
        <v>5342</v>
      </c>
      <c r="B203" s="133" t="s">
        <v>4866</v>
      </c>
      <c r="C203" s="133" t="s">
        <v>4279</v>
      </c>
      <c r="D203" s="133" t="s">
        <v>1013</v>
      </c>
      <c r="E203" s="133" t="s">
        <v>3985</v>
      </c>
      <c r="H203" s="133" t="s">
        <v>5284</v>
      </c>
      <c r="I203" s="133" t="s">
        <v>4429</v>
      </c>
      <c r="J203" s="133" t="s">
        <v>4430</v>
      </c>
      <c r="K203" s="133">
        <v>406109.74</v>
      </c>
      <c r="L203" s="133">
        <v>52794.27</v>
      </c>
      <c r="M203" s="133">
        <v>52794.27</v>
      </c>
      <c r="N203" s="133" t="s">
        <v>4280</v>
      </c>
      <c r="O203" s="133" t="s">
        <v>4871</v>
      </c>
      <c r="P203" s="133" t="s">
        <v>4281</v>
      </c>
      <c r="Q203" s="133" t="s">
        <v>4872</v>
      </c>
      <c r="R203" s="133" t="s">
        <v>4281</v>
      </c>
      <c r="S203" s="133" t="s">
        <v>4873</v>
      </c>
    </row>
    <row r="204" spans="1:19">
      <c r="A204" s="133" t="s">
        <v>5343</v>
      </c>
      <c r="B204" s="133" t="s">
        <v>4866</v>
      </c>
      <c r="C204" s="133" t="s">
        <v>4279</v>
      </c>
      <c r="D204" s="133" t="s">
        <v>1013</v>
      </c>
      <c r="E204" s="133" t="s">
        <v>3955</v>
      </c>
      <c r="H204" s="133" t="s">
        <v>5296</v>
      </c>
      <c r="I204" s="133" t="s">
        <v>4429</v>
      </c>
      <c r="J204" s="133" t="s">
        <v>4430</v>
      </c>
      <c r="K204" s="133">
        <v>66037.740000000005</v>
      </c>
      <c r="L204" s="133">
        <v>3962.26</v>
      </c>
      <c r="M204" s="133">
        <v>3962.26</v>
      </c>
      <c r="N204" s="133" t="s">
        <v>4280</v>
      </c>
      <c r="O204" s="133" t="s">
        <v>4871</v>
      </c>
      <c r="P204" s="133" t="s">
        <v>4281</v>
      </c>
      <c r="Q204" s="133" t="s">
        <v>4872</v>
      </c>
      <c r="R204" s="133" t="s">
        <v>4281</v>
      </c>
      <c r="S204" s="133" t="s">
        <v>4873</v>
      </c>
    </row>
    <row r="205" spans="1:19">
      <c r="A205" s="133" t="s">
        <v>5344</v>
      </c>
      <c r="B205" s="133" t="s">
        <v>4866</v>
      </c>
      <c r="C205" s="133" t="s">
        <v>4279</v>
      </c>
      <c r="D205" s="133" t="s">
        <v>1013</v>
      </c>
      <c r="E205" s="133" t="s">
        <v>3946</v>
      </c>
      <c r="H205" s="133" t="s">
        <v>5296</v>
      </c>
      <c r="I205" s="133" t="s">
        <v>4429</v>
      </c>
      <c r="J205" s="133" t="s">
        <v>4430</v>
      </c>
      <c r="K205" s="133">
        <v>24792.92</v>
      </c>
      <c r="L205" s="133">
        <v>3223.08</v>
      </c>
      <c r="M205" s="133">
        <v>3223.08</v>
      </c>
      <c r="N205" s="133" t="s">
        <v>4280</v>
      </c>
      <c r="O205" s="133" t="s">
        <v>4871</v>
      </c>
      <c r="P205" s="133" t="s">
        <v>4281</v>
      </c>
      <c r="Q205" s="133" t="s">
        <v>4872</v>
      </c>
      <c r="R205" s="133" t="s">
        <v>4281</v>
      </c>
      <c r="S205" s="133" t="s">
        <v>4873</v>
      </c>
    </row>
    <row r="206" spans="1:19">
      <c r="A206" s="133" t="s">
        <v>5345</v>
      </c>
      <c r="B206" s="133" t="s">
        <v>4866</v>
      </c>
      <c r="C206" s="133" t="s">
        <v>4279</v>
      </c>
      <c r="D206" s="133" t="s">
        <v>1013</v>
      </c>
      <c r="E206" s="133" t="s">
        <v>4021</v>
      </c>
      <c r="H206" s="133" t="s">
        <v>5280</v>
      </c>
      <c r="I206" s="133" t="s">
        <v>4429</v>
      </c>
      <c r="J206" s="133" t="s">
        <v>4430</v>
      </c>
      <c r="K206" s="133">
        <v>173100.68</v>
      </c>
      <c r="L206" s="133">
        <v>22503.09</v>
      </c>
      <c r="M206" s="133">
        <v>22503.09</v>
      </c>
      <c r="N206" s="133" t="s">
        <v>4280</v>
      </c>
      <c r="O206" s="133" t="s">
        <v>4871</v>
      </c>
      <c r="P206" s="133" t="s">
        <v>4281</v>
      </c>
      <c r="Q206" s="133" t="s">
        <v>4872</v>
      </c>
      <c r="R206" s="133" t="s">
        <v>4281</v>
      </c>
      <c r="S206" s="133" t="s">
        <v>4873</v>
      </c>
    </row>
    <row r="207" spans="1:19">
      <c r="A207" s="133" t="s">
        <v>5346</v>
      </c>
      <c r="B207" s="133" t="s">
        <v>4866</v>
      </c>
      <c r="C207" s="133" t="s">
        <v>4279</v>
      </c>
      <c r="D207" s="133" t="s">
        <v>1013</v>
      </c>
      <c r="E207" s="133" t="s">
        <v>3844</v>
      </c>
      <c r="H207" s="133" t="s">
        <v>5308</v>
      </c>
      <c r="I207" s="133" t="s">
        <v>4429</v>
      </c>
      <c r="J207" s="133" t="s">
        <v>4430</v>
      </c>
      <c r="K207" s="133">
        <v>632687.46</v>
      </c>
      <c r="L207" s="133">
        <v>56941.87</v>
      </c>
      <c r="M207" s="133">
        <v>56941.87</v>
      </c>
      <c r="N207" s="133" t="s">
        <v>4280</v>
      </c>
      <c r="O207" s="133" t="s">
        <v>4871</v>
      </c>
      <c r="P207" s="133" t="s">
        <v>4281</v>
      </c>
      <c r="Q207" s="133" t="s">
        <v>4872</v>
      </c>
      <c r="R207" s="133" t="s">
        <v>4281</v>
      </c>
      <c r="S207" s="133" t="s">
        <v>4873</v>
      </c>
    </row>
    <row r="208" spans="1:19">
      <c r="A208" s="133" t="s">
        <v>5347</v>
      </c>
      <c r="B208" s="133" t="s">
        <v>4866</v>
      </c>
      <c r="C208" s="133" t="s">
        <v>4279</v>
      </c>
      <c r="D208" s="133" t="s">
        <v>1013</v>
      </c>
      <c r="E208" s="133" t="s">
        <v>3853</v>
      </c>
      <c r="H208" s="133" t="s">
        <v>5276</v>
      </c>
      <c r="I208" s="133" t="s">
        <v>4429</v>
      </c>
      <c r="J208" s="133" t="s">
        <v>4430</v>
      </c>
      <c r="K208" s="133">
        <v>852685.52</v>
      </c>
      <c r="L208" s="133">
        <v>76741.7</v>
      </c>
      <c r="M208" s="133">
        <v>76741.7</v>
      </c>
      <c r="N208" s="133" t="s">
        <v>4280</v>
      </c>
      <c r="O208" s="133" t="s">
        <v>4871</v>
      </c>
      <c r="P208" s="133" t="s">
        <v>4281</v>
      </c>
      <c r="Q208" s="133" t="s">
        <v>4872</v>
      </c>
      <c r="R208" s="133" t="s">
        <v>4281</v>
      </c>
      <c r="S208" s="133" t="s">
        <v>4873</v>
      </c>
    </row>
    <row r="209" spans="1:19">
      <c r="A209" s="133" t="s">
        <v>5348</v>
      </c>
      <c r="B209" s="133" t="s">
        <v>4866</v>
      </c>
      <c r="C209" s="133" t="s">
        <v>4279</v>
      </c>
      <c r="D209" s="133" t="s">
        <v>1013</v>
      </c>
      <c r="E209" s="133" t="s">
        <v>3937</v>
      </c>
      <c r="H209" s="133" t="s">
        <v>5296</v>
      </c>
      <c r="I209" s="133" t="s">
        <v>4429</v>
      </c>
      <c r="J209" s="133" t="s">
        <v>4430</v>
      </c>
      <c r="K209" s="133">
        <v>405940.6</v>
      </c>
      <c r="L209" s="133">
        <v>24356.44</v>
      </c>
      <c r="M209" s="133">
        <v>24356.44</v>
      </c>
      <c r="N209" s="133" t="s">
        <v>4280</v>
      </c>
      <c r="O209" s="133" t="s">
        <v>4871</v>
      </c>
      <c r="P209" s="133" t="s">
        <v>4281</v>
      </c>
      <c r="Q209" s="133" t="s">
        <v>4872</v>
      </c>
      <c r="R209" s="133" t="s">
        <v>4281</v>
      </c>
      <c r="S209" s="133" t="s">
        <v>4873</v>
      </c>
    </row>
    <row r="210" spans="1:19">
      <c r="A210" s="133" t="s">
        <v>5349</v>
      </c>
      <c r="B210" s="133" t="s">
        <v>4866</v>
      </c>
      <c r="C210" s="133" t="s">
        <v>4279</v>
      </c>
      <c r="D210" s="133" t="s">
        <v>1013</v>
      </c>
      <c r="E210" s="133" t="s">
        <v>3961</v>
      </c>
      <c r="H210" s="133" t="s">
        <v>5296</v>
      </c>
      <c r="I210" s="133" t="s">
        <v>4429</v>
      </c>
      <c r="J210" s="133" t="s">
        <v>4430</v>
      </c>
      <c r="K210" s="133">
        <v>873786.4</v>
      </c>
      <c r="L210" s="133">
        <v>52427.18</v>
      </c>
      <c r="M210" s="133">
        <v>52427.18</v>
      </c>
      <c r="N210" s="133" t="s">
        <v>4280</v>
      </c>
      <c r="O210" s="133" t="s">
        <v>4871</v>
      </c>
      <c r="P210" s="133" t="s">
        <v>4281</v>
      </c>
      <c r="Q210" s="133" t="s">
        <v>4872</v>
      </c>
      <c r="R210" s="133" t="s">
        <v>4281</v>
      </c>
      <c r="S210" s="133" t="s">
        <v>4873</v>
      </c>
    </row>
    <row r="211" spans="1:19">
      <c r="A211" s="133" t="s">
        <v>5350</v>
      </c>
      <c r="B211" s="133" t="s">
        <v>4866</v>
      </c>
      <c r="C211" s="133" t="s">
        <v>4279</v>
      </c>
      <c r="D211" s="133" t="s">
        <v>1013</v>
      </c>
      <c r="E211" s="133" t="s">
        <v>3997</v>
      </c>
      <c r="H211" s="133" t="s">
        <v>5284</v>
      </c>
      <c r="I211" s="133" t="s">
        <v>4429</v>
      </c>
      <c r="J211" s="133" t="s">
        <v>4430</v>
      </c>
      <c r="K211" s="133">
        <v>67361.06</v>
      </c>
      <c r="L211" s="133">
        <v>8756.94</v>
      </c>
      <c r="M211" s="133">
        <v>8756.94</v>
      </c>
      <c r="N211" s="133" t="s">
        <v>4280</v>
      </c>
      <c r="O211" s="133" t="s">
        <v>4871</v>
      </c>
      <c r="P211" s="133" t="s">
        <v>4281</v>
      </c>
      <c r="Q211" s="133" t="s">
        <v>4872</v>
      </c>
      <c r="R211" s="133" t="s">
        <v>4281</v>
      </c>
      <c r="S211" s="133" t="s">
        <v>4873</v>
      </c>
    </row>
    <row r="212" spans="1:19">
      <c r="A212" s="133" t="s">
        <v>5351</v>
      </c>
      <c r="B212" s="133" t="s">
        <v>4866</v>
      </c>
      <c r="C212" s="133" t="s">
        <v>4279</v>
      </c>
      <c r="D212" s="133" t="s">
        <v>1013</v>
      </c>
      <c r="E212" s="133" t="s">
        <v>4006</v>
      </c>
      <c r="H212" s="133" t="s">
        <v>5280</v>
      </c>
      <c r="I212" s="133" t="s">
        <v>4429</v>
      </c>
      <c r="J212" s="133" t="s">
        <v>4430</v>
      </c>
      <c r="K212" s="133">
        <v>43391.16</v>
      </c>
      <c r="L212" s="133">
        <v>5640.85</v>
      </c>
      <c r="M212" s="133">
        <v>5640.85</v>
      </c>
      <c r="N212" s="133" t="s">
        <v>4280</v>
      </c>
      <c r="O212" s="133" t="s">
        <v>4871</v>
      </c>
      <c r="P212" s="133" t="s">
        <v>4281</v>
      </c>
      <c r="Q212" s="133" t="s">
        <v>4872</v>
      </c>
      <c r="R212" s="133" t="s">
        <v>4281</v>
      </c>
      <c r="S212" s="133" t="s">
        <v>4873</v>
      </c>
    </row>
    <row r="213" spans="1:19">
      <c r="A213" s="133" t="s">
        <v>5352</v>
      </c>
      <c r="B213" s="133" t="s">
        <v>4866</v>
      </c>
      <c r="C213" s="133" t="s">
        <v>4279</v>
      </c>
      <c r="D213" s="133" t="s">
        <v>1013</v>
      </c>
      <c r="E213" s="133" t="s">
        <v>3404</v>
      </c>
      <c r="H213" s="133" t="s">
        <v>5353</v>
      </c>
      <c r="I213" s="133" t="s">
        <v>4429</v>
      </c>
      <c r="J213" s="133" t="s">
        <v>4430</v>
      </c>
      <c r="K213" s="133">
        <v>1165048.54</v>
      </c>
      <c r="L213" s="133">
        <v>104854.36</v>
      </c>
      <c r="M213" s="133">
        <v>104854.36</v>
      </c>
      <c r="N213" s="133" t="s">
        <v>4280</v>
      </c>
      <c r="O213" s="133" t="s">
        <v>4871</v>
      </c>
      <c r="P213" s="133" t="s">
        <v>4281</v>
      </c>
      <c r="Q213" s="133" t="s">
        <v>4872</v>
      </c>
      <c r="R213" s="133" t="s">
        <v>4281</v>
      </c>
      <c r="S213" s="133" t="s">
        <v>4873</v>
      </c>
    </row>
    <row r="214" spans="1:19">
      <c r="A214" s="133" t="s">
        <v>5354</v>
      </c>
      <c r="B214" s="133" t="s">
        <v>4866</v>
      </c>
      <c r="C214" s="133" t="s">
        <v>4279</v>
      </c>
      <c r="D214" s="133" t="s">
        <v>1013</v>
      </c>
      <c r="E214" s="133" t="s">
        <v>3392</v>
      </c>
      <c r="H214" s="133" t="s">
        <v>5353</v>
      </c>
      <c r="I214" s="133" t="s">
        <v>4429</v>
      </c>
      <c r="J214" s="133" t="s">
        <v>4430</v>
      </c>
      <c r="K214" s="133">
        <v>6319659.9000000004</v>
      </c>
      <c r="L214" s="133">
        <v>568769.39</v>
      </c>
      <c r="M214" s="133">
        <v>568769.39</v>
      </c>
      <c r="N214" s="133" t="s">
        <v>4280</v>
      </c>
      <c r="O214" s="133" t="s">
        <v>4871</v>
      </c>
      <c r="P214" s="133" t="s">
        <v>4281</v>
      </c>
      <c r="Q214" s="133" t="s">
        <v>4872</v>
      </c>
      <c r="R214" s="133" t="s">
        <v>4281</v>
      </c>
      <c r="S214" s="133" t="s">
        <v>4873</v>
      </c>
    </row>
    <row r="215" spans="1:19">
      <c r="A215" s="133" t="s">
        <v>5355</v>
      </c>
      <c r="B215" s="133" t="s">
        <v>4866</v>
      </c>
      <c r="C215" s="133" t="s">
        <v>4279</v>
      </c>
      <c r="D215" s="133" t="s">
        <v>1013</v>
      </c>
      <c r="E215" s="133" t="s">
        <v>3395</v>
      </c>
      <c r="H215" s="133" t="s">
        <v>5353</v>
      </c>
      <c r="I215" s="133" t="s">
        <v>4429</v>
      </c>
      <c r="J215" s="133" t="s">
        <v>4430</v>
      </c>
      <c r="K215" s="133">
        <v>5327994.92</v>
      </c>
      <c r="L215" s="133">
        <v>479519.55</v>
      </c>
      <c r="M215" s="133">
        <v>479519.55</v>
      </c>
      <c r="N215" s="133" t="s">
        <v>4280</v>
      </c>
      <c r="O215" s="133" t="s">
        <v>4871</v>
      </c>
      <c r="P215" s="133" t="s">
        <v>4281</v>
      </c>
      <c r="Q215" s="133" t="s">
        <v>4872</v>
      </c>
      <c r="R215" s="133" t="s">
        <v>4281</v>
      </c>
      <c r="S215" s="133" t="s">
        <v>4873</v>
      </c>
    </row>
    <row r="216" spans="1:19">
      <c r="A216" s="133" t="s">
        <v>5356</v>
      </c>
      <c r="B216" s="133" t="s">
        <v>4866</v>
      </c>
      <c r="C216" s="133" t="s">
        <v>4279</v>
      </c>
      <c r="D216" s="133" t="s">
        <v>1013</v>
      </c>
      <c r="E216" s="133" t="s">
        <v>3379</v>
      </c>
      <c r="H216" s="133" t="s">
        <v>5353</v>
      </c>
      <c r="I216" s="133" t="s">
        <v>4429</v>
      </c>
      <c r="J216" s="133" t="s">
        <v>4430</v>
      </c>
      <c r="K216" s="133">
        <v>7602699.3700000001</v>
      </c>
      <c r="L216" s="133">
        <v>684242.95</v>
      </c>
      <c r="M216" s="133">
        <v>684242.95</v>
      </c>
      <c r="N216" s="133" t="s">
        <v>4280</v>
      </c>
      <c r="O216" s="133" t="s">
        <v>4871</v>
      </c>
      <c r="P216" s="133" t="s">
        <v>4281</v>
      </c>
      <c r="Q216" s="133" t="s">
        <v>4872</v>
      </c>
      <c r="R216" s="133" t="s">
        <v>4281</v>
      </c>
      <c r="S216" s="133" t="s">
        <v>4873</v>
      </c>
    </row>
    <row r="217" spans="1:19">
      <c r="A217" s="133" t="s">
        <v>5357</v>
      </c>
      <c r="B217" s="133" t="s">
        <v>4866</v>
      </c>
      <c r="C217" s="133" t="s">
        <v>4279</v>
      </c>
      <c r="D217" s="133" t="s">
        <v>1013</v>
      </c>
      <c r="E217" s="133" t="s">
        <v>3401</v>
      </c>
      <c r="H217" s="133" t="s">
        <v>5353</v>
      </c>
      <c r="I217" s="133" t="s">
        <v>4429</v>
      </c>
      <c r="J217" s="133" t="s">
        <v>4430</v>
      </c>
      <c r="K217" s="133">
        <v>7009304.5199999996</v>
      </c>
      <c r="L217" s="133">
        <v>630837.39</v>
      </c>
      <c r="M217" s="133">
        <v>630837.39</v>
      </c>
      <c r="N217" s="133" t="s">
        <v>4280</v>
      </c>
      <c r="O217" s="133" t="s">
        <v>4871</v>
      </c>
      <c r="P217" s="133" t="s">
        <v>4281</v>
      </c>
      <c r="Q217" s="133" t="s">
        <v>4872</v>
      </c>
      <c r="R217" s="133" t="s">
        <v>4281</v>
      </c>
      <c r="S217" s="133" t="s">
        <v>4873</v>
      </c>
    </row>
    <row r="218" spans="1:19">
      <c r="A218" s="133" t="s">
        <v>5358</v>
      </c>
      <c r="B218" s="133" t="s">
        <v>4866</v>
      </c>
      <c r="C218" s="133" t="s">
        <v>4279</v>
      </c>
      <c r="D218" s="133" t="s">
        <v>1013</v>
      </c>
      <c r="E218" s="133" t="s">
        <v>3398</v>
      </c>
      <c r="H218" s="133" t="s">
        <v>5353</v>
      </c>
      <c r="I218" s="133" t="s">
        <v>4429</v>
      </c>
      <c r="J218" s="133" t="s">
        <v>4430</v>
      </c>
      <c r="K218" s="133">
        <v>5784894.3399999999</v>
      </c>
      <c r="L218" s="133">
        <v>520640.49</v>
      </c>
      <c r="M218" s="133">
        <v>520640.49</v>
      </c>
      <c r="N218" s="133" t="s">
        <v>4280</v>
      </c>
      <c r="O218" s="133" t="s">
        <v>4871</v>
      </c>
      <c r="P218" s="133" t="s">
        <v>4281</v>
      </c>
      <c r="Q218" s="133" t="s">
        <v>4872</v>
      </c>
      <c r="R218" s="133" t="s">
        <v>4281</v>
      </c>
      <c r="S218" s="133" t="s">
        <v>4873</v>
      </c>
    </row>
    <row r="219" spans="1:19">
      <c r="A219" s="133" t="s">
        <v>5359</v>
      </c>
      <c r="B219" s="133" t="s">
        <v>4866</v>
      </c>
      <c r="C219" s="133" t="s">
        <v>4279</v>
      </c>
      <c r="D219" s="133" t="s">
        <v>1013</v>
      </c>
      <c r="E219" s="133" t="s">
        <v>3384</v>
      </c>
      <c r="H219" s="133" t="s">
        <v>5353</v>
      </c>
      <c r="I219" s="133" t="s">
        <v>4429</v>
      </c>
      <c r="J219" s="133" t="s">
        <v>4430</v>
      </c>
      <c r="K219" s="133">
        <v>3551991.16</v>
      </c>
      <c r="L219" s="133">
        <v>461758.85</v>
      </c>
      <c r="M219" s="133">
        <v>461758.85</v>
      </c>
      <c r="N219" s="133" t="s">
        <v>4280</v>
      </c>
      <c r="O219" s="133" t="s">
        <v>4871</v>
      </c>
      <c r="P219" s="133" t="s">
        <v>4281</v>
      </c>
      <c r="Q219" s="133" t="s">
        <v>4872</v>
      </c>
      <c r="R219" s="133" t="s">
        <v>4281</v>
      </c>
      <c r="S219" s="133" t="s">
        <v>4873</v>
      </c>
    </row>
    <row r="220" spans="1:19">
      <c r="A220" s="133" t="s">
        <v>5360</v>
      </c>
      <c r="B220" s="133" t="s">
        <v>4866</v>
      </c>
      <c r="C220" s="133" t="s">
        <v>4279</v>
      </c>
      <c r="D220" s="133" t="s">
        <v>1013</v>
      </c>
      <c r="E220" s="133" t="s">
        <v>3388</v>
      </c>
      <c r="H220" s="133" t="s">
        <v>5353</v>
      </c>
      <c r="I220" s="133" t="s">
        <v>4429</v>
      </c>
      <c r="J220" s="133" t="s">
        <v>4430</v>
      </c>
      <c r="K220" s="133">
        <v>28728994.859999999</v>
      </c>
      <c r="L220" s="133">
        <v>2585609.56</v>
      </c>
      <c r="M220" s="133">
        <v>2585609.56</v>
      </c>
      <c r="N220" s="133" t="s">
        <v>4280</v>
      </c>
      <c r="O220" s="133" t="s">
        <v>4871</v>
      </c>
      <c r="P220" s="133" t="s">
        <v>4281</v>
      </c>
      <c r="Q220" s="133" t="s">
        <v>4872</v>
      </c>
      <c r="R220" s="133" t="s">
        <v>4281</v>
      </c>
      <c r="S220" s="133" t="s">
        <v>4873</v>
      </c>
    </row>
    <row r="221" spans="1:19">
      <c r="A221" s="133" t="s">
        <v>5361</v>
      </c>
      <c r="B221" s="133" t="s">
        <v>4866</v>
      </c>
      <c r="C221" s="133" t="s">
        <v>4279</v>
      </c>
      <c r="D221" s="133" t="s">
        <v>1013</v>
      </c>
      <c r="E221" s="133" t="s">
        <v>5362</v>
      </c>
      <c r="H221" s="133" t="s">
        <v>5363</v>
      </c>
      <c r="I221" s="133" t="s">
        <v>5364</v>
      </c>
      <c r="J221" s="133" t="s">
        <v>5365</v>
      </c>
      <c r="K221" s="133">
        <v>262.82</v>
      </c>
      <c r="L221" s="133">
        <v>15.77</v>
      </c>
      <c r="M221" s="133">
        <v>15.77</v>
      </c>
      <c r="N221" s="133" t="s">
        <v>4280</v>
      </c>
      <c r="O221" s="133" t="s">
        <v>4871</v>
      </c>
      <c r="P221" s="133" t="s">
        <v>4281</v>
      </c>
      <c r="Q221" s="133" t="s">
        <v>4872</v>
      </c>
      <c r="R221" s="133" t="s">
        <v>4281</v>
      </c>
      <c r="S221" s="133" t="s">
        <v>4873</v>
      </c>
    </row>
    <row r="222" spans="1:19">
      <c r="A222" s="133" t="s">
        <v>5366</v>
      </c>
      <c r="B222" s="133" t="s">
        <v>4866</v>
      </c>
      <c r="C222" s="133" t="s">
        <v>4279</v>
      </c>
      <c r="D222" s="133" t="s">
        <v>1013</v>
      </c>
      <c r="E222" s="133" t="s">
        <v>5367</v>
      </c>
      <c r="H222" s="133" t="s">
        <v>5368</v>
      </c>
      <c r="I222" s="133" t="s">
        <v>5369</v>
      </c>
      <c r="J222" s="133" t="s">
        <v>4093</v>
      </c>
      <c r="K222" s="133">
        <v>17699115.039999999</v>
      </c>
      <c r="L222" s="133">
        <v>2300884.96</v>
      </c>
      <c r="M222" s="133">
        <v>2300884.96</v>
      </c>
      <c r="N222" s="133" t="s">
        <v>4280</v>
      </c>
      <c r="O222" s="133" t="s">
        <v>4871</v>
      </c>
      <c r="P222" s="133" t="s">
        <v>4281</v>
      </c>
      <c r="Q222" s="133" t="s">
        <v>4872</v>
      </c>
      <c r="R222" s="133" t="s">
        <v>4281</v>
      </c>
      <c r="S222" s="133" t="s">
        <v>4873</v>
      </c>
    </row>
    <row r="223" spans="1:19">
      <c r="A223" s="133" t="s">
        <v>5370</v>
      </c>
      <c r="B223" s="133" t="s">
        <v>4866</v>
      </c>
      <c r="C223" s="133" t="s">
        <v>4279</v>
      </c>
      <c r="D223" s="133" t="s">
        <v>1013</v>
      </c>
      <c r="E223" s="133" t="s">
        <v>5371</v>
      </c>
      <c r="H223" s="133" t="s">
        <v>5372</v>
      </c>
      <c r="I223" s="133" t="s">
        <v>5373</v>
      </c>
      <c r="J223" s="133" t="s">
        <v>5374</v>
      </c>
      <c r="K223" s="133">
        <v>477717.16</v>
      </c>
      <c r="L223" s="133">
        <v>62103.24</v>
      </c>
      <c r="M223" s="133">
        <v>62103.24</v>
      </c>
      <c r="N223" s="133" t="s">
        <v>4280</v>
      </c>
      <c r="O223" s="133" t="s">
        <v>4871</v>
      </c>
      <c r="P223" s="133" t="s">
        <v>4281</v>
      </c>
      <c r="Q223" s="133" t="s">
        <v>4872</v>
      </c>
      <c r="R223" s="133" t="s">
        <v>4281</v>
      </c>
      <c r="S223" s="133" t="s">
        <v>4873</v>
      </c>
    </row>
    <row r="224" spans="1:19">
      <c r="A224" s="133" t="s">
        <v>5375</v>
      </c>
      <c r="B224" s="133" t="s">
        <v>4866</v>
      </c>
      <c r="C224" s="133" t="s">
        <v>4279</v>
      </c>
      <c r="D224" s="133" t="s">
        <v>1013</v>
      </c>
      <c r="E224" s="133" t="s">
        <v>5376</v>
      </c>
      <c r="H224" s="133" t="s">
        <v>5377</v>
      </c>
      <c r="I224" s="133" t="s">
        <v>5373</v>
      </c>
      <c r="J224" s="133" t="s">
        <v>5374</v>
      </c>
      <c r="K224" s="133">
        <v>2089941.14</v>
      </c>
      <c r="L224" s="133">
        <v>271692.33</v>
      </c>
      <c r="M224" s="133">
        <v>271692.33</v>
      </c>
      <c r="N224" s="133" t="s">
        <v>4280</v>
      </c>
      <c r="O224" s="133" t="s">
        <v>4871</v>
      </c>
      <c r="P224" s="133" t="s">
        <v>4281</v>
      </c>
      <c r="Q224" s="133" t="s">
        <v>4872</v>
      </c>
      <c r="R224" s="133" t="s">
        <v>4281</v>
      </c>
      <c r="S224" s="133" t="s">
        <v>4873</v>
      </c>
    </row>
    <row r="225" spans="1:19">
      <c r="A225" s="133" t="s">
        <v>5378</v>
      </c>
      <c r="B225" s="133" t="s">
        <v>4866</v>
      </c>
      <c r="C225" s="133" t="s">
        <v>4279</v>
      </c>
      <c r="D225" s="133" t="s">
        <v>1013</v>
      </c>
      <c r="E225" s="133" t="s">
        <v>5379</v>
      </c>
      <c r="H225" s="133" t="s">
        <v>5380</v>
      </c>
      <c r="I225" s="133" t="s">
        <v>5373</v>
      </c>
      <c r="J225" s="133" t="s">
        <v>5374</v>
      </c>
      <c r="K225" s="133">
        <v>7842.48</v>
      </c>
      <c r="L225" s="133">
        <v>1019.52</v>
      </c>
      <c r="M225" s="133">
        <v>1019.52</v>
      </c>
      <c r="N225" s="133" t="s">
        <v>4280</v>
      </c>
      <c r="O225" s="133" t="s">
        <v>4871</v>
      </c>
      <c r="P225" s="133" t="s">
        <v>4281</v>
      </c>
      <c r="Q225" s="133" t="s">
        <v>4872</v>
      </c>
      <c r="R225" s="133" t="s">
        <v>4281</v>
      </c>
      <c r="S225" s="133" t="s">
        <v>4873</v>
      </c>
    </row>
    <row r="226" spans="1:19">
      <c r="A226" s="133" t="s">
        <v>5381</v>
      </c>
      <c r="B226" s="133" t="s">
        <v>4866</v>
      </c>
      <c r="C226" s="133" t="s">
        <v>4279</v>
      </c>
      <c r="D226" s="133" t="s">
        <v>1013</v>
      </c>
      <c r="E226" s="133" t="s">
        <v>5382</v>
      </c>
      <c r="H226" s="133" t="s">
        <v>5383</v>
      </c>
      <c r="I226" s="133" t="s">
        <v>5373</v>
      </c>
      <c r="J226" s="133" t="s">
        <v>5374</v>
      </c>
      <c r="K226" s="133">
        <v>223927.45</v>
      </c>
      <c r="L226" s="133">
        <v>29110.57</v>
      </c>
      <c r="M226" s="133">
        <v>29110.57</v>
      </c>
      <c r="N226" s="133" t="s">
        <v>4280</v>
      </c>
      <c r="O226" s="133" t="s">
        <v>4871</v>
      </c>
      <c r="P226" s="133" t="s">
        <v>4281</v>
      </c>
      <c r="Q226" s="133" t="s">
        <v>4872</v>
      </c>
      <c r="R226" s="133" t="s">
        <v>4281</v>
      </c>
      <c r="S226" s="133" t="s">
        <v>4873</v>
      </c>
    </row>
    <row r="227" spans="1:19">
      <c r="A227" s="133" t="s">
        <v>5384</v>
      </c>
      <c r="B227" s="133" t="s">
        <v>4866</v>
      </c>
      <c r="C227" s="133" t="s">
        <v>4279</v>
      </c>
      <c r="D227" s="133" t="s">
        <v>1013</v>
      </c>
      <c r="E227" s="133" t="s">
        <v>5385</v>
      </c>
      <c r="H227" s="133" t="s">
        <v>5386</v>
      </c>
      <c r="I227" s="133" t="s">
        <v>5373</v>
      </c>
      <c r="J227" s="133" t="s">
        <v>5374</v>
      </c>
      <c r="K227" s="133">
        <v>1313874.6299999999</v>
      </c>
      <c r="L227" s="133">
        <v>170803.71</v>
      </c>
      <c r="M227" s="133">
        <v>170803.71</v>
      </c>
      <c r="N227" s="133" t="s">
        <v>4280</v>
      </c>
      <c r="O227" s="133" t="s">
        <v>4871</v>
      </c>
      <c r="P227" s="133" t="s">
        <v>4281</v>
      </c>
      <c r="Q227" s="133" t="s">
        <v>4872</v>
      </c>
      <c r="R227" s="133" t="s">
        <v>4281</v>
      </c>
      <c r="S227" s="133" t="s">
        <v>4873</v>
      </c>
    </row>
    <row r="228" spans="1:19">
      <c r="A228" s="133" t="s">
        <v>5387</v>
      </c>
      <c r="B228" s="133" t="s">
        <v>4866</v>
      </c>
      <c r="C228" s="133" t="s">
        <v>4279</v>
      </c>
      <c r="D228" s="133" t="s">
        <v>1013</v>
      </c>
      <c r="E228" s="133" t="s">
        <v>5388</v>
      </c>
      <c r="H228" s="133" t="s">
        <v>5389</v>
      </c>
      <c r="I228" s="133" t="s">
        <v>5373</v>
      </c>
      <c r="J228" s="133" t="s">
        <v>5374</v>
      </c>
      <c r="K228" s="133">
        <v>199552.78</v>
      </c>
      <c r="L228" s="133">
        <v>25941.86</v>
      </c>
      <c r="M228" s="133">
        <v>25941.86</v>
      </c>
      <c r="N228" s="133" t="s">
        <v>4280</v>
      </c>
      <c r="O228" s="133" t="s">
        <v>4871</v>
      </c>
      <c r="P228" s="133" t="s">
        <v>4281</v>
      </c>
      <c r="Q228" s="133" t="s">
        <v>4872</v>
      </c>
      <c r="R228" s="133" t="s">
        <v>4281</v>
      </c>
      <c r="S228" s="133" t="s">
        <v>4873</v>
      </c>
    </row>
    <row r="229" spans="1:19">
      <c r="A229" s="133" t="s">
        <v>5390</v>
      </c>
      <c r="B229" s="133" t="s">
        <v>4866</v>
      </c>
      <c r="C229" s="133" t="s">
        <v>4279</v>
      </c>
      <c r="D229" s="133" t="s">
        <v>1013</v>
      </c>
      <c r="E229" s="133" t="s">
        <v>5391</v>
      </c>
      <c r="H229" s="133" t="s">
        <v>5392</v>
      </c>
      <c r="I229" s="133" t="s">
        <v>5373</v>
      </c>
      <c r="J229" s="133" t="s">
        <v>5374</v>
      </c>
      <c r="K229" s="133">
        <v>448228.76</v>
      </c>
      <c r="L229" s="133">
        <v>58269.75</v>
      </c>
      <c r="M229" s="133">
        <v>58269.75</v>
      </c>
      <c r="N229" s="133" t="s">
        <v>4280</v>
      </c>
      <c r="O229" s="133" t="s">
        <v>4871</v>
      </c>
      <c r="P229" s="133" t="s">
        <v>4281</v>
      </c>
      <c r="Q229" s="133" t="s">
        <v>4872</v>
      </c>
      <c r="R229" s="133" t="s">
        <v>4281</v>
      </c>
      <c r="S229" s="133" t="s">
        <v>4873</v>
      </c>
    </row>
    <row r="230" spans="1:19">
      <c r="A230" s="133" t="s">
        <v>5393</v>
      </c>
      <c r="B230" s="133" t="s">
        <v>4866</v>
      </c>
      <c r="C230" s="133" t="s">
        <v>4279</v>
      </c>
      <c r="D230" s="133" t="s">
        <v>1013</v>
      </c>
      <c r="E230" s="133" t="s">
        <v>5394</v>
      </c>
      <c r="H230" s="133" t="s">
        <v>5395</v>
      </c>
      <c r="I230" s="133" t="s">
        <v>5373</v>
      </c>
      <c r="J230" s="133" t="s">
        <v>5374</v>
      </c>
      <c r="K230" s="133">
        <v>459463.2</v>
      </c>
      <c r="L230" s="133">
        <v>59730.22</v>
      </c>
      <c r="M230" s="133">
        <v>59730.22</v>
      </c>
      <c r="N230" s="133" t="s">
        <v>4280</v>
      </c>
      <c r="O230" s="133" t="s">
        <v>4871</v>
      </c>
      <c r="P230" s="133" t="s">
        <v>4281</v>
      </c>
      <c r="Q230" s="133" t="s">
        <v>4872</v>
      </c>
      <c r="R230" s="133" t="s">
        <v>4281</v>
      </c>
      <c r="S230" s="133" t="s">
        <v>4873</v>
      </c>
    </row>
    <row r="231" spans="1:19">
      <c r="A231" s="133" t="s">
        <v>5396</v>
      </c>
      <c r="B231" s="133" t="s">
        <v>4866</v>
      </c>
      <c r="C231" s="133" t="s">
        <v>4279</v>
      </c>
      <c r="D231" s="133" t="s">
        <v>1013</v>
      </c>
      <c r="E231" s="133" t="s">
        <v>5397</v>
      </c>
      <c r="H231" s="133" t="s">
        <v>5398</v>
      </c>
      <c r="I231" s="133" t="s">
        <v>5373</v>
      </c>
      <c r="J231" s="133" t="s">
        <v>5374</v>
      </c>
      <c r="K231" s="133">
        <v>5228.32</v>
      </c>
      <c r="L231" s="133">
        <v>679.68</v>
      </c>
      <c r="M231" s="133">
        <v>679.68</v>
      </c>
      <c r="N231" s="133" t="s">
        <v>4280</v>
      </c>
      <c r="O231" s="133" t="s">
        <v>4871</v>
      </c>
      <c r="P231" s="133" t="s">
        <v>4281</v>
      </c>
      <c r="Q231" s="133" t="s">
        <v>4872</v>
      </c>
      <c r="R231" s="133" t="s">
        <v>4281</v>
      </c>
      <c r="S231" s="133" t="s">
        <v>4873</v>
      </c>
    </row>
    <row r="232" spans="1:19">
      <c r="A232" s="133" t="s">
        <v>5399</v>
      </c>
      <c r="B232" s="133" t="s">
        <v>4866</v>
      </c>
      <c r="C232" s="133" t="s">
        <v>4279</v>
      </c>
      <c r="D232" s="133" t="s">
        <v>1013</v>
      </c>
      <c r="E232" s="133" t="s">
        <v>5400</v>
      </c>
      <c r="H232" s="133" t="s">
        <v>5401</v>
      </c>
      <c r="I232" s="133" t="s">
        <v>5373</v>
      </c>
      <c r="J232" s="133" t="s">
        <v>5374</v>
      </c>
      <c r="K232" s="133">
        <v>567660.18000000005</v>
      </c>
      <c r="L232" s="133">
        <v>73795.820000000007</v>
      </c>
      <c r="M232" s="133">
        <v>73795.820000000007</v>
      </c>
      <c r="N232" s="133" t="s">
        <v>4280</v>
      </c>
      <c r="O232" s="133" t="s">
        <v>4871</v>
      </c>
      <c r="P232" s="133" t="s">
        <v>4281</v>
      </c>
      <c r="Q232" s="133" t="s">
        <v>4872</v>
      </c>
      <c r="R232" s="133" t="s">
        <v>4281</v>
      </c>
      <c r="S232" s="133" t="s">
        <v>4873</v>
      </c>
    </row>
    <row r="233" spans="1:19">
      <c r="A233" s="133" t="s">
        <v>5402</v>
      </c>
      <c r="B233" s="133" t="s">
        <v>4866</v>
      </c>
      <c r="C233" s="133" t="s">
        <v>4279</v>
      </c>
      <c r="D233" s="133" t="s">
        <v>1013</v>
      </c>
      <c r="E233" s="133" t="s">
        <v>5403</v>
      </c>
      <c r="H233" s="133" t="s">
        <v>5404</v>
      </c>
      <c r="I233" s="133" t="s">
        <v>5373</v>
      </c>
      <c r="J233" s="133" t="s">
        <v>5374</v>
      </c>
      <c r="K233" s="133">
        <v>2192054.29</v>
      </c>
      <c r="L233" s="133">
        <v>284967.06</v>
      </c>
      <c r="M233" s="133">
        <v>284967.06</v>
      </c>
      <c r="N233" s="133" t="s">
        <v>4280</v>
      </c>
      <c r="O233" s="133" t="s">
        <v>4871</v>
      </c>
      <c r="P233" s="133" t="s">
        <v>4281</v>
      </c>
      <c r="Q233" s="133" t="s">
        <v>4872</v>
      </c>
      <c r="R233" s="133" t="s">
        <v>4281</v>
      </c>
      <c r="S233" s="133" t="s">
        <v>4873</v>
      </c>
    </row>
    <row r="234" spans="1:19">
      <c r="A234" s="133" t="s">
        <v>5405</v>
      </c>
      <c r="B234" s="133" t="s">
        <v>4866</v>
      </c>
      <c r="C234" s="133" t="s">
        <v>4279</v>
      </c>
      <c r="D234" s="133" t="s">
        <v>1013</v>
      </c>
      <c r="E234" s="133" t="s">
        <v>5406</v>
      </c>
      <c r="H234" s="133" t="s">
        <v>5407</v>
      </c>
      <c r="I234" s="133" t="s">
        <v>5373</v>
      </c>
      <c r="J234" s="133" t="s">
        <v>5374</v>
      </c>
      <c r="K234" s="133">
        <v>562085.69999999995</v>
      </c>
      <c r="L234" s="133">
        <v>73071.14</v>
      </c>
      <c r="M234" s="133">
        <v>73071.14</v>
      </c>
      <c r="N234" s="133" t="s">
        <v>4280</v>
      </c>
      <c r="O234" s="133" t="s">
        <v>4871</v>
      </c>
      <c r="P234" s="133" t="s">
        <v>4281</v>
      </c>
      <c r="Q234" s="133" t="s">
        <v>4872</v>
      </c>
      <c r="R234" s="133" t="s">
        <v>4281</v>
      </c>
      <c r="S234" s="133" t="s">
        <v>4873</v>
      </c>
    </row>
    <row r="235" spans="1:19">
      <c r="A235" s="133" t="s">
        <v>5408</v>
      </c>
      <c r="B235" s="133" t="s">
        <v>4866</v>
      </c>
      <c r="C235" s="133" t="s">
        <v>4279</v>
      </c>
      <c r="D235" s="133" t="s">
        <v>1013</v>
      </c>
      <c r="E235" s="133" t="s">
        <v>5409</v>
      </c>
      <c r="H235" s="133" t="s">
        <v>5410</v>
      </c>
      <c r="I235" s="133" t="s">
        <v>5373</v>
      </c>
      <c r="J235" s="133" t="s">
        <v>5374</v>
      </c>
      <c r="K235" s="133">
        <v>5225271.0599999996</v>
      </c>
      <c r="L235" s="133">
        <v>679285.24</v>
      </c>
      <c r="M235" s="133">
        <v>679285.24</v>
      </c>
      <c r="N235" s="133" t="s">
        <v>4280</v>
      </c>
      <c r="O235" s="133" t="s">
        <v>4871</v>
      </c>
      <c r="P235" s="133" t="s">
        <v>4281</v>
      </c>
      <c r="Q235" s="133" t="s">
        <v>4872</v>
      </c>
      <c r="R235" s="133" t="s">
        <v>4281</v>
      </c>
      <c r="S235" s="133" t="s">
        <v>4873</v>
      </c>
    </row>
    <row r="236" spans="1:19">
      <c r="A236" s="133" t="s">
        <v>5411</v>
      </c>
      <c r="B236" s="133" t="s">
        <v>4866</v>
      </c>
      <c r="C236" s="133" t="s">
        <v>4279</v>
      </c>
      <c r="D236" s="133" t="s">
        <v>1013</v>
      </c>
      <c r="E236" s="133" t="s">
        <v>5412</v>
      </c>
      <c r="H236" s="133" t="s">
        <v>5413</v>
      </c>
      <c r="I236" s="133" t="s">
        <v>5373</v>
      </c>
      <c r="J236" s="133" t="s">
        <v>5374</v>
      </c>
      <c r="K236" s="133">
        <v>283941.34999999998</v>
      </c>
      <c r="L236" s="133">
        <v>36912.379999999997</v>
      </c>
      <c r="M236" s="133">
        <v>36912.379999999997</v>
      </c>
      <c r="N236" s="133" t="s">
        <v>4280</v>
      </c>
      <c r="O236" s="133" t="s">
        <v>4871</v>
      </c>
      <c r="P236" s="133" t="s">
        <v>4281</v>
      </c>
      <c r="Q236" s="133" t="s">
        <v>4872</v>
      </c>
      <c r="R236" s="133" t="s">
        <v>4281</v>
      </c>
      <c r="S236" s="133" t="s">
        <v>4873</v>
      </c>
    </row>
    <row r="237" spans="1:19">
      <c r="A237" s="133" t="s">
        <v>5414</v>
      </c>
      <c r="B237" s="133" t="s">
        <v>4866</v>
      </c>
      <c r="C237" s="133" t="s">
        <v>4279</v>
      </c>
      <c r="D237" s="133" t="s">
        <v>1013</v>
      </c>
      <c r="E237" s="133" t="s">
        <v>5415</v>
      </c>
      <c r="H237" s="133" t="s">
        <v>5416</v>
      </c>
      <c r="I237" s="133" t="s">
        <v>5373</v>
      </c>
      <c r="J237" s="133" t="s">
        <v>5374</v>
      </c>
      <c r="K237" s="133">
        <v>477717.17</v>
      </c>
      <c r="L237" s="133">
        <v>62103.23</v>
      </c>
      <c r="M237" s="133">
        <v>62103.23</v>
      </c>
      <c r="N237" s="133" t="s">
        <v>4280</v>
      </c>
      <c r="O237" s="133" t="s">
        <v>4871</v>
      </c>
      <c r="P237" s="133" t="s">
        <v>4281</v>
      </c>
      <c r="Q237" s="133" t="s">
        <v>4872</v>
      </c>
      <c r="R237" s="133" t="s">
        <v>4281</v>
      </c>
      <c r="S237" s="133" t="s">
        <v>4873</v>
      </c>
    </row>
    <row r="238" spans="1:19">
      <c r="A238" s="133" t="s">
        <v>5417</v>
      </c>
      <c r="B238" s="133" t="s">
        <v>4866</v>
      </c>
      <c r="C238" s="133" t="s">
        <v>4279</v>
      </c>
      <c r="D238" s="133" t="s">
        <v>1013</v>
      </c>
      <c r="E238" s="133" t="s">
        <v>5418</v>
      </c>
      <c r="H238" s="133" t="s">
        <v>5419</v>
      </c>
      <c r="I238" s="133" t="s">
        <v>5373</v>
      </c>
      <c r="J238" s="133" t="s">
        <v>5374</v>
      </c>
      <c r="K238" s="133">
        <v>431590.21</v>
      </c>
      <c r="L238" s="133">
        <v>56106.73</v>
      </c>
      <c r="M238" s="133">
        <v>56106.73</v>
      </c>
      <c r="N238" s="133" t="s">
        <v>4280</v>
      </c>
      <c r="O238" s="133" t="s">
        <v>4871</v>
      </c>
      <c r="P238" s="133" t="s">
        <v>4281</v>
      </c>
      <c r="Q238" s="133" t="s">
        <v>4872</v>
      </c>
      <c r="R238" s="133" t="s">
        <v>4281</v>
      </c>
      <c r="S238" s="133" t="s">
        <v>4873</v>
      </c>
    </row>
    <row r="239" spans="1:19">
      <c r="A239" s="133" t="s">
        <v>5420</v>
      </c>
      <c r="B239" s="133" t="s">
        <v>4866</v>
      </c>
      <c r="C239" s="133" t="s">
        <v>4279</v>
      </c>
      <c r="D239" s="133" t="s">
        <v>1013</v>
      </c>
      <c r="E239" s="133" t="s">
        <v>5421</v>
      </c>
      <c r="H239" s="133" t="s">
        <v>5422</v>
      </c>
      <c r="I239" s="133" t="s">
        <v>5373</v>
      </c>
      <c r="J239" s="133" t="s">
        <v>5374</v>
      </c>
      <c r="K239" s="133">
        <v>7842.48</v>
      </c>
      <c r="L239" s="133">
        <v>1019.52</v>
      </c>
      <c r="M239" s="133">
        <v>1019.52</v>
      </c>
      <c r="N239" s="133" t="s">
        <v>4280</v>
      </c>
      <c r="O239" s="133" t="s">
        <v>4871</v>
      </c>
      <c r="P239" s="133" t="s">
        <v>4281</v>
      </c>
      <c r="Q239" s="133" t="s">
        <v>4872</v>
      </c>
      <c r="R239" s="133" t="s">
        <v>4281</v>
      </c>
      <c r="S239" s="133" t="s">
        <v>4873</v>
      </c>
    </row>
    <row r="240" spans="1:19">
      <c r="A240" s="133" t="s">
        <v>5423</v>
      </c>
      <c r="B240" s="133" t="s">
        <v>4866</v>
      </c>
      <c r="C240" s="133" t="s">
        <v>4279</v>
      </c>
      <c r="D240" s="133" t="s">
        <v>1013</v>
      </c>
      <c r="E240" s="133" t="s">
        <v>5424</v>
      </c>
      <c r="H240" s="133" t="s">
        <v>5425</v>
      </c>
      <c r="I240" s="133" t="s">
        <v>5373</v>
      </c>
      <c r="J240" s="133" t="s">
        <v>5374</v>
      </c>
      <c r="K240" s="133">
        <v>2375363.65</v>
      </c>
      <c r="L240" s="133">
        <v>308797.27</v>
      </c>
      <c r="M240" s="133">
        <v>308797.27</v>
      </c>
      <c r="N240" s="133" t="s">
        <v>4280</v>
      </c>
      <c r="O240" s="133" t="s">
        <v>4871</v>
      </c>
      <c r="P240" s="133" t="s">
        <v>4281</v>
      </c>
      <c r="Q240" s="133" t="s">
        <v>4872</v>
      </c>
      <c r="R240" s="133" t="s">
        <v>4281</v>
      </c>
      <c r="S240" s="133" t="s">
        <v>4873</v>
      </c>
    </row>
    <row r="241" spans="1:19">
      <c r="A241" s="133" t="s">
        <v>5426</v>
      </c>
      <c r="B241" s="133" t="s">
        <v>4866</v>
      </c>
      <c r="C241" s="133" t="s">
        <v>4279</v>
      </c>
      <c r="D241" s="133" t="s">
        <v>1013</v>
      </c>
      <c r="E241" s="133" t="s">
        <v>5427</v>
      </c>
      <c r="H241" s="133" t="s">
        <v>5428</v>
      </c>
      <c r="I241" s="133" t="s">
        <v>5373</v>
      </c>
      <c r="J241" s="133" t="s">
        <v>5374</v>
      </c>
      <c r="K241" s="133">
        <v>1565019.74</v>
      </c>
      <c r="L241" s="133">
        <v>203452.57</v>
      </c>
      <c r="M241" s="133">
        <v>203452.57</v>
      </c>
      <c r="N241" s="133" t="s">
        <v>4280</v>
      </c>
      <c r="O241" s="133" t="s">
        <v>4871</v>
      </c>
      <c r="P241" s="133" t="s">
        <v>4281</v>
      </c>
      <c r="Q241" s="133" t="s">
        <v>4872</v>
      </c>
      <c r="R241" s="133" t="s">
        <v>4281</v>
      </c>
      <c r="S241" s="133" t="s">
        <v>4873</v>
      </c>
    </row>
    <row r="242" spans="1:19">
      <c r="A242" s="133" t="s">
        <v>5429</v>
      </c>
      <c r="B242" s="133" t="s">
        <v>4866</v>
      </c>
      <c r="C242" s="133" t="s">
        <v>4279</v>
      </c>
      <c r="D242" s="133" t="s">
        <v>1013</v>
      </c>
      <c r="E242" s="133" t="s">
        <v>5430</v>
      </c>
      <c r="H242" s="133" t="s">
        <v>5431</v>
      </c>
      <c r="I242" s="133" t="s">
        <v>5432</v>
      </c>
      <c r="J242" s="133" t="s">
        <v>5433</v>
      </c>
      <c r="K242" s="133">
        <v>363578.82</v>
      </c>
      <c r="L242" s="133">
        <v>47265.24</v>
      </c>
      <c r="M242" s="133">
        <v>47265.24</v>
      </c>
      <c r="N242" s="133" t="s">
        <v>4280</v>
      </c>
      <c r="O242" s="133" t="s">
        <v>4871</v>
      </c>
      <c r="P242" s="133" t="s">
        <v>4281</v>
      </c>
      <c r="Q242" s="133" t="s">
        <v>4872</v>
      </c>
      <c r="R242" s="133" t="s">
        <v>4281</v>
      </c>
      <c r="S242" s="133" t="s">
        <v>4873</v>
      </c>
    </row>
    <row r="243" spans="1:19">
      <c r="A243" s="133" t="s">
        <v>5434</v>
      </c>
      <c r="B243" s="133" t="s">
        <v>4866</v>
      </c>
      <c r="C243" s="133" t="s">
        <v>4279</v>
      </c>
      <c r="D243" s="133" t="s">
        <v>1013</v>
      </c>
      <c r="E243" s="133" t="s">
        <v>5435</v>
      </c>
      <c r="H243" s="133" t="s">
        <v>5436</v>
      </c>
      <c r="I243" s="133" t="s">
        <v>5432</v>
      </c>
      <c r="J243" s="133" t="s">
        <v>5433</v>
      </c>
      <c r="K243" s="133">
        <v>157116.82</v>
      </c>
      <c r="L243" s="133">
        <v>20425.18</v>
      </c>
      <c r="M243" s="133">
        <v>20425.18</v>
      </c>
      <c r="N243" s="133" t="s">
        <v>4280</v>
      </c>
      <c r="O243" s="133" t="s">
        <v>4871</v>
      </c>
      <c r="P243" s="133" t="s">
        <v>4281</v>
      </c>
      <c r="Q243" s="133" t="s">
        <v>4872</v>
      </c>
      <c r="R243" s="133" t="s">
        <v>4281</v>
      </c>
      <c r="S243" s="133" t="s">
        <v>4873</v>
      </c>
    </row>
    <row r="244" spans="1:19">
      <c r="A244" s="133" t="s">
        <v>5437</v>
      </c>
      <c r="B244" s="133" t="s">
        <v>4866</v>
      </c>
      <c r="C244" s="133" t="s">
        <v>4279</v>
      </c>
      <c r="D244" s="133" t="s">
        <v>1013</v>
      </c>
      <c r="E244" s="133" t="s">
        <v>5438</v>
      </c>
      <c r="H244" s="133" t="s">
        <v>5439</v>
      </c>
      <c r="I244" s="133" t="s">
        <v>5432</v>
      </c>
      <c r="J244" s="133" t="s">
        <v>5433</v>
      </c>
      <c r="K244" s="133">
        <v>645380.73</v>
      </c>
      <c r="L244" s="133">
        <v>83899.47</v>
      </c>
      <c r="M244" s="133">
        <v>83899.47</v>
      </c>
      <c r="N244" s="133" t="s">
        <v>4280</v>
      </c>
      <c r="O244" s="133" t="s">
        <v>4871</v>
      </c>
      <c r="P244" s="133" t="s">
        <v>4281</v>
      </c>
      <c r="Q244" s="133" t="s">
        <v>4872</v>
      </c>
      <c r="R244" s="133" t="s">
        <v>4281</v>
      </c>
      <c r="S244" s="133" t="s">
        <v>4873</v>
      </c>
    </row>
    <row r="245" spans="1:19">
      <c r="A245" s="133" t="s">
        <v>5440</v>
      </c>
      <c r="B245" s="133" t="s">
        <v>4866</v>
      </c>
      <c r="C245" s="133" t="s">
        <v>4279</v>
      </c>
      <c r="D245" s="133" t="s">
        <v>1013</v>
      </c>
      <c r="E245" s="133" t="s">
        <v>5441</v>
      </c>
      <c r="H245" s="133" t="s">
        <v>5442</v>
      </c>
      <c r="I245" s="133" t="s">
        <v>5432</v>
      </c>
      <c r="J245" s="133" t="s">
        <v>5433</v>
      </c>
      <c r="K245" s="133">
        <v>825171.49</v>
      </c>
      <c r="L245" s="133">
        <v>107272.31</v>
      </c>
      <c r="M245" s="133">
        <v>107272.31</v>
      </c>
      <c r="N245" s="133" t="s">
        <v>4280</v>
      </c>
      <c r="O245" s="133" t="s">
        <v>4871</v>
      </c>
      <c r="P245" s="133" t="s">
        <v>4281</v>
      </c>
      <c r="Q245" s="133" t="s">
        <v>4872</v>
      </c>
      <c r="R245" s="133" t="s">
        <v>4281</v>
      </c>
      <c r="S245" s="133" t="s">
        <v>4873</v>
      </c>
    </row>
    <row r="246" spans="1:19">
      <c r="A246" s="133" t="s">
        <v>5443</v>
      </c>
      <c r="B246" s="133" t="s">
        <v>4866</v>
      </c>
      <c r="C246" s="133" t="s">
        <v>4279</v>
      </c>
      <c r="D246" s="133" t="s">
        <v>1013</v>
      </c>
      <c r="E246" s="133" t="s">
        <v>5444</v>
      </c>
      <c r="H246" s="133" t="s">
        <v>5445</v>
      </c>
      <c r="I246" s="133" t="s">
        <v>5432</v>
      </c>
      <c r="J246" s="133" t="s">
        <v>5433</v>
      </c>
      <c r="K246" s="133">
        <v>493807.26</v>
      </c>
      <c r="L246" s="133">
        <v>64194.94</v>
      </c>
      <c r="M246" s="133">
        <v>64194.94</v>
      </c>
      <c r="N246" s="133" t="s">
        <v>4280</v>
      </c>
      <c r="O246" s="133" t="s">
        <v>4871</v>
      </c>
      <c r="P246" s="133" t="s">
        <v>4281</v>
      </c>
      <c r="Q246" s="133" t="s">
        <v>4872</v>
      </c>
      <c r="R246" s="133" t="s">
        <v>4281</v>
      </c>
      <c r="S246" s="133" t="s">
        <v>4873</v>
      </c>
    </row>
    <row r="247" spans="1:19">
      <c r="A247" s="133" t="s">
        <v>5446</v>
      </c>
      <c r="B247" s="133" t="s">
        <v>4866</v>
      </c>
      <c r="C247" s="133" t="s">
        <v>4279</v>
      </c>
      <c r="D247" s="133" t="s">
        <v>1013</v>
      </c>
      <c r="E247" s="133" t="s">
        <v>5447</v>
      </c>
      <c r="H247" s="133" t="s">
        <v>5448</v>
      </c>
      <c r="I247" s="133" t="s">
        <v>5432</v>
      </c>
      <c r="J247" s="133" t="s">
        <v>5433</v>
      </c>
      <c r="K247" s="133">
        <v>2124483.9</v>
      </c>
      <c r="L247" s="133">
        <v>276182.90000000002</v>
      </c>
      <c r="M247" s="133">
        <v>276182.90000000002</v>
      </c>
      <c r="N247" s="133" t="s">
        <v>4280</v>
      </c>
      <c r="O247" s="133" t="s">
        <v>4871</v>
      </c>
      <c r="P247" s="133" t="s">
        <v>4281</v>
      </c>
      <c r="Q247" s="133" t="s">
        <v>4872</v>
      </c>
      <c r="R247" s="133" t="s">
        <v>4281</v>
      </c>
      <c r="S247" s="133" t="s">
        <v>4873</v>
      </c>
    </row>
    <row r="248" spans="1:19">
      <c r="A248" s="133" t="s">
        <v>5449</v>
      </c>
      <c r="B248" s="133" t="s">
        <v>4866</v>
      </c>
      <c r="C248" s="133" t="s">
        <v>4279</v>
      </c>
      <c r="D248" s="133" t="s">
        <v>1013</v>
      </c>
      <c r="E248" s="133" t="s">
        <v>5450</v>
      </c>
      <c r="H248" s="133" t="s">
        <v>5451</v>
      </c>
      <c r="I248" s="133" t="s">
        <v>5432</v>
      </c>
      <c r="J248" s="133" t="s">
        <v>5433</v>
      </c>
      <c r="K248" s="133">
        <v>2218087.15</v>
      </c>
      <c r="L248" s="133">
        <v>288351.34999999998</v>
      </c>
      <c r="M248" s="133">
        <v>288351.34999999998</v>
      </c>
      <c r="N248" s="133" t="s">
        <v>4280</v>
      </c>
      <c r="O248" s="133" t="s">
        <v>4871</v>
      </c>
      <c r="P248" s="133" t="s">
        <v>4281</v>
      </c>
      <c r="Q248" s="133" t="s">
        <v>4872</v>
      </c>
      <c r="R248" s="133" t="s">
        <v>4281</v>
      </c>
      <c r="S248" s="133" t="s">
        <v>4873</v>
      </c>
    </row>
    <row r="249" spans="1:19">
      <c r="A249" s="133" t="s">
        <v>5452</v>
      </c>
      <c r="B249" s="133" t="s">
        <v>4866</v>
      </c>
      <c r="C249" s="133" t="s">
        <v>4279</v>
      </c>
      <c r="D249" s="133" t="s">
        <v>1013</v>
      </c>
      <c r="E249" s="133" t="s">
        <v>5453</v>
      </c>
      <c r="H249" s="133" t="s">
        <v>5454</v>
      </c>
      <c r="I249" s="133" t="s">
        <v>5455</v>
      </c>
      <c r="J249" s="133" t="s">
        <v>5456</v>
      </c>
      <c r="K249" s="133">
        <v>484004.65</v>
      </c>
      <c r="L249" s="133">
        <v>43560.42</v>
      </c>
      <c r="M249" s="133">
        <v>43560.42</v>
      </c>
      <c r="N249" s="133" t="s">
        <v>4280</v>
      </c>
      <c r="O249" s="133" t="s">
        <v>4871</v>
      </c>
      <c r="P249" s="133" t="s">
        <v>4281</v>
      </c>
      <c r="Q249" s="133" t="s">
        <v>4872</v>
      </c>
      <c r="R249" s="133" t="s">
        <v>4281</v>
      </c>
      <c r="S249" s="133" t="s">
        <v>4873</v>
      </c>
    </row>
    <row r="250" spans="1:19">
      <c r="A250" s="133" t="s">
        <v>5457</v>
      </c>
      <c r="B250" s="133" t="s">
        <v>4866</v>
      </c>
      <c r="C250" s="133" t="s">
        <v>4279</v>
      </c>
      <c r="D250" s="133" t="s">
        <v>1013</v>
      </c>
      <c r="E250" s="133" t="s">
        <v>5458</v>
      </c>
      <c r="H250" s="133" t="s">
        <v>5459</v>
      </c>
      <c r="I250" s="133" t="s">
        <v>5460</v>
      </c>
      <c r="J250" s="133" t="s">
        <v>5461</v>
      </c>
      <c r="K250" s="133">
        <v>199541.28</v>
      </c>
      <c r="L250" s="133">
        <v>17958.72</v>
      </c>
      <c r="M250" s="133">
        <v>17958.72</v>
      </c>
      <c r="N250" s="133" t="s">
        <v>4280</v>
      </c>
      <c r="O250" s="133" t="s">
        <v>4871</v>
      </c>
      <c r="P250" s="133" t="s">
        <v>4281</v>
      </c>
      <c r="Q250" s="133" t="s">
        <v>4872</v>
      </c>
      <c r="R250" s="133" t="s">
        <v>4281</v>
      </c>
      <c r="S250" s="133" t="s">
        <v>4873</v>
      </c>
    </row>
    <row r="251" spans="1:19">
      <c r="A251" s="133" t="s">
        <v>5462</v>
      </c>
      <c r="B251" s="133" t="s">
        <v>4866</v>
      </c>
      <c r="C251" s="133" t="s">
        <v>4279</v>
      </c>
      <c r="D251" s="133" t="s">
        <v>1013</v>
      </c>
      <c r="E251" s="133" t="s">
        <v>5463</v>
      </c>
      <c r="H251" s="133" t="s">
        <v>5464</v>
      </c>
      <c r="I251" s="133" t="s">
        <v>5460</v>
      </c>
      <c r="J251" s="133" t="s">
        <v>5461</v>
      </c>
      <c r="K251" s="133">
        <v>422018.35</v>
      </c>
      <c r="L251" s="133">
        <v>37981.65</v>
      </c>
      <c r="M251" s="133">
        <v>37981.65</v>
      </c>
      <c r="N251" s="133" t="s">
        <v>4280</v>
      </c>
      <c r="O251" s="133" t="s">
        <v>4871</v>
      </c>
      <c r="P251" s="133" t="s">
        <v>4281</v>
      </c>
      <c r="Q251" s="133" t="s">
        <v>4872</v>
      </c>
      <c r="R251" s="133" t="s">
        <v>4281</v>
      </c>
      <c r="S251" s="133" t="s">
        <v>4873</v>
      </c>
    </row>
    <row r="252" spans="1:19">
      <c r="A252" s="133" t="s">
        <v>5465</v>
      </c>
      <c r="B252" s="133" t="s">
        <v>4866</v>
      </c>
      <c r="C252" s="133" t="s">
        <v>4279</v>
      </c>
      <c r="D252" s="133" t="s">
        <v>1013</v>
      </c>
      <c r="E252" s="133" t="s">
        <v>5466</v>
      </c>
      <c r="H252" s="133" t="s">
        <v>5467</v>
      </c>
      <c r="I252" s="133" t="s">
        <v>5460</v>
      </c>
      <c r="J252" s="133" t="s">
        <v>5461</v>
      </c>
      <c r="K252" s="133">
        <v>422018.35</v>
      </c>
      <c r="L252" s="133">
        <v>37981.65</v>
      </c>
      <c r="M252" s="133">
        <v>37981.65</v>
      </c>
      <c r="N252" s="133" t="s">
        <v>4280</v>
      </c>
      <c r="O252" s="133" t="s">
        <v>4871</v>
      </c>
      <c r="P252" s="133" t="s">
        <v>4281</v>
      </c>
      <c r="Q252" s="133" t="s">
        <v>4872</v>
      </c>
      <c r="R252" s="133" t="s">
        <v>4281</v>
      </c>
      <c r="S252" s="133" t="s">
        <v>4873</v>
      </c>
    </row>
    <row r="253" spans="1:19">
      <c r="A253" s="133" t="s">
        <v>5468</v>
      </c>
      <c r="B253" s="133" t="s">
        <v>4866</v>
      </c>
      <c r="C253" s="133" t="s">
        <v>4279</v>
      </c>
      <c r="D253" s="133" t="s">
        <v>1013</v>
      </c>
      <c r="E253" s="133" t="s">
        <v>5469</v>
      </c>
      <c r="H253" s="133" t="s">
        <v>5470</v>
      </c>
      <c r="I253" s="133" t="s">
        <v>5460</v>
      </c>
      <c r="J253" s="133" t="s">
        <v>5461</v>
      </c>
      <c r="K253" s="133">
        <v>422018.35</v>
      </c>
      <c r="L253" s="133">
        <v>37981.65</v>
      </c>
      <c r="M253" s="133">
        <v>37981.65</v>
      </c>
      <c r="N253" s="133" t="s">
        <v>4280</v>
      </c>
      <c r="O253" s="133" t="s">
        <v>4871</v>
      </c>
      <c r="P253" s="133" t="s">
        <v>4281</v>
      </c>
      <c r="Q253" s="133" t="s">
        <v>4872</v>
      </c>
      <c r="R253" s="133" t="s">
        <v>4281</v>
      </c>
      <c r="S253" s="133" t="s">
        <v>4873</v>
      </c>
    </row>
    <row r="254" spans="1:19">
      <c r="A254" s="133" t="s">
        <v>5471</v>
      </c>
      <c r="B254" s="133" t="s">
        <v>4866</v>
      </c>
      <c r="C254" s="133" t="s">
        <v>4279</v>
      </c>
      <c r="D254" s="133" t="s">
        <v>1013</v>
      </c>
      <c r="E254" s="133" t="s">
        <v>5472</v>
      </c>
      <c r="H254" s="133" t="s">
        <v>5473</v>
      </c>
      <c r="I254" s="133" t="s">
        <v>5460</v>
      </c>
      <c r="J254" s="133" t="s">
        <v>5461</v>
      </c>
      <c r="K254" s="133">
        <v>422018.35</v>
      </c>
      <c r="L254" s="133">
        <v>37981.65</v>
      </c>
      <c r="M254" s="133">
        <v>37981.65</v>
      </c>
      <c r="N254" s="133" t="s">
        <v>4280</v>
      </c>
      <c r="O254" s="133" t="s">
        <v>4871</v>
      </c>
      <c r="P254" s="133" t="s">
        <v>4281</v>
      </c>
      <c r="Q254" s="133" t="s">
        <v>4872</v>
      </c>
      <c r="R254" s="133" t="s">
        <v>4281</v>
      </c>
      <c r="S254" s="133" t="s">
        <v>4873</v>
      </c>
    </row>
    <row r="255" spans="1:19">
      <c r="A255" s="133" t="s">
        <v>5474</v>
      </c>
      <c r="B255" s="133" t="s">
        <v>4866</v>
      </c>
      <c r="C255" s="133" t="s">
        <v>4279</v>
      </c>
      <c r="D255" s="133" t="s">
        <v>1013</v>
      </c>
      <c r="E255" s="133" t="s">
        <v>5475</v>
      </c>
      <c r="H255" s="133" t="s">
        <v>5476</v>
      </c>
      <c r="I255" s="133" t="s">
        <v>5460</v>
      </c>
      <c r="J255" s="133" t="s">
        <v>5461</v>
      </c>
      <c r="K255" s="133">
        <v>422018.35</v>
      </c>
      <c r="L255" s="133">
        <v>37981.65</v>
      </c>
      <c r="M255" s="133">
        <v>37981.65</v>
      </c>
      <c r="N255" s="133" t="s">
        <v>4280</v>
      </c>
      <c r="O255" s="133" t="s">
        <v>4871</v>
      </c>
      <c r="P255" s="133" t="s">
        <v>4281</v>
      </c>
      <c r="Q255" s="133" t="s">
        <v>4872</v>
      </c>
      <c r="R255" s="133" t="s">
        <v>4281</v>
      </c>
      <c r="S255" s="133" t="s">
        <v>4873</v>
      </c>
    </row>
    <row r="256" spans="1:19">
      <c r="A256" s="133" t="s">
        <v>5477</v>
      </c>
      <c r="B256" s="133" t="s">
        <v>4866</v>
      </c>
      <c r="C256" s="133" t="s">
        <v>4279</v>
      </c>
      <c r="D256" s="133" t="s">
        <v>1013</v>
      </c>
      <c r="E256" s="133" t="s">
        <v>5478</v>
      </c>
      <c r="H256" s="133" t="s">
        <v>5479</v>
      </c>
      <c r="I256" s="133" t="s">
        <v>5460</v>
      </c>
      <c r="J256" s="133" t="s">
        <v>5461</v>
      </c>
      <c r="K256" s="133">
        <v>199541.28</v>
      </c>
      <c r="L256" s="133">
        <v>17958.72</v>
      </c>
      <c r="M256" s="133">
        <v>17958.72</v>
      </c>
      <c r="N256" s="133" t="s">
        <v>4280</v>
      </c>
      <c r="O256" s="133" t="s">
        <v>4871</v>
      </c>
      <c r="P256" s="133" t="s">
        <v>4281</v>
      </c>
      <c r="Q256" s="133" t="s">
        <v>4872</v>
      </c>
      <c r="R256" s="133" t="s">
        <v>4281</v>
      </c>
      <c r="S256" s="133" t="s">
        <v>4873</v>
      </c>
    </row>
    <row r="257" spans="1:19">
      <c r="A257" s="133" t="s">
        <v>5480</v>
      </c>
      <c r="B257" s="133" t="s">
        <v>4866</v>
      </c>
      <c r="C257" s="133" t="s">
        <v>4279</v>
      </c>
      <c r="D257" s="133" t="s">
        <v>1013</v>
      </c>
      <c r="E257" s="133" t="s">
        <v>5481</v>
      </c>
      <c r="H257" s="133" t="s">
        <v>5482</v>
      </c>
      <c r="I257" s="133" t="s">
        <v>5460</v>
      </c>
      <c r="J257" s="133" t="s">
        <v>5461</v>
      </c>
      <c r="K257" s="133">
        <v>422018.35</v>
      </c>
      <c r="L257" s="133">
        <v>37981.65</v>
      </c>
      <c r="M257" s="133">
        <v>37981.65</v>
      </c>
      <c r="N257" s="133" t="s">
        <v>4280</v>
      </c>
      <c r="O257" s="133" t="s">
        <v>4871</v>
      </c>
      <c r="P257" s="133" t="s">
        <v>4281</v>
      </c>
      <c r="Q257" s="133" t="s">
        <v>4872</v>
      </c>
      <c r="R257" s="133" t="s">
        <v>4281</v>
      </c>
      <c r="S257" s="133" t="s">
        <v>4873</v>
      </c>
    </row>
    <row r="258" spans="1:19">
      <c r="A258" s="133" t="s">
        <v>5483</v>
      </c>
      <c r="B258" s="133" t="s">
        <v>4866</v>
      </c>
      <c r="C258" s="133" t="s">
        <v>4279</v>
      </c>
      <c r="D258" s="133" t="s">
        <v>1013</v>
      </c>
      <c r="E258" s="133" t="s">
        <v>5484</v>
      </c>
      <c r="H258" s="133" t="s">
        <v>5485</v>
      </c>
      <c r="I258" s="133" t="s">
        <v>5460</v>
      </c>
      <c r="J258" s="133" t="s">
        <v>5461</v>
      </c>
      <c r="K258" s="133">
        <v>422018.35</v>
      </c>
      <c r="L258" s="133">
        <v>37981.65</v>
      </c>
      <c r="M258" s="133">
        <v>37981.65</v>
      </c>
      <c r="N258" s="133" t="s">
        <v>4280</v>
      </c>
      <c r="O258" s="133" t="s">
        <v>4871</v>
      </c>
      <c r="P258" s="133" t="s">
        <v>4281</v>
      </c>
      <c r="Q258" s="133" t="s">
        <v>4872</v>
      </c>
      <c r="R258" s="133" t="s">
        <v>4281</v>
      </c>
      <c r="S258" s="133" t="s">
        <v>4873</v>
      </c>
    </row>
    <row r="259" spans="1:19">
      <c r="A259" s="133" t="s">
        <v>5486</v>
      </c>
      <c r="B259" s="133" t="s">
        <v>4866</v>
      </c>
      <c r="C259" s="133" t="s">
        <v>4279</v>
      </c>
      <c r="D259" s="133" t="s">
        <v>1013</v>
      </c>
      <c r="E259" s="133" t="s">
        <v>5487</v>
      </c>
      <c r="H259" s="133" t="s">
        <v>5488</v>
      </c>
      <c r="I259" s="133" t="s">
        <v>5460</v>
      </c>
      <c r="J259" s="133" t="s">
        <v>5461</v>
      </c>
      <c r="K259" s="133">
        <v>422018.35</v>
      </c>
      <c r="L259" s="133">
        <v>37981.65</v>
      </c>
      <c r="M259" s="133">
        <v>37981.65</v>
      </c>
      <c r="N259" s="133" t="s">
        <v>4280</v>
      </c>
      <c r="O259" s="133" t="s">
        <v>4871</v>
      </c>
      <c r="P259" s="133" t="s">
        <v>4281</v>
      </c>
      <c r="Q259" s="133" t="s">
        <v>4872</v>
      </c>
      <c r="R259" s="133" t="s">
        <v>4281</v>
      </c>
      <c r="S259" s="133" t="s">
        <v>4873</v>
      </c>
    </row>
    <row r="260" spans="1:19">
      <c r="A260" s="133" t="s">
        <v>5489</v>
      </c>
      <c r="B260" s="133" t="s">
        <v>4866</v>
      </c>
      <c r="C260" s="133" t="s">
        <v>4279</v>
      </c>
      <c r="D260" s="133" t="s">
        <v>1013</v>
      </c>
      <c r="E260" s="133" t="s">
        <v>5490</v>
      </c>
      <c r="H260" s="133" t="s">
        <v>5491</v>
      </c>
      <c r="I260" s="133" t="s">
        <v>5460</v>
      </c>
      <c r="J260" s="133" t="s">
        <v>5461</v>
      </c>
      <c r="K260" s="133">
        <v>422018.35</v>
      </c>
      <c r="L260" s="133">
        <v>37981.65</v>
      </c>
      <c r="M260" s="133">
        <v>37981.65</v>
      </c>
      <c r="N260" s="133" t="s">
        <v>4280</v>
      </c>
      <c r="O260" s="133" t="s">
        <v>4871</v>
      </c>
      <c r="P260" s="133" t="s">
        <v>4281</v>
      </c>
      <c r="Q260" s="133" t="s">
        <v>4872</v>
      </c>
      <c r="R260" s="133" t="s">
        <v>4281</v>
      </c>
      <c r="S260" s="133" t="s">
        <v>4873</v>
      </c>
    </row>
    <row r="261" spans="1:19">
      <c r="A261" s="133" t="s">
        <v>5492</v>
      </c>
      <c r="B261" s="133" t="s">
        <v>4866</v>
      </c>
      <c r="C261" s="133" t="s">
        <v>4279</v>
      </c>
      <c r="D261" s="133" t="s">
        <v>1013</v>
      </c>
      <c r="E261" s="133" t="s">
        <v>5493</v>
      </c>
      <c r="H261" s="133" t="s">
        <v>5494</v>
      </c>
      <c r="I261" s="133" t="s">
        <v>5460</v>
      </c>
      <c r="J261" s="133" t="s">
        <v>5461</v>
      </c>
      <c r="K261" s="133">
        <v>422018.35</v>
      </c>
      <c r="L261" s="133">
        <v>37981.65</v>
      </c>
      <c r="M261" s="133">
        <v>37981.65</v>
      </c>
      <c r="N261" s="133" t="s">
        <v>4280</v>
      </c>
      <c r="O261" s="133" t="s">
        <v>4871</v>
      </c>
      <c r="P261" s="133" t="s">
        <v>4281</v>
      </c>
      <c r="Q261" s="133" t="s">
        <v>4872</v>
      </c>
      <c r="R261" s="133" t="s">
        <v>4281</v>
      </c>
      <c r="S261" s="133" t="s">
        <v>4873</v>
      </c>
    </row>
    <row r="262" spans="1:19">
      <c r="A262" s="133" t="s">
        <v>5495</v>
      </c>
      <c r="B262" s="133" t="s">
        <v>4866</v>
      </c>
      <c r="C262" s="133" t="s">
        <v>4279</v>
      </c>
      <c r="D262" s="133" t="s">
        <v>1013</v>
      </c>
      <c r="E262" s="133" t="s">
        <v>5496</v>
      </c>
      <c r="H262" s="133" t="s">
        <v>5497</v>
      </c>
      <c r="I262" s="133" t="s">
        <v>5460</v>
      </c>
      <c r="J262" s="133" t="s">
        <v>5461</v>
      </c>
      <c r="K262" s="133">
        <v>495412.84</v>
      </c>
      <c r="L262" s="133">
        <v>44587.16</v>
      </c>
      <c r="M262" s="133">
        <v>44587.16</v>
      </c>
      <c r="N262" s="133" t="s">
        <v>4280</v>
      </c>
      <c r="O262" s="133" t="s">
        <v>4871</v>
      </c>
      <c r="P262" s="133" t="s">
        <v>4281</v>
      </c>
      <c r="Q262" s="133" t="s">
        <v>4872</v>
      </c>
      <c r="R262" s="133" t="s">
        <v>4281</v>
      </c>
      <c r="S262" s="133" t="s">
        <v>4873</v>
      </c>
    </row>
    <row r="263" spans="1:19">
      <c r="A263" s="133" t="s">
        <v>5498</v>
      </c>
      <c r="B263" s="133" t="s">
        <v>4866</v>
      </c>
      <c r="C263" s="133" t="s">
        <v>4279</v>
      </c>
      <c r="D263" s="133" t="s">
        <v>1013</v>
      </c>
      <c r="E263" s="133" t="s">
        <v>5499</v>
      </c>
      <c r="H263" s="133" t="s">
        <v>5500</v>
      </c>
      <c r="I263" s="133" t="s">
        <v>5460</v>
      </c>
      <c r="J263" s="133" t="s">
        <v>5461</v>
      </c>
      <c r="K263" s="133">
        <v>458715.6</v>
      </c>
      <c r="L263" s="133">
        <v>41284.400000000001</v>
      </c>
      <c r="M263" s="133">
        <v>41284.400000000001</v>
      </c>
      <c r="N263" s="133" t="s">
        <v>4280</v>
      </c>
      <c r="O263" s="133" t="s">
        <v>4871</v>
      </c>
      <c r="P263" s="133" t="s">
        <v>4281</v>
      </c>
      <c r="Q263" s="133" t="s">
        <v>4872</v>
      </c>
      <c r="R263" s="133" t="s">
        <v>4281</v>
      </c>
      <c r="S263" s="133" t="s">
        <v>4873</v>
      </c>
    </row>
    <row r="264" spans="1:19">
      <c r="A264" s="133" t="s">
        <v>5501</v>
      </c>
      <c r="B264" s="133" t="s">
        <v>4866</v>
      </c>
      <c r="C264" s="133" t="s">
        <v>4279</v>
      </c>
      <c r="D264" s="133" t="s">
        <v>1013</v>
      </c>
      <c r="E264" s="133" t="s">
        <v>5502</v>
      </c>
      <c r="H264" s="133" t="s">
        <v>5503</v>
      </c>
      <c r="I264" s="133" t="s">
        <v>5460</v>
      </c>
      <c r="J264" s="133" t="s">
        <v>5461</v>
      </c>
      <c r="K264" s="133">
        <v>449706.41</v>
      </c>
      <c r="L264" s="133">
        <v>40473.58</v>
      </c>
      <c r="M264" s="133">
        <v>40473.58</v>
      </c>
      <c r="N264" s="133" t="s">
        <v>4280</v>
      </c>
      <c r="O264" s="133" t="s">
        <v>4871</v>
      </c>
      <c r="P264" s="133" t="s">
        <v>4281</v>
      </c>
      <c r="Q264" s="133" t="s">
        <v>4872</v>
      </c>
      <c r="R264" s="133" t="s">
        <v>4281</v>
      </c>
      <c r="S264" s="133" t="s">
        <v>4873</v>
      </c>
    </row>
    <row r="265" spans="1:19">
      <c r="A265" s="133" t="s">
        <v>5504</v>
      </c>
      <c r="B265" s="133" t="s">
        <v>4866</v>
      </c>
      <c r="C265" s="133" t="s">
        <v>4279</v>
      </c>
      <c r="D265" s="133" t="s">
        <v>1013</v>
      </c>
      <c r="E265" s="133" t="s">
        <v>5505</v>
      </c>
      <c r="H265" s="133" t="s">
        <v>5506</v>
      </c>
      <c r="I265" s="133" t="s">
        <v>5460</v>
      </c>
      <c r="J265" s="133" t="s">
        <v>5461</v>
      </c>
      <c r="K265" s="133">
        <v>495412.84</v>
      </c>
      <c r="L265" s="133">
        <v>44587.16</v>
      </c>
      <c r="M265" s="133">
        <v>44587.16</v>
      </c>
      <c r="N265" s="133" t="s">
        <v>4280</v>
      </c>
      <c r="O265" s="133" t="s">
        <v>4871</v>
      </c>
      <c r="P265" s="133" t="s">
        <v>4281</v>
      </c>
      <c r="Q265" s="133" t="s">
        <v>4872</v>
      </c>
      <c r="R265" s="133" t="s">
        <v>4281</v>
      </c>
      <c r="S265" s="133" t="s">
        <v>4873</v>
      </c>
    </row>
    <row r="266" spans="1:19">
      <c r="A266" s="133" t="s">
        <v>5507</v>
      </c>
      <c r="B266" s="133" t="s">
        <v>4866</v>
      </c>
      <c r="C266" s="133" t="s">
        <v>4279</v>
      </c>
      <c r="D266" s="133" t="s">
        <v>1013</v>
      </c>
      <c r="E266" s="133" t="s">
        <v>5508</v>
      </c>
      <c r="H266" s="133" t="s">
        <v>5509</v>
      </c>
      <c r="I266" s="133" t="s">
        <v>5510</v>
      </c>
      <c r="J266" s="133" t="s">
        <v>5511</v>
      </c>
      <c r="K266" s="133">
        <v>1953723.79</v>
      </c>
      <c r="L266" s="133">
        <v>253984.09</v>
      </c>
      <c r="M266" s="133">
        <v>253984.09</v>
      </c>
      <c r="N266" s="133" t="s">
        <v>4280</v>
      </c>
      <c r="O266" s="133" t="s">
        <v>4871</v>
      </c>
      <c r="P266" s="133" t="s">
        <v>4281</v>
      </c>
      <c r="Q266" s="133" t="s">
        <v>4872</v>
      </c>
      <c r="R266" s="133" t="s">
        <v>4281</v>
      </c>
      <c r="S266" s="133" t="s">
        <v>4873</v>
      </c>
    </row>
    <row r="267" spans="1:19">
      <c r="A267" s="133" t="s">
        <v>5512</v>
      </c>
      <c r="B267" s="133" t="s">
        <v>4866</v>
      </c>
      <c r="C267" s="133" t="s">
        <v>4279</v>
      </c>
      <c r="D267" s="133" t="s">
        <v>1013</v>
      </c>
      <c r="E267" s="133" t="s">
        <v>5513</v>
      </c>
      <c r="H267" s="133" t="s">
        <v>5514</v>
      </c>
      <c r="I267" s="133" t="s">
        <v>5510</v>
      </c>
      <c r="J267" s="133" t="s">
        <v>5511</v>
      </c>
      <c r="K267" s="133">
        <v>1520906.84</v>
      </c>
      <c r="L267" s="133">
        <v>197717.89</v>
      </c>
      <c r="M267" s="133">
        <v>197717.89</v>
      </c>
      <c r="N267" s="133" t="s">
        <v>4280</v>
      </c>
      <c r="O267" s="133" t="s">
        <v>4871</v>
      </c>
      <c r="P267" s="133" t="s">
        <v>4281</v>
      </c>
      <c r="Q267" s="133" t="s">
        <v>4872</v>
      </c>
      <c r="R267" s="133" t="s">
        <v>4281</v>
      </c>
      <c r="S267" s="133" t="s">
        <v>4873</v>
      </c>
    </row>
    <row r="268" spans="1:19">
      <c r="A268" s="133" t="s">
        <v>5515</v>
      </c>
      <c r="B268" s="133" t="s">
        <v>4866</v>
      </c>
      <c r="C268" s="133" t="s">
        <v>4279</v>
      </c>
      <c r="D268" s="133" t="s">
        <v>1013</v>
      </c>
      <c r="E268" s="133" t="s">
        <v>5516</v>
      </c>
      <c r="H268" s="133" t="s">
        <v>5517</v>
      </c>
      <c r="I268" s="133" t="s">
        <v>5510</v>
      </c>
      <c r="J268" s="133" t="s">
        <v>5511</v>
      </c>
      <c r="K268" s="133">
        <v>1515065.84</v>
      </c>
      <c r="L268" s="133">
        <v>196958.56</v>
      </c>
      <c r="M268" s="133">
        <v>196958.56</v>
      </c>
      <c r="N268" s="133" t="s">
        <v>4280</v>
      </c>
      <c r="O268" s="133" t="s">
        <v>4871</v>
      </c>
      <c r="P268" s="133" t="s">
        <v>4281</v>
      </c>
      <c r="Q268" s="133" t="s">
        <v>4872</v>
      </c>
      <c r="R268" s="133" t="s">
        <v>4281</v>
      </c>
      <c r="S268" s="133" t="s">
        <v>4873</v>
      </c>
    </row>
    <row r="269" spans="1:19">
      <c r="A269" s="133" t="s">
        <v>5518</v>
      </c>
      <c r="B269" s="133" t="s">
        <v>4866</v>
      </c>
      <c r="C269" s="133" t="s">
        <v>4279</v>
      </c>
      <c r="D269" s="133" t="s">
        <v>1013</v>
      </c>
      <c r="E269" s="133" t="s">
        <v>5519</v>
      </c>
      <c r="H269" s="133" t="s">
        <v>5520</v>
      </c>
      <c r="I269" s="133" t="s">
        <v>5510</v>
      </c>
      <c r="J269" s="133" t="s">
        <v>5511</v>
      </c>
      <c r="K269" s="133">
        <v>1520906.84</v>
      </c>
      <c r="L269" s="133">
        <v>197717.89</v>
      </c>
      <c r="M269" s="133">
        <v>197717.89</v>
      </c>
      <c r="N269" s="133" t="s">
        <v>4280</v>
      </c>
      <c r="O269" s="133" t="s">
        <v>4871</v>
      </c>
      <c r="P269" s="133" t="s">
        <v>4281</v>
      </c>
      <c r="Q269" s="133" t="s">
        <v>4872</v>
      </c>
      <c r="R269" s="133" t="s">
        <v>4281</v>
      </c>
      <c r="S269" s="133" t="s">
        <v>4873</v>
      </c>
    </row>
    <row r="270" spans="1:19">
      <c r="A270" s="133" t="s">
        <v>5521</v>
      </c>
      <c r="B270" s="133" t="s">
        <v>4866</v>
      </c>
      <c r="C270" s="133" t="s">
        <v>4279</v>
      </c>
      <c r="D270" s="133" t="s">
        <v>1013</v>
      </c>
      <c r="E270" s="133" t="s">
        <v>3826</v>
      </c>
      <c r="H270" s="133" t="s">
        <v>5522</v>
      </c>
      <c r="I270" s="133" t="s">
        <v>5523</v>
      </c>
      <c r="J270" s="133" t="s">
        <v>5524</v>
      </c>
      <c r="K270" s="133">
        <v>11197</v>
      </c>
      <c r="L270" s="133">
        <v>671.82</v>
      </c>
      <c r="M270" s="133">
        <v>671.82</v>
      </c>
      <c r="N270" s="133" t="s">
        <v>4280</v>
      </c>
      <c r="O270" s="133" t="s">
        <v>4871</v>
      </c>
      <c r="P270" s="133" t="s">
        <v>4281</v>
      </c>
      <c r="Q270" s="133" t="s">
        <v>4872</v>
      </c>
      <c r="R270" s="133" t="s">
        <v>4281</v>
      </c>
      <c r="S270" s="133" t="s">
        <v>4873</v>
      </c>
    </row>
    <row r="271" spans="1:19">
      <c r="A271" s="133" t="s">
        <v>5525</v>
      </c>
      <c r="B271" s="133" t="s">
        <v>4866</v>
      </c>
      <c r="C271" s="133" t="s">
        <v>4279</v>
      </c>
      <c r="D271" s="133" t="s">
        <v>1013</v>
      </c>
      <c r="E271" s="133" t="s">
        <v>3167</v>
      </c>
      <c r="H271" s="133" t="s">
        <v>5526</v>
      </c>
      <c r="I271" s="133" t="s">
        <v>5523</v>
      </c>
      <c r="J271" s="133" t="s">
        <v>5524</v>
      </c>
      <c r="K271" s="133">
        <v>5291.95</v>
      </c>
      <c r="L271" s="133">
        <v>317.52</v>
      </c>
      <c r="M271" s="133">
        <v>317.52</v>
      </c>
      <c r="N271" s="133" t="s">
        <v>4280</v>
      </c>
      <c r="O271" s="133" t="s">
        <v>4871</v>
      </c>
      <c r="P271" s="133" t="s">
        <v>4281</v>
      </c>
      <c r="Q271" s="133" t="s">
        <v>4872</v>
      </c>
      <c r="R271" s="133" t="s">
        <v>4281</v>
      </c>
      <c r="S271" s="133" t="s">
        <v>4873</v>
      </c>
    </row>
    <row r="272" spans="1:19">
      <c r="A272" s="133" t="s">
        <v>5527</v>
      </c>
      <c r="B272" s="133" t="s">
        <v>4866</v>
      </c>
      <c r="C272" s="133" t="s">
        <v>4279</v>
      </c>
      <c r="D272" s="133" t="s">
        <v>1013</v>
      </c>
      <c r="E272" s="133" t="s">
        <v>5528</v>
      </c>
      <c r="H272" s="133" t="s">
        <v>5529</v>
      </c>
      <c r="I272" s="133" t="s">
        <v>5530</v>
      </c>
      <c r="J272" s="133" t="s">
        <v>4089</v>
      </c>
      <c r="K272" s="133">
        <v>17699115.039999999</v>
      </c>
      <c r="L272" s="133">
        <v>2300884.96</v>
      </c>
      <c r="M272" s="133">
        <v>2300884.96</v>
      </c>
      <c r="N272" s="133" t="s">
        <v>4280</v>
      </c>
      <c r="O272" s="133" t="s">
        <v>4871</v>
      </c>
      <c r="P272" s="133" t="s">
        <v>4281</v>
      </c>
      <c r="Q272" s="133" t="s">
        <v>4872</v>
      </c>
      <c r="R272" s="133" t="s">
        <v>4281</v>
      </c>
      <c r="S272" s="133" t="s">
        <v>4873</v>
      </c>
    </row>
    <row r="273" spans="1:19">
      <c r="A273" s="133" t="s">
        <v>5531</v>
      </c>
      <c r="B273" s="133" t="s">
        <v>4866</v>
      </c>
      <c r="C273" s="133" t="s">
        <v>4279</v>
      </c>
      <c r="D273" s="133" t="s">
        <v>1013</v>
      </c>
      <c r="E273" s="133" t="s">
        <v>5532</v>
      </c>
      <c r="H273" s="133" t="s">
        <v>5533</v>
      </c>
      <c r="I273" s="133" t="s">
        <v>4270</v>
      </c>
      <c r="J273" s="133" t="s">
        <v>4271</v>
      </c>
      <c r="K273" s="133">
        <v>2100000</v>
      </c>
      <c r="L273" s="133">
        <v>126000</v>
      </c>
      <c r="M273" s="133">
        <v>126000</v>
      </c>
      <c r="N273" s="133" t="s">
        <v>4280</v>
      </c>
      <c r="O273" s="133" t="s">
        <v>4871</v>
      </c>
      <c r="P273" s="133" t="s">
        <v>4281</v>
      </c>
      <c r="Q273" s="133" t="s">
        <v>4872</v>
      </c>
      <c r="R273" s="133" t="s">
        <v>4281</v>
      </c>
      <c r="S273" s="133" t="s">
        <v>4873</v>
      </c>
    </row>
    <row r="274" spans="1:19">
      <c r="A274" s="133" t="s">
        <v>5534</v>
      </c>
      <c r="B274" s="133" t="s">
        <v>4866</v>
      </c>
      <c r="C274" s="133" t="s">
        <v>4279</v>
      </c>
      <c r="D274" s="133" t="s">
        <v>1013</v>
      </c>
      <c r="E274" s="133" t="s">
        <v>5535</v>
      </c>
      <c r="H274" s="133" t="s">
        <v>5536</v>
      </c>
      <c r="I274" s="133" t="s">
        <v>4270</v>
      </c>
      <c r="J274" s="133" t="s">
        <v>4271</v>
      </c>
      <c r="K274" s="133">
        <v>7659623.8899999997</v>
      </c>
      <c r="L274" s="133">
        <v>995751.11</v>
      </c>
      <c r="M274" s="133">
        <v>995751.11</v>
      </c>
      <c r="N274" s="133" t="s">
        <v>4280</v>
      </c>
      <c r="O274" s="133" t="s">
        <v>4871</v>
      </c>
      <c r="P274" s="133" t="s">
        <v>4281</v>
      </c>
      <c r="Q274" s="133" t="s">
        <v>4872</v>
      </c>
      <c r="R274" s="133" t="s">
        <v>4281</v>
      </c>
      <c r="S274" s="133" t="s">
        <v>4873</v>
      </c>
    </row>
    <row r="275" spans="1:19">
      <c r="A275" s="133" t="s">
        <v>5537</v>
      </c>
      <c r="B275" s="133" t="s">
        <v>4866</v>
      </c>
      <c r="C275" s="133" t="s">
        <v>4279</v>
      </c>
      <c r="D275" s="133" t="s">
        <v>1013</v>
      </c>
      <c r="E275" s="133" t="s">
        <v>5538</v>
      </c>
      <c r="H275" s="133" t="s">
        <v>5539</v>
      </c>
      <c r="I275" s="133" t="s">
        <v>4270</v>
      </c>
      <c r="J275" s="133" t="s">
        <v>4271</v>
      </c>
      <c r="K275" s="133">
        <v>7659623.8899999997</v>
      </c>
      <c r="L275" s="133">
        <v>995751.11</v>
      </c>
      <c r="M275" s="133">
        <v>995751.11</v>
      </c>
      <c r="N275" s="133" t="s">
        <v>4280</v>
      </c>
      <c r="O275" s="133" t="s">
        <v>4871</v>
      </c>
      <c r="P275" s="133" t="s">
        <v>4281</v>
      </c>
      <c r="Q275" s="133" t="s">
        <v>4872</v>
      </c>
      <c r="R275" s="133" t="s">
        <v>4281</v>
      </c>
      <c r="S275" s="133" t="s">
        <v>4873</v>
      </c>
    </row>
    <row r="276" spans="1:19">
      <c r="A276" s="133" t="s">
        <v>5540</v>
      </c>
      <c r="B276" s="133" t="s">
        <v>4866</v>
      </c>
      <c r="C276" s="133" t="s">
        <v>4279</v>
      </c>
      <c r="D276" s="133" t="s">
        <v>1013</v>
      </c>
      <c r="E276" s="133" t="s">
        <v>5541</v>
      </c>
      <c r="H276" s="133" t="s">
        <v>5542</v>
      </c>
      <c r="I276" s="133" t="s">
        <v>4270</v>
      </c>
      <c r="J276" s="133" t="s">
        <v>4271</v>
      </c>
      <c r="K276" s="133">
        <v>7659623.8899999997</v>
      </c>
      <c r="L276" s="133">
        <v>995751.11</v>
      </c>
      <c r="M276" s="133">
        <v>995751.11</v>
      </c>
      <c r="N276" s="133" t="s">
        <v>4280</v>
      </c>
      <c r="O276" s="133" t="s">
        <v>4871</v>
      </c>
      <c r="P276" s="133" t="s">
        <v>4281</v>
      </c>
      <c r="Q276" s="133" t="s">
        <v>4872</v>
      </c>
      <c r="R276" s="133" t="s">
        <v>4281</v>
      </c>
      <c r="S276" s="133" t="s">
        <v>4873</v>
      </c>
    </row>
    <row r="277" spans="1:19">
      <c r="A277" s="133" t="s">
        <v>5543</v>
      </c>
      <c r="B277" s="133" t="s">
        <v>4866</v>
      </c>
      <c r="C277" s="133" t="s">
        <v>4279</v>
      </c>
      <c r="D277" s="133" t="s">
        <v>1013</v>
      </c>
      <c r="E277" s="133" t="s">
        <v>5544</v>
      </c>
      <c r="H277" s="133" t="s">
        <v>5545</v>
      </c>
      <c r="I277" s="133" t="s">
        <v>4270</v>
      </c>
      <c r="J277" s="133" t="s">
        <v>4271</v>
      </c>
      <c r="K277" s="133">
        <v>7659623.8899999997</v>
      </c>
      <c r="L277" s="133">
        <v>995751.11</v>
      </c>
      <c r="M277" s="133">
        <v>995751.11</v>
      </c>
      <c r="N277" s="133" t="s">
        <v>4280</v>
      </c>
      <c r="O277" s="133" t="s">
        <v>4871</v>
      </c>
      <c r="P277" s="133" t="s">
        <v>4281</v>
      </c>
      <c r="Q277" s="133" t="s">
        <v>4872</v>
      </c>
      <c r="R277" s="133" t="s">
        <v>4281</v>
      </c>
      <c r="S277" s="133" t="s">
        <v>4873</v>
      </c>
    </row>
    <row r="278" spans="1:19">
      <c r="A278" s="133" t="s">
        <v>5546</v>
      </c>
      <c r="B278" s="133" t="s">
        <v>4866</v>
      </c>
      <c r="C278" s="133" t="s">
        <v>4279</v>
      </c>
      <c r="D278" s="133" t="s">
        <v>1013</v>
      </c>
      <c r="E278" s="133" t="s">
        <v>5547</v>
      </c>
      <c r="H278" s="133" t="s">
        <v>5548</v>
      </c>
      <c r="I278" s="133" t="s">
        <v>4270</v>
      </c>
      <c r="J278" s="133" t="s">
        <v>4271</v>
      </c>
      <c r="K278" s="133">
        <v>12393805.310000001</v>
      </c>
      <c r="L278" s="133">
        <v>1611194.69</v>
      </c>
      <c r="M278" s="133">
        <v>1611194.69</v>
      </c>
      <c r="N278" s="133" t="s">
        <v>4280</v>
      </c>
      <c r="O278" s="133" t="s">
        <v>4871</v>
      </c>
      <c r="P278" s="133" t="s">
        <v>4281</v>
      </c>
      <c r="Q278" s="133" t="s">
        <v>4872</v>
      </c>
      <c r="R278" s="133" t="s">
        <v>4281</v>
      </c>
      <c r="S278" s="133" t="s">
        <v>4873</v>
      </c>
    </row>
    <row r="279" spans="1:19">
      <c r="A279" s="133" t="s">
        <v>5549</v>
      </c>
      <c r="B279" s="133" t="s">
        <v>4866</v>
      </c>
      <c r="C279" s="133" t="s">
        <v>4279</v>
      </c>
      <c r="D279" s="133" t="s">
        <v>1013</v>
      </c>
      <c r="E279" s="133" t="s">
        <v>5550</v>
      </c>
      <c r="H279" s="133" t="s">
        <v>5551</v>
      </c>
      <c r="I279" s="133" t="s">
        <v>4270</v>
      </c>
      <c r="J279" s="133" t="s">
        <v>4271</v>
      </c>
      <c r="K279" s="133">
        <v>6196902.6500000004</v>
      </c>
      <c r="L279" s="133">
        <v>805597.35</v>
      </c>
      <c r="M279" s="133">
        <v>805597.35</v>
      </c>
      <c r="N279" s="133" t="s">
        <v>4280</v>
      </c>
      <c r="O279" s="133" t="s">
        <v>4871</v>
      </c>
      <c r="P279" s="133" t="s">
        <v>4281</v>
      </c>
      <c r="Q279" s="133" t="s">
        <v>4872</v>
      </c>
      <c r="R279" s="133" t="s">
        <v>4281</v>
      </c>
      <c r="S279" s="133" t="s">
        <v>4873</v>
      </c>
    </row>
    <row r="280" spans="1:19">
      <c r="A280" s="133" t="s">
        <v>5552</v>
      </c>
      <c r="B280" s="133" t="s">
        <v>4866</v>
      </c>
      <c r="C280" s="133" t="s">
        <v>4279</v>
      </c>
      <c r="D280" s="133" t="s">
        <v>1013</v>
      </c>
      <c r="E280" s="133" t="s">
        <v>5553</v>
      </c>
      <c r="H280" s="133" t="s">
        <v>5554</v>
      </c>
      <c r="I280" s="133" t="s">
        <v>4270</v>
      </c>
      <c r="J280" s="133" t="s">
        <v>4271</v>
      </c>
      <c r="K280" s="133">
        <v>7659623.8899999997</v>
      </c>
      <c r="L280" s="133">
        <v>995751.11</v>
      </c>
      <c r="M280" s="133">
        <v>995751.11</v>
      </c>
      <c r="N280" s="133" t="s">
        <v>4280</v>
      </c>
      <c r="O280" s="133" t="s">
        <v>4871</v>
      </c>
      <c r="P280" s="133" t="s">
        <v>4281</v>
      </c>
      <c r="Q280" s="133" t="s">
        <v>4872</v>
      </c>
      <c r="R280" s="133" t="s">
        <v>4281</v>
      </c>
      <c r="S280" s="133" t="s">
        <v>4873</v>
      </c>
    </row>
    <row r="281" spans="1:19">
      <c r="A281" s="133" t="s">
        <v>5555</v>
      </c>
      <c r="B281" s="133" t="s">
        <v>4866</v>
      </c>
      <c r="C281" s="133" t="s">
        <v>4279</v>
      </c>
      <c r="D281" s="133" t="s">
        <v>1013</v>
      </c>
      <c r="E281" s="133" t="s">
        <v>5556</v>
      </c>
      <c r="H281" s="133" t="s">
        <v>5557</v>
      </c>
      <c r="I281" s="133" t="s">
        <v>4270</v>
      </c>
      <c r="J281" s="133" t="s">
        <v>4271</v>
      </c>
      <c r="K281" s="133">
        <v>7659623.8899999997</v>
      </c>
      <c r="L281" s="133">
        <v>995751.11</v>
      </c>
      <c r="M281" s="133">
        <v>995751.11</v>
      </c>
      <c r="N281" s="133" t="s">
        <v>4280</v>
      </c>
      <c r="O281" s="133" t="s">
        <v>4871</v>
      </c>
      <c r="P281" s="133" t="s">
        <v>4281</v>
      </c>
      <c r="Q281" s="133" t="s">
        <v>4872</v>
      </c>
      <c r="R281" s="133" t="s">
        <v>4281</v>
      </c>
      <c r="S281" s="133" t="s">
        <v>4873</v>
      </c>
    </row>
    <row r="282" spans="1:19">
      <c r="A282" s="133" t="s">
        <v>5558</v>
      </c>
      <c r="B282" s="133" t="s">
        <v>4866</v>
      </c>
      <c r="C282" s="133" t="s">
        <v>4279</v>
      </c>
      <c r="D282" s="133" t="s">
        <v>1013</v>
      </c>
      <c r="E282" s="133" t="s">
        <v>5559</v>
      </c>
      <c r="H282" s="133" t="s">
        <v>5560</v>
      </c>
      <c r="I282" s="133" t="s">
        <v>4270</v>
      </c>
      <c r="J282" s="133" t="s">
        <v>4271</v>
      </c>
      <c r="K282" s="133">
        <v>12393805.310000001</v>
      </c>
      <c r="L282" s="133">
        <v>1611194.69</v>
      </c>
      <c r="M282" s="133">
        <v>1611194.69</v>
      </c>
      <c r="N282" s="133" t="s">
        <v>4280</v>
      </c>
      <c r="O282" s="133" t="s">
        <v>4871</v>
      </c>
      <c r="P282" s="133" t="s">
        <v>4281</v>
      </c>
      <c r="Q282" s="133" t="s">
        <v>4872</v>
      </c>
      <c r="R282" s="133" t="s">
        <v>4281</v>
      </c>
      <c r="S282" s="133" t="s">
        <v>4873</v>
      </c>
    </row>
    <row r="283" spans="1:19">
      <c r="A283" s="133" t="s">
        <v>5561</v>
      </c>
      <c r="B283" s="133" t="s">
        <v>4866</v>
      </c>
      <c r="C283" s="133" t="s">
        <v>4279</v>
      </c>
      <c r="D283" s="133" t="s">
        <v>1013</v>
      </c>
      <c r="E283" s="133" t="s">
        <v>5562</v>
      </c>
      <c r="H283" s="133" t="s">
        <v>5563</v>
      </c>
      <c r="I283" s="133" t="s">
        <v>4270</v>
      </c>
      <c r="J283" s="133" t="s">
        <v>4271</v>
      </c>
      <c r="K283" s="133">
        <v>7659623.8899999997</v>
      </c>
      <c r="L283" s="133">
        <v>995751.11</v>
      </c>
      <c r="M283" s="133">
        <v>995751.11</v>
      </c>
      <c r="N283" s="133" t="s">
        <v>4280</v>
      </c>
      <c r="O283" s="133" t="s">
        <v>4871</v>
      </c>
      <c r="P283" s="133" t="s">
        <v>4281</v>
      </c>
      <c r="Q283" s="133" t="s">
        <v>4872</v>
      </c>
      <c r="R283" s="133" t="s">
        <v>4281</v>
      </c>
      <c r="S283" s="133" t="s">
        <v>4873</v>
      </c>
    </row>
    <row r="284" spans="1:19">
      <c r="A284" s="133" t="s">
        <v>5564</v>
      </c>
      <c r="B284" s="133" t="s">
        <v>4866</v>
      </c>
      <c r="C284" s="133" t="s">
        <v>4279</v>
      </c>
      <c r="D284" s="133" t="s">
        <v>1013</v>
      </c>
      <c r="E284" s="133" t="s">
        <v>5565</v>
      </c>
      <c r="H284" s="133" t="s">
        <v>5566</v>
      </c>
      <c r="I284" s="133" t="s">
        <v>4270</v>
      </c>
      <c r="J284" s="133" t="s">
        <v>4271</v>
      </c>
      <c r="K284" s="133">
        <v>7659623.8899999997</v>
      </c>
      <c r="L284" s="133">
        <v>995751.11</v>
      </c>
      <c r="M284" s="133">
        <v>995751.11</v>
      </c>
      <c r="N284" s="133" t="s">
        <v>4280</v>
      </c>
      <c r="O284" s="133" t="s">
        <v>4871</v>
      </c>
      <c r="P284" s="133" t="s">
        <v>4281</v>
      </c>
      <c r="Q284" s="133" t="s">
        <v>4872</v>
      </c>
      <c r="R284" s="133" t="s">
        <v>4281</v>
      </c>
      <c r="S284" s="133" t="s">
        <v>4873</v>
      </c>
    </row>
    <row r="285" spans="1:19">
      <c r="A285" s="133" t="s">
        <v>5567</v>
      </c>
      <c r="B285" s="133" t="s">
        <v>4866</v>
      </c>
      <c r="C285" s="133" t="s">
        <v>4279</v>
      </c>
      <c r="D285" s="133" t="s">
        <v>1013</v>
      </c>
      <c r="E285" s="133" t="s">
        <v>5568</v>
      </c>
      <c r="H285" s="133" t="s">
        <v>5569</v>
      </c>
      <c r="I285" s="133" t="s">
        <v>4270</v>
      </c>
      <c r="J285" s="133" t="s">
        <v>4271</v>
      </c>
      <c r="K285" s="133">
        <v>7659623.8899999997</v>
      </c>
      <c r="L285" s="133">
        <v>995751.11</v>
      </c>
      <c r="M285" s="133">
        <v>995751.11</v>
      </c>
      <c r="N285" s="133" t="s">
        <v>4280</v>
      </c>
      <c r="O285" s="133" t="s">
        <v>4871</v>
      </c>
      <c r="P285" s="133" t="s">
        <v>4281</v>
      </c>
      <c r="Q285" s="133" t="s">
        <v>4872</v>
      </c>
      <c r="R285" s="133" t="s">
        <v>4281</v>
      </c>
      <c r="S285" s="133" t="s">
        <v>4873</v>
      </c>
    </row>
    <row r="286" spans="1:19">
      <c r="A286" s="133" t="s">
        <v>5570</v>
      </c>
      <c r="B286" s="133" t="s">
        <v>4866</v>
      </c>
      <c r="C286" s="133" t="s">
        <v>4279</v>
      </c>
      <c r="D286" s="133" t="s">
        <v>1013</v>
      </c>
      <c r="E286" s="133" t="s">
        <v>5571</v>
      </c>
      <c r="H286" s="133" t="s">
        <v>5572</v>
      </c>
      <c r="I286" s="133" t="s">
        <v>4270</v>
      </c>
      <c r="J286" s="133" t="s">
        <v>4271</v>
      </c>
      <c r="K286" s="133">
        <v>7659623.8899999997</v>
      </c>
      <c r="L286" s="133">
        <v>995751.11</v>
      </c>
      <c r="M286" s="133">
        <v>995751.11</v>
      </c>
      <c r="N286" s="133" t="s">
        <v>4280</v>
      </c>
      <c r="O286" s="133" t="s">
        <v>4871</v>
      </c>
      <c r="P286" s="133" t="s">
        <v>4281</v>
      </c>
      <c r="Q286" s="133" t="s">
        <v>4872</v>
      </c>
      <c r="R286" s="133" t="s">
        <v>4281</v>
      </c>
      <c r="S286" s="133" t="s">
        <v>4873</v>
      </c>
    </row>
    <row r="287" spans="1:19">
      <c r="A287" s="133" t="s">
        <v>5573</v>
      </c>
      <c r="B287" s="133" t="s">
        <v>4866</v>
      </c>
      <c r="C287" s="133" t="s">
        <v>4279</v>
      </c>
      <c r="D287" s="133" t="s">
        <v>1013</v>
      </c>
      <c r="E287" s="133" t="s">
        <v>5574</v>
      </c>
      <c r="H287" s="133" t="s">
        <v>5575</v>
      </c>
      <c r="I287" s="133" t="s">
        <v>4270</v>
      </c>
      <c r="J287" s="133" t="s">
        <v>4271</v>
      </c>
      <c r="K287" s="133">
        <v>7659623.8899999997</v>
      </c>
      <c r="L287" s="133">
        <v>995751.11</v>
      </c>
      <c r="M287" s="133">
        <v>995751.11</v>
      </c>
      <c r="N287" s="133" t="s">
        <v>4280</v>
      </c>
      <c r="O287" s="133" t="s">
        <v>4871</v>
      </c>
      <c r="P287" s="133" t="s">
        <v>4281</v>
      </c>
      <c r="Q287" s="133" t="s">
        <v>4872</v>
      </c>
      <c r="R287" s="133" t="s">
        <v>4281</v>
      </c>
      <c r="S287" s="133" t="s">
        <v>4873</v>
      </c>
    </row>
    <row r="288" spans="1:19">
      <c r="A288" s="133" t="s">
        <v>5576</v>
      </c>
      <c r="B288" s="133" t="s">
        <v>4866</v>
      </c>
      <c r="C288" s="133" t="s">
        <v>4279</v>
      </c>
      <c r="D288" s="133" t="s">
        <v>1013</v>
      </c>
      <c r="E288" s="133" t="s">
        <v>5577</v>
      </c>
      <c r="H288" s="133" t="s">
        <v>5578</v>
      </c>
      <c r="I288" s="133" t="s">
        <v>4270</v>
      </c>
      <c r="J288" s="133" t="s">
        <v>4271</v>
      </c>
      <c r="K288" s="133">
        <v>7659623.8899999997</v>
      </c>
      <c r="L288" s="133">
        <v>995751.11</v>
      </c>
      <c r="M288" s="133">
        <v>995751.11</v>
      </c>
      <c r="N288" s="133" t="s">
        <v>4280</v>
      </c>
      <c r="O288" s="133" t="s">
        <v>4871</v>
      </c>
      <c r="P288" s="133" t="s">
        <v>4281</v>
      </c>
      <c r="Q288" s="133" t="s">
        <v>4872</v>
      </c>
      <c r="R288" s="133" t="s">
        <v>4281</v>
      </c>
      <c r="S288" s="133" t="s">
        <v>4873</v>
      </c>
    </row>
    <row r="289" spans="1:19">
      <c r="A289" s="133" t="s">
        <v>5579</v>
      </c>
      <c r="B289" s="133" t="s">
        <v>4866</v>
      </c>
      <c r="C289" s="133" t="s">
        <v>4279</v>
      </c>
      <c r="D289" s="133" t="s">
        <v>1013</v>
      </c>
      <c r="E289" s="133" t="s">
        <v>5580</v>
      </c>
      <c r="H289" s="133" t="s">
        <v>5581</v>
      </c>
      <c r="I289" s="133" t="s">
        <v>4270</v>
      </c>
      <c r="J289" s="133" t="s">
        <v>4271</v>
      </c>
      <c r="K289" s="133">
        <v>7659623.8899999997</v>
      </c>
      <c r="L289" s="133">
        <v>995751.11</v>
      </c>
      <c r="M289" s="133">
        <v>995751.11</v>
      </c>
      <c r="N289" s="133" t="s">
        <v>4280</v>
      </c>
      <c r="O289" s="133" t="s">
        <v>4871</v>
      </c>
      <c r="P289" s="133" t="s">
        <v>4281</v>
      </c>
      <c r="Q289" s="133" t="s">
        <v>4872</v>
      </c>
      <c r="R289" s="133" t="s">
        <v>4281</v>
      </c>
      <c r="S289" s="133" t="s">
        <v>4873</v>
      </c>
    </row>
    <row r="290" spans="1:19">
      <c r="A290" s="133" t="s">
        <v>5582</v>
      </c>
      <c r="B290" s="133" t="s">
        <v>4866</v>
      </c>
      <c r="C290" s="133" t="s">
        <v>4279</v>
      </c>
      <c r="D290" s="133" t="s">
        <v>1013</v>
      </c>
      <c r="E290" s="133" t="s">
        <v>5583</v>
      </c>
      <c r="H290" s="133" t="s">
        <v>5584</v>
      </c>
      <c r="I290" s="133" t="s">
        <v>4270</v>
      </c>
      <c r="J290" s="133" t="s">
        <v>4271</v>
      </c>
      <c r="K290" s="133">
        <v>7659623.8899999997</v>
      </c>
      <c r="L290" s="133">
        <v>995751.11</v>
      </c>
      <c r="M290" s="133">
        <v>995751.11</v>
      </c>
      <c r="N290" s="133" t="s">
        <v>4280</v>
      </c>
      <c r="O290" s="133" t="s">
        <v>4871</v>
      </c>
      <c r="P290" s="133" t="s">
        <v>4281</v>
      </c>
      <c r="Q290" s="133" t="s">
        <v>4872</v>
      </c>
      <c r="R290" s="133" t="s">
        <v>4281</v>
      </c>
      <c r="S290" s="133" t="s">
        <v>4873</v>
      </c>
    </row>
    <row r="291" spans="1:19">
      <c r="A291" s="133" t="s">
        <v>5585</v>
      </c>
      <c r="B291" s="133" t="s">
        <v>4866</v>
      </c>
      <c r="C291" s="133" t="s">
        <v>4279</v>
      </c>
      <c r="D291" s="133" t="s">
        <v>1013</v>
      </c>
      <c r="E291" s="133" t="s">
        <v>5586</v>
      </c>
      <c r="H291" s="133" t="s">
        <v>5587</v>
      </c>
      <c r="I291" s="133" t="s">
        <v>4270</v>
      </c>
      <c r="J291" s="133" t="s">
        <v>4271</v>
      </c>
      <c r="K291" s="133">
        <v>12393805.310000001</v>
      </c>
      <c r="L291" s="133">
        <v>1611194.69</v>
      </c>
      <c r="M291" s="133">
        <v>1611194.69</v>
      </c>
      <c r="N291" s="133" t="s">
        <v>4280</v>
      </c>
      <c r="O291" s="133" t="s">
        <v>4871</v>
      </c>
      <c r="P291" s="133" t="s">
        <v>4281</v>
      </c>
      <c r="Q291" s="133" t="s">
        <v>4872</v>
      </c>
      <c r="R291" s="133" t="s">
        <v>4281</v>
      </c>
      <c r="S291" s="133" t="s">
        <v>4873</v>
      </c>
    </row>
    <row r="292" spans="1:19">
      <c r="A292" s="133" t="s">
        <v>5588</v>
      </c>
      <c r="B292" s="133" t="s">
        <v>4866</v>
      </c>
      <c r="C292" s="133" t="s">
        <v>4279</v>
      </c>
      <c r="D292" s="133" t="s">
        <v>1013</v>
      </c>
      <c r="E292" s="133" t="s">
        <v>5589</v>
      </c>
      <c r="H292" s="133" t="s">
        <v>5590</v>
      </c>
      <c r="I292" s="133" t="s">
        <v>4270</v>
      </c>
      <c r="J292" s="133" t="s">
        <v>4271</v>
      </c>
      <c r="K292" s="133">
        <v>12416690.93</v>
      </c>
      <c r="L292" s="133">
        <v>745001.46</v>
      </c>
      <c r="M292" s="133">
        <v>745001.46</v>
      </c>
      <c r="N292" s="133" t="s">
        <v>4280</v>
      </c>
      <c r="O292" s="133" t="s">
        <v>4871</v>
      </c>
      <c r="P292" s="133" t="s">
        <v>4281</v>
      </c>
      <c r="Q292" s="133" t="s">
        <v>4872</v>
      </c>
      <c r="R292" s="133" t="s">
        <v>4281</v>
      </c>
      <c r="S292" s="133" t="s">
        <v>4873</v>
      </c>
    </row>
    <row r="293" spans="1:19">
      <c r="A293" s="133" t="s">
        <v>5591</v>
      </c>
      <c r="B293" s="133" t="s">
        <v>4866</v>
      </c>
      <c r="C293" s="133" t="s">
        <v>4279</v>
      </c>
      <c r="D293" s="133" t="s">
        <v>1013</v>
      </c>
      <c r="E293" s="133" t="s">
        <v>5592</v>
      </c>
      <c r="H293" s="133" t="s">
        <v>5593</v>
      </c>
      <c r="I293" s="133" t="s">
        <v>4270</v>
      </c>
      <c r="J293" s="133" t="s">
        <v>4271</v>
      </c>
      <c r="K293" s="133">
        <v>203389.86</v>
      </c>
      <c r="L293" s="133">
        <v>12203.39</v>
      </c>
      <c r="M293" s="133">
        <v>12203.39</v>
      </c>
      <c r="N293" s="133" t="s">
        <v>4280</v>
      </c>
      <c r="O293" s="133" t="s">
        <v>4871</v>
      </c>
      <c r="P293" s="133" t="s">
        <v>4281</v>
      </c>
      <c r="Q293" s="133" t="s">
        <v>4872</v>
      </c>
      <c r="R293" s="133" t="s">
        <v>4281</v>
      </c>
      <c r="S293" s="133" t="s">
        <v>4873</v>
      </c>
    </row>
    <row r="294" spans="1:19">
      <c r="A294" s="133" t="s">
        <v>5594</v>
      </c>
      <c r="B294" s="133" t="s">
        <v>4866</v>
      </c>
      <c r="C294" s="133" t="s">
        <v>4279</v>
      </c>
      <c r="D294" s="133" t="s">
        <v>1013</v>
      </c>
      <c r="E294" s="133" t="s">
        <v>5595</v>
      </c>
      <c r="H294" s="133" t="s">
        <v>5596</v>
      </c>
      <c r="I294" s="133" t="s">
        <v>4270</v>
      </c>
      <c r="J294" s="133" t="s">
        <v>4271</v>
      </c>
      <c r="K294" s="133">
        <v>18239</v>
      </c>
      <c r="L294" s="133">
        <v>1094.3399999999999</v>
      </c>
      <c r="M294" s="133">
        <v>1094.3399999999999</v>
      </c>
      <c r="N294" s="133" t="s">
        <v>4280</v>
      </c>
      <c r="O294" s="133" t="s">
        <v>4871</v>
      </c>
      <c r="P294" s="133" t="s">
        <v>4281</v>
      </c>
      <c r="Q294" s="133" t="s">
        <v>4872</v>
      </c>
      <c r="R294" s="133" t="s">
        <v>4281</v>
      </c>
      <c r="S294" s="133" t="s">
        <v>4873</v>
      </c>
    </row>
    <row r="295" spans="1:19">
      <c r="A295" s="133" t="s">
        <v>5597</v>
      </c>
      <c r="B295" s="133" t="s">
        <v>4866</v>
      </c>
      <c r="C295" s="133" t="s">
        <v>4279</v>
      </c>
      <c r="D295" s="133" t="s">
        <v>1013</v>
      </c>
      <c r="E295" s="133" t="s">
        <v>2720</v>
      </c>
      <c r="H295" s="133" t="s">
        <v>5598</v>
      </c>
      <c r="I295" s="133" t="s">
        <v>4270</v>
      </c>
      <c r="J295" s="133" t="s">
        <v>4271</v>
      </c>
      <c r="K295" s="133">
        <v>78185.820000000007</v>
      </c>
      <c r="L295" s="133">
        <v>4691.1499999999996</v>
      </c>
      <c r="M295" s="133">
        <v>4691.1499999999996</v>
      </c>
      <c r="N295" s="133" t="s">
        <v>4280</v>
      </c>
      <c r="O295" s="133" t="s">
        <v>4871</v>
      </c>
      <c r="P295" s="133" t="s">
        <v>4281</v>
      </c>
      <c r="Q295" s="133" t="s">
        <v>4872</v>
      </c>
      <c r="R295" s="133" t="s">
        <v>4281</v>
      </c>
      <c r="S295" s="133" t="s">
        <v>4873</v>
      </c>
    </row>
    <row r="296" spans="1:19">
      <c r="A296" s="133" t="s">
        <v>5599</v>
      </c>
      <c r="B296" s="133" t="s">
        <v>4866</v>
      </c>
      <c r="C296" s="133" t="s">
        <v>4279</v>
      </c>
      <c r="D296" s="133" t="s">
        <v>1013</v>
      </c>
      <c r="E296" s="133" t="s">
        <v>5600</v>
      </c>
      <c r="H296" s="133" t="s">
        <v>5601</v>
      </c>
      <c r="I296" s="133" t="s">
        <v>4270</v>
      </c>
      <c r="J296" s="133" t="s">
        <v>4271</v>
      </c>
      <c r="K296" s="133">
        <v>180689.68</v>
      </c>
      <c r="L296" s="133">
        <v>10841.38</v>
      </c>
      <c r="M296" s="133">
        <v>10841.38</v>
      </c>
      <c r="N296" s="133" t="s">
        <v>4280</v>
      </c>
      <c r="O296" s="133" t="s">
        <v>4871</v>
      </c>
      <c r="P296" s="133" t="s">
        <v>4281</v>
      </c>
      <c r="Q296" s="133" t="s">
        <v>4872</v>
      </c>
      <c r="R296" s="133" t="s">
        <v>4281</v>
      </c>
      <c r="S296" s="133" t="s">
        <v>4873</v>
      </c>
    </row>
    <row r="297" spans="1:19">
      <c r="A297" s="133" t="s">
        <v>5602</v>
      </c>
      <c r="B297" s="133" t="s">
        <v>4866</v>
      </c>
      <c r="C297" s="133" t="s">
        <v>4279</v>
      </c>
      <c r="D297" s="133" t="s">
        <v>1013</v>
      </c>
      <c r="E297" s="133" t="s">
        <v>5603</v>
      </c>
      <c r="H297" s="133" t="s">
        <v>5604</v>
      </c>
      <c r="I297" s="133" t="s">
        <v>5605</v>
      </c>
      <c r="J297" s="133" t="s">
        <v>5606</v>
      </c>
      <c r="K297" s="133">
        <v>1982580.54</v>
      </c>
      <c r="L297" s="133">
        <v>257735.47</v>
      </c>
      <c r="M297" s="133">
        <v>257735.47</v>
      </c>
      <c r="N297" s="133" t="s">
        <v>4280</v>
      </c>
      <c r="O297" s="133" t="s">
        <v>4871</v>
      </c>
      <c r="P297" s="133" t="s">
        <v>4281</v>
      </c>
      <c r="Q297" s="133" t="s">
        <v>4872</v>
      </c>
      <c r="R297" s="133" t="s">
        <v>4281</v>
      </c>
      <c r="S297" s="133" t="s">
        <v>4873</v>
      </c>
    </row>
    <row r="298" spans="1:19">
      <c r="A298" s="133" t="s">
        <v>5607</v>
      </c>
      <c r="B298" s="133" t="s">
        <v>4866</v>
      </c>
      <c r="C298" s="133" t="s">
        <v>4279</v>
      </c>
      <c r="D298" s="133" t="s">
        <v>1013</v>
      </c>
      <c r="E298" s="133" t="s">
        <v>5608</v>
      </c>
      <c r="H298" s="133" t="s">
        <v>5609</v>
      </c>
      <c r="I298" s="133" t="s">
        <v>5605</v>
      </c>
      <c r="J298" s="133" t="s">
        <v>5606</v>
      </c>
      <c r="K298" s="133">
        <v>36283.19</v>
      </c>
      <c r="L298" s="133">
        <v>4716.8100000000004</v>
      </c>
      <c r="M298" s="133">
        <v>4716.8100000000004</v>
      </c>
      <c r="N298" s="133" t="s">
        <v>4280</v>
      </c>
      <c r="O298" s="133" t="s">
        <v>4871</v>
      </c>
      <c r="P298" s="133" t="s">
        <v>4281</v>
      </c>
      <c r="Q298" s="133" t="s">
        <v>4872</v>
      </c>
      <c r="R298" s="133" t="s">
        <v>4281</v>
      </c>
      <c r="S298" s="133" t="s">
        <v>4873</v>
      </c>
    </row>
    <row r="299" spans="1:19">
      <c r="A299" s="133" t="s">
        <v>5610</v>
      </c>
      <c r="B299" s="133" t="s">
        <v>4866</v>
      </c>
      <c r="C299" s="133" t="s">
        <v>4279</v>
      </c>
      <c r="D299" s="133" t="s">
        <v>1013</v>
      </c>
      <c r="E299" s="133" t="s">
        <v>5611</v>
      </c>
      <c r="H299" s="133" t="s">
        <v>5612</v>
      </c>
      <c r="I299" s="133" t="s">
        <v>5605</v>
      </c>
      <c r="J299" s="133" t="s">
        <v>5606</v>
      </c>
      <c r="K299" s="133">
        <v>36283.19</v>
      </c>
      <c r="L299" s="133">
        <v>4716.8100000000004</v>
      </c>
      <c r="M299" s="133">
        <v>4716.8100000000004</v>
      </c>
      <c r="N299" s="133" t="s">
        <v>4280</v>
      </c>
      <c r="O299" s="133" t="s">
        <v>4871</v>
      </c>
      <c r="P299" s="133" t="s">
        <v>4281</v>
      </c>
      <c r="Q299" s="133" t="s">
        <v>4872</v>
      </c>
      <c r="R299" s="133" t="s">
        <v>4281</v>
      </c>
      <c r="S299" s="133" t="s">
        <v>4873</v>
      </c>
    </row>
    <row r="300" spans="1:19">
      <c r="A300" s="133" t="s">
        <v>5613</v>
      </c>
      <c r="B300" s="133" t="s">
        <v>4866</v>
      </c>
      <c r="C300" s="133" t="s">
        <v>4279</v>
      </c>
      <c r="D300" s="133" t="s">
        <v>1013</v>
      </c>
      <c r="E300" s="133" t="s">
        <v>5614</v>
      </c>
      <c r="H300" s="133" t="s">
        <v>5615</v>
      </c>
      <c r="I300" s="133" t="s">
        <v>5605</v>
      </c>
      <c r="J300" s="133" t="s">
        <v>5606</v>
      </c>
      <c r="K300" s="133">
        <v>1951474.34</v>
      </c>
      <c r="L300" s="133">
        <v>253691.66</v>
      </c>
      <c r="M300" s="133">
        <v>253691.66</v>
      </c>
      <c r="N300" s="133" t="s">
        <v>4280</v>
      </c>
      <c r="O300" s="133" t="s">
        <v>4871</v>
      </c>
      <c r="P300" s="133" t="s">
        <v>4281</v>
      </c>
      <c r="Q300" s="133" t="s">
        <v>4872</v>
      </c>
      <c r="R300" s="133" t="s">
        <v>4281</v>
      </c>
      <c r="S300" s="133" t="s">
        <v>4873</v>
      </c>
    </row>
    <row r="301" spans="1:19">
      <c r="A301" s="133" t="s">
        <v>5616</v>
      </c>
      <c r="B301" s="133" t="s">
        <v>4866</v>
      </c>
      <c r="C301" s="133" t="s">
        <v>4279</v>
      </c>
      <c r="D301" s="133" t="s">
        <v>1013</v>
      </c>
      <c r="E301" s="133" t="s">
        <v>5617</v>
      </c>
      <c r="H301" s="133" t="s">
        <v>5618</v>
      </c>
      <c r="I301" s="133" t="s">
        <v>5605</v>
      </c>
      <c r="J301" s="133" t="s">
        <v>5606</v>
      </c>
      <c r="K301" s="133">
        <v>141592.92000000001</v>
      </c>
      <c r="L301" s="133">
        <v>18407.080000000002</v>
      </c>
      <c r="M301" s="133">
        <v>18407.080000000002</v>
      </c>
      <c r="N301" s="133" t="s">
        <v>4280</v>
      </c>
      <c r="O301" s="133" t="s">
        <v>4871</v>
      </c>
      <c r="P301" s="133" t="s">
        <v>4281</v>
      </c>
      <c r="Q301" s="133" t="s">
        <v>4872</v>
      </c>
      <c r="R301" s="133" t="s">
        <v>4281</v>
      </c>
      <c r="S301" s="133" t="s">
        <v>4873</v>
      </c>
    </row>
    <row r="302" spans="1:19">
      <c r="A302" s="133" t="s">
        <v>5619</v>
      </c>
      <c r="B302" s="133" t="s">
        <v>4866</v>
      </c>
      <c r="C302" s="133" t="s">
        <v>4279</v>
      </c>
      <c r="D302" s="133" t="s">
        <v>1013</v>
      </c>
      <c r="E302" s="133" t="s">
        <v>3524</v>
      </c>
      <c r="H302" s="133" t="s">
        <v>5620</v>
      </c>
      <c r="I302" s="133" t="s">
        <v>5621</v>
      </c>
      <c r="J302" s="133" t="s">
        <v>5622</v>
      </c>
      <c r="K302" s="133">
        <v>4023.57</v>
      </c>
      <c r="L302" s="133">
        <v>241.41</v>
      </c>
      <c r="M302" s="133">
        <v>241.41</v>
      </c>
      <c r="N302" s="133" t="s">
        <v>4280</v>
      </c>
      <c r="O302" s="133" t="s">
        <v>4871</v>
      </c>
      <c r="P302" s="133" t="s">
        <v>4281</v>
      </c>
      <c r="Q302" s="133" t="s">
        <v>4872</v>
      </c>
      <c r="R302" s="133" t="s">
        <v>4281</v>
      </c>
      <c r="S302" s="133" t="s">
        <v>4873</v>
      </c>
    </row>
    <row r="303" spans="1:19">
      <c r="A303" s="133" t="s">
        <v>5623</v>
      </c>
      <c r="B303" s="133" t="s">
        <v>4866</v>
      </c>
      <c r="C303" s="133" t="s">
        <v>4279</v>
      </c>
      <c r="D303" s="133" t="s">
        <v>1013</v>
      </c>
      <c r="E303" s="133" t="s">
        <v>2538</v>
      </c>
      <c r="H303" s="133" t="s">
        <v>5624</v>
      </c>
      <c r="I303" s="133" t="s">
        <v>5621</v>
      </c>
      <c r="J303" s="133" t="s">
        <v>5622</v>
      </c>
      <c r="K303" s="133">
        <v>160</v>
      </c>
      <c r="L303" s="133">
        <v>9.6</v>
      </c>
      <c r="M303" s="133">
        <v>9.6</v>
      </c>
      <c r="N303" s="133" t="s">
        <v>4280</v>
      </c>
      <c r="O303" s="133" t="s">
        <v>4871</v>
      </c>
      <c r="P303" s="133" t="s">
        <v>4281</v>
      </c>
      <c r="Q303" s="133" t="s">
        <v>4872</v>
      </c>
      <c r="R303" s="133" t="s">
        <v>4281</v>
      </c>
      <c r="S303" s="133" t="s">
        <v>4873</v>
      </c>
    </row>
    <row r="304" spans="1:19">
      <c r="A304" s="133" t="s">
        <v>5625</v>
      </c>
      <c r="B304" s="133" t="s">
        <v>4866</v>
      </c>
      <c r="C304" s="133" t="s">
        <v>4279</v>
      </c>
      <c r="D304" s="133" t="s">
        <v>1013</v>
      </c>
      <c r="E304" s="133" t="s">
        <v>3116</v>
      </c>
      <c r="H304" s="133" t="s">
        <v>5626</v>
      </c>
      <c r="I304" s="133" t="s">
        <v>5627</v>
      </c>
      <c r="J304" s="133" t="s">
        <v>5628</v>
      </c>
      <c r="K304" s="133">
        <v>23742.05</v>
      </c>
      <c r="L304" s="133">
        <v>1424.52</v>
      </c>
      <c r="M304" s="133">
        <v>1424.52</v>
      </c>
      <c r="N304" s="133" t="s">
        <v>4280</v>
      </c>
      <c r="O304" s="133" t="s">
        <v>4871</v>
      </c>
      <c r="P304" s="133" t="s">
        <v>4281</v>
      </c>
      <c r="Q304" s="133" t="s">
        <v>4872</v>
      </c>
      <c r="R304" s="133" t="s">
        <v>4281</v>
      </c>
      <c r="S304" s="133" t="s">
        <v>4873</v>
      </c>
    </row>
    <row r="305" spans="1:19">
      <c r="A305" s="133" t="s">
        <v>5629</v>
      </c>
      <c r="B305" s="133" t="s">
        <v>4866</v>
      </c>
      <c r="C305" s="133" t="s">
        <v>4279</v>
      </c>
      <c r="D305" s="133" t="s">
        <v>1013</v>
      </c>
      <c r="E305" s="133" t="s">
        <v>3108</v>
      </c>
      <c r="H305" s="133" t="s">
        <v>5630</v>
      </c>
      <c r="I305" s="133" t="s">
        <v>5627</v>
      </c>
      <c r="J305" s="133" t="s">
        <v>5628</v>
      </c>
      <c r="K305" s="133">
        <v>240239.42</v>
      </c>
      <c r="L305" s="133">
        <v>14414.36</v>
      </c>
      <c r="M305" s="133">
        <v>14414.36</v>
      </c>
      <c r="N305" s="133" t="s">
        <v>4280</v>
      </c>
      <c r="O305" s="133" t="s">
        <v>4871</v>
      </c>
      <c r="P305" s="133" t="s">
        <v>4281</v>
      </c>
      <c r="Q305" s="133" t="s">
        <v>4872</v>
      </c>
      <c r="R305" s="133" t="s">
        <v>4281</v>
      </c>
      <c r="S305" s="133" t="s">
        <v>4873</v>
      </c>
    </row>
    <row r="306" spans="1:19">
      <c r="A306" s="133" t="s">
        <v>5631</v>
      </c>
      <c r="B306" s="133" t="s">
        <v>4866</v>
      </c>
      <c r="C306" s="133" t="s">
        <v>4279</v>
      </c>
      <c r="D306" s="133" t="s">
        <v>1013</v>
      </c>
      <c r="E306" s="133" t="s">
        <v>3112</v>
      </c>
      <c r="H306" s="133" t="s">
        <v>5626</v>
      </c>
      <c r="I306" s="133" t="s">
        <v>5627</v>
      </c>
      <c r="J306" s="133" t="s">
        <v>5628</v>
      </c>
      <c r="K306" s="133">
        <v>149817.16</v>
      </c>
      <c r="L306" s="133">
        <v>8989.0300000000007</v>
      </c>
      <c r="M306" s="133">
        <v>8989.0300000000007</v>
      </c>
      <c r="N306" s="133" t="s">
        <v>4280</v>
      </c>
      <c r="O306" s="133" t="s">
        <v>4871</v>
      </c>
      <c r="P306" s="133" t="s">
        <v>4281</v>
      </c>
      <c r="Q306" s="133" t="s">
        <v>4872</v>
      </c>
      <c r="R306" s="133" t="s">
        <v>4281</v>
      </c>
      <c r="S306" s="133" t="s">
        <v>4873</v>
      </c>
    </row>
    <row r="307" spans="1:19">
      <c r="A307" s="133" t="s">
        <v>5632</v>
      </c>
      <c r="B307" s="133" t="s">
        <v>4866</v>
      </c>
      <c r="C307" s="133" t="s">
        <v>4279</v>
      </c>
      <c r="D307" s="133" t="s">
        <v>1013</v>
      </c>
      <c r="E307" s="133" t="s">
        <v>3129</v>
      </c>
      <c r="H307" s="133" t="s">
        <v>5633</v>
      </c>
      <c r="I307" s="133" t="s">
        <v>5627</v>
      </c>
      <c r="J307" s="133" t="s">
        <v>5628</v>
      </c>
      <c r="K307" s="133">
        <v>77932.08</v>
      </c>
      <c r="L307" s="133">
        <v>4675.92</v>
      </c>
      <c r="M307" s="133">
        <v>4675.92</v>
      </c>
      <c r="N307" s="133" t="s">
        <v>4280</v>
      </c>
      <c r="O307" s="133" t="s">
        <v>4871</v>
      </c>
      <c r="P307" s="133" t="s">
        <v>4281</v>
      </c>
      <c r="Q307" s="133" t="s">
        <v>4872</v>
      </c>
      <c r="R307" s="133" t="s">
        <v>4281</v>
      </c>
      <c r="S307" s="133" t="s">
        <v>4873</v>
      </c>
    </row>
    <row r="308" spans="1:19">
      <c r="A308" s="133" t="s">
        <v>5634</v>
      </c>
      <c r="B308" s="133" t="s">
        <v>4866</v>
      </c>
      <c r="C308" s="133" t="s">
        <v>4279</v>
      </c>
      <c r="D308" s="133" t="s">
        <v>1013</v>
      </c>
      <c r="E308" s="133" t="s">
        <v>3154</v>
      </c>
      <c r="H308" s="133" t="s">
        <v>5630</v>
      </c>
      <c r="I308" s="133" t="s">
        <v>5627</v>
      </c>
      <c r="J308" s="133" t="s">
        <v>5628</v>
      </c>
      <c r="K308" s="133">
        <v>7327.68</v>
      </c>
      <c r="L308" s="133">
        <v>439.66</v>
      </c>
      <c r="M308" s="133">
        <v>439.66</v>
      </c>
      <c r="N308" s="133" t="s">
        <v>4280</v>
      </c>
      <c r="O308" s="133" t="s">
        <v>4871</v>
      </c>
      <c r="P308" s="133" t="s">
        <v>4281</v>
      </c>
      <c r="Q308" s="133" t="s">
        <v>4872</v>
      </c>
      <c r="R308" s="133" t="s">
        <v>4281</v>
      </c>
      <c r="S308" s="133" t="s">
        <v>4873</v>
      </c>
    </row>
    <row r="309" spans="1:19">
      <c r="A309" s="133" t="s">
        <v>5635</v>
      </c>
      <c r="B309" s="133" t="s">
        <v>4866</v>
      </c>
      <c r="C309" s="133" t="s">
        <v>4279</v>
      </c>
      <c r="D309" s="133" t="s">
        <v>1013</v>
      </c>
      <c r="E309" s="133" t="s">
        <v>3125</v>
      </c>
      <c r="H309" s="133" t="s">
        <v>5633</v>
      </c>
      <c r="I309" s="133" t="s">
        <v>5627</v>
      </c>
      <c r="J309" s="133" t="s">
        <v>5628</v>
      </c>
      <c r="K309" s="133">
        <v>124559.45</v>
      </c>
      <c r="L309" s="133">
        <v>7473.57</v>
      </c>
      <c r="M309" s="133">
        <v>7473.57</v>
      </c>
      <c r="N309" s="133" t="s">
        <v>4280</v>
      </c>
      <c r="O309" s="133" t="s">
        <v>4871</v>
      </c>
      <c r="P309" s="133" t="s">
        <v>4281</v>
      </c>
      <c r="Q309" s="133" t="s">
        <v>4872</v>
      </c>
      <c r="R309" s="133" t="s">
        <v>4281</v>
      </c>
      <c r="S309" s="133" t="s">
        <v>4873</v>
      </c>
    </row>
    <row r="310" spans="1:19">
      <c r="A310" s="133" t="s">
        <v>5636</v>
      </c>
      <c r="B310" s="133" t="s">
        <v>4866</v>
      </c>
      <c r="C310" s="133" t="s">
        <v>4279</v>
      </c>
      <c r="D310" s="133" t="s">
        <v>1013</v>
      </c>
      <c r="E310" s="133" t="s">
        <v>3133</v>
      </c>
      <c r="H310" s="133" t="s">
        <v>5626</v>
      </c>
      <c r="I310" s="133" t="s">
        <v>5627</v>
      </c>
      <c r="J310" s="133" t="s">
        <v>5628</v>
      </c>
      <c r="K310" s="133">
        <v>6455.36</v>
      </c>
      <c r="L310" s="133">
        <v>387.32</v>
      </c>
      <c r="M310" s="133">
        <v>387.32</v>
      </c>
      <c r="N310" s="133" t="s">
        <v>4280</v>
      </c>
      <c r="O310" s="133" t="s">
        <v>4871</v>
      </c>
      <c r="P310" s="133" t="s">
        <v>4281</v>
      </c>
      <c r="Q310" s="133" t="s">
        <v>4872</v>
      </c>
      <c r="R310" s="133" t="s">
        <v>4281</v>
      </c>
      <c r="S310" s="133" t="s">
        <v>4873</v>
      </c>
    </row>
    <row r="311" spans="1:19">
      <c r="A311" s="133" t="s">
        <v>5637</v>
      </c>
      <c r="B311" s="133" t="s">
        <v>4866</v>
      </c>
      <c r="C311" s="133" t="s">
        <v>4279</v>
      </c>
      <c r="D311" s="133" t="s">
        <v>1013</v>
      </c>
      <c r="E311" s="133" t="s">
        <v>3121</v>
      </c>
      <c r="H311" s="133" t="s">
        <v>5638</v>
      </c>
      <c r="I311" s="133" t="s">
        <v>5627</v>
      </c>
      <c r="J311" s="133" t="s">
        <v>5628</v>
      </c>
      <c r="K311" s="133">
        <v>105632.4</v>
      </c>
      <c r="L311" s="133">
        <v>6337.94</v>
      </c>
      <c r="M311" s="133">
        <v>6337.94</v>
      </c>
      <c r="N311" s="133" t="s">
        <v>4280</v>
      </c>
      <c r="O311" s="133" t="s">
        <v>4871</v>
      </c>
      <c r="P311" s="133" t="s">
        <v>4281</v>
      </c>
      <c r="Q311" s="133" t="s">
        <v>4872</v>
      </c>
      <c r="R311" s="133" t="s">
        <v>4281</v>
      </c>
      <c r="S311" s="133" t="s">
        <v>4873</v>
      </c>
    </row>
    <row r="312" spans="1:19">
      <c r="A312" s="133" t="s">
        <v>5639</v>
      </c>
      <c r="B312" s="133" t="s">
        <v>4866</v>
      </c>
      <c r="C312" s="133" t="s">
        <v>4279</v>
      </c>
      <c r="D312" s="133" t="s">
        <v>1013</v>
      </c>
      <c r="E312" s="133" t="s">
        <v>3159</v>
      </c>
      <c r="H312" s="133" t="s">
        <v>5640</v>
      </c>
      <c r="I312" s="133" t="s">
        <v>5627</v>
      </c>
      <c r="J312" s="133" t="s">
        <v>5628</v>
      </c>
      <c r="K312" s="133">
        <v>181005.86</v>
      </c>
      <c r="L312" s="133">
        <v>10860.35</v>
      </c>
      <c r="M312" s="133">
        <v>10860.35</v>
      </c>
      <c r="N312" s="133" t="s">
        <v>4280</v>
      </c>
      <c r="O312" s="133" t="s">
        <v>4871</v>
      </c>
      <c r="P312" s="133" t="s">
        <v>4281</v>
      </c>
      <c r="Q312" s="133" t="s">
        <v>4872</v>
      </c>
      <c r="R312" s="133" t="s">
        <v>4281</v>
      </c>
      <c r="S312" s="133" t="s">
        <v>4873</v>
      </c>
    </row>
    <row r="313" spans="1:19">
      <c r="A313" s="133" t="s">
        <v>5641</v>
      </c>
      <c r="B313" s="133" t="s">
        <v>4866</v>
      </c>
      <c r="C313" s="133" t="s">
        <v>4279</v>
      </c>
      <c r="D313" s="133" t="s">
        <v>1013</v>
      </c>
      <c r="E313" s="133" t="s">
        <v>3150</v>
      </c>
      <c r="H313" s="133" t="s">
        <v>5642</v>
      </c>
      <c r="I313" s="133" t="s">
        <v>5627</v>
      </c>
      <c r="J313" s="133" t="s">
        <v>5628</v>
      </c>
      <c r="K313" s="133">
        <v>22815.89</v>
      </c>
      <c r="L313" s="133">
        <v>1368.95</v>
      </c>
      <c r="M313" s="133">
        <v>1368.95</v>
      </c>
      <c r="N313" s="133" t="s">
        <v>4280</v>
      </c>
      <c r="O313" s="133" t="s">
        <v>4871</v>
      </c>
      <c r="P313" s="133" t="s">
        <v>4281</v>
      </c>
      <c r="Q313" s="133" t="s">
        <v>4872</v>
      </c>
      <c r="R313" s="133" t="s">
        <v>4281</v>
      </c>
      <c r="S313" s="133" t="s">
        <v>4873</v>
      </c>
    </row>
    <row r="314" spans="1:19">
      <c r="A314" s="133" t="s">
        <v>5643</v>
      </c>
      <c r="B314" s="133" t="s">
        <v>4866</v>
      </c>
      <c r="C314" s="133" t="s">
        <v>4279</v>
      </c>
      <c r="D314" s="133" t="s">
        <v>1013</v>
      </c>
      <c r="E314" s="133" t="s">
        <v>3528</v>
      </c>
      <c r="H314" s="133" t="s">
        <v>5644</v>
      </c>
      <c r="I314" s="133" t="s">
        <v>5627</v>
      </c>
      <c r="J314" s="133" t="s">
        <v>5628</v>
      </c>
      <c r="K314" s="133">
        <v>5509.9</v>
      </c>
      <c r="L314" s="133">
        <v>330.59</v>
      </c>
      <c r="M314" s="133">
        <v>330.59</v>
      </c>
      <c r="N314" s="133" t="s">
        <v>4280</v>
      </c>
      <c r="O314" s="133" t="s">
        <v>4871</v>
      </c>
      <c r="P314" s="133" t="s">
        <v>4281</v>
      </c>
      <c r="Q314" s="133" t="s">
        <v>4872</v>
      </c>
      <c r="R314" s="133" t="s">
        <v>4281</v>
      </c>
      <c r="S314" s="133" t="s">
        <v>4873</v>
      </c>
    </row>
    <row r="315" spans="1:19">
      <c r="A315" s="133" t="s">
        <v>5645</v>
      </c>
      <c r="B315" s="133" t="s">
        <v>4866</v>
      </c>
      <c r="C315" s="133" t="s">
        <v>4279</v>
      </c>
      <c r="D315" s="133" t="s">
        <v>1013</v>
      </c>
      <c r="E315" s="133" t="s">
        <v>3769</v>
      </c>
      <c r="H315" s="133" t="s">
        <v>5644</v>
      </c>
      <c r="I315" s="133" t="s">
        <v>5627</v>
      </c>
      <c r="J315" s="133" t="s">
        <v>5628</v>
      </c>
      <c r="K315" s="133">
        <v>15772.15</v>
      </c>
      <c r="L315" s="133">
        <v>946.33</v>
      </c>
      <c r="M315" s="133">
        <v>946.33</v>
      </c>
      <c r="N315" s="133" t="s">
        <v>4280</v>
      </c>
      <c r="O315" s="133" t="s">
        <v>4871</v>
      </c>
      <c r="P315" s="133" t="s">
        <v>4281</v>
      </c>
      <c r="Q315" s="133" t="s">
        <v>4872</v>
      </c>
      <c r="R315" s="133" t="s">
        <v>4281</v>
      </c>
      <c r="S315" s="133" t="s">
        <v>4873</v>
      </c>
    </row>
    <row r="316" spans="1:19">
      <c r="A316" s="133" t="s">
        <v>5646</v>
      </c>
      <c r="B316" s="133" t="s">
        <v>4866</v>
      </c>
      <c r="C316" s="133" t="s">
        <v>4279</v>
      </c>
      <c r="D316" s="133" t="s">
        <v>1013</v>
      </c>
      <c r="E316" s="133" t="s">
        <v>3781</v>
      </c>
      <c r="H316" s="133" t="s">
        <v>5644</v>
      </c>
      <c r="I316" s="133" t="s">
        <v>5627</v>
      </c>
      <c r="J316" s="133" t="s">
        <v>5628</v>
      </c>
      <c r="K316" s="133">
        <v>10331.18</v>
      </c>
      <c r="L316" s="133">
        <v>619.87</v>
      </c>
      <c r="M316" s="133">
        <v>619.87</v>
      </c>
      <c r="N316" s="133" t="s">
        <v>4280</v>
      </c>
      <c r="O316" s="133" t="s">
        <v>4871</v>
      </c>
      <c r="P316" s="133" t="s">
        <v>4281</v>
      </c>
      <c r="Q316" s="133" t="s">
        <v>4872</v>
      </c>
      <c r="R316" s="133" t="s">
        <v>4281</v>
      </c>
      <c r="S316" s="133" t="s">
        <v>4873</v>
      </c>
    </row>
    <row r="317" spans="1:19">
      <c r="A317" s="133" t="s">
        <v>5647</v>
      </c>
      <c r="B317" s="133" t="s">
        <v>4866</v>
      </c>
      <c r="C317" s="133" t="s">
        <v>4279</v>
      </c>
      <c r="D317" s="133" t="s">
        <v>1013</v>
      </c>
      <c r="E317" s="133" t="s">
        <v>3536</v>
      </c>
      <c r="H317" s="133" t="s">
        <v>5648</v>
      </c>
      <c r="I317" s="133" t="s">
        <v>5627</v>
      </c>
      <c r="J317" s="133" t="s">
        <v>5628</v>
      </c>
      <c r="K317" s="133">
        <v>13882.12</v>
      </c>
      <c r="L317" s="133">
        <v>832.93</v>
      </c>
      <c r="M317" s="133">
        <v>832.93</v>
      </c>
      <c r="N317" s="133" t="s">
        <v>4280</v>
      </c>
      <c r="O317" s="133" t="s">
        <v>4871</v>
      </c>
      <c r="P317" s="133" t="s">
        <v>4281</v>
      </c>
      <c r="Q317" s="133" t="s">
        <v>4872</v>
      </c>
      <c r="R317" s="133" t="s">
        <v>4281</v>
      </c>
      <c r="S317" s="133" t="s">
        <v>4873</v>
      </c>
    </row>
    <row r="318" spans="1:19">
      <c r="A318" s="133" t="s">
        <v>5649</v>
      </c>
      <c r="B318" s="133" t="s">
        <v>4866</v>
      </c>
      <c r="C318" s="133" t="s">
        <v>4279</v>
      </c>
      <c r="D318" s="133" t="s">
        <v>1013</v>
      </c>
      <c r="E318" s="133" t="s">
        <v>3512</v>
      </c>
      <c r="H318" s="133" t="s">
        <v>5648</v>
      </c>
      <c r="I318" s="133" t="s">
        <v>5627</v>
      </c>
      <c r="J318" s="133" t="s">
        <v>5628</v>
      </c>
      <c r="K318" s="133">
        <v>13553.35</v>
      </c>
      <c r="L318" s="133">
        <v>813.2</v>
      </c>
      <c r="M318" s="133">
        <v>813.2</v>
      </c>
      <c r="N318" s="133" t="s">
        <v>4280</v>
      </c>
      <c r="O318" s="133" t="s">
        <v>4871</v>
      </c>
      <c r="P318" s="133" t="s">
        <v>4281</v>
      </c>
      <c r="Q318" s="133" t="s">
        <v>4872</v>
      </c>
      <c r="R318" s="133" t="s">
        <v>4281</v>
      </c>
      <c r="S318" s="133" t="s">
        <v>4873</v>
      </c>
    </row>
    <row r="319" spans="1:19">
      <c r="A319" s="133" t="s">
        <v>5650</v>
      </c>
      <c r="B319" s="133" t="s">
        <v>4866</v>
      </c>
      <c r="C319" s="133" t="s">
        <v>4279</v>
      </c>
      <c r="D319" s="133" t="s">
        <v>1013</v>
      </c>
      <c r="E319" s="133" t="s">
        <v>2838</v>
      </c>
      <c r="H319" s="133" t="s">
        <v>5651</v>
      </c>
      <c r="I319" s="133" t="s">
        <v>5627</v>
      </c>
      <c r="J319" s="133" t="s">
        <v>5628</v>
      </c>
      <c r="K319" s="133">
        <v>26132.25</v>
      </c>
      <c r="L319" s="133">
        <v>1567.93</v>
      </c>
      <c r="M319" s="133">
        <v>1567.93</v>
      </c>
      <c r="N319" s="133" t="s">
        <v>4280</v>
      </c>
      <c r="O319" s="133" t="s">
        <v>4871</v>
      </c>
      <c r="P319" s="133" t="s">
        <v>4281</v>
      </c>
      <c r="Q319" s="133" t="s">
        <v>4872</v>
      </c>
      <c r="R319" s="133" t="s">
        <v>4281</v>
      </c>
      <c r="S319" s="133" t="s">
        <v>4873</v>
      </c>
    </row>
    <row r="320" spans="1:19">
      <c r="A320" s="133" t="s">
        <v>5652</v>
      </c>
      <c r="B320" s="133" t="s">
        <v>4866</v>
      </c>
      <c r="C320" s="133" t="s">
        <v>4279</v>
      </c>
      <c r="D320" s="133" t="s">
        <v>1013</v>
      </c>
      <c r="E320" s="133" t="s">
        <v>5653</v>
      </c>
      <c r="H320" s="133" t="s">
        <v>5654</v>
      </c>
      <c r="I320" s="133" t="s">
        <v>5655</v>
      </c>
      <c r="J320" s="133" t="s">
        <v>5656</v>
      </c>
      <c r="K320" s="133">
        <v>209823</v>
      </c>
      <c r="L320" s="133">
        <v>27277</v>
      </c>
      <c r="M320" s="133">
        <v>27277</v>
      </c>
      <c r="N320" s="133" t="s">
        <v>4280</v>
      </c>
      <c r="O320" s="133" t="s">
        <v>4871</v>
      </c>
      <c r="P320" s="133" t="s">
        <v>4281</v>
      </c>
      <c r="Q320" s="133" t="s">
        <v>4872</v>
      </c>
      <c r="R320" s="133" t="s">
        <v>4281</v>
      </c>
      <c r="S320" s="133" t="s">
        <v>4873</v>
      </c>
    </row>
    <row r="321" spans="1:19">
      <c r="A321" s="133" t="s">
        <v>5657</v>
      </c>
      <c r="B321" s="133" t="s">
        <v>4866</v>
      </c>
      <c r="C321" s="133" t="s">
        <v>4279</v>
      </c>
      <c r="D321" s="133" t="s">
        <v>1013</v>
      </c>
      <c r="E321" s="133" t="s">
        <v>5658</v>
      </c>
      <c r="H321" s="133" t="s">
        <v>5659</v>
      </c>
      <c r="I321" s="133" t="s">
        <v>5655</v>
      </c>
      <c r="J321" s="133" t="s">
        <v>5656</v>
      </c>
      <c r="K321" s="133">
        <v>169642.81</v>
      </c>
      <c r="L321" s="133">
        <v>22053.55</v>
      </c>
      <c r="M321" s="133">
        <v>22053.55</v>
      </c>
      <c r="N321" s="133" t="s">
        <v>4280</v>
      </c>
      <c r="O321" s="133" t="s">
        <v>4871</v>
      </c>
      <c r="P321" s="133" t="s">
        <v>4281</v>
      </c>
      <c r="Q321" s="133" t="s">
        <v>4872</v>
      </c>
      <c r="R321" s="133" t="s">
        <v>4281</v>
      </c>
      <c r="S321" s="133" t="s">
        <v>4873</v>
      </c>
    </row>
    <row r="322" spans="1:19">
      <c r="A322" s="133" t="s">
        <v>5660</v>
      </c>
      <c r="B322" s="133" t="s">
        <v>4866</v>
      </c>
      <c r="C322" s="133" t="s">
        <v>4279</v>
      </c>
      <c r="D322" s="133" t="s">
        <v>1013</v>
      </c>
      <c r="E322" s="133" t="s">
        <v>5661</v>
      </c>
      <c r="H322" s="133" t="s">
        <v>5662</v>
      </c>
      <c r="I322" s="133" t="s">
        <v>5655</v>
      </c>
      <c r="J322" s="133" t="s">
        <v>5656</v>
      </c>
      <c r="K322" s="133">
        <v>836534.09</v>
      </c>
      <c r="L322" s="133">
        <v>108749.44</v>
      </c>
      <c r="M322" s="133">
        <v>108749.44</v>
      </c>
      <c r="N322" s="133" t="s">
        <v>4280</v>
      </c>
      <c r="O322" s="133" t="s">
        <v>4871</v>
      </c>
      <c r="P322" s="133" t="s">
        <v>4281</v>
      </c>
      <c r="Q322" s="133" t="s">
        <v>4872</v>
      </c>
      <c r="R322" s="133" t="s">
        <v>4281</v>
      </c>
      <c r="S322" s="133" t="s">
        <v>4873</v>
      </c>
    </row>
    <row r="323" spans="1:19">
      <c r="A323" s="133" t="s">
        <v>5663</v>
      </c>
      <c r="B323" s="133" t="s">
        <v>4866</v>
      </c>
      <c r="C323" s="133" t="s">
        <v>4279</v>
      </c>
      <c r="D323" s="133" t="s">
        <v>1013</v>
      </c>
      <c r="E323" s="133" t="s">
        <v>5664</v>
      </c>
      <c r="H323" s="133" t="s">
        <v>5665</v>
      </c>
      <c r="I323" s="133" t="s">
        <v>5655</v>
      </c>
      <c r="J323" s="133" t="s">
        <v>5656</v>
      </c>
      <c r="K323" s="133">
        <v>264601.77</v>
      </c>
      <c r="L323" s="133">
        <v>34398.230000000003</v>
      </c>
      <c r="M323" s="133">
        <v>34398.230000000003</v>
      </c>
      <c r="N323" s="133" t="s">
        <v>4280</v>
      </c>
      <c r="O323" s="133" t="s">
        <v>4871</v>
      </c>
      <c r="P323" s="133" t="s">
        <v>4281</v>
      </c>
      <c r="Q323" s="133" t="s">
        <v>4872</v>
      </c>
      <c r="R323" s="133" t="s">
        <v>4281</v>
      </c>
      <c r="S323" s="133" t="s">
        <v>4873</v>
      </c>
    </row>
    <row r="324" spans="1:19">
      <c r="A324" s="133" t="s">
        <v>5666</v>
      </c>
      <c r="B324" s="133" t="s">
        <v>4866</v>
      </c>
      <c r="C324" s="133" t="s">
        <v>4279</v>
      </c>
      <c r="D324" s="133" t="s">
        <v>1013</v>
      </c>
      <c r="E324" s="133" t="s">
        <v>5667</v>
      </c>
      <c r="H324" s="133" t="s">
        <v>5668</v>
      </c>
      <c r="I324" s="133" t="s">
        <v>5669</v>
      </c>
      <c r="J324" s="133" t="s">
        <v>5670</v>
      </c>
      <c r="K324" s="133">
        <v>117550</v>
      </c>
      <c r="L324" s="133">
        <v>15281.5</v>
      </c>
      <c r="M324" s="133">
        <v>15281.5</v>
      </c>
      <c r="N324" s="133" t="s">
        <v>4280</v>
      </c>
      <c r="O324" s="133" t="s">
        <v>4871</v>
      </c>
      <c r="P324" s="133" t="s">
        <v>4281</v>
      </c>
      <c r="Q324" s="133" t="s">
        <v>4872</v>
      </c>
      <c r="R324" s="133" t="s">
        <v>4281</v>
      </c>
      <c r="S324" s="133" t="s">
        <v>4873</v>
      </c>
    </row>
    <row r="325" spans="1:19">
      <c r="A325" s="133" t="s">
        <v>5671</v>
      </c>
      <c r="B325" s="133" t="s">
        <v>4866</v>
      </c>
      <c r="C325" s="133" t="s">
        <v>4279</v>
      </c>
      <c r="D325" s="133" t="s">
        <v>1013</v>
      </c>
      <c r="E325" s="133" t="s">
        <v>5672</v>
      </c>
      <c r="H325" s="133" t="s">
        <v>5673</v>
      </c>
      <c r="I325" s="133" t="s">
        <v>5669</v>
      </c>
      <c r="J325" s="133" t="s">
        <v>5670</v>
      </c>
      <c r="K325" s="133">
        <v>363582.83</v>
      </c>
      <c r="L325" s="133">
        <v>47265.77</v>
      </c>
      <c r="M325" s="133">
        <v>47265.77</v>
      </c>
      <c r="N325" s="133" t="s">
        <v>4280</v>
      </c>
      <c r="O325" s="133" t="s">
        <v>4871</v>
      </c>
      <c r="P325" s="133" t="s">
        <v>4281</v>
      </c>
      <c r="Q325" s="133" t="s">
        <v>4872</v>
      </c>
      <c r="R325" s="133" t="s">
        <v>4281</v>
      </c>
      <c r="S325" s="133" t="s">
        <v>4873</v>
      </c>
    </row>
    <row r="326" spans="1:19">
      <c r="A326" s="133" t="s">
        <v>5674</v>
      </c>
      <c r="B326" s="133" t="s">
        <v>4866</v>
      </c>
      <c r="C326" s="133" t="s">
        <v>4279</v>
      </c>
      <c r="D326" s="133" t="s">
        <v>1013</v>
      </c>
      <c r="E326" s="133" t="s">
        <v>3019</v>
      </c>
      <c r="H326" s="133" t="s">
        <v>5675</v>
      </c>
      <c r="I326" s="133" t="s">
        <v>5676</v>
      </c>
      <c r="J326" s="133" t="s">
        <v>5677</v>
      </c>
      <c r="K326" s="133">
        <v>314.35000000000002</v>
      </c>
      <c r="L326" s="133">
        <v>18.86</v>
      </c>
      <c r="M326" s="133">
        <v>18.86</v>
      </c>
      <c r="N326" s="133" t="s">
        <v>4280</v>
      </c>
      <c r="O326" s="133" t="s">
        <v>4871</v>
      </c>
      <c r="P326" s="133" t="s">
        <v>4281</v>
      </c>
      <c r="Q326" s="133" t="s">
        <v>4872</v>
      </c>
      <c r="R326" s="133" t="s">
        <v>4281</v>
      </c>
      <c r="S326" s="133" t="s">
        <v>4873</v>
      </c>
    </row>
    <row r="327" spans="1:19">
      <c r="A327" s="133" t="s">
        <v>5678</v>
      </c>
      <c r="B327" s="133" t="s">
        <v>4866</v>
      </c>
      <c r="C327" s="133" t="s">
        <v>4279</v>
      </c>
      <c r="D327" s="133" t="s">
        <v>1013</v>
      </c>
      <c r="E327" s="133" t="s">
        <v>5679</v>
      </c>
      <c r="H327" s="133" t="s">
        <v>5680</v>
      </c>
      <c r="I327" s="133" t="s">
        <v>5681</v>
      </c>
      <c r="J327" s="133" t="s">
        <v>5682</v>
      </c>
      <c r="K327" s="133">
        <v>1424.53</v>
      </c>
      <c r="L327" s="133">
        <v>85.47</v>
      </c>
      <c r="M327" s="133">
        <v>85.47</v>
      </c>
      <c r="N327" s="133" t="s">
        <v>4280</v>
      </c>
      <c r="O327" s="133" t="s">
        <v>4871</v>
      </c>
      <c r="P327" s="133" t="s">
        <v>4281</v>
      </c>
      <c r="Q327" s="133" t="s">
        <v>4872</v>
      </c>
      <c r="R327" s="133" t="s">
        <v>4281</v>
      </c>
      <c r="S327" s="133" t="s">
        <v>4873</v>
      </c>
    </row>
    <row r="328" spans="1:19">
      <c r="A328" s="133" t="s">
        <v>5683</v>
      </c>
      <c r="B328" s="133" t="s">
        <v>4866</v>
      </c>
      <c r="C328" s="133" t="s">
        <v>4279</v>
      </c>
      <c r="D328" s="133" t="s">
        <v>1013</v>
      </c>
      <c r="E328" s="133" t="s">
        <v>5684</v>
      </c>
      <c r="H328" s="133" t="s">
        <v>5680</v>
      </c>
      <c r="I328" s="133" t="s">
        <v>5681</v>
      </c>
      <c r="J328" s="133" t="s">
        <v>5682</v>
      </c>
      <c r="K328" s="133">
        <v>47873.74</v>
      </c>
      <c r="L328" s="133">
        <v>2872.42</v>
      </c>
      <c r="M328" s="133">
        <v>2872.42</v>
      </c>
      <c r="N328" s="133" t="s">
        <v>4280</v>
      </c>
      <c r="O328" s="133" t="s">
        <v>4871</v>
      </c>
      <c r="P328" s="133" t="s">
        <v>4281</v>
      </c>
      <c r="Q328" s="133" t="s">
        <v>4872</v>
      </c>
      <c r="R328" s="133" t="s">
        <v>4281</v>
      </c>
      <c r="S328" s="133" t="s">
        <v>4873</v>
      </c>
    </row>
    <row r="329" spans="1:19">
      <c r="A329" s="133" t="s">
        <v>5685</v>
      </c>
      <c r="B329" s="133" t="s">
        <v>4866</v>
      </c>
      <c r="C329" s="133" t="s">
        <v>4279</v>
      </c>
      <c r="D329" s="133" t="s">
        <v>1013</v>
      </c>
      <c r="E329" s="133" t="s">
        <v>5686</v>
      </c>
      <c r="H329" s="133" t="s">
        <v>5687</v>
      </c>
      <c r="I329" s="133" t="s">
        <v>5681</v>
      </c>
      <c r="J329" s="133" t="s">
        <v>5682</v>
      </c>
      <c r="K329" s="133">
        <v>1125.47</v>
      </c>
      <c r="L329" s="133">
        <v>67.53</v>
      </c>
      <c r="M329" s="133">
        <v>67.53</v>
      </c>
      <c r="N329" s="133" t="s">
        <v>4280</v>
      </c>
      <c r="O329" s="133" t="s">
        <v>4871</v>
      </c>
      <c r="P329" s="133" t="s">
        <v>4281</v>
      </c>
      <c r="Q329" s="133" t="s">
        <v>4872</v>
      </c>
      <c r="R329" s="133" t="s">
        <v>4281</v>
      </c>
      <c r="S329" s="133" t="s">
        <v>4873</v>
      </c>
    </row>
    <row r="330" spans="1:19">
      <c r="A330" s="133" t="s">
        <v>5688</v>
      </c>
      <c r="B330" s="133" t="s">
        <v>4866</v>
      </c>
      <c r="C330" s="133" t="s">
        <v>4279</v>
      </c>
      <c r="D330" s="133" t="s">
        <v>1013</v>
      </c>
      <c r="E330" s="133" t="s">
        <v>5689</v>
      </c>
      <c r="H330" s="133" t="s">
        <v>5690</v>
      </c>
      <c r="I330" s="133" t="s">
        <v>5681</v>
      </c>
      <c r="J330" s="133" t="s">
        <v>5682</v>
      </c>
      <c r="K330" s="133">
        <v>1273.58</v>
      </c>
      <c r="L330" s="133">
        <v>76.42</v>
      </c>
      <c r="M330" s="133">
        <v>76.42</v>
      </c>
      <c r="N330" s="133" t="s">
        <v>4280</v>
      </c>
      <c r="O330" s="133" t="s">
        <v>4871</v>
      </c>
      <c r="P330" s="133" t="s">
        <v>4281</v>
      </c>
      <c r="Q330" s="133" t="s">
        <v>4872</v>
      </c>
      <c r="R330" s="133" t="s">
        <v>4281</v>
      </c>
      <c r="S330" s="133" t="s">
        <v>4873</v>
      </c>
    </row>
    <row r="331" spans="1:19">
      <c r="A331" s="133" t="s">
        <v>5691</v>
      </c>
      <c r="B331" s="133" t="s">
        <v>4866</v>
      </c>
      <c r="C331" s="133" t="s">
        <v>4279</v>
      </c>
      <c r="D331" s="133" t="s">
        <v>1013</v>
      </c>
      <c r="E331" s="133" t="s">
        <v>5692</v>
      </c>
      <c r="H331" s="133" t="s">
        <v>5693</v>
      </c>
      <c r="I331" s="133" t="s">
        <v>5694</v>
      </c>
      <c r="J331" s="133" t="s">
        <v>5695</v>
      </c>
      <c r="K331" s="133">
        <v>172955.97</v>
      </c>
      <c r="L331" s="133">
        <v>10377.36</v>
      </c>
      <c r="M331" s="133">
        <v>10377.36</v>
      </c>
      <c r="N331" s="133" t="s">
        <v>4280</v>
      </c>
      <c r="O331" s="133" t="s">
        <v>4871</v>
      </c>
      <c r="P331" s="133" t="s">
        <v>4281</v>
      </c>
      <c r="Q331" s="133" t="s">
        <v>4872</v>
      </c>
      <c r="R331" s="133" t="s">
        <v>4281</v>
      </c>
      <c r="S331" s="133" t="s">
        <v>4873</v>
      </c>
    </row>
    <row r="332" spans="1:19">
      <c r="A332" s="133" t="s">
        <v>5696</v>
      </c>
      <c r="B332" s="133" t="s">
        <v>4866</v>
      </c>
      <c r="C332" s="133" t="s">
        <v>4279</v>
      </c>
      <c r="D332" s="133" t="s">
        <v>1013</v>
      </c>
      <c r="E332" s="133" t="s">
        <v>5697</v>
      </c>
      <c r="H332" s="133" t="s">
        <v>5698</v>
      </c>
      <c r="I332" s="133" t="s">
        <v>5694</v>
      </c>
      <c r="J332" s="133" t="s">
        <v>5695</v>
      </c>
      <c r="K332" s="133">
        <v>72127.88</v>
      </c>
      <c r="L332" s="133">
        <v>4327.67</v>
      </c>
      <c r="M332" s="133">
        <v>4327.67</v>
      </c>
      <c r="N332" s="133" t="s">
        <v>4280</v>
      </c>
      <c r="O332" s="133" t="s">
        <v>4871</v>
      </c>
      <c r="P332" s="133" t="s">
        <v>4281</v>
      </c>
      <c r="Q332" s="133" t="s">
        <v>4872</v>
      </c>
      <c r="R332" s="133" t="s">
        <v>4281</v>
      </c>
      <c r="S332" s="133" t="s">
        <v>4873</v>
      </c>
    </row>
    <row r="333" spans="1:19">
      <c r="A333" s="133" t="s">
        <v>5699</v>
      </c>
      <c r="B333" s="133" t="s">
        <v>4866</v>
      </c>
      <c r="C333" s="133" t="s">
        <v>4279</v>
      </c>
      <c r="D333" s="133" t="s">
        <v>1013</v>
      </c>
      <c r="E333" s="133" t="s">
        <v>5700</v>
      </c>
      <c r="H333" s="133" t="s">
        <v>5701</v>
      </c>
      <c r="I333" s="133" t="s">
        <v>5694</v>
      </c>
      <c r="J333" s="133" t="s">
        <v>5695</v>
      </c>
      <c r="K333" s="133">
        <v>95587</v>
      </c>
      <c r="L333" s="133">
        <v>5735.22</v>
      </c>
      <c r="M333" s="133">
        <v>5735.22</v>
      </c>
      <c r="N333" s="133" t="s">
        <v>4280</v>
      </c>
      <c r="O333" s="133" t="s">
        <v>4871</v>
      </c>
      <c r="P333" s="133" t="s">
        <v>4281</v>
      </c>
      <c r="Q333" s="133" t="s">
        <v>4872</v>
      </c>
      <c r="R333" s="133" t="s">
        <v>4281</v>
      </c>
      <c r="S333" s="133" t="s">
        <v>4873</v>
      </c>
    </row>
    <row r="334" spans="1:19">
      <c r="A334" s="133" t="s">
        <v>5702</v>
      </c>
      <c r="B334" s="133" t="s">
        <v>4866</v>
      </c>
      <c r="C334" s="133" t="s">
        <v>4279</v>
      </c>
      <c r="D334" s="133" t="s">
        <v>1013</v>
      </c>
      <c r="E334" s="133" t="s">
        <v>5703</v>
      </c>
      <c r="H334" s="133" t="s">
        <v>5704</v>
      </c>
      <c r="I334" s="133" t="s">
        <v>5694</v>
      </c>
      <c r="J334" s="133" t="s">
        <v>5695</v>
      </c>
      <c r="K334" s="133">
        <v>418867.92</v>
      </c>
      <c r="L334" s="133">
        <v>25132.080000000002</v>
      </c>
      <c r="M334" s="133">
        <v>25132.080000000002</v>
      </c>
      <c r="N334" s="133" t="s">
        <v>4280</v>
      </c>
      <c r="O334" s="133" t="s">
        <v>4871</v>
      </c>
      <c r="P334" s="133" t="s">
        <v>4281</v>
      </c>
      <c r="Q334" s="133" t="s">
        <v>4872</v>
      </c>
      <c r="R334" s="133" t="s">
        <v>4281</v>
      </c>
      <c r="S334" s="133" t="s">
        <v>4873</v>
      </c>
    </row>
    <row r="335" spans="1:19">
      <c r="A335" s="133" t="s">
        <v>5705</v>
      </c>
      <c r="B335" s="133" t="s">
        <v>4866</v>
      </c>
      <c r="C335" s="133" t="s">
        <v>4279</v>
      </c>
      <c r="D335" s="133" t="s">
        <v>1013</v>
      </c>
      <c r="E335" s="133" t="s">
        <v>5706</v>
      </c>
      <c r="H335" s="133" t="s">
        <v>5707</v>
      </c>
      <c r="I335" s="133" t="s">
        <v>5708</v>
      </c>
      <c r="J335" s="133" t="s">
        <v>5709</v>
      </c>
      <c r="K335" s="133">
        <v>2717401.83</v>
      </c>
      <c r="L335" s="133">
        <v>244566.16</v>
      </c>
      <c r="M335" s="133">
        <v>244566.16</v>
      </c>
      <c r="N335" s="133" t="s">
        <v>4280</v>
      </c>
      <c r="O335" s="133" t="s">
        <v>4871</v>
      </c>
      <c r="P335" s="133" t="s">
        <v>4281</v>
      </c>
      <c r="Q335" s="133" t="s">
        <v>4872</v>
      </c>
      <c r="R335" s="133" t="s">
        <v>4281</v>
      </c>
      <c r="S335" s="133" t="s">
        <v>4873</v>
      </c>
    </row>
    <row r="336" spans="1:19">
      <c r="A336" s="133" t="s">
        <v>5710</v>
      </c>
      <c r="B336" s="133" t="s">
        <v>4866</v>
      </c>
      <c r="C336" s="133" t="s">
        <v>4279</v>
      </c>
      <c r="D336" s="133" t="s">
        <v>1013</v>
      </c>
      <c r="E336" s="133" t="s">
        <v>5711</v>
      </c>
      <c r="H336" s="133" t="s">
        <v>5712</v>
      </c>
      <c r="I336" s="133" t="s">
        <v>5713</v>
      </c>
      <c r="J336" s="133" t="s">
        <v>5714</v>
      </c>
      <c r="K336" s="133">
        <v>208489.79</v>
      </c>
      <c r="L336" s="133">
        <v>12509.39</v>
      </c>
      <c r="M336" s="133">
        <v>12509.39</v>
      </c>
      <c r="N336" s="133" t="s">
        <v>4280</v>
      </c>
      <c r="O336" s="133" t="s">
        <v>4871</v>
      </c>
      <c r="P336" s="133" t="s">
        <v>4281</v>
      </c>
      <c r="Q336" s="133" t="s">
        <v>4872</v>
      </c>
      <c r="R336" s="133" t="s">
        <v>4281</v>
      </c>
      <c r="S336" s="133" t="s">
        <v>4873</v>
      </c>
    </row>
    <row r="337" spans="1:19">
      <c r="A337" s="133" t="s">
        <v>5715</v>
      </c>
      <c r="B337" s="133" t="s">
        <v>4866</v>
      </c>
      <c r="C337" s="133" t="s">
        <v>4279</v>
      </c>
      <c r="D337" s="133" t="s">
        <v>1013</v>
      </c>
      <c r="E337" s="133" t="s">
        <v>5716</v>
      </c>
      <c r="H337" s="133" t="s">
        <v>5717</v>
      </c>
      <c r="I337" s="133" t="s">
        <v>5713</v>
      </c>
      <c r="J337" s="133" t="s">
        <v>5714</v>
      </c>
      <c r="K337" s="133">
        <v>5637.94</v>
      </c>
      <c r="L337" s="133">
        <v>338.28</v>
      </c>
      <c r="M337" s="133">
        <v>338.28</v>
      </c>
      <c r="N337" s="133" t="s">
        <v>4280</v>
      </c>
      <c r="O337" s="133" t="s">
        <v>4871</v>
      </c>
      <c r="P337" s="133" t="s">
        <v>4281</v>
      </c>
      <c r="Q337" s="133" t="s">
        <v>4872</v>
      </c>
      <c r="R337" s="133" t="s">
        <v>4281</v>
      </c>
      <c r="S337" s="133" t="s">
        <v>4873</v>
      </c>
    </row>
    <row r="338" spans="1:19">
      <c r="A338" s="133" t="s">
        <v>5718</v>
      </c>
      <c r="B338" s="133" t="s">
        <v>4866</v>
      </c>
      <c r="C338" s="133" t="s">
        <v>4279</v>
      </c>
      <c r="D338" s="133" t="s">
        <v>1013</v>
      </c>
      <c r="E338" s="133" t="s">
        <v>5719</v>
      </c>
      <c r="H338" s="133" t="s">
        <v>5720</v>
      </c>
      <c r="I338" s="133" t="s">
        <v>5713</v>
      </c>
      <c r="J338" s="133" t="s">
        <v>5714</v>
      </c>
      <c r="K338" s="133">
        <v>846914.28</v>
      </c>
      <c r="L338" s="133">
        <v>50814.86</v>
      </c>
      <c r="M338" s="133">
        <v>50814.86</v>
      </c>
      <c r="N338" s="133" t="s">
        <v>4280</v>
      </c>
      <c r="O338" s="133" t="s">
        <v>4871</v>
      </c>
      <c r="P338" s="133" t="s">
        <v>4281</v>
      </c>
      <c r="Q338" s="133" t="s">
        <v>4872</v>
      </c>
      <c r="R338" s="133" t="s">
        <v>4281</v>
      </c>
      <c r="S338" s="133" t="s">
        <v>4873</v>
      </c>
    </row>
    <row r="339" spans="1:19">
      <c r="A339" s="133" t="s">
        <v>5721</v>
      </c>
      <c r="B339" s="133" t="s">
        <v>4866</v>
      </c>
      <c r="C339" s="133" t="s">
        <v>4279</v>
      </c>
      <c r="D339" s="133" t="s">
        <v>1013</v>
      </c>
      <c r="E339" s="133" t="s">
        <v>5722</v>
      </c>
      <c r="H339" s="133" t="s">
        <v>5723</v>
      </c>
      <c r="I339" s="133" t="s">
        <v>5713</v>
      </c>
      <c r="J339" s="133" t="s">
        <v>5714</v>
      </c>
      <c r="K339" s="133">
        <v>790019.83</v>
      </c>
      <c r="L339" s="133">
        <v>47401.19</v>
      </c>
      <c r="M339" s="133">
        <v>47401.19</v>
      </c>
      <c r="N339" s="133" t="s">
        <v>4280</v>
      </c>
      <c r="O339" s="133" t="s">
        <v>4871</v>
      </c>
      <c r="P339" s="133" t="s">
        <v>4281</v>
      </c>
      <c r="Q339" s="133" t="s">
        <v>4872</v>
      </c>
      <c r="R339" s="133" t="s">
        <v>4281</v>
      </c>
      <c r="S339" s="133" t="s">
        <v>4873</v>
      </c>
    </row>
    <row r="340" spans="1:19">
      <c r="A340" s="133" t="s">
        <v>5724</v>
      </c>
      <c r="B340" s="133" t="s">
        <v>4866</v>
      </c>
      <c r="C340" s="133" t="s">
        <v>4279</v>
      </c>
      <c r="D340" s="133" t="s">
        <v>1013</v>
      </c>
      <c r="E340" s="133" t="s">
        <v>5725</v>
      </c>
      <c r="H340" s="133" t="s">
        <v>5723</v>
      </c>
      <c r="I340" s="133" t="s">
        <v>5713</v>
      </c>
      <c r="J340" s="133" t="s">
        <v>5714</v>
      </c>
      <c r="K340" s="133">
        <v>790402.46</v>
      </c>
      <c r="L340" s="133">
        <v>47424.15</v>
      </c>
      <c r="M340" s="133">
        <v>47424.15</v>
      </c>
      <c r="N340" s="133" t="s">
        <v>4280</v>
      </c>
      <c r="O340" s="133" t="s">
        <v>4871</v>
      </c>
      <c r="P340" s="133" t="s">
        <v>4281</v>
      </c>
      <c r="Q340" s="133" t="s">
        <v>4872</v>
      </c>
      <c r="R340" s="133" t="s">
        <v>4281</v>
      </c>
      <c r="S340" s="133" t="s">
        <v>4873</v>
      </c>
    </row>
    <row r="341" spans="1:19">
      <c r="A341" s="133" t="s">
        <v>5726</v>
      </c>
      <c r="B341" s="133" t="s">
        <v>4866</v>
      </c>
      <c r="C341" s="133" t="s">
        <v>4279</v>
      </c>
      <c r="D341" s="133" t="s">
        <v>1013</v>
      </c>
      <c r="E341" s="133" t="s">
        <v>5727</v>
      </c>
      <c r="H341" s="133" t="s">
        <v>5720</v>
      </c>
      <c r="I341" s="133" t="s">
        <v>5713</v>
      </c>
      <c r="J341" s="133" t="s">
        <v>5714</v>
      </c>
      <c r="K341" s="133">
        <v>601342.28</v>
      </c>
      <c r="L341" s="133">
        <v>36080.54</v>
      </c>
      <c r="M341" s="133">
        <v>36080.54</v>
      </c>
      <c r="N341" s="133" t="s">
        <v>4280</v>
      </c>
      <c r="O341" s="133" t="s">
        <v>4871</v>
      </c>
      <c r="P341" s="133" t="s">
        <v>4281</v>
      </c>
      <c r="Q341" s="133" t="s">
        <v>4872</v>
      </c>
      <c r="R341" s="133" t="s">
        <v>4281</v>
      </c>
      <c r="S341" s="133" t="s">
        <v>4873</v>
      </c>
    </row>
    <row r="342" spans="1:19">
      <c r="A342" s="133" t="s">
        <v>5728</v>
      </c>
      <c r="B342" s="133" t="s">
        <v>4866</v>
      </c>
      <c r="C342" s="133" t="s">
        <v>4279</v>
      </c>
      <c r="D342" s="133" t="s">
        <v>1013</v>
      </c>
      <c r="E342" s="133" t="s">
        <v>5729</v>
      </c>
      <c r="H342" s="133" t="s">
        <v>5730</v>
      </c>
      <c r="I342" s="133" t="s">
        <v>5713</v>
      </c>
      <c r="J342" s="133" t="s">
        <v>5714</v>
      </c>
      <c r="K342" s="133">
        <v>270941.17</v>
      </c>
      <c r="L342" s="133">
        <v>16256.47</v>
      </c>
      <c r="M342" s="133">
        <v>16256.47</v>
      </c>
      <c r="N342" s="133" t="s">
        <v>4280</v>
      </c>
      <c r="O342" s="133" t="s">
        <v>4871</v>
      </c>
      <c r="P342" s="133" t="s">
        <v>4281</v>
      </c>
      <c r="Q342" s="133" t="s">
        <v>4872</v>
      </c>
      <c r="R342" s="133" t="s">
        <v>4281</v>
      </c>
      <c r="S342" s="133" t="s">
        <v>4873</v>
      </c>
    </row>
    <row r="343" spans="1:19">
      <c r="A343" s="133" t="s">
        <v>5731</v>
      </c>
      <c r="B343" s="133" t="s">
        <v>4866</v>
      </c>
      <c r="C343" s="133" t="s">
        <v>4279</v>
      </c>
      <c r="D343" s="133" t="s">
        <v>1013</v>
      </c>
      <c r="E343" s="133" t="s">
        <v>5732</v>
      </c>
      <c r="H343" s="133" t="s">
        <v>5733</v>
      </c>
      <c r="I343" s="133" t="s">
        <v>5713</v>
      </c>
      <c r="J343" s="133" t="s">
        <v>5714</v>
      </c>
      <c r="K343" s="133">
        <v>50410.47</v>
      </c>
      <c r="L343" s="133">
        <v>3024.63</v>
      </c>
      <c r="M343" s="133">
        <v>3024.63</v>
      </c>
      <c r="N343" s="133" t="s">
        <v>4280</v>
      </c>
      <c r="O343" s="133" t="s">
        <v>4871</v>
      </c>
      <c r="P343" s="133" t="s">
        <v>4281</v>
      </c>
      <c r="Q343" s="133" t="s">
        <v>4872</v>
      </c>
      <c r="R343" s="133" t="s">
        <v>4281</v>
      </c>
      <c r="S343" s="133" t="s">
        <v>4873</v>
      </c>
    </row>
    <row r="344" spans="1:19">
      <c r="A344" s="133" t="s">
        <v>5734</v>
      </c>
      <c r="B344" s="133" t="s">
        <v>4866</v>
      </c>
      <c r="C344" s="133" t="s">
        <v>4279</v>
      </c>
      <c r="D344" s="133" t="s">
        <v>1013</v>
      </c>
      <c r="E344" s="133" t="s">
        <v>5735</v>
      </c>
      <c r="H344" s="133" t="s">
        <v>5736</v>
      </c>
      <c r="I344" s="133" t="s">
        <v>5713</v>
      </c>
      <c r="J344" s="133" t="s">
        <v>5714</v>
      </c>
      <c r="K344" s="133">
        <v>66520.34</v>
      </c>
      <c r="L344" s="133">
        <v>3991.22</v>
      </c>
      <c r="M344" s="133">
        <v>3991.22</v>
      </c>
      <c r="N344" s="133" t="s">
        <v>4280</v>
      </c>
      <c r="O344" s="133" t="s">
        <v>4871</v>
      </c>
      <c r="P344" s="133" t="s">
        <v>4281</v>
      </c>
      <c r="Q344" s="133" t="s">
        <v>4872</v>
      </c>
      <c r="R344" s="133" t="s">
        <v>4281</v>
      </c>
      <c r="S344" s="133" t="s">
        <v>4873</v>
      </c>
    </row>
    <row r="345" spans="1:19">
      <c r="A345" s="133" t="s">
        <v>5737</v>
      </c>
      <c r="B345" s="133" t="s">
        <v>4866</v>
      </c>
      <c r="C345" s="133" t="s">
        <v>4279</v>
      </c>
      <c r="D345" s="133" t="s">
        <v>1013</v>
      </c>
      <c r="E345" s="133" t="s">
        <v>5738</v>
      </c>
      <c r="H345" s="133" t="s">
        <v>5730</v>
      </c>
      <c r="I345" s="133" t="s">
        <v>5713</v>
      </c>
      <c r="J345" s="133" t="s">
        <v>5714</v>
      </c>
      <c r="K345" s="133">
        <v>97333.7</v>
      </c>
      <c r="L345" s="133">
        <v>5840.02</v>
      </c>
      <c r="M345" s="133">
        <v>5840.02</v>
      </c>
      <c r="N345" s="133" t="s">
        <v>4280</v>
      </c>
      <c r="O345" s="133" t="s">
        <v>4871</v>
      </c>
      <c r="P345" s="133" t="s">
        <v>4281</v>
      </c>
      <c r="Q345" s="133" t="s">
        <v>4872</v>
      </c>
      <c r="R345" s="133" t="s">
        <v>4281</v>
      </c>
      <c r="S345" s="133" t="s">
        <v>4873</v>
      </c>
    </row>
    <row r="346" spans="1:19">
      <c r="A346" s="133" t="s">
        <v>5739</v>
      </c>
      <c r="B346" s="133" t="s">
        <v>4866</v>
      </c>
      <c r="C346" s="133" t="s">
        <v>4279</v>
      </c>
      <c r="D346" s="133" t="s">
        <v>1013</v>
      </c>
      <c r="E346" s="133" t="s">
        <v>5740</v>
      </c>
      <c r="H346" s="133" t="s">
        <v>5730</v>
      </c>
      <c r="I346" s="133" t="s">
        <v>5713</v>
      </c>
      <c r="J346" s="133" t="s">
        <v>5714</v>
      </c>
      <c r="K346" s="133">
        <v>191956.58</v>
      </c>
      <c r="L346" s="133">
        <v>11517.39</v>
      </c>
      <c r="M346" s="133">
        <v>11517.39</v>
      </c>
      <c r="N346" s="133" t="s">
        <v>4280</v>
      </c>
      <c r="O346" s="133" t="s">
        <v>4871</v>
      </c>
      <c r="P346" s="133" t="s">
        <v>4281</v>
      </c>
      <c r="Q346" s="133" t="s">
        <v>4872</v>
      </c>
      <c r="R346" s="133" t="s">
        <v>4281</v>
      </c>
      <c r="S346" s="133" t="s">
        <v>4873</v>
      </c>
    </row>
    <row r="347" spans="1:19">
      <c r="A347" s="133" t="s">
        <v>5741</v>
      </c>
      <c r="B347" s="133" t="s">
        <v>4866</v>
      </c>
      <c r="C347" s="133" t="s">
        <v>4279</v>
      </c>
      <c r="D347" s="133" t="s">
        <v>1013</v>
      </c>
      <c r="E347" s="133" t="s">
        <v>5742</v>
      </c>
      <c r="H347" s="133" t="s">
        <v>5743</v>
      </c>
      <c r="I347" s="133" t="s">
        <v>5713</v>
      </c>
      <c r="J347" s="133" t="s">
        <v>5714</v>
      </c>
      <c r="K347" s="133">
        <v>278532.86</v>
      </c>
      <c r="L347" s="133">
        <v>16711.97</v>
      </c>
      <c r="M347" s="133">
        <v>16711.97</v>
      </c>
      <c r="N347" s="133" t="s">
        <v>4280</v>
      </c>
      <c r="O347" s="133" t="s">
        <v>4871</v>
      </c>
      <c r="P347" s="133" t="s">
        <v>4281</v>
      </c>
      <c r="Q347" s="133" t="s">
        <v>4872</v>
      </c>
      <c r="R347" s="133" t="s">
        <v>4281</v>
      </c>
      <c r="S347" s="133" t="s">
        <v>4873</v>
      </c>
    </row>
    <row r="348" spans="1:19">
      <c r="A348" s="133" t="s">
        <v>5744</v>
      </c>
      <c r="B348" s="133" t="s">
        <v>4866</v>
      </c>
      <c r="C348" s="133" t="s">
        <v>4279</v>
      </c>
      <c r="D348" s="133" t="s">
        <v>1013</v>
      </c>
      <c r="E348" s="133" t="s">
        <v>5745</v>
      </c>
      <c r="H348" s="133" t="s">
        <v>5743</v>
      </c>
      <c r="I348" s="133" t="s">
        <v>5713</v>
      </c>
      <c r="J348" s="133" t="s">
        <v>5714</v>
      </c>
      <c r="K348" s="133">
        <v>293427.27</v>
      </c>
      <c r="L348" s="133">
        <v>17605.64</v>
      </c>
      <c r="M348" s="133">
        <v>17605.64</v>
      </c>
      <c r="N348" s="133" t="s">
        <v>4280</v>
      </c>
      <c r="O348" s="133" t="s">
        <v>4871</v>
      </c>
      <c r="P348" s="133" t="s">
        <v>4281</v>
      </c>
      <c r="Q348" s="133" t="s">
        <v>4872</v>
      </c>
      <c r="R348" s="133" t="s">
        <v>4281</v>
      </c>
      <c r="S348" s="133" t="s">
        <v>4873</v>
      </c>
    </row>
    <row r="349" spans="1:19">
      <c r="A349" s="133" t="s">
        <v>5746</v>
      </c>
      <c r="B349" s="133" t="s">
        <v>4866</v>
      </c>
      <c r="C349" s="133" t="s">
        <v>4279</v>
      </c>
      <c r="D349" s="133" t="s">
        <v>1013</v>
      </c>
      <c r="E349" s="133" t="s">
        <v>5747</v>
      </c>
      <c r="H349" s="133" t="s">
        <v>5748</v>
      </c>
      <c r="I349" s="133" t="s">
        <v>5713</v>
      </c>
      <c r="J349" s="133" t="s">
        <v>5714</v>
      </c>
      <c r="K349" s="133">
        <v>290501.32</v>
      </c>
      <c r="L349" s="133">
        <v>17430.080000000002</v>
      </c>
      <c r="M349" s="133">
        <v>17430.080000000002</v>
      </c>
      <c r="N349" s="133" t="s">
        <v>4280</v>
      </c>
      <c r="O349" s="133" t="s">
        <v>4871</v>
      </c>
      <c r="P349" s="133" t="s">
        <v>4281</v>
      </c>
      <c r="Q349" s="133" t="s">
        <v>4872</v>
      </c>
      <c r="R349" s="133" t="s">
        <v>4281</v>
      </c>
      <c r="S349" s="133" t="s">
        <v>4873</v>
      </c>
    </row>
    <row r="350" spans="1:19">
      <c r="A350" s="133" t="s">
        <v>5749</v>
      </c>
      <c r="B350" s="133" t="s">
        <v>4866</v>
      </c>
      <c r="C350" s="133" t="s">
        <v>4279</v>
      </c>
      <c r="D350" s="133" t="s">
        <v>1013</v>
      </c>
      <c r="E350" s="133" t="s">
        <v>5750</v>
      </c>
      <c r="H350" s="133" t="s">
        <v>5748</v>
      </c>
      <c r="I350" s="133" t="s">
        <v>5713</v>
      </c>
      <c r="J350" s="133" t="s">
        <v>5714</v>
      </c>
      <c r="K350" s="133">
        <v>455935.67</v>
      </c>
      <c r="L350" s="133">
        <v>27356.14</v>
      </c>
      <c r="M350" s="133">
        <v>27356.14</v>
      </c>
      <c r="N350" s="133" t="s">
        <v>4280</v>
      </c>
      <c r="O350" s="133" t="s">
        <v>4871</v>
      </c>
      <c r="P350" s="133" t="s">
        <v>4281</v>
      </c>
      <c r="Q350" s="133" t="s">
        <v>4872</v>
      </c>
      <c r="R350" s="133" t="s">
        <v>4281</v>
      </c>
      <c r="S350" s="133" t="s">
        <v>4873</v>
      </c>
    </row>
    <row r="351" spans="1:19">
      <c r="A351" s="133" t="s">
        <v>5751</v>
      </c>
      <c r="B351" s="133" t="s">
        <v>4866</v>
      </c>
      <c r="C351" s="133" t="s">
        <v>4279</v>
      </c>
      <c r="D351" s="133" t="s">
        <v>1013</v>
      </c>
      <c r="E351" s="133" t="s">
        <v>5752</v>
      </c>
      <c r="H351" s="133" t="s">
        <v>5753</v>
      </c>
      <c r="I351" s="133" t="s">
        <v>5713</v>
      </c>
      <c r="J351" s="133" t="s">
        <v>5714</v>
      </c>
      <c r="K351" s="133">
        <v>281728.8</v>
      </c>
      <c r="L351" s="133">
        <v>16903.73</v>
      </c>
      <c r="M351" s="133">
        <v>16903.73</v>
      </c>
      <c r="N351" s="133" t="s">
        <v>4280</v>
      </c>
      <c r="O351" s="133" t="s">
        <v>4871</v>
      </c>
      <c r="P351" s="133" t="s">
        <v>4281</v>
      </c>
      <c r="Q351" s="133" t="s">
        <v>4872</v>
      </c>
      <c r="R351" s="133" t="s">
        <v>4281</v>
      </c>
      <c r="S351" s="133" t="s">
        <v>4873</v>
      </c>
    </row>
    <row r="352" spans="1:19">
      <c r="A352" s="133" t="s">
        <v>5754</v>
      </c>
      <c r="B352" s="133" t="s">
        <v>4866</v>
      </c>
      <c r="C352" s="133" t="s">
        <v>4279</v>
      </c>
      <c r="D352" s="133" t="s">
        <v>1013</v>
      </c>
      <c r="E352" s="133" t="s">
        <v>5755</v>
      </c>
      <c r="H352" s="133" t="s">
        <v>5753</v>
      </c>
      <c r="I352" s="133" t="s">
        <v>5713</v>
      </c>
      <c r="J352" s="133" t="s">
        <v>5714</v>
      </c>
      <c r="K352" s="133">
        <v>283477.15000000002</v>
      </c>
      <c r="L352" s="133">
        <v>17008.63</v>
      </c>
      <c r="M352" s="133">
        <v>17008.63</v>
      </c>
      <c r="N352" s="133" t="s">
        <v>4280</v>
      </c>
      <c r="O352" s="133" t="s">
        <v>4871</v>
      </c>
      <c r="P352" s="133" t="s">
        <v>4281</v>
      </c>
      <c r="Q352" s="133" t="s">
        <v>4872</v>
      </c>
      <c r="R352" s="133" t="s">
        <v>4281</v>
      </c>
      <c r="S352" s="133" t="s">
        <v>4873</v>
      </c>
    </row>
    <row r="353" spans="1:19">
      <c r="A353" s="133" t="s">
        <v>5756</v>
      </c>
      <c r="B353" s="133" t="s">
        <v>4866</v>
      </c>
      <c r="C353" s="133" t="s">
        <v>4279</v>
      </c>
      <c r="D353" s="133" t="s">
        <v>1013</v>
      </c>
      <c r="E353" s="133" t="s">
        <v>5757</v>
      </c>
      <c r="H353" s="133" t="s">
        <v>5753</v>
      </c>
      <c r="I353" s="133" t="s">
        <v>5713</v>
      </c>
      <c r="J353" s="133" t="s">
        <v>5714</v>
      </c>
      <c r="K353" s="133">
        <v>283619.68</v>
      </c>
      <c r="L353" s="133">
        <v>17017.18</v>
      </c>
      <c r="M353" s="133">
        <v>17017.18</v>
      </c>
      <c r="N353" s="133" t="s">
        <v>4280</v>
      </c>
      <c r="O353" s="133" t="s">
        <v>4871</v>
      </c>
      <c r="P353" s="133" t="s">
        <v>4281</v>
      </c>
      <c r="Q353" s="133" t="s">
        <v>4872</v>
      </c>
      <c r="R353" s="133" t="s">
        <v>4281</v>
      </c>
      <c r="S353" s="133" t="s">
        <v>4873</v>
      </c>
    </row>
    <row r="354" spans="1:19">
      <c r="A354" s="133" t="s">
        <v>5758</v>
      </c>
      <c r="B354" s="133" t="s">
        <v>4866</v>
      </c>
      <c r="C354" s="133" t="s">
        <v>4279</v>
      </c>
      <c r="D354" s="133" t="s">
        <v>1013</v>
      </c>
      <c r="E354" s="133" t="s">
        <v>5759</v>
      </c>
      <c r="H354" s="133" t="s">
        <v>5760</v>
      </c>
      <c r="I354" s="133" t="s">
        <v>5713</v>
      </c>
      <c r="J354" s="133" t="s">
        <v>5714</v>
      </c>
      <c r="K354" s="133">
        <v>455935.67</v>
      </c>
      <c r="L354" s="133">
        <v>27356.14</v>
      </c>
      <c r="M354" s="133">
        <v>27356.14</v>
      </c>
      <c r="N354" s="133" t="s">
        <v>4280</v>
      </c>
      <c r="O354" s="133" t="s">
        <v>4871</v>
      </c>
      <c r="P354" s="133" t="s">
        <v>4281</v>
      </c>
      <c r="Q354" s="133" t="s">
        <v>4872</v>
      </c>
      <c r="R354" s="133" t="s">
        <v>4281</v>
      </c>
      <c r="S354" s="133" t="s">
        <v>4873</v>
      </c>
    </row>
    <row r="355" spans="1:19">
      <c r="A355" s="133" t="s">
        <v>5761</v>
      </c>
      <c r="B355" s="133" t="s">
        <v>4866</v>
      </c>
      <c r="C355" s="133" t="s">
        <v>4279</v>
      </c>
      <c r="D355" s="133" t="s">
        <v>1013</v>
      </c>
      <c r="E355" s="133" t="s">
        <v>5762</v>
      </c>
      <c r="H355" s="133" t="s">
        <v>5748</v>
      </c>
      <c r="I355" s="133" t="s">
        <v>5713</v>
      </c>
      <c r="J355" s="133" t="s">
        <v>5714</v>
      </c>
      <c r="K355" s="133">
        <v>281155.57</v>
      </c>
      <c r="L355" s="133">
        <v>16869.330000000002</v>
      </c>
      <c r="M355" s="133">
        <v>16869.330000000002</v>
      </c>
      <c r="N355" s="133" t="s">
        <v>4280</v>
      </c>
      <c r="O355" s="133" t="s">
        <v>4871</v>
      </c>
      <c r="P355" s="133" t="s">
        <v>4281</v>
      </c>
      <c r="Q355" s="133" t="s">
        <v>4872</v>
      </c>
      <c r="R355" s="133" t="s">
        <v>4281</v>
      </c>
      <c r="S355" s="133" t="s">
        <v>4873</v>
      </c>
    </row>
    <row r="356" spans="1:19">
      <c r="A356" s="133" t="s">
        <v>5763</v>
      </c>
      <c r="B356" s="133" t="s">
        <v>4866</v>
      </c>
      <c r="C356" s="133" t="s">
        <v>4279</v>
      </c>
      <c r="D356" s="133" t="s">
        <v>1013</v>
      </c>
      <c r="E356" s="133" t="s">
        <v>5764</v>
      </c>
      <c r="H356" s="133" t="s">
        <v>5748</v>
      </c>
      <c r="I356" s="133" t="s">
        <v>5713</v>
      </c>
      <c r="J356" s="133" t="s">
        <v>5714</v>
      </c>
      <c r="K356" s="133">
        <v>455935.67</v>
      </c>
      <c r="L356" s="133">
        <v>27356.14</v>
      </c>
      <c r="M356" s="133">
        <v>27356.14</v>
      </c>
      <c r="N356" s="133" t="s">
        <v>4280</v>
      </c>
      <c r="O356" s="133" t="s">
        <v>4871</v>
      </c>
      <c r="P356" s="133" t="s">
        <v>4281</v>
      </c>
      <c r="Q356" s="133" t="s">
        <v>4872</v>
      </c>
      <c r="R356" s="133" t="s">
        <v>4281</v>
      </c>
      <c r="S356" s="133" t="s">
        <v>4873</v>
      </c>
    </row>
    <row r="357" spans="1:19">
      <c r="A357" s="133" t="s">
        <v>5765</v>
      </c>
      <c r="B357" s="133" t="s">
        <v>4866</v>
      </c>
      <c r="C357" s="133" t="s">
        <v>4279</v>
      </c>
      <c r="D357" s="133" t="s">
        <v>1013</v>
      </c>
      <c r="E357" s="133" t="s">
        <v>5766</v>
      </c>
      <c r="H357" s="133" t="s">
        <v>5753</v>
      </c>
      <c r="I357" s="133" t="s">
        <v>5713</v>
      </c>
      <c r="J357" s="133" t="s">
        <v>5714</v>
      </c>
      <c r="K357" s="133">
        <v>455935.67</v>
      </c>
      <c r="L357" s="133">
        <v>27356.14</v>
      </c>
      <c r="M357" s="133">
        <v>27356.14</v>
      </c>
      <c r="N357" s="133" t="s">
        <v>4280</v>
      </c>
      <c r="O357" s="133" t="s">
        <v>4871</v>
      </c>
      <c r="P357" s="133" t="s">
        <v>4281</v>
      </c>
      <c r="Q357" s="133" t="s">
        <v>4872</v>
      </c>
      <c r="R357" s="133" t="s">
        <v>4281</v>
      </c>
      <c r="S357" s="133" t="s">
        <v>4873</v>
      </c>
    </row>
    <row r="358" spans="1:19">
      <c r="A358" s="133" t="s">
        <v>5767</v>
      </c>
      <c r="B358" s="133" t="s">
        <v>4866</v>
      </c>
      <c r="C358" s="133" t="s">
        <v>4279</v>
      </c>
      <c r="D358" s="133" t="s">
        <v>1013</v>
      </c>
      <c r="E358" s="133" t="s">
        <v>5768</v>
      </c>
      <c r="H358" s="133" t="s">
        <v>5760</v>
      </c>
      <c r="I358" s="133" t="s">
        <v>5713</v>
      </c>
      <c r="J358" s="133" t="s">
        <v>5714</v>
      </c>
      <c r="K358" s="133">
        <v>286196.28000000003</v>
      </c>
      <c r="L358" s="133">
        <v>17171.78</v>
      </c>
      <c r="M358" s="133">
        <v>17171.78</v>
      </c>
      <c r="N358" s="133" t="s">
        <v>4280</v>
      </c>
      <c r="O358" s="133" t="s">
        <v>4871</v>
      </c>
      <c r="P358" s="133" t="s">
        <v>4281</v>
      </c>
      <c r="Q358" s="133" t="s">
        <v>4872</v>
      </c>
      <c r="R358" s="133" t="s">
        <v>4281</v>
      </c>
      <c r="S358" s="133" t="s">
        <v>4873</v>
      </c>
    </row>
    <row r="359" spans="1:19">
      <c r="A359" s="133" t="s">
        <v>5769</v>
      </c>
      <c r="B359" s="133" t="s">
        <v>4866</v>
      </c>
      <c r="C359" s="133" t="s">
        <v>4279</v>
      </c>
      <c r="D359" s="133" t="s">
        <v>1013</v>
      </c>
      <c r="E359" s="133" t="s">
        <v>5770</v>
      </c>
      <c r="H359" s="133" t="s">
        <v>5753</v>
      </c>
      <c r="I359" s="133" t="s">
        <v>5713</v>
      </c>
      <c r="J359" s="133" t="s">
        <v>5714</v>
      </c>
      <c r="K359" s="133">
        <v>287310.89</v>
      </c>
      <c r="L359" s="133">
        <v>17238.650000000001</v>
      </c>
      <c r="M359" s="133">
        <v>17238.650000000001</v>
      </c>
      <c r="N359" s="133" t="s">
        <v>4280</v>
      </c>
      <c r="O359" s="133" t="s">
        <v>4871</v>
      </c>
      <c r="P359" s="133" t="s">
        <v>4281</v>
      </c>
      <c r="Q359" s="133" t="s">
        <v>4872</v>
      </c>
      <c r="R359" s="133" t="s">
        <v>4281</v>
      </c>
      <c r="S359" s="133" t="s">
        <v>4873</v>
      </c>
    </row>
    <row r="360" spans="1:19">
      <c r="A360" s="133" t="s">
        <v>5771</v>
      </c>
      <c r="B360" s="133" t="s">
        <v>4866</v>
      </c>
      <c r="C360" s="133" t="s">
        <v>4279</v>
      </c>
      <c r="D360" s="133" t="s">
        <v>1013</v>
      </c>
      <c r="E360" s="133" t="s">
        <v>5772</v>
      </c>
      <c r="H360" s="133" t="s">
        <v>5773</v>
      </c>
      <c r="I360" s="133" t="s">
        <v>5713</v>
      </c>
      <c r="J360" s="133" t="s">
        <v>5714</v>
      </c>
      <c r="K360" s="133">
        <v>1162.82</v>
      </c>
      <c r="L360" s="133">
        <v>69.77</v>
      </c>
      <c r="M360" s="133">
        <v>69.77</v>
      </c>
      <c r="N360" s="133" t="s">
        <v>4280</v>
      </c>
      <c r="O360" s="133" t="s">
        <v>4871</v>
      </c>
      <c r="P360" s="133" t="s">
        <v>4281</v>
      </c>
      <c r="Q360" s="133" t="s">
        <v>4872</v>
      </c>
      <c r="R360" s="133" t="s">
        <v>4281</v>
      </c>
      <c r="S360" s="133" t="s">
        <v>4873</v>
      </c>
    </row>
    <row r="361" spans="1:19">
      <c r="A361" s="133" t="s">
        <v>5774</v>
      </c>
      <c r="B361" s="133" t="s">
        <v>4866</v>
      </c>
      <c r="C361" s="133" t="s">
        <v>4279</v>
      </c>
      <c r="D361" s="133" t="s">
        <v>1013</v>
      </c>
      <c r="E361" s="133" t="s">
        <v>5775</v>
      </c>
      <c r="H361" s="133" t="s">
        <v>5776</v>
      </c>
      <c r="I361" s="133" t="s">
        <v>5713</v>
      </c>
      <c r="J361" s="133" t="s">
        <v>5714</v>
      </c>
      <c r="K361" s="133">
        <v>17094.46</v>
      </c>
      <c r="L361" s="133">
        <v>1025.67</v>
      </c>
      <c r="M361" s="133">
        <v>1025.67</v>
      </c>
      <c r="N361" s="133" t="s">
        <v>4280</v>
      </c>
      <c r="O361" s="133" t="s">
        <v>4871</v>
      </c>
      <c r="P361" s="133" t="s">
        <v>4281</v>
      </c>
      <c r="Q361" s="133" t="s">
        <v>4872</v>
      </c>
      <c r="R361" s="133" t="s">
        <v>4281</v>
      </c>
      <c r="S361" s="133" t="s">
        <v>4873</v>
      </c>
    </row>
    <row r="362" spans="1:19">
      <c r="A362" s="133" t="s">
        <v>5777</v>
      </c>
      <c r="B362" s="133" t="s">
        <v>4866</v>
      </c>
      <c r="C362" s="133" t="s">
        <v>4279</v>
      </c>
      <c r="D362" s="133" t="s">
        <v>1013</v>
      </c>
      <c r="E362" s="133" t="s">
        <v>5778</v>
      </c>
      <c r="H362" s="133" t="s">
        <v>5779</v>
      </c>
      <c r="I362" s="133" t="s">
        <v>5713</v>
      </c>
      <c r="J362" s="133" t="s">
        <v>5714</v>
      </c>
      <c r="K362" s="133">
        <v>30758.19</v>
      </c>
      <c r="L362" s="133">
        <v>1845.49</v>
      </c>
      <c r="M362" s="133">
        <v>1845.49</v>
      </c>
      <c r="N362" s="133" t="s">
        <v>4280</v>
      </c>
      <c r="O362" s="133" t="s">
        <v>4871</v>
      </c>
      <c r="P362" s="133" t="s">
        <v>4281</v>
      </c>
      <c r="Q362" s="133" t="s">
        <v>4872</v>
      </c>
      <c r="R362" s="133" t="s">
        <v>4281</v>
      </c>
      <c r="S362" s="133" t="s">
        <v>4873</v>
      </c>
    </row>
    <row r="363" spans="1:19">
      <c r="A363" s="133" t="s">
        <v>5780</v>
      </c>
      <c r="B363" s="133" t="s">
        <v>4866</v>
      </c>
      <c r="C363" s="133" t="s">
        <v>4279</v>
      </c>
      <c r="D363" s="133" t="s">
        <v>1013</v>
      </c>
      <c r="E363" s="133" t="s">
        <v>5781</v>
      </c>
      <c r="H363" s="133" t="s">
        <v>5782</v>
      </c>
      <c r="I363" s="133" t="s">
        <v>5713</v>
      </c>
      <c r="J363" s="133" t="s">
        <v>5714</v>
      </c>
      <c r="K363" s="133">
        <v>25162.18</v>
      </c>
      <c r="L363" s="133">
        <v>1509.73</v>
      </c>
      <c r="M363" s="133">
        <v>1509.73</v>
      </c>
      <c r="N363" s="133" t="s">
        <v>4280</v>
      </c>
      <c r="O363" s="133" t="s">
        <v>4871</v>
      </c>
      <c r="P363" s="133" t="s">
        <v>4281</v>
      </c>
      <c r="Q363" s="133" t="s">
        <v>4872</v>
      </c>
      <c r="R363" s="133" t="s">
        <v>4281</v>
      </c>
      <c r="S363" s="133" t="s">
        <v>4873</v>
      </c>
    </row>
    <row r="364" spans="1:19">
      <c r="A364" s="133" t="s">
        <v>5783</v>
      </c>
      <c r="B364" s="133" t="s">
        <v>4866</v>
      </c>
      <c r="C364" s="133" t="s">
        <v>4279</v>
      </c>
      <c r="D364" s="133" t="s">
        <v>1013</v>
      </c>
      <c r="E364" s="133" t="s">
        <v>5784</v>
      </c>
      <c r="H364" s="133" t="s">
        <v>5779</v>
      </c>
      <c r="I364" s="133" t="s">
        <v>5713</v>
      </c>
      <c r="J364" s="133" t="s">
        <v>5714</v>
      </c>
      <c r="K364" s="133">
        <v>2137.5500000000002</v>
      </c>
      <c r="L364" s="133">
        <v>128.25</v>
      </c>
      <c r="M364" s="133">
        <v>128.25</v>
      </c>
      <c r="N364" s="133" t="s">
        <v>4280</v>
      </c>
      <c r="O364" s="133" t="s">
        <v>4871</v>
      </c>
      <c r="P364" s="133" t="s">
        <v>4281</v>
      </c>
      <c r="Q364" s="133" t="s">
        <v>4872</v>
      </c>
      <c r="R364" s="133" t="s">
        <v>4281</v>
      </c>
      <c r="S364" s="133" t="s">
        <v>4873</v>
      </c>
    </row>
    <row r="365" spans="1:19">
      <c r="A365" s="133" t="s">
        <v>5785</v>
      </c>
      <c r="B365" s="133" t="s">
        <v>4866</v>
      </c>
      <c r="C365" s="133" t="s">
        <v>4279</v>
      </c>
      <c r="D365" s="133" t="s">
        <v>1013</v>
      </c>
      <c r="E365" s="133" t="s">
        <v>5786</v>
      </c>
      <c r="H365" s="133" t="s">
        <v>5779</v>
      </c>
      <c r="I365" s="133" t="s">
        <v>5713</v>
      </c>
      <c r="J365" s="133" t="s">
        <v>5714</v>
      </c>
      <c r="K365" s="133">
        <v>6576.39</v>
      </c>
      <c r="L365" s="133">
        <v>394.58</v>
      </c>
      <c r="M365" s="133">
        <v>394.58</v>
      </c>
      <c r="N365" s="133" t="s">
        <v>4280</v>
      </c>
      <c r="O365" s="133" t="s">
        <v>4871</v>
      </c>
      <c r="P365" s="133" t="s">
        <v>4281</v>
      </c>
      <c r="Q365" s="133" t="s">
        <v>4872</v>
      </c>
      <c r="R365" s="133" t="s">
        <v>4281</v>
      </c>
      <c r="S365" s="133" t="s">
        <v>4873</v>
      </c>
    </row>
    <row r="366" spans="1:19">
      <c r="A366" s="133" t="s">
        <v>5787</v>
      </c>
      <c r="B366" s="133" t="s">
        <v>4866</v>
      </c>
      <c r="C366" s="133" t="s">
        <v>4279</v>
      </c>
      <c r="D366" s="133" t="s">
        <v>1013</v>
      </c>
      <c r="E366" s="133" t="s">
        <v>5788</v>
      </c>
      <c r="H366" s="133" t="s">
        <v>5789</v>
      </c>
      <c r="I366" s="133" t="s">
        <v>5713</v>
      </c>
      <c r="J366" s="133" t="s">
        <v>5714</v>
      </c>
      <c r="K366" s="133">
        <v>8540.94</v>
      </c>
      <c r="L366" s="133">
        <v>512.46</v>
      </c>
      <c r="M366" s="133">
        <v>512.46</v>
      </c>
      <c r="N366" s="133" t="s">
        <v>4280</v>
      </c>
      <c r="O366" s="133" t="s">
        <v>4871</v>
      </c>
      <c r="P366" s="133" t="s">
        <v>4281</v>
      </c>
      <c r="Q366" s="133" t="s">
        <v>4872</v>
      </c>
      <c r="R366" s="133" t="s">
        <v>4281</v>
      </c>
      <c r="S366" s="133" t="s">
        <v>4873</v>
      </c>
    </row>
    <row r="367" spans="1:19">
      <c r="A367" s="133" t="s">
        <v>5790</v>
      </c>
      <c r="B367" s="133" t="s">
        <v>4866</v>
      </c>
      <c r="C367" s="133" t="s">
        <v>4279</v>
      </c>
      <c r="D367" s="133" t="s">
        <v>1013</v>
      </c>
      <c r="E367" s="133" t="s">
        <v>5791</v>
      </c>
      <c r="H367" s="133" t="s">
        <v>5792</v>
      </c>
      <c r="I367" s="133" t="s">
        <v>5713</v>
      </c>
      <c r="J367" s="133" t="s">
        <v>5714</v>
      </c>
      <c r="K367" s="133">
        <v>310973.61</v>
      </c>
      <c r="L367" s="133">
        <v>18658.419999999998</v>
      </c>
      <c r="M367" s="133">
        <v>18658.419999999998</v>
      </c>
      <c r="N367" s="133" t="s">
        <v>4280</v>
      </c>
      <c r="O367" s="133" t="s">
        <v>4871</v>
      </c>
      <c r="P367" s="133" t="s">
        <v>4281</v>
      </c>
      <c r="Q367" s="133" t="s">
        <v>4967</v>
      </c>
      <c r="R367" s="133" t="s">
        <v>4281</v>
      </c>
      <c r="S367" s="133" t="s">
        <v>4873</v>
      </c>
    </row>
    <row r="368" spans="1:19">
      <c r="A368" s="133" t="s">
        <v>5793</v>
      </c>
      <c r="B368" s="133" t="s">
        <v>4866</v>
      </c>
      <c r="C368" s="133" t="s">
        <v>4279</v>
      </c>
      <c r="D368" s="133" t="s">
        <v>1013</v>
      </c>
      <c r="E368" s="133" t="s">
        <v>5794</v>
      </c>
      <c r="H368" s="133" t="s">
        <v>5792</v>
      </c>
      <c r="I368" s="133" t="s">
        <v>5713</v>
      </c>
      <c r="J368" s="133" t="s">
        <v>5714</v>
      </c>
      <c r="K368" s="133">
        <v>44553.33</v>
      </c>
      <c r="L368" s="133">
        <v>2673.2</v>
      </c>
      <c r="M368" s="133">
        <v>2673.2</v>
      </c>
      <c r="N368" s="133" t="s">
        <v>4280</v>
      </c>
      <c r="O368" s="133" t="s">
        <v>4871</v>
      </c>
      <c r="P368" s="133" t="s">
        <v>4281</v>
      </c>
      <c r="Q368" s="133" t="s">
        <v>4967</v>
      </c>
      <c r="R368" s="133" t="s">
        <v>4281</v>
      </c>
      <c r="S368" s="133" t="s">
        <v>4873</v>
      </c>
    </row>
    <row r="369" spans="1:19">
      <c r="A369" s="133" t="s">
        <v>5795</v>
      </c>
      <c r="B369" s="133" t="s">
        <v>4866</v>
      </c>
      <c r="C369" s="133" t="s">
        <v>4279</v>
      </c>
      <c r="D369" s="133" t="s">
        <v>1013</v>
      </c>
      <c r="E369" s="133" t="s">
        <v>5796</v>
      </c>
      <c r="H369" s="133" t="s">
        <v>5797</v>
      </c>
      <c r="I369" s="133" t="s">
        <v>5713</v>
      </c>
      <c r="J369" s="133" t="s">
        <v>5714</v>
      </c>
      <c r="K369" s="133">
        <v>1555996.53</v>
      </c>
      <c r="L369" s="133">
        <v>93359.79</v>
      </c>
      <c r="M369" s="133">
        <v>93359.79</v>
      </c>
      <c r="N369" s="133" t="s">
        <v>4280</v>
      </c>
      <c r="O369" s="133" t="s">
        <v>4871</v>
      </c>
      <c r="P369" s="133" t="s">
        <v>4281</v>
      </c>
      <c r="Q369" s="133" t="s">
        <v>4967</v>
      </c>
      <c r="R369" s="133" t="s">
        <v>4281</v>
      </c>
      <c r="S369" s="133" t="s">
        <v>4873</v>
      </c>
    </row>
    <row r="370" spans="1:19">
      <c r="A370" s="133" t="s">
        <v>5798</v>
      </c>
      <c r="B370" s="133" t="s">
        <v>4866</v>
      </c>
      <c r="C370" s="133" t="s">
        <v>4279</v>
      </c>
      <c r="D370" s="133" t="s">
        <v>1013</v>
      </c>
      <c r="E370" s="133" t="s">
        <v>5799</v>
      </c>
      <c r="H370" s="133" t="s">
        <v>5797</v>
      </c>
      <c r="I370" s="133" t="s">
        <v>5713</v>
      </c>
      <c r="J370" s="133" t="s">
        <v>5714</v>
      </c>
      <c r="K370" s="133">
        <v>606063.65</v>
      </c>
      <c r="L370" s="133">
        <v>36363.82</v>
      </c>
      <c r="M370" s="133">
        <v>36363.82</v>
      </c>
      <c r="N370" s="133" t="s">
        <v>4280</v>
      </c>
      <c r="O370" s="133" t="s">
        <v>4871</v>
      </c>
      <c r="P370" s="133" t="s">
        <v>4281</v>
      </c>
      <c r="Q370" s="133" t="s">
        <v>4967</v>
      </c>
      <c r="R370" s="133" t="s">
        <v>4281</v>
      </c>
      <c r="S370" s="133" t="s">
        <v>4873</v>
      </c>
    </row>
    <row r="371" spans="1:19">
      <c r="A371" s="133" t="s">
        <v>5800</v>
      </c>
      <c r="B371" s="133" t="s">
        <v>4866</v>
      </c>
      <c r="C371" s="133" t="s">
        <v>4279</v>
      </c>
      <c r="D371" s="133" t="s">
        <v>1013</v>
      </c>
      <c r="E371" s="133" t="s">
        <v>5801</v>
      </c>
      <c r="H371" s="133" t="s">
        <v>5802</v>
      </c>
      <c r="I371" s="133" t="s">
        <v>5803</v>
      </c>
      <c r="J371" s="133" t="s">
        <v>5804</v>
      </c>
      <c r="K371" s="133">
        <v>18036</v>
      </c>
      <c r="L371" s="133">
        <v>2344.6799999999998</v>
      </c>
      <c r="M371" s="133">
        <v>2344.6799999999998</v>
      </c>
      <c r="N371" s="133" t="s">
        <v>4280</v>
      </c>
      <c r="O371" s="133" t="s">
        <v>4871</v>
      </c>
      <c r="P371" s="133" t="s">
        <v>4281</v>
      </c>
      <c r="Q371" s="133" t="s">
        <v>4872</v>
      </c>
      <c r="R371" s="133" t="s">
        <v>4281</v>
      </c>
      <c r="S371" s="133" t="s">
        <v>4873</v>
      </c>
    </row>
    <row r="372" spans="1:19">
      <c r="A372" s="133" t="s">
        <v>5805</v>
      </c>
      <c r="B372" s="133" t="s">
        <v>4866</v>
      </c>
      <c r="C372" s="133" t="s">
        <v>4279</v>
      </c>
      <c r="D372" s="133" t="s">
        <v>1013</v>
      </c>
      <c r="E372" s="133" t="s">
        <v>5806</v>
      </c>
      <c r="H372" s="133" t="s">
        <v>5802</v>
      </c>
      <c r="I372" s="133" t="s">
        <v>5803</v>
      </c>
      <c r="J372" s="133" t="s">
        <v>5804</v>
      </c>
      <c r="K372" s="133">
        <v>18036</v>
      </c>
      <c r="L372" s="133">
        <v>2344.6799999999998</v>
      </c>
      <c r="M372" s="133">
        <v>2344.6799999999998</v>
      </c>
      <c r="N372" s="133" t="s">
        <v>4280</v>
      </c>
      <c r="O372" s="133" t="s">
        <v>4871</v>
      </c>
      <c r="P372" s="133" t="s">
        <v>4281</v>
      </c>
      <c r="Q372" s="133" t="s">
        <v>4872</v>
      </c>
      <c r="R372" s="133" t="s">
        <v>4281</v>
      </c>
      <c r="S372" s="133" t="s">
        <v>4873</v>
      </c>
    </row>
    <row r="373" spans="1:19">
      <c r="A373" s="133" t="s">
        <v>5807</v>
      </c>
      <c r="B373" s="133" t="s">
        <v>4866</v>
      </c>
      <c r="C373" s="133" t="s">
        <v>4279</v>
      </c>
      <c r="D373" s="133" t="s">
        <v>1013</v>
      </c>
      <c r="E373" s="133" t="s">
        <v>2787</v>
      </c>
      <c r="H373" s="133" t="s">
        <v>5808</v>
      </c>
      <c r="I373" s="133" t="s">
        <v>5809</v>
      </c>
      <c r="J373" s="133" t="s">
        <v>5810</v>
      </c>
      <c r="K373" s="133">
        <v>112433.63</v>
      </c>
      <c r="L373" s="133">
        <v>14616.37</v>
      </c>
      <c r="M373" s="133">
        <v>14616.37</v>
      </c>
      <c r="N373" s="133" t="s">
        <v>4280</v>
      </c>
      <c r="O373" s="133" t="s">
        <v>4871</v>
      </c>
      <c r="P373" s="133" t="s">
        <v>4281</v>
      </c>
      <c r="Q373" s="133" t="s">
        <v>4872</v>
      </c>
      <c r="R373" s="133" t="s">
        <v>4281</v>
      </c>
      <c r="S373" s="133" t="s">
        <v>4873</v>
      </c>
    </row>
    <row r="374" spans="1:19">
      <c r="A374" s="133" t="s">
        <v>5811</v>
      </c>
      <c r="B374" s="133" t="s">
        <v>4866</v>
      </c>
      <c r="C374" s="133" t="s">
        <v>4279</v>
      </c>
      <c r="D374" s="133" t="s">
        <v>1013</v>
      </c>
      <c r="E374" s="133" t="s">
        <v>5812</v>
      </c>
      <c r="H374" s="133" t="s">
        <v>5813</v>
      </c>
      <c r="I374" s="133" t="s">
        <v>5814</v>
      </c>
      <c r="J374" s="133" t="s">
        <v>5815</v>
      </c>
      <c r="K374" s="133">
        <v>147269.20000000001</v>
      </c>
      <c r="L374" s="133">
        <v>19145</v>
      </c>
      <c r="M374" s="133">
        <v>19145</v>
      </c>
      <c r="N374" s="133" t="s">
        <v>4280</v>
      </c>
      <c r="O374" s="133" t="s">
        <v>4871</v>
      </c>
      <c r="P374" s="133" t="s">
        <v>4281</v>
      </c>
      <c r="Q374" s="133" t="s">
        <v>4872</v>
      </c>
      <c r="R374" s="133" t="s">
        <v>4281</v>
      </c>
      <c r="S374" s="133" t="s">
        <v>4873</v>
      </c>
    </row>
    <row r="375" spans="1:19">
      <c r="A375" s="133" t="s">
        <v>5816</v>
      </c>
      <c r="B375" s="133" t="s">
        <v>4866</v>
      </c>
      <c r="C375" s="133" t="s">
        <v>4279</v>
      </c>
      <c r="D375" s="133" t="s">
        <v>1013</v>
      </c>
      <c r="E375" s="133" t="s">
        <v>3023</v>
      </c>
      <c r="H375" s="133" t="s">
        <v>5675</v>
      </c>
      <c r="I375" s="133" t="s">
        <v>5817</v>
      </c>
      <c r="J375" s="133" t="s">
        <v>5818</v>
      </c>
      <c r="K375" s="133">
        <v>688.05</v>
      </c>
      <c r="L375" s="133">
        <v>89.45</v>
      </c>
      <c r="M375" s="133">
        <v>89.45</v>
      </c>
      <c r="N375" s="133" t="s">
        <v>4280</v>
      </c>
      <c r="O375" s="133" t="s">
        <v>4871</v>
      </c>
      <c r="P375" s="133" t="s">
        <v>4281</v>
      </c>
      <c r="Q375" s="133" t="s">
        <v>4872</v>
      </c>
      <c r="R375" s="133" t="s">
        <v>4281</v>
      </c>
      <c r="S375" s="133" t="s">
        <v>4873</v>
      </c>
    </row>
    <row r="376" spans="1:19">
      <c r="A376" s="133" t="s">
        <v>5819</v>
      </c>
      <c r="B376" s="133" t="s">
        <v>4866</v>
      </c>
      <c r="C376" s="133" t="s">
        <v>4279</v>
      </c>
      <c r="D376" s="133" t="s">
        <v>1013</v>
      </c>
      <c r="E376" s="133" t="s">
        <v>3309</v>
      </c>
      <c r="H376" s="133" t="s">
        <v>5820</v>
      </c>
      <c r="I376" s="133" t="s">
        <v>5821</v>
      </c>
      <c r="J376" s="133" t="s">
        <v>5822</v>
      </c>
      <c r="K376" s="133">
        <v>42211.9</v>
      </c>
      <c r="L376" s="133">
        <v>1266.3599999999999</v>
      </c>
      <c r="M376" s="133">
        <v>1266.3599999999999</v>
      </c>
      <c r="N376" s="133" t="s">
        <v>4280</v>
      </c>
      <c r="O376" s="133" t="s">
        <v>4871</v>
      </c>
      <c r="P376" s="133" t="s">
        <v>4281</v>
      </c>
      <c r="Q376" s="133" t="s">
        <v>4872</v>
      </c>
      <c r="R376" s="133" t="s">
        <v>4281</v>
      </c>
      <c r="S376" s="133" t="s">
        <v>4873</v>
      </c>
    </row>
    <row r="377" spans="1:19">
      <c r="A377" s="133" t="s">
        <v>5823</v>
      </c>
      <c r="B377" s="133" t="s">
        <v>4866</v>
      </c>
      <c r="C377" s="133" t="s">
        <v>4279</v>
      </c>
      <c r="D377" s="133" t="s">
        <v>1013</v>
      </c>
      <c r="E377" s="133" t="s">
        <v>2911</v>
      </c>
      <c r="H377" s="133" t="s">
        <v>5824</v>
      </c>
      <c r="I377" s="133" t="s">
        <v>5821</v>
      </c>
      <c r="J377" s="133" t="s">
        <v>5822</v>
      </c>
      <c r="K377" s="133">
        <v>135436.89000000001</v>
      </c>
      <c r="L377" s="133">
        <v>4063.11</v>
      </c>
      <c r="M377" s="133">
        <v>4063.11</v>
      </c>
      <c r="N377" s="133" t="s">
        <v>4280</v>
      </c>
      <c r="O377" s="133" t="s">
        <v>4871</v>
      </c>
      <c r="P377" s="133" t="s">
        <v>4281</v>
      </c>
      <c r="Q377" s="133" t="s">
        <v>4872</v>
      </c>
      <c r="R377" s="133" t="s">
        <v>4281</v>
      </c>
      <c r="S377" s="133" t="s">
        <v>4873</v>
      </c>
    </row>
    <row r="378" spans="1:19">
      <c r="A378" s="133" t="s">
        <v>5825</v>
      </c>
      <c r="B378" s="133" t="s">
        <v>4866</v>
      </c>
      <c r="C378" s="133" t="s">
        <v>4279</v>
      </c>
      <c r="D378" s="133" t="s">
        <v>1013</v>
      </c>
      <c r="E378" s="133" t="s">
        <v>2834</v>
      </c>
      <c r="H378" s="133" t="s">
        <v>5826</v>
      </c>
      <c r="I378" s="133" t="s">
        <v>5821</v>
      </c>
      <c r="J378" s="133" t="s">
        <v>5822</v>
      </c>
      <c r="K378" s="133">
        <v>36116.5</v>
      </c>
      <c r="L378" s="133">
        <v>1083.5</v>
      </c>
      <c r="M378" s="133">
        <v>1083.5</v>
      </c>
      <c r="N378" s="133" t="s">
        <v>4280</v>
      </c>
      <c r="O378" s="133" t="s">
        <v>4871</v>
      </c>
      <c r="P378" s="133" t="s">
        <v>4281</v>
      </c>
      <c r="Q378" s="133" t="s">
        <v>4872</v>
      </c>
      <c r="R378" s="133" t="s">
        <v>4281</v>
      </c>
      <c r="S378" s="133" t="s">
        <v>4873</v>
      </c>
    </row>
    <row r="379" spans="1:19">
      <c r="A379" s="133" t="s">
        <v>5827</v>
      </c>
      <c r="B379" s="133" t="s">
        <v>4866</v>
      </c>
      <c r="C379" s="133" t="s">
        <v>4279</v>
      </c>
      <c r="D379" s="133" t="s">
        <v>1013</v>
      </c>
      <c r="E379" s="133" t="s">
        <v>5828</v>
      </c>
      <c r="H379" s="133" t="s">
        <v>5829</v>
      </c>
      <c r="I379" s="133" t="s">
        <v>5830</v>
      </c>
      <c r="J379" s="133" t="s">
        <v>5831</v>
      </c>
      <c r="K379" s="133">
        <v>728938.05</v>
      </c>
      <c r="L379" s="133">
        <v>94761.95</v>
      </c>
      <c r="M379" s="133">
        <v>94761.95</v>
      </c>
      <c r="N379" s="133" t="s">
        <v>4280</v>
      </c>
      <c r="O379" s="133" t="s">
        <v>4871</v>
      </c>
      <c r="P379" s="133" t="s">
        <v>4281</v>
      </c>
      <c r="Q379" s="133" t="s">
        <v>4872</v>
      </c>
      <c r="R379" s="133" t="s">
        <v>4281</v>
      </c>
      <c r="S379" s="133" t="s">
        <v>4873</v>
      </c>
    </row>
    <row r="380" spans="1:19">
      <c r="A380" s="133" t="s">
        <v>5832</v>
      </c>
      <c r="B380" s="133" t="s">
        <v>4866</v>
      </c>
      <c r="C380" s="133" t="s">
        <v>4279</v>
      </c>
      <c r="D380" s="133" t="s">
        <v>1013</v>
      </c>
      <c r="E380" s="133" t="s">
        <v>5833</v>
      </c>
      <c r="H380" s="133" t="s">
        <v>5834</v>
      </c>
      <c r="I380" s="133" t="s">
        <v>5830</v>
      </c>
      <c r="J380" s="133" t="s">
        <v>5831</v>
      </c>
      <c r="K380" s="133">
        <v>533716.81000000006</v>
      </c>
      <c r="L380" s="133">
        <v>69383.19</v>
      </c>
      <c r="M380" s="133">
        <v>69383.19</v>
      </c>
      <c r="N380" s="133" t="s">
        <v>4280</v>
      </c>
      <c r="O380" s="133" t="s">
        <v>4871</v>
      </c>
      <c r="P380" s="133" t="s">
        <v>4281</v>
      </c>
      <c r="Q380" s="133" t="s">
        <v>4872</v>
      </c>
      <c r="R380" s="133" t="s">
        <v>4281</v>
      </c>
      <c r="S380" s="133" t="s">
        <v>4873</v>
      </c>
    </row>
    <row r="381" spans="1:19">
      <c r="A381" s="133" t="s">
        <v>5835</v>
      </c>
      <c r="B381" s="133" t="s">
        <v>4866</v>
      </c>
      <c r="C381" s="133" t="s">
        <v>4279</v>
      </c>
      <c r="D381" s="133" t="s">
        <v>1013</v>
      </c>
      <c r="E381" s="133" t="s">
        <v>5836</v>
      </c>
      <c r="H381" s="133" t="s">
        <v>5837</v>
      </c>
      <c r="I381" s="133" t="s">
        <v>5838</v>
      </c>
      <c r="J381" s="133" t="s">
        <v>5839</v>
      </c>
      <c r="K381" s="133">
        <v>16913.27</v>
      </c>
      <c r="L381" s="133">
        <v>2198.73</v>
      </c>
      <c r="M381" s="133">
        <v>2198.73</v>
      </c>
      <c r="N381" s="133" t="s">
        <v>4280</v>
      </c>
      <c r="O381" s="133" t="s">
        <v>4871</v>
      </c>
      <c r="P381" s="133" t="s">
        <v>4281</v>
      </c>
      <c r="Q381" s="133" t="s">
        <v>4872</v>
      </c>
      <c r="R381" s="133" t="s">
        <v>4281</v>
      </c>
      <c r="S381" s="133" t="s">
        <v>4873</v>
      </c>
    </row>
    <row r="382" spans="1:19">
      <c r="A382" s="133" t="s">
        <v>5840</v>
      </c>
      <c r="B382" s="133" t="s">
        <v>4866</v>
      </c>
      <c r="C382" s="133" t="s">
        <v>4279</v>
      </c>
      <c r="D382" s="133" t="s">
        <v>1013</v>
      </c>
      <c r="E382" s="133" t="s">
        <v>5841</v>
      </c>
      <c r="H382" s="133" t="s">
        <v>5842</v>
      </c>
      <c r="I382" s="133" t="s">
        <v>5838</v>
      </c>
      <c r="J382" s="133" t="s">
        <v>5839</v>
      </c>
      <c r="K382" s="133">
        <v>785.84</v>
      </c>
      <c r="L382" s="133">
        <v>102.16</v>
      </c>
      <c r="M382" s="133">
        <v>102.16</v>
      </c>
      <c r="N382" s="133" t="s">
        <v>4280</v>
      </c>
      <c r="O382" s="133" t="s">
        <v>4871</v>
      </c>
      <c r="P382" s="133" t="s">
        <v>4281</v>
      </c>
      <c r="Q382" s="133" t="s">
        <v>4872</v>
      </c>
      <c r="R382" s="133" t="s">
        <v>4281</v>
      </c>
      <c r="S382" s="133" t="s">
        <v>4873</v>
      </c>
    </row>
    <row r="383" spans="1:19">
      <c r="A383" s="133" t="s">
        <v>5843</v>
      </c>
      <c r="B383" s="133" t="s">
        <v>4866</v>
      </c>
      <c r="C383" s="133" t="s">
        <v>4279</v>
      </c>
      <c r="D383" s="133" t="s">
        <v>1013</v>
      </c>
      <c r="E383" s="133" t="s">
        <v>5844</v>
      </c>
      <c r="H383" s="133" t="s">
        <v>5845</v>
      </c>
      <c r="I383" s="133" t="s">
        <v>5846</v>
      </c>
      <c r="J383" s="133" t="s">
        <v>5847</v>
      </c>
      <c r="K383" s="133">
        <v>1708700.09</v>
      </c>
      <c r="L383" s="133">
        <v>222131.02</v>
      </c>
      <c r="M383" s="133">
        <v>222131.02</v>
      </c>
      <c r="N383" s="133" t="s">
        <v>4280</v>
      </c>
      <c r="O383" s="133" t="s">
        <v>4871</v>
      </c>
      <c r="P383" s="133" t="s">
        <v>4281</v>
      </c>
      <c r="Q383" s="133" t="s">
        <v>4872</v>
      </c>
      <c r="R383" s="133" t="s">
        <v>4281</v>
      </c>
      <c r="S383" s="133" t="s">
        <v>4873</v>
      </c>
    </row>
    <row r="384" spans="1:19">
      <c r="A384" s="133" t="s">
        <v>5848</v>
      </c>
      <c r="B384" s="133" t="s">
        <v>4866</v>
      </c>
      <c r="C384" s="133" t="s">
        <v>4279</v>
      </c>
      <c r="D384" s="133" t="s">
        <v>1013</v>
      </c>
      <c r="E384" s="133" t="s">
        <v>2777</v>
      </c>
      <c r="H384" s="133" t="s">
        <v>5849</v>
      </c>
      <c r="I384" s="133" t="s">
        <v>5850</v>
      </c>
      <c r="J384" s="133" t="s">
        <v>5851</v>
      </c>
      <c r="K384" s="133">
        <v>277723.18</v>
      </c>
      <c r="L384" s="133">
        <v>24995.09</v>
      </c>
      <c r="M384" s="133">
        <v>24995.09</v>
      </c>
      <c r="N384" s="133" t="s">
        <v>4280</v>
      </c>
      <c r="O384" s="133" t="s">
        <v>4871</v>
      </c>
      <c r="P384" s="133" t="s">
        <v>4281</v>
      </c>
      <c r="Q384" s="133" t="s">
        <v>4872</v>
      </c>
      <c r="R384" s="133" t="s">
        <v>4281</v>
      </c>
      <c r="S384" s="133" t="s">
        <v>4873</v>
      </c>
    </row>
    <row r="385" spans="1:19">
      <c r="A385" s="133" t="s">
        <v>5852</v>
      </c>
      <c r="B385" s="133" t="s">
        <v>4866</v>
      </c>
      <c r="C385" s="133" t="s">
        <v>4279</v>
      </c>
      <c r="D385" s="133" t="s">
        <v>1013</v>
      </c>
      <c r="E385" s="133" t="s">
        <v>5853</v>
      </c>
      <c r="H385" s="133" t="s">
        <v>5854</v>
      </c>
      <c r="I385" s="133" t="s">
        <v>5855</v>
      </c>
      <c r="J385" s="133" t="s">
        <v>4097</v>
      </c>
      <c r="K385" s="133">
        <v>21416570.140000001</v>
      </c>
      <c r="L385" s="133">
        <v>2784154.12</v>
      </c>
      <c r="M385" s="133">
        <v>2784154.12</v>
      </c>
      <c r="N385" s="133" t="s">
        <v>4280</v>
      </c>
      <c r="O385" s="133" t="s">
        <v>4871</v>
      </c>
      <c r="P385" s="133" t="s">
        <v>4281</v>
      </c>
      <c r="Q385" s="133" t="s">
        <v>4872</v>
      </c>
      <c r="R385" s="133" t="s">
        <v>4281</v>
      </c>
      <c r="S385" s="133" t="s">
        <v>4873</v>
      </c>
    </row>
    <row r="386" spans="1:19">
      <c r="A386" s="133" t="s">
        <v>5856</v>
      </c>
      <c r="B386" s="133" t="s">
        <v>4866</v>
      </c>
      <c r="C386" s="133" t="s">
        <v>4279</v>
      </c>
      <c r="D386" s="133" t="s">
        <v>1013</v>
      </c>
      <c r="E386" s="133" t="s">
        <v>5857</v>
      </c>
      <c r="H386" s="133" t="s">
        <v>5858</v>
      </c>
      <c r="I386" s="133" t="s">
        <v>5855</v>
      </c>
      <c r="J386" s="133" t="s">
        <v>4097</v>
      </c>
      <c r="K386" s="133">
        <v>46056155.549999997</v>
      </c>
      <c r="L386" s="133">
        <v>5987300.2199999997</v>
      </c>
      <c r="M386" s="133">
        <v>5987300.2199999997</v>
      </c>
      <c r="N386" s="133" t="s">
        <v>4280</v>
      </c>
      <c r="O386" s="133" t="s">
        <v>4871</v>
      </c>
      <c r="P386" s="133" t="s">
        <v>4281</v>
      </c>
      <c r="Q386" s="133" t="s">
        <v>4872</v>
      </c>
      <c r="R386" s="133" t="s">
        <v>4281</v>
      </c>
      <c r="S386" s="133" t="s">
        <v>4873</v>
      </c>
    </row>
    <row r="387" spans="1:19">
      <c r="A387" s="133" t="s">
        <v>5859</v>
      </c>
      <c r="B387" s="133" t="s">
        <v>4866</v>
      </c>
      <c r="C387" s="133" t="s">
        <v>4279</v>
      </c>
      <c r="D387" s="133" t="s">
        <v>1013</v>
      </c>
      <c r="E387" s="133" t="s">
        <v>5860</v>
      </c>
      <c r="H387" s="133" t="s">
        <v>5861</v>
      </c>
      <c r="I387" s="133" t="s">
        <v>5855</v>
      </c>
      <c r="J387" s="133" t="s">
        <v>4097</v>
      </c>
      <c r="K387" s="133">
        <v>46056155.549999997</v>
      </c>
      <c r="L387" s="133">
        <v>5987300.2199999997</v>
      </c>
      <c r="M387" s="133">
        <v>5987300.2199999997</v>
      </c>
      <c r="N387" s="133" t="s">
        <v>4280</v>
      </c>
      <c r="O387" s="133" t="s">
        <v>4871</v>
      </c>
      <c r="P387" s="133" t="s">
        <v>4281</v>
      </c>
      <c r="Q387" s="133" t="s">
        <v>4872</v>
      </c>
      <c r="R387" s="133" t="s">
        <v>4281</v>
      </c>
      <c r="S387" s="133" t="s">
        <v>4873</v>
      </c>
    </row>
    <row r="388" spans="1:19">
      <c r="A388" s="133" t="s">
        <v>5862</v>
      </c>
      <c r="B388" s="133" t="s">
        <v>4866</v>
      </c>
      <c r="C388" s="133" t="s">
        <v>4279</v>
      </c>
      <c r="D388" s="133" t="s">
        <v>1013</v>
      </c>
      <c r="E388" s="133" t="s">
        <v>5863</v>
      </c>
      <c r="H388" s="133" t="s">
        <v>5864</v>
      </c>
      <c r="I388" s="133" t="s">
        <v>5855</v>
      </c>
      <c r="J388" s="133" t="s">
        <v>4097</v>
      </c>
      <c r="K388" s="133">
        <v>46056155.549999997</v>
      </c>
      <c r="L388" s="133">
        <v>5987300.2199999997</v>
      </c>
      <c r="M388" s="133">
        <v>5987300.2199999997</v>
      </c>
      <c r="N388" s="133" t="s">
        <v>4280</v>
      </c>
      <c r="O388" s="133" t="s">
        <v>4871</v>
      </c>
      <c r="P388" s="133" t="s">
        <v>4281</v>
      </c>
      <c r="Q388" s="133" t="s">
        <v>4872</v>
      </c>
      <c r="R388" s="133" t="s">
        <v>4281</v>
      </c>
      <c r="S388" s="133" t="s">
        <v>4873</v>
      </c>
    </row>
    <row r="389" spans="1:19">
      <c r="A389" s="133" t="s">
        <v>5865</v>
      </c>
      <c r="B389" s="133" t="s">
        <v>4866</v>
      </c>
      <c r="C389" s="133" t="s">
        <v>4279</v>
      </c>
      <c r="D389" s="133" t="s">
        <v>1013</v>
      </c>
      <c r="E389" s="133" t="s">
        <v>5866</v>
      </c>
      <c r="H389" s="133" t="s">
        <v>5867</v>
      </c>
      <c r="I389" s="133" t="s">
        <v>5855</v>
      </c>
      <c r="J389" s="133" t="s">
        <v>4097</v>
      </c>
      <c r="K389" s="133">
        <v>46056155.549999997</v>
      </c>
      <c r="L389" s="133">
        <v>5987300.2199999997</v>
      </c>
      <c r="M389" s="133">
        <v>5987300.2199999997</v>
      </c>
      <c r="N389" s="133" t="s">
        <v>4280</v>
      </c>
      <c r="O389" s="133" t="s">
        <v>4871</v>
      </c>
      <c r="P389" s="133" t="s">
        <v>4281</v>
      </c>
      <c r="Q389" s="133" t="s">
        <v>4872</v>
      </c>
      <c r="R389" s="133" t="s">
        <v>4281</v>
      </c>
      <c r="S389" s="133" t="s">
        <v>4873</v>
      </c>
    </row>
    <row r="390" spans="1:19">
      <c r="A390" s="133" t="s">
        <v>5868</v>
      </c>
      <c r="B390" s="133" t="s">
        <v>4866</v>
      </c>
      <c r="C390" s="133" t="s">
        <v>4279</v>
      </c>
      <c r="D390" s="133" t="s">
        <v>1013</v>
      </c>
      <c r="E390" s="133" t="s">
        <v>5869</v>
      </c>
      <c r="H390" s="133" t="s">
        <v>5870</v>
      </c>
      <c r="I390" s="133" t="s">
        <v>5855</v>
      </c>
      <c r="J390" s="133" t="s">
        <v>4097</v>
      </c>
      <c r="K390" s="133">
        <v>46056155.549999997</v>
      </c>
      <c r="L390" s="133">
        <v>5987300.2199999997</v>
      </c>
      <c r="M390" s="133">
        <v>5987300.2199999997</v>
      </c>
      <c r="N390" s="133" t="s">
        <v>4280</v>
      </c>
      <c r="O390" s="133" t="s">
        <v>4871</v>
      </c>
      <c r="P390" s="133" t="s">
        <v>4281</v>
      </c>
      <c r="Q390" s="133" t="s">
        <v>4872</v>
      </c>
      <c r="R390" s="133" t="s">
        <v>4281</v>
      </c>
      <c r="S390" s="133" t="s">
        <v>4873</v>
      </c>
    </row>
    <row r="391" spans="1:19">
      <c r="A391" s="133" t="s">
        <v>5871</v>
      </c>
      <c r="B391" s="133" t="s">
        <v>4866</v>
      </c>
      <c r="C391" s="133" t="s">
        <v>4279</v>
      </c>
      <c r="D391" s="133" t="s">
        <v>1013</v>
      </c>
      <c r="E391" s="133" t="s">
        <v>5872</v>
      </c>
      <c r="H391" s="133" t="s">
        <v>5873</v>
      </c>
      <c r="I391" s="133" t="s">
        <v>5855</v>
      </c>
      <c r="J391" s="133" t="s">
        <v>4097</v>
      </c>
      <c r="K391" s="133">
        <v>4605615.5599999996</v>
      </c>
      <c r="L391" s="133">
        <v>598730.03</v>
      </c>
      <c r="M391" s="133">
        <v>598730.03</v>
      </c>
      <c r="N391" s="133" t="s">
        <v>4280</v>
      </c>
      <c r="O391" s="133" t="s">
        <v>4871</v>
      </c>
      <c r="P391" s="133" t="s">
        <v>4281</v>
      </c>
      <c r="Q391" s="133" t="s">
        <v>4872</v>
      </c>
      <c r="R391" s="133" t="s">
        <v>4281</v>
      </c>
      <c r="S391" s="133" t="s">
        <v>4873</v>
      </c>
    </row>
    <row r="392" spans="1:19">
      <c r="A392" s="133" t="s">
        <v>5874</v>
      </c>
      <c r="B392" s="133" t="s">
        <v>4866</v>
      </c>
      <c r="C392" s="133" t="s">
        <v>4279</v>
      </c>
      <c r="D392" s="133" t="s">
        <v>1013</v>
      </c>
      <c r="E392" s="133" t="s">
        <v>5875</v>
      </c>
      <c r="H392" s="133" t="s">
        <v>5876</v>
      </c>
      <c r="I392" s="133" t="s">
        <v>5855</v>
      </c>
      <c r="J392" s="133" t="s">
        <v>4097</v>
      </c>
      <c r="K392" s="133">
        <v>46056155.530000001</v>
      </c>
      <c r="L392" s="133">
        <v>5987300.2199999997</v>
      </c>
      <c r="M392" s="133">
        <v>5987300.2199999997</v>
      </c>
      <c r="N392" s="133" t="s">
        <v>4280</v>
      </c>
      <c r="O392" s="133" t="s">
        <v>4871</v>
      </c>
      <c r="P392" s="133" t="s">
        <v>4281</v>
      </c>
      <c r="Q392" s="133" t="s">
        <v>4872</v>
      </c>
      <c r="R392" s="133" t="s">
        <v>4281</v>
      </c>
      <c r="S392" s="133" t="s">
        <v>4873</v>
      </c>
    </row>
    <row r="393" spans="1:19">
      <c r="A393" s="133" t="s">
        <v>5877</v>
      </c>
      <c r="B393" s="133" t="s">
        <v>4866</v>
      </c>
      <c r="C393" s="133" t="s">
        <v>4279</v>
      </c>
      <c r="D393" s="133" t="s">
        <v>1013</v>
      </c>
      <c r="E393" s="133" t="s">
        <v>5878</v>
      </c>
      <c r="H393" s="133" t="s">
        <v>5879</v>
      </c>
      <c r="I393" s="133" t="s">
        <v>5855</v>
      </c>
      <c r="J393" s="133" t="s">
        <v>4097</v>
      </c>
      <c r="K393" s="133">
        <v>46056155.549999997</v>
      </c>
      <c r="L393" s="133">
        <v>5987300.2199999997</v>
      </c>
      <c r="M393" s="133">
        <v>5987300.2199999997</v>
      </c>
      <c r="N393" s="133" t="s">
        <v>4280</v>
      </c>
      <c r="O393" s="133" t="s">
        <v>4871</v>
      </c>
      <c r="P393" s="133" t="s">
        <v>4281</v>
      </c>
      <c r="Q393" s="133" t="s">
        <v>4872</v>
      </c>
      <c r="R393" s="133" t="s">
        <v>4281</v>
      </c>
      <c r="S393" s="133" t="s">
        <v>4873</v>
      </c>
    </row>
    <row r="394" spans="1:19">
      <c r="A394" s="133" t="s">
        <v>5880</v>
      </c>
      <c r="B394" s="133" t="s">
        <v>4866</v>
      </c>
      <c r="C394" s="133" t="s">
        <v>4279</v>
      </c>
      <c r="D394" s="133" t="s">
        <v>1013</v>
      </c>
      <c r="E394" s="133" t="s">
        <v>5881</v>
      </c>
      <c r="H394" s="133" t="s">
        <v>5882</v>
      </c>
      <c r="I394" s="133" t="s">
        <v>5855</v>
      </c>
      <c r="J394" s="133" t="s">
        <v>4097</v>
      </c>
      <c r="K394" s="133">
        <v>46056155.549999997</v>
      </c>
      <c r="L394" s="133">
        <v>5987300.2199999997</v>
      </c>
      <c r="M394" s="133">
        <v>5987300.2199999997</v>
      </c>
      <c r="N394" s="133" t="s">
        <v>4280</v>
      </c>
      <c r="O394" s="133" t="s">
        <v>4871</v>
      </c>
      <c r="P394" s="133" t="s">
        <v>4281</v>
      </c>
      <c r="Q394" s="133" t="s">
        <v>4872</v>
      </c>
      <c r="R394" s="133" t="s">
        <v>4281</v>
      </c>
      <c r="S394" s="133" t="s">
        <v>4873</v>
      </c>
    </row>
    <row r="395" spans="1:19">
      <c r="A395" s="133" t="s">
        <v>5883</v>
      </c>
      <c r="B395" s="133" t="s">
        <v>4866</v>
      </c>
      <c r="C395" s="133" t="s">
        <v>4279</v>
      </c>
      <c r="D395" s="133" t="s">
        <v>1013</v>
      </c>
      <c r="E395" s="133" t="s">
        <v>3445</v>
      </c>
      <c r="H395" s="133" t="s">
        <v>5884</v>
      </c>
      <c r="I395" s="133" t="s">
        <v>5885</v>
      </c>
      <c r="J395" s="133" t="s">
        <v>5886</v>
      </c>
      <c r="K395" s="133">
        <v>522935.78</v>
      </c>
      <c r="L395" s="133">
        <v>47064.22</v>
      </c>
      <c r="M395" s="133">
        <v>47064.22</v>
      </c>
      <c r="N395" s="133" t="s">
        <v>4280</v>
      </c>
      <c r="O395" s="133" t="s">
        <v>4871</v>
      </c>
      <c r="P395" s="133" t="s">
        <v>4281</v>
      </c>
      <c r="Q395" s="133" t="s">
        <v>4872</v>
      </c>
      <c r="R395" s="133" t="s">
        <v>4281</v>
      </c>
      <c r="S395" s="133" t="s">
        <v>4873</v>
      </c>
    </row>
    <row r="396" spans="1:19">
      <c r="A396" s="133" t="s">
        <v>5887</v>
      </c>
      <c r="B396" s="133" t="s">
        <v>4866</v>
      </c>
      <c r="C396" s="133" t="s">
        <v>4279</v>
      </c>
      <c r="D396" s="133" t="s">
        <v>1013</v>
      </c>
      <c r="E396" s="133" t="s">
        <v>2829</v>
      </c>
      <c r="H396" s="133" t="s">
        <v>5888</v>
      </c>
      <c r="I396" s="133" t="s">
        <v>5889</v>
      </c>
      <c r="J396" s="133" t="s">
        <v>5890</v>
      </c>
      <c r="K396" s="133">
        <v>159795.66</v>
      </c>
      <c r="L396" s="133">
        <v>1597.96</v>
      </c>
      <c r="M396" s="133">
        <v>1597.96</v>
      </c>
      <c r="N396" s="133" t="s">
        <v>4280</v>
      </c>
      <c r="O396" s="133" t="s">
        <v>4871</v>
      </c>
      <c r="P396" s="133" t="s">
        <v>4281</v>
      </c>
      <c r="Q396" s="133" t="s">
        <v>4872</v>
      </c>
      <c r="R396" s="133" t="s">
        <v>4281</v>
      </c>
      <c r="S396" s="133" t="s">
        <v>4873</v>
      </c>
    </row>
    <row r="397" spans="1:19">
      <c r="A397" s="133" t="s">
        <v>5891</v>
      </c>
      <c r="B397" s="133" t="s">
        <v>4866</v>
      </c>
      <c r="C397" s="133" t="s">
        <v>4279</v>
      </c>
      <c r="D397" s="133" t="s">
        <v>1013</v>
      </c>
      <c r="E397" s="133" t="s">
        <v>5892</v>
      </c>
      <c r="H397" s="133" t="s">
        <v>5893</v>
      </c>
      <c r="I397" s="133" t="s">
        <v>5894</v>
      </c>
      <c r="J397" s="133" t="s">
        <v>4101</v>
      </c>
      <c r="K397" s="133">
        <v>36814159.299999997</v>
      </c>
      <c r="L397" s="133">
        <v>4785840.71</v>
      </c>
      <c r="M397" s="133">
        <v>4785840.71</v>
      </c>
      <c r="N397" s="133" t="s">
        <v>4280</v>
      </c>
      <c r="O397" s="133" t="s">
        <v>4871</v>
      </c>
      <c r="P397" s="133" t="s">
        <v>4281</v>
      </c>
      <c r="Q397" s="133" t="s">
        <v>4872</v>
      </c>
      <c r="R397" s="133" t="s">
        <v>4281</v>
      </c>
      <c r="S397" s="133" t="s">
        <v>4873</v>
      </c>
    </row>
    <row r="398" spans="1:19">
      <c r="A398" s="133" t="s">
        <v>5895</v>
      </c>
      <c r="B398" s="133" t="s">
        <v>4866</v>
      </c>
      <c r="C398" s="133" t="s">
        <v>4279</v>
      </c>
      <c r="D398" s="133" t="s">
        <v>1013</v>
      </c>
      <c r="E398" s="133" t="s">
        <v>5896</v>
      </c>
      <c r="H398" s="133" t="s">
        <v>5897</v>
      </c>
      <c r="I398" s="133" t="s">
        <v>5894</v>
      </c>
      <c r="J398" s="133" t="s">
        <v>4101</v>
      </c>
      <c r="K398" s="133">
        <v>46017699.119999997</v>
      </c>
      <c r="L398" s="133">
        <v>5982300.8899999997</v>
      </c>
      <c r="M398" s="133">
        <v>5982300.8899999997</v>
      </c>
      <c r="N398" s="133" t="s">
        <v>4280</v>
      </c>
      <c r="O398" s="133" t="s">
        <v>4871</v>
      </c>
      <c r="P398" s="133" t="s">
        <v>4281</v>
      </c>
      <c r="Q398" s="133" t="s">
        <v>4872</v>
      </c>
      <c r="R398" s="133" t="s">
        <v>4281</v>
      </c>
      <c r="S398" s="133" t="s">
        <v>4873</v>
      </c>
    </row>
    <row r="399" spans="1:19">
      <c r="A399" s="133" t="s">
        <v>5898</v>
      </c>
      <c r="B399" s="133" t="s">
        <v>4866</v>
      </c>
      <c r="C399" s="133" t="s">
        <v>4279</v>
      </c>
      <c r="D399" s="133" t="s">
        <v>1013</v>
      </c>
      <c r="E399" s="133" t="s">
        <v>5899</v>
      </c>
      <c r="H399" s="133" t="s">
        <v>5900</v>
      </c>
      <c r="I399" s="133" t="s">
        <v>5894</v>
      </c>
      <c r="J399" s="133" t="s">
        <v>4101</v>
      </c>
      <c r="K399" s="133">
        <v>46017699.119999997</v>
      </c>
      <c r="L399" s="133">
        <v>5982300.8899999997</v>
      </c>
      <c r="M399" s="133">
        <v>5982300.8899999997</v>
      </c>
      <c r="N399" s="133" t="s">
        <v>4280</v>
      </c>
      <c r="O399" s="133" t="s">
        <v>4871</v>
      </c>
      <c r="P399" s="133" t="s">
        <v>4281</v>
      </c>
      <c r="Q399" s="133" t="s">
        <v>4872</v>
      </c>
      <c r="R399" s="133" t="s">
        <v>4281</v>
      </c>
      <c r="S399" s="133" t="s">
        <v>4873</v>
      </c>
    </row>
    <row r="400" spans="1:19">
      <c r="A400" s="133" t="s">
        <v>5901</v>
      </c>
      <c r="B400" s="133" t="s">
        <v>4866</v>
      </c>
      <c r="C400" s="133" t="s">
        <v>4279</v>
      </c>
      <c r="D400" s="133" t="s">
        <v>1013</v>
      </c>
      <c r="E400" s="133" t="s">
        <v>5902</v>
      </c>
      <c r="H400" s="133" t="s">
        <v>5903</v>
      </c>
      <c r="I400" s="133" t="s">
        <v>5894</v>
      </c>
      <c r="J400" s="133" t="s">
        <v>4101</v>
      </c>
      <c r="K400" s="133">
        <v>46017699.119999997</v>
      </c>
      <c r="L400" s="133">
        <v>5982300.8899999997</v>
      </c>
      <c r="M400" s="133">
        <v>5982300.8899999997</v>
      </c>
      <c r="N400" s="133" t="s">
        <v>4280</v>
      </c>
      <c r="O400" s="133" t="s">
        <v>4871</v>
      </c>
      <c r="P400" s="133" t="s">
        <v>4281</v>
      </c>
      <c r="Q400" s="133" t="s">
        <v>4872</v>
      </c>
      <c r="R400" s="133" t="s">
        <v>4281</v>
      </c>
      <c r="S400" s="133" t="s">
        <v>4873</v>
      </c>
    </row>
    <row r="401" spans="1:19">
      <c r="A401" s="133" t="s">
        <v>5904</v>
      </c>
      <c r="B401" s="133" t="s">
        <v>4866</v>
      </c>
      <c r="C401" s="133" t="s">
        <v>4279</v>
      </c>
      <c r="D401" s="133" t="s">
        <v>1013</v>
      </c>
      <c r="E401" s="133" t="s">
        <v>5905</v>
      </c>
      <c r="H401" s="133" t="s">
        <v>5906</v>
      </c>
      <c r="I401" s="133" t="s">
        <v>5894</v>
      </c>
      <c r="J401" s="133" t="s">
        <v>4101</v>
      </c>
      <c r="K401" s="133">
        <v>46017699.119999997</v>
      </c>
      <c r="L401" s="133">
        <v>5982300.8899999997</v>
      </c>
      <c r="M401" s="133">
        <v>5982300.8899999997</v>
      </c>
      <c r="N401" s="133" t="s">
        <v>4280</v>
      </c>
      <c r="O401" s="133" t="s">
        <v>4871</v>
      </c>
      <c r="P401" s="133" t="s">
        <v>4281</v>
      </c>
      <c r="Q401" s="133" t="s">
        <v>4872</v>
      </c>
      <c r="R401" s="133" t="s">
        <v>4281</v>
      </c>
      <c r="S401" s="133" t="s">
        <v>4873</v>
      </c>
    </row>
    <row r="402" spans="1:19">
      <c r="A402" s="133" t="s">
        <v>5907</v>
      </c>
      <c r="B402" s="133" t="s">
        <v>4866</v>
      </c>
      <c r="C402" s="133" t="s">
        <v>4279</v>
      </c>
      <c r="D402" s="133" t="s">
        <v>1013</v>
      </c>
      <c r="E402" s="133" t="s">
        <v>5908</v>
      </c>
      <c r="H402" s="133" t="s">
        <v>5909</v>
      </c>
      <c r="I402" s="133" t="s">
        <v>5894</v>
      </c>
      <c r="J402" s="133" t="s">
        <v>4101</v>
      </c>
      <c r="K402" s="133">
        <v>46017699.119999997</v>
      </c>
      <c r="L402" s="133">
        <v>5982300.8799999999</v>
      </c>
      <c r="M402" s="133">
        <v>5982300.8799999999</v>
      </c>
      <c r="N402" s="133" t="s">
        <v>4280</v>
      </c>
      <c r="O402" s="133" t="s">
        <v>4871</v>
      </c>
      <c r="P402" s="133" t="s">
        <v>4281</v>
      </c>
      <c r="Q402" s="133" t="s">
        <v>4872</v>
      </c>
      <c r="R402" s="133" t="s">
        <v>4281</v>
      </c>
      <c r="S402" s="133" t="s">
        <v>4873</v>
      </c>
    </row>
    <row r="403" spans="1:19">
      <c r="A403" s="133" t="s">
        <v>5910</v>
      </c>
      <c r="B403" s="133" t="s">
        <v>4866</v>
      </c>
      <c r="C403" s="133" t="s">
        <v>4279</v>
      </c>
      <c r="D403" s="133" t="s">
        <v>1013</v>
      </c>
      <c r="E403" s="133" t="s">
        <v>5911</v>
      </c>
      <c r="H403" s="133" t="s">
        <v>5912</v>
      </c>
      <c r="I403" s="133" t="s">
        <v>5894</v>
      </c>
      <c r="J403" s="133" t="s">
        <v>4101</v>
      </c>
      <c r="K403" s="133">
        <v>46017699.07</v>
      </c>
      <c r="L403" s="133">
        <v>5982300.8700000001</v>
      </c>
      <c r="M403" s="133">
        <v>5982300.8700000001</v>
      </c>
      <c r="N403" s="133" t="s">
        <v>4280</v>
      </c>
      <c r="O403" s="133" t="s">
        <v>4871</v>
      </c>
      <c r="P403" s="133" t="s">
        <v>4281</v>
      </c>
      <c r="Q403" s="133" t="s">
        <v>4872</v>
      </c>
      <c r="R403" s="133" t="s">
        <v>4281</v>
      </c>
      <c r="S403" s="133" t="s">
        <v>4873</v>
      </c>
    </row>
    <row r="404" spans="1:19">
      <c r="A404" s="133" t="s">
        <v>5913</v>
      </c>
      <c r="B404" s="133" t="s">
        <v>4866</v>
      </c>
      <c r="C404" s="133" t="s">
        <v>4279</v>
      </c>
      <c r="D404" s="133" t="s">
        <v>1013</v>
      </c>
      <c r="E404" s="133" t="s">
        <v>5914</v>
      </c>
      <c r="H404" s="133" t="s">
        <v>5915</v>
      </c>
      <c r="I404" s="133" t="s">
        <v>5894</v>
      </c>
      <c r="J404" s="133" t="s">
        <v>4101</v>
      </c>
      <c r="K404" s="133">
        <v>46017699.119999997</v>
      </c>
      <c r="L404" s="133">
        <v>5982300.8899999997</v>
      </c>
      <c r="M404" s="133">
        <v>5982300.8899999997</v>
      </c>
      <c r="N404" s="133" t="s">
        <v>4280</v>
      </c>
      <c r="O404" s="133" t="s">
        <v>4871</v>
      </c>
      <c r="P404" s="133" t="s">
        <v>4281</v>
      </c>
      <c r="Q404" s="133" t="s">
        <v>4872</v>
      </c>
      <c r="R404" s="133" t="s">
        <v>4281</v>
      </c>
      <c r="S404" s="133" t="s">
        <v>4873</v>
      </c>
    </row>
    <row r="405" spans="1:19">
      <c r="A405" s="133" t="s">
        <v>5916</v>
      </c>
      <c r="B405" s="133" t="s">
        <v>4866</v>
      </c>
      <c r="C405" s="133" t="s">
        <v>4279</v>
      </c>
      <c r="D405" s="133" t="s">
        <v>1013</v>
      </c>
      <c r="E405" s="133" t="s">
        <v>5917</v>
      </c>
      <c r="H405" s="133" t="s">
        <v>5918</v>
      </c>
      <c r="I405" s="133" t="s">
        <v>5894</v>
      </c>
      <c r="J405" s="133" t="s">
        <v>4101</v>
      </c>
      <c r="K405" s="133">
        <v>46017699.119999997</v>
      </c>
      <c r="L405" s="133">
        <v>5982300.8799999999</v>
      </c>
      <c r="M405" s="133">
        <v>5982300.8799999999</v>
      </c>
      <c r="N405" s="133" t="s">
        <v>4280</v>
      </c>
      <c r="O405" s="133" t="s">
        <v>4871</v>
      </c>
      <c r="P405" s="133" t="s">
        <v>4281</v>
      </c>
      <c r="Q405" s="133" t="s">
        <v>4872</v>
      </c>
      <c r="R405" s="133" t="s">
        <v>4281</v>
      </c>
      <c r="S405" s="133" t="s">
        <v>4873</v>
      </c>
    </row>
    <row r="406" spans="1:19">
      <c r="A406" s="133" t="s">
        <v>5919</v>
      </c>
      <c r="B406" s="133" t="s">
        <v>4866</v>
      </c>
      <c r="C406" s="133" t="s">
        <v>4279</v>
      </c>
      <c r="D406" s="133" t="s">
        <v>1013</v>
      </c>
      <c r="E406" s="133" t="s">
        <v>5920</v>
      </c>
      <c r="H406" s="133" t="s">
        <v>5921</v>
      </c>
      <c r="I406" s="133" t="s">
        <v>5894</v>
      </c>
      <c r="J406" s="133" t="s">
        <v>4101</v>
      </c>
      <c r="K406" s="133">
        <v>46017699.119999997</v>
      </c>
      <c r="L406" s="133">
        <v>5982300.8799999999</v>
      </c>
      <c r="M406" s="133">
        <v>5982300.8799999999</v>
      </c>
      <c r="N406" s="133" t="s">
        <v>4280</v>
      </c>
      <c r="O406" s="133" t="s">
        <v>4871</v>
      </c>
      <c r="P406" s="133" t="s">
        <v>4281</v>
      </c>
      <c r="Q406" s="133" t="s">
        <v>4872</v>
      </c>
      <c r="R406" s="133" t="s">
        <v>4281</v>
      </c>
      <c r="S406" s="133" t="s">
        <v>4873</v>
      </c>
    </row>
    <row r="407" spans="1:19">
      <c r="A407" s="133" t="s">
        <v>5922</v>
      </c>
      <c r="B407" s="133" t="s">
        <v>4866</v>
      </c>
      <c r="C407" s="133" t="s">
        <v>4279</v>
      </c>
      <c r="D407" s="133" t="s">
        <v>1013</v>
      </c>
      <c r="E407" s="133" t="s">
        <v>5923</v>
      </c>
      <c r="H407" s="133" t="s">
        <v>5924</v>
      </c>
      <c r="I407" s="133" t="s">
        <v>5925</v>
      </c>
      <c r="J407" s="133" t="s">
        <v>5926</v>
      </c>
      <c r="K407" s="133">
        <v>166.34</v>
      </c>
      <c r="L407" s="133">
        <v>1.66</v>
      </c>
      <c r="M407" s="133">
        <v>1.66</v>
      </c>
      <c r="N407" s="133" t="s">
        <v>4280</v>
      </c>
      <c r="O407" s="133" t="s">
        <v>4871</v>
      </c>
      <c r="P407" s="133" t="s">
        <v>4281</v>
      </c>
      <c r="Q407" s="133" t="s">
        <v>4872</v>
      </c>
      <c r="R407" s="133" t="s">
        <v>4281</v>
      </c>
      <c r="S407" s="133" t="s">
        <v>4873</v>
      </c>
    </row>
    <row r="408" spans="1:19">
      <c r="A408" s="133" t="s">
        <v>5927</v>
      </c>
      <c r="B408" s="133" t="s">
        <v>4866</v>
      </c>
      <c r="C408" s="133" t="s">
        <v>4279</v>
      </c>
      <c r="D408" s="133" t="s">
        <v>1013</v>
      </c>
      <c r="E408" s="133" t="s">
        <v>5928</v>
      </c>
      <c r="H408" s="133" t="s">
        <v>5929</v>
      </c>
      <c r="I408" s="133" t="s">
        <v>5930</v>
      </c>
      <c r="J408" s="133" t="s">
        <v>5931</v>
      </c>
      <c r="K408" s="133">
        <v>23761.47</v>
      </c>
      <c r="L408" s="133">
        <v>2138.5300000000002</v>
      </c>
      <c r="M408" s="133">
        <v>2138.5300000000002</v>
      </c>
      <c r="N408" s="133" t="s">
        <v>4280</v>
      </c>
      <c r="O408" s="133" t="s">
        <v>4871</v>
      </c>
      <c r="P408" s="133" t="s">
        <v>4281</v>
      </c>
      <c r="Q408" s="133" t="s">
        <v>4872</v>
      </c>
      <c r="R408" s="133" t="s">
        <v>4281</v>
      </c>
      <c r="S408" s="133" t="s">
        <v>4873</v>
      </c>
    </row>
    <row r="409" spans="1:19">
      <c r="A409" s="133" t="s">
        <v>5932</v>
      </c>
      <c r="B409" s="133" t="s">
        <v>4866</v>
      </c>
      <c r="C409" s="133" t="s">
        <v>4279</v>
      </c>
      <c r="D409" s="133" t="s">
        <v>1013</v>
      </c>
      <c r="E409" s="133" t="s">
        <v>5933</v>
      </c>
      <c r="H409" s="133" t="s">
        <v>5934</v>
      </c>
      <c r="I409" s="133" t="s">
        <v>5930</v>
      </c>
      <c r="J409" s="133" t="s">
        <v>5931</v>
      </c>
      <c r="K409" s="133">
        <v>2199863.23</v>
      </c>
      <c r="L409" s="133">
        <v>197987.69</v>
      </c>
      <c r="M409" s="133">
        <v>197987.69</v>
      </c>
      <c r="N409" s="133" t="s">
        <v>4280</v>
      </c>
      <c r="O409" s="133" t="s">
        <v>4871</v>
      </c>
      <c r="P409" s="133" t="s">
        <v>4281</v>
      </c>
      <c r="Q409" s="133" t="s">
        <v>4872</v>
      </c>
      <c r="R409" s="133" t="s">
        <v>4281</v>
      </c>
      <c r="S409" s="133" t="s">
        <v>4873</v>
      </c>
    </row>
    <row r="410" spans="1:19">
      <c r="A410" s="133" t="s">
        <v>5935</v>
      </c>
      <c r="B410" s="133" t="s">
        <v>4866</v>
      </c>
      <c r="C410" s="133" t="s">
        <v>4279</v>
      </c>
      <c r="D410" s="133" t="s">
        <v>1013</v>
      </c>
      <c r="E410" s="133" t="s">
        <v>5936</v>
      </c>
      <c r="H410" s="133" t="s">
        <v>5937</v>
      </c>
      <c r="I410" s="133" t="s">
        <v>5938</v>
      </c>
      <c r="J410" s="133" t="s">
        <v>5939</v>
      </c>
      <c r="K410" s="133">
        <v>3280051.27</v>
      </c>
      <c r="L410" s="133">
        <v>295204.61</v>
      </c>
      <c r="M410" s="133">
        <v>295204.61</v>
      </c>
      <c r="N410" s="133" t="s">
        <v>4280</v>
      </c>
      <c r="O410" s="133" t="s">
        <v>4871</v>
      </c>
      <c r="P410" s="133" t="s">
        <v>4281</v>
      </c>
      <c r="Q410" s="133" t="s">
        <v>4872</v>
      </c>
      <c r="R410" s="133" t="s">
        <v>4281</v>
      </c>
      <c r="S410" s="133" t="s">
        <v>4873</v>
      </c>
    </row>
    <row r="411" spans="1:19">
      <c r="A411" s="133" t="s">
        <v>5940</v>
      </c>
      <c r="B411" s="133" t="s">
        <v>4866</v>
      </c>
      <c r="C411" s="133" t="s">
        <v>4279</v>
      </c>
      <c r="D411" s="133" t="s">
        <v>1013</v>
      </c>
      <c r="E411" s="133" t="s">
        <v>5941</v>
      </c>
      <c r="H411" s="133" t="s">
        <v>5942</v>
      </c>
      <c r="I411" s="133" t="s">
        <v>5938</v>
      </c>
      <c r="J411" s="133" t="s">
        <v>5939</v>
      </c>
      <c r="K411" s="133">
        <v>4493296.47</v>
      </c>
      <c r="L411" s="133">
        <v>404396.68</v>
      </c>
      <c r="M411" s="133">
        <v>404396.68</v>
      </c>
      <c r="N411" s="133" t="s">
        <v>4280</v>
      </c>
      <c r="O411" s="133" t="s">
        <v>4871</v>
      </c>
      <c r="P411" s="133" t="s">
        <v>4281</v>
      </c>
      <c r="Q411" s="133" t="s">
        <v>4872</v>
      </c>
      <c r="R411" s="133" t="s">
        <v>4281</v>
      </c>
      <c r="S411" s="133" t="s">
        <v>4873</v>
      </c>
    </row>
    <row r="412" spans="1:19">
      <c r="A412" s="133" t="s">
        <v>5943</v>
      </c>
      <c r="B412" s="133" t="s">
        <v>4866</v>
      </c>
      <c r="C412" s="133" t="s">
        <v>4279</v>
      </c>
      <c r="D412" s="133" t="s">
        <v>1013</v>
      </c>
      <c r="E412" s="133" t="s">
        <v>4074</v>
      </c>
      <c r="H412" s="133" t="s">
        <v>5944</v>
      </c>
      <c r="I412" s="133" t="s">
        <v>5945</v>
      </c>
      <c r="J412" s="133" t="s">
        <v>5946</v>
      </c>
      <c r="K412" s="133">
        <v>35779.82</v>
      </c>
      <c r="L412" s="133">
        <v>3220.18</v>
      </c>
      <c r="M412" s="133">
        <v>3220.18</v>
      </c>
      <c r="N412" s="133" t="s">
        <v>4280</v>
      </c>
      <c r="O412" s="133" t="s">
        <v>4871</v>
      </c>
      <c r="P412" s="133" t="s">
        <v>4281</v>
      </c>
      <c r="Q412" s="133" t="s">
        <v>4872</v>
      </c>
      <c r="R412" s="133" t="s">
        <v>4281</v>
      </c>
      <c r="S412" s="133" t="s">
        <v>4873</v>
      </c>
    </row>
    <row r="413" spans="1:19">
      <c r="A413" s="133" t="s">
        <v>5947</v>
      </c>
      <c r="B413" s="133" t="s">
        <v>4866</v>
      </c>
      <c r="C413" s="133" t="s">
        <v>4279</v>
      </c>
      <c r="D413" s="133" t="s">
        <v>1013</v>
      </c>
      <c r="E413" s="133" t="s">
        <v>3544</v>
      </c>
      <c r="H413" s="133" t="s">
        <v>5948</v>
      </c>
      <c r="I413" s="133" t="s">
        <v>5949</v>
      </c>
      <c r="J413" s="133" t="s">
        <v>5950</v>
      </c>
      <c r="K413" s="133">
        <v>761387.82</v>
      </c>
      <c r="L413" s="133">
        <v>98980.42</v>
      </c>
      <c r="M413" s="133">
        <v>98980.42</v>
      </c>
      <c r="N413" s="133" t="s">
        <v>4280</v>
      </c>
      <c r="O413" s="133" t="s">
        <v>4871</v>
      </c>
      <c r="P413" s="133" t="s">
        <v>4281</v>
      </c>
      <c r="Q413" s="133" t="s">
        <v>4872</v>
      </c>
      <c r="R413" s="133" t="s">
        <v>4281</v>
      </c>
      <c r="S413" s="133" t="s">
        <v>4873</v>
      </c>
    </row>
    <row r="414" spans="1:19">
      <c r="A414" s="133" t="s">
        <v>5951</v>
      </c>
      <c r="B414" s="133" t="s">
        <v>4866</v>
      </c>
      <c r="C414" s="133" t="s">
        <v>4279</v>
      </c>
      <c r="D414" s="133" t="s">
        <v>1013</v>
      </c>
      <c r="E414" s="133" t="s">
        <v>5952</v>
      </c>
      <c r="H414" s="133" t="s">
        <v>5953</v>
      </c>
      <c r="I414" s="133" t="s">
        <v>5954</v>
      </c>
      <c r="J414" s="133" t="s">
        <v>5955</v>
      </c>
      <c r="K414" s="133">
        <v>46017699.119999997</v>
      </c>
      <c r="L414" s="133">
        <v>5982300.8899999997</v>
      </c>
      <c r="M414" s="133">
        <v>5982300.8899999997</v>
      </c>
      <c r="N414" s="133" t="s">
        <v>4280</v>
      </c>
      <c r="O414" s="133" t="s">
        <v>4871</v>
      </c>
      <c r="P414" s="133" t="s">
        <v>4281</v>
      </c>
      <c r="Q414" s="133" t="s">
        <v>4872</v>
      </c>
      <c r="R414" s="133" t="s">
        <v>4281</v>
      </c>
      <c r="S414" s="133" t="s">
        <v>4873</v>
      </c>
    </row>
    <row r="415" spans="1:19">
      <c r="A415" s="133" t="s">
        <v>5956</v>
      </c>
      <c r="B415" s="133" t="s">
        <v>4866</v>
      </c>
      <c r="C415" s="133" t="s">
        <v>4279</v>
      </c>
      <c r="D415" s="133" t="s">
        <v>1013</v>
      </c>
      <c r="E415" s="133" t="s">
        <v>5957</v>
      </c>
      <c r="H415" s="133" t="s">
        <v>5958</v>
      </c>
      <c r="I415" s="133" t="s">
        <v>5954</v>
      </c>
      <c r="J415" s="133" t="s">
        <v>5955</v>
      </c>
      <c r="K415" s="133">
        <v>46017699.119999997</v>
      </c>
      <c r="L415" s="133">
        <v>5982300.8899999997</v>
      </c>
      <c r="M415" s="133">
        <v>5982300.8899999997</v>
      </c>
      <c r="N415" s="133" t="s">
        <v>4280</v>
      </c>
      <c r="O415" s="133" t="s">
        <v>4871</v>
      </c>
      <c r="P415" s="133" t="s">
        <v>4281</v>
      </c>
      <c r="Q415" s="133" t="s">
        <v>4872</v>
      </c>
      <c r="R415" s="133" t="s">
        <v>4281</v>
      </c>
      <c r="S415" s="133" t="s">
        <v>4873</v>
      </c>
    </row>
    <row r="416" spans="1:19">
      <c r="A416" s="133" t="s">
        <v>5959</v>
      </c>
      <c r="B416" s="133" t="s">
        <v>4866</v>
      </c>
      <c r="C416" s="133" t="s">
        <v>4279</v>
      </c>
      <c r="D416" s="133" t="s">
        <v>1013</v>
      </c>
      <c r="E416" s="133" t="s">
        <v>5960</v>
      </c>
      <c r="H416" s="133" t="s">
        <v>5961</v>
      </c>
      <c r="I416" s="133" t="s">
        <v>5954</v>
      </c>
      <c r="J416" s="133" t="s">
        <v>5955</v>
      </c>
      <c r="K416" s="133">
        <v>46017699.119999997</v>
      </c>
      <c r="L416" s="133">
        <v>5982300.8899999997</v>
      </c>
      <c r="M416" s="133">
        <v>5982300.8899999997</v>
      </c>
      <c r="N416" s="133" t="s">
        <v>4280</v>
      </c>
      <c r="O416" s="133" t="s">
        <v>4871</v>
      </c>
      <c r="P416" s="133" t="s">
        <v>4281</v>
      </c>
      <c r="Q416" s="133" t="s">
        <v>4872</v>
      </c>
      <c r="R416" s="133" t="s">
        <v>4281</v>
      </c>
      <c r="S416" s="133" t="s">
        <v>4873</v>
      </c>
    </row>
    <row r="417" spans="1:19">
      <c r="A417" s="133" t="s">
        <v>5962</v>
      </c>
      <c r="B417" s="133" t="s">
        <v>4866</v>
      </c>
      <c r="C417" s="133" t="s">
        <v>4279</v>
      </c>
      <c r="D417" s="133" t="s">
        <v>1013</v>
      </c>
      <c r="E417" s="133" t="s">
        <v>5963</v>
      </c>
      <c r="H417" s="133" t="s">
        <v>5964</v>
      </c>
      <c r="I417" s="133" t="s">
        <v>5954</v>
      </c>
      <c r="J417" s="133" t="s">
        <v>5955</v>
      </c>
      <c r="K417" s="133">
        <v>46017699.119999997</v>
      </c>
      <c r="L417" s="133">
        <v>5982300.8899999997</v>
      </c>
      <c r="M417" s="133">
        <v>5982300.8899999997</v>
      </c>
      <c r="N417" s="133" t="s">
        <v>4280</v>
      </c>
      <c r="O417" s="133" t="s">
        <v>4871</v>
      </c>
      <c r="P417" s="133" t="s">
        <v>4281</v>
      </c>
      <c r="Q417" s="133" t="s">
        <v>4872</v>
      </c>
      <c r="R417" s="133" t="s">
        <v>4281</v>
      </c>
      <c r="S417" s="133" t="s">
        <v>4873</v>
      </c>
    </row>
    <row r="418" spans="1:19">
      <c r="A418" s="133" t="s">
        <v>5965</v>
      </c>
      <c r="B418" s="133" t="s">
        <v>4866</v>
      </c>
      <c r="C418" s="133" t="s">
        <v>4279</v>
      </c>
      <c r="D418" s="133" t="s">
        <v>1013</v>
      </c>
      <c r="E418" s="133" t="s">
        <v>5966</v>
      </c>
      <c r="H418" s="133" t="s">
        <v>5967</v>
      </c>
      <c r="I418" s="133" t="s">
        <v>5954</v>
      </c>
      <c r="J418" s="133" t="s">
        <v>5955</v>
      </c>
      <c r="K418" s="133">
        <v>46017699.119999997</v>
      </c>
      <c r="L418" s="133">
        <v>5982300.8899999997</v>
      </c>
      <c r="M418" s="133">
        <v>5982300.8899999997</v>
      </c>
      <c r="N418" s="133" t="s">
        <v>4280</v>
      </c>
      <c r="O418" s="133" t="s">
        <v>4871</v>
      </c>
      <c r="P418" s="133" t="s">
        <v>4281</v>
      </c>
      <c r="Q418" s="133" t="s">
        <v>4872</v>
      </c>
      <c r="R418" s="133" t="s">
        <v>4281</v>
      </c>
      <c r="S418" s="133" t="s">
        <v>4873</v>
      </c>
    </row>
    <row r="419" spans="1:19">
      <c r="A419" s="133" t="s">
        <v>5968</v>
      </c>
      <c r="B419" s="133" t="s">
        <v>4866</v>
      </c>
      <c r="C419" s="133" t="s">
        <v>4279</v>
      </c>
      <c r="D419" s="133" t="s">
        <v>1013</v>
      </c>
      <c r="E419" s="133" t="s">
        <v>5969</v>
      </c>
      <c r="H419" s="133" t="s">
        <v>5970</v>
      </c>
      <c r="I419" s="133" t="s">
        <v>5954</v>
      </c>
      <c r="J419" s="133" t="s">
        <v>5955</v>
      </c>
      <c r="K419" s="133">
        <v>46017699.119999997</v>
      </c>
      <c r="L419" s="133">
        <v>5982300.8799999999</v>
      </c>
      <c r="M419" s="133">
        <v>5982300.8799999999</v>
      </c>
      <c r="N419" s="133" t="s">
        <v>4280</v>
      </c>
      <c r="O419" s="133" t="s">
        <v>4871</v>
      </c>
      <c r="P419" s="133" t="s">
        <v>4281</v>
      </c>
      <c r="Q419" s="133" t="s">
        <v>4872</v>
      </c>
      <c r="R419" s="133" t="s">
        <v>4281</v>
      </c>
      <c r="S419" s="133" t="s">
        <v>4873</v>
      </c>
    </row>
    <row r="420" spans="1:19">
      <c r="A420" s="133" t="s">
        <v>5971</v>
      </c>
      <c r="B420" s="133" t="s">
        <v>4866</v>
      </c>
      <c r="C420" s="133" t="s">
        <v>4279</v>
      </c>
      <c r="D420" s="133" t="s">
        <v>1013</v>
      </c>
      <c r="E420" s="133" t="s">
        <v>5972</v>
      </c>
      <c r="H420" s="133" t="s">
        <v>5973</v>
      </c>
      <c r="I420" s="133" t="s">
        <v>5954</v>
      </c>
      <c r="J420" s="133" t="s">
        <v>5955</v>
      </c>
      <c r="K420" s="133">
        <v>46017699.119999997</v>
      </c>
      <c r="L420" s="133">
        <v>5982300.8799999999</v>
      </c>
      <c r="M420" s="133">
        <v>5982300.8799999999</v>
      </c>
      <c r="N420" s="133" t="s">
        <v>4280</v>
      </c>
      <c r="O420" s="133" t="s">
        <v>4871</v>
      </c>
      <c r="P420" s="133" t="s">
        <v>4281</v>
      </c>
      <c r="Q420" s="133" t="s">
        <v>4872</v>
      </c>
      <c r="R420" s="133" t="s">
        <v>4281</v>
      </c>
      <c r="S420" s="133" t="s">
        <v>4873</v>
      </c>
    </row>
    <row r="421" spans="1:19">
      <c r="A421" s="133" t="s">
        <v>5974</v>
      </c>
      <c r="B421" s="133" t="s">
        <v>4866</v>
      </c>
      <c r="C421" s="133" t="s">
        <v>4279</v>
      </c>
      <c r="D421" s="133" t="s">
        <v>1013</v>
      </c>
      <c r="E421" s="133" t="s">
        <v>5975</v>
      </c>
      <c r="H421" s="133" t="s">
        <v>5976</v>
      </c>
      <c r="I421" s="133" t="s">
        <v>5954</v>
      </c>
      <c r="J421" s="133" t="s">
        <v>5955</v>
      </c>
      <c r="K421" s="133">
        <v>46017699.07</v>
      </c>
      <c r="L421" s="133">
        <v>5982300.8700000001</v>
      </c>
      <c r="M421" s="133">
        <v>5982300.8700000001</v>
      </c>
      <c r="N421" s="133" t="s">
        <v>4280</v>
      </c>
      <c r="O421" s="133" t="s">
        <v>4871</v>
      </c>
      <c r="P421" s="133" t="s">
        <v>4281</v>
      </c>
      <c r="Q421" s="133" t="s">
        <v>4872</v>
      </c>
      <c r="R421" s="133" t="s">
        <v>4281</v>
      </c>
      <c r="S421" s="133" t="s">
        <v>4873</v>
      </c>
    </row>
    <row r="422" spans="1:19">
      <c r="A422" s="133" t="s">
        <v>5977</v>
      </c>
      <c r="B422" s="133" t="s">
        <v>4866</v>
      </c>
      <c r="C422" s="133" t="s">
        <v>4279</v>
      </c>
      <c r="D422" s="133" t="s">
        <v>1013</v>
      </c>
      <c r="E422" s="133" t="s">
        <v>5978</v>
      </c>
      <c r="H422" s="133" t="s">
        <v>5979</v>
      </c>
      <c r="I422" s="133" t="s">
        <v>5954</v>
      </c>
      <c r="J422" s="133" t="s">
        <v>5955</v>
      </c>
      <c r="K422" s="133">
        <v>46017699.119999997</v>
      </c>
      <c r="L422" s="133">
        <v>5982300.8899999997</v>
      </c>
      <c r="M422" s="133">
        <v>5982300.8899999997</v>
      </c>
      <c r="N422" s="133" t="s">
        <v>4280</v>
      </c>
      <c r="O422" s="133" t="s">
        <v>4871</v>
      </c>
      <c r="P422" s="133" t="s">
        <v>4281</v>
      </c>
      <c r="Q422" s="133" t="s">
        <v>4872</v>
      </c>
      <c r="R422" s="133" t="s">
        <v>4281</v>
      </c>
      <c r="S422" s="133" t="s">
        <v>4873</v>
      </c>
    </row>
    <row r="423" spans="1:19">
      <c r="A423" s="133" t="s">
        <v>5980</v>
      </c>
      <c r="B423" s="133" t="s">
        <v>4866</v>
      </c>
      <c r="C423" s="133" t="s">
        <v>4279</v>
      </c>
      <c r="D423" s="133" t="s">
        <v>1013</v>
      </c>
      <c r="E423" s="133" t="s">
        <v>5981</v>
      </c>
      <c r="H423" s="133" t="s">
        <v>5982</v>
      </c>
      <c r="I423" s="133" t="s">
        <v>5954</v>
      </c>
      <c r="J423" s="133" t="s">
        <v>5955</v>
      </c>
      <c r="K423" s="133">
        <v>46017699.119999997</v>
      </c>
      <c r="L423" s="133">
        <v>5982300.8899999997</v>
      </c>
      <c r="M423" s="133">
        <v>5982300.8899999997</v>
      </c>
      <c r="N423" s="133" t="s">
        <v>4280</v>
      </c>
      <c r="O423" s="133" t="s">
        <v>4871</v>
      </c>
      <c r="P423" s="133" t="s">
        <v>4281</v>
      </c>
      <c r="Q423" s="133" t="s">
        <v>4872</v>
      </c>
      <c r="R423" s="133" t="s">
        <v>4281</v>
      </c>
      <c r="S423" s="133" t="s">
        <v>4873</v>
      </c>
    </row>
    <row r="424" spans="1:19">
      <c r="A424" s="133" t="s">
        <v>5983</v>
      </c>
      <c r="B424" s="133" t="s">
        <v>4866</v>
      </c>
      <c r="C424" s="133" t="s">
        <v>4279</v>
      </c>
      <c r="D424" s="133" t="s">
        <v>1013</v>
      </c>
      <c r="E424" s="133" t="s">
        <v>5984</v>
      </c>
      <c r="H424" s="133" t="s">
        <v>5985</v>
      </c>
      <c r="I424" s="133" t="s">
        <v>5954</v>
      </c>
      <c r="J424" s="133" t="s">
        <v>5955</v>
      </c>
      <c r="K424" s="133">
        <v>46017699.119999997</v>
      </c>
      <c r="L424" s="133">
        <v>5982300.8799999999</v>
      </c>
      <c r="M424" s="133">
        <v>5982300.8799999999</v>
      </c>
      <c r="N424" s="133" t="s">
        <v>4280</v>
      </c>
      <c r="O424" s="133" t="s">
        <v>4871</v>
      </c>
      <c r="P424" s="133" t="s">
        <v>4281</v>
      </c>
      <c r="Q424" s="133" t="s">
        <v>4872</v>
      </c>
      <c r="R424" s="133" t="s">
        <v>4281</v>
      </c>
      <c r="S424" s="133" t="s">
        <v>4873</v>
      </c>
    </row>
    <row r="425" spans="1:19">
      <c r="A425" s="133" t="s">
        <v>5986</v>
      </c>
      <c r="B425" s="133" t="s">
        <v>4866</v>
      </c>
      <c r="C425" s="133" t="s">
        <v>4279</v>
      </c>
      <c r="D425" s="133" t="s">
        <v>1013</v>
      </c>
      <c r="E425" s="133" t="s">
        <v>5987</v>
      </c>
      <c r="H425" s="133" t="s">
        <v>5988</v>
      </c>
      <c r="I425" s="133" t="s">
        <v>5954</v>
      </c>
      <c r="J425" s="133" t="s">
        <v>5955</v>
      </c>
      <c r="K425" s="133">
        <v>46017699.119999997</v>
      </c>
      <c r="L425" s="133">
        <v>5982300.8799999999</v>
      </c>
      <c r="M425" s="133">
        <v>5982300.8799999999</v>
      </c>
      <c r="N425" s="133" t="s">
        <v>4280</v>
      </c>
      <c r="O425" s="133" t="s">
        <v>4871</v>
      </c>
      <c r="P425" s="133" t="s">
        <v>4281</v>
      </c>
      <c r="Q425" s="133" t="s">
        <v>4872</v>
      </c>
      <c r="R425" s="133" t="s">
        <v>4281</v>
      </c>
      <c r="S425" s="133" t="s">
        <v>4873</v>
      </c>
    </row>
    <row r="426" spans="1:19">
      <c r="A426" s="133" t="s">
        <v>5989</v>
      </c>
      <c r="B426" s="133" t="s">
        <v>4866</v>
      </c>
      <c r="C426" s="133" t="s">
        <v>4279</v>
      </c>
      <c r="D426" s="133" t="s">
        <v>1013</v>
      </c>
      <c r="E426" s="133" t="s">
        <v>5990</v>
      </c>
      <c r="H426" s="133" t="s">
        <v>5991</v>
      </c>
      <c r="I426" s="133" t="s">
        <v>5954</v>
      </c>
      <c r="J426" s="133" t="s">
        <v>5955</v>
      </c>
      <c r="K426" s="133">
        <v>46017699.119999997</v>
      </c>
      <c r="L426" s="133">
        <v>5982300.8899999997</v>
      </c>
      <c r="M426" s="133">
        <v>5982300.8899999997</v>
      </c>
      <c r="N426" s="133" t="s">
        <v>4280</v>
      </c>
      <c r="O426" s="133" t="s">
        <v>4871</v>
      </c>
      <c r="P426" s="133" t="s">
        <v>4281</v>
      </c>
      <c r="Q426" s="133" t="s">
        <v>4872</v>
      </c>
      <c r="R426" s="133" t="s">
        <v>4281</v>
      </c>
      <c r="S426" s="133" t="s">
        <v>4873</v>
      </c>
    </row>
    <row r="427" spans="1:19">
      <c r="A427" s="133" t="s">
        <v>5992</v>
      </c>
      <c r="B427" s="133" t="s">
        <v>4866</v>
      </c>
      <c r="C427" s="133" t="s">
        <v>4279</v>
      </c>
      <c r="D427" s="133" t="s">
        <v>1013</v>
      </c>
      <c r="E427" s="133" t="s">
        <v>5993</v>
      </c>
      <c r="H427" s="133" t="s">
        <v>5994</v>
      </c>
      <c r="I427" s="133" t="s">
        <v>5954</v>
      </c>
      <c r="J427" s="133" t="s">
        <v>5955</v>
      </c>
      <c r="K427" s="133">
        <v>46017699.119999997</v>
      </c>
      <c r="L427" s="133">
        <v>5982300.8799999999</v>
      </c>
      <c r="M427" s="133">
        <v>5982300.8799999999</v>
      </c>
      <c r="N427" s="133" t="s">
        <v>4280</v>
      </c>
      <c r="O427" s="133" t="s">
        <v>4871</v>
      </c>
      <c r="P427" s="133" t="s">
        <v>4281</v>
      </c>
      <c r="Q427" s="133" t="s">
        <v>4872</v>
      </c>
      <c r="R427" s="133" t="s">
        <v>4281</v>
      </c>
      <c r="S427" s="133" t="s">
        <v>4873</v>
      </c>
    </row>
    <row r="428" spans="1:19">
      <c r="A428" s="133" t="s">
        <v>5995</v>
      </c>
      <c r="B428" s="133" t="s">
        <v>4866</v>
      </c>
      <c r="C428" s="133" t="s">
        <v>4279</v>
      </c>
      <c r="D428" s="133" t="s">
        <v>1013</v>
      </c>
      <c r="E428" s="133" t="s">
        <v>5996</v>
      </c>
      <c r="H428" s="133" t="s">
        <v>5997</v>
      </c>
      <c r="I428" s="133" t="s">
        <v>5954</v>
      </c>
      <c r="J428" s="133" t="s">
        <v>5955</v>
      </c>
      <c r="K428" s="133">
        <v>46017699.119999997</v>
      </c>
      <c r="L428" s="133">
        <v>5982300.8899999997</v>
      </c>
      <c r="M428" s="133">
        <v>5982300.8899999997</v>
      </c>
      <c r="N428" s="133" t="s">
        <v>4280</v>
      </c>
      <c r="O428" s="133" t="s">
        <v>4871</v>
      </c>
      <c r="P428" s="133" t="s">
        <v>4281</v>
      </c>
      <c r="Q428" s="133" t="s">
        <v>4872</v>
      </c>
      <c r="R428" s="133" t="s">
        <v>4281</v>
      </c>
      <c r="S428" s="133" t="s">
        <v>4873</v>
      </c>
    </row>
    <row r="429" spans="1:19">
      <c r="A429" s="133" t="s">
        <v>5998</v>
      </c>
      <c r="B429" s="133" t="s">
        <v>4866</v>
      </c>
      <c r="C429" s="133" t="s">
        <v>4279</v>
      </c>
      <c r="D429" s="133" t="s">
        <v>1013</v>
      </c>
      <c r="E429" s="133" t="s">
        <v>5999</v>
      </c>
      <c r="H429" s="133" t="s">
        <v>6000</v>
      </c>
      <c r="I429" s="133" t="s">
        <v>5954</v>
      </c>
      <c r="J429" s="133" t="s">
        <v>5955</v>
      </c>
      <c r="K429" s="133">
        <v>46017699.07</v>
      </c>
      <c r="L429" s="133">
        <v>5982300.8700000001</v>
      </c>
      <c r="M429" s="133">
        <v>5982300.8700000001</v>
      </c>
      <c r="N429" s="133" t="s">
        <v>4280</v>
      </c>
      <c r="O429" s="133" t="s">
        <v>4871</v>
      </c>
      <c r="P429" s="133" t="s">
        <v>4281</v>
      </c>
      <c r="Q429" s="133" t="s">
        <v>4872</v>
      </c>
      <c r="R429" s="133" t="s">
        <v>4281</v>
      </c>
      <c r="S429" s="133" t="s">
        <v>4873</v>
      </c>
    </row>
    <row r="430" spans="1:19">
      <c r="A430" s="133" t="s">
        <v>6001</v>
      </c>
      <c r="B430" s="133" t="s">
        <v>4866</v>
      </c>
      <c r="C430" s="133" t="s">
        <v>4279</v>
      </c>
      <c r="D430" s="133" t="s">
        <v>1013</v>
      </c>
      <c r="E430" s="133" t="s">
        <v>6002</v>
      </c>
      <c r="H430" s="133" t="s">
        <v>6003</v>
      </c>
      <c r="I430" s="133" t="s">
        <v>5954</v>
      </c>
      <c r="J430" s="133" t="s">
        <v>5955</v>
      </c>
      <c r="K430" s="133">
        <v>46017699.119999997</v>
      </c>
      <c r="L430" s="133">
        <v>5982300.8799999999</v>
      </c>
      <c r="M430" s="133">
        <v>5982300.8799999999</v>
      </c>
      <c r="N430" s="133" t="s">
        <v>4280</v>
      </c>
      <c r="O430" s="133" t="s">
        <v>4871</v>
      </c>
      <c r="P430" s="133" t="s">
        <v>4281</v>
      </c>
      <c r="Q430" s="133" t="s">
        <v>4872</v>
      </c>
      <c r="R430" s="133" t="s">
        <v>4281</v>
      </c>
      <c r="S430" s="133" t="s">
        <v>4873</v>
      </c>
    </row>
    <row r="431" spans="1:19">
      <c r="A431" s="133" t="s">
        <v>6004</v>
      </c>
      <c r="B431" s="133" t="s">
        <v>4866</v>
      </c>
      <c r="C431" s="133" t="s">
        <v>4279</v>
      </c>
      <c r="D431" s="133" t="s">
        <v>1013</v>
      </c>
      <c r="E431" s="133" t="s">
        <v>6005</v>
      </c>
      <c r="H431" s="133" t="s">
        <v>6006</v>
      </c>
      <c r="I431" s="133" t="s">
        <v>5954</v>
      </c>
      <c r="J431" s="133" t="s">
        <v>5955</v>
      </c>
      <c r="K431" s="133">
        <v>46017699.119999997</v>
      </c>
      <c r="L431" s="133">
        <v>5982300.8899999997</v>
      </c>
      <c r="M431" s="133">
        <v>5982300.8899999997</v>
      </c>
      <c r="N431" s="133" t="s">
        <v>4280</v>
      </c>
      <c r="O431" s="133" t="s">
        <v>4871</v>
      </c>
      <c r="P431" s="133" t="s">
        <v>4281</v>
      </c>
      <c r="Q431" s="133" t="s">
        <v>4872</v>
      </c>
      <c r="R431" s="133" t="s">
        <v>4281</v>
      </c>
      <c r="S431" s="133" t="s">
        <v>4873</v>
      </c>
    </row>
    <row r="432" spans="1:19">
      <c r="A432" s="133" t="s">
        <v>6007</v>
      </c>
      <c r="B432" s="133" t="s">
        <v>4866</v>
      </c>
      <c r="C432" s="133" t="s">
        <v>4279</v>
      </c>
      <c r="D432" s="133" t="s">
        <v>1013</v>
      </c>
      <c r="E432" s="133" t="s">
        <v>6008</v>
      </c>
      <c r="H432" s="133" t="s">
        <v>6009</v>
      </c>
      <c r="I432" s="133" t="s">
        <v>5954</v>
      </c>
      <c r="J432" s="133" t="s">
        <v>5955</v>
      </c>
      <c r="K432" s="133">
        <v>46017699.119999997</v>
      </c>
      <c r="L432" s="133">
        <v>5982300.8899999997</v>
      </c>
      <c r="M432" s="133">
        <v>5982300.8899999997</v>
      </c>
      <c r="N432" s="133" t="s">
        <v>4280</v>
      </c>
      <c r="O432" s="133" t="s">
        <v>4871</v>
      </c>
      <c r="P432" s="133" t="s">
        <v>4281</v>
      </c>
      <c r="Q432" s="133" t="s">
        <v>4872</v>
      </c>
      <c r="R432" s="133" t="s">
        <v>4281</v>
      </c>
      <c r="S432" s="133" t="s">
        <v>4873</v>
      </c>
    </row>
    <row r="433" spans="1:19">
      <c r="A433" s="133" t="s">
        <v>6010</v>
      </c>
      <c r="B433" s="133" t="s">
        <v>4866</v>
      </c>
      <c r="C433" s="133" t="s">
        <v>4279</v>
      </c>
      <c r="D433" s="133" t="s">
        <v>1013</v>
      </c>
      <c r="E433" s="133" t="s">
        <v>6011</v>
      </c>
      <c r="H433" s="133" t="s">
        <v>6012</v>
      </c>
      <c r="I433" s="133" t="s">
        <v>5954</v>
      </c>
      <c r="J433" s="133" t="s">
        <v>5955</v>
      </c>
      <c r="K433" s="133">
        <v>46017699.119999997</v>
      </c>
      <c r="L433" s="133">
        <v>5982300.8899999997</v>
      </c>
      <c r="M433" s="133">
        <v>5982300.8899999997</v>
      </c>
      <c r="N433" s="133" t="s">
        <v>4280</v>
      </c>
      <c r="O433" s="133" t="s">
        <v>4871</v>
      </c>
      <c r="P433" s="133" t="s">
        <v>4281</v>
      </c>
      <c r="Q433" s="133" t="s">
        <v>4872</v>
      </c>
      <c r="R433" s="133" t="s">
        <v>4281</v>
      </c>
      <c r="S433" s="133" t="s">
        <v>4873</v>
      </c>
    </row>
    <row r="434" spans="1:19">
      <c r="A434" s="133" t="s">
        <v>6013</v>
      </c>
      <c r="B434" s="133" t="s">
        <v>4866</v>
      </c>
      <c r="C434" s="133" t="s">
        <v>4279</v>
      </c>
      <c r="D434" s="133" t="s">
        <v>1013</v>
      </c>
      <c r="E434" s="133" t="s">
        <v>3548</v>
      </c>
      <c r="H434" s="133" t="s">
        <v>6014</v>
      </c>
      <c r="I434" s="133" t="s">
        <v>6015</v>
      </c>
      <c r="J434" s="133" t="s">
        <v>6016</v>
      </c>
      <c r="K434" s="133">
        <v>845058.79</v>
      </c>
      <c r="L434" s="133">
        <v>109857.64</v>
      </c>
      <c r="M434" s="133">
        <v>109857.64</v>
      </c>
      <c r="N434" s="133" t="s">
        <v>4280</v>
      </c>
      <c r="O434" s="133" t="s">
        <v>4871</v>
      </c>
      <c r="P434" s="133" t="s">
        <v>4281</v>
      </c>
      <c r="Q434" s="133" t="s">
        <v>4872</v>
      </c>
      <c r="R434" s="133" t="s">
        <v>4281</v>
      </c>
      <c r="S434" s="133" t="s">
        <v>4873</v>
      </c>
    </row>
    <row r="435" spans="1:19">
      <c r="A435" s="133" t="s">
        <v>6017</v>
      </c>
      <c r="B435" s="133" t="s">
        <v>4866</v>
      </c>
      <c r="C435" s="133" t="s">
        <v>4279</v>
      </c>
      <c r="D435" s="133" t="s">
        <v>1013</v>
      </c>
      <c r="E435" s="133" t="s">
        <v>2764</v>
      </c>
      <c r="H435" s="133" t="s">
        <v>6018</v>
      </c>
      <c r="I435" s="133" t="s">
        <v>6015</v>
      </c>
      <c r="J435" s="133" t="s">
        <v>6016</v>
      </c>
      <c r="K435" s="133">
        <v>507035.27</v>
      </c>
      <c r="L435" s="133">
        <v>65914.59</v>
      </c>
      <c r="M435" s="133">
        <v>65914.59</v>
      </c>
      <c r="N435" s="133" t="s">
        <v>4280</v>
      </c>
      <c r="O435" s="133" t="s">
        <v>4871</v>
      </c>
      <c r="P435" s="133" t="s">
        <v>4281</v>
      </c>
      <c r="Q435" s="133" t="s">
        <v>4872</v>
      </c>
      <c r="R435" s="133" t="s">
        <v>4281</v>
      </c>
      <c r="S435" s="133" t="s">
        <v>4873</v>
      </c>
    </row>
    <row r="436" spans="1:19">
      <c r="A436" s="133" t="s">
        <v>6019</v>
      </c>
      <c r="B436" s="133" t="s">
        <v>4866</v>
      </c>
      <c r="C436" s="133" t="s">
        <v>4279</v>
      </c>
      <c r="D436" s="133" t="s">
        <v>1013</v>
      </c>
      <c r="E436" s="133" t="s">
        <v>6020</v>
      </c>
      <c r="H436" s="133" t="s">
        <v>6021</v>
      </c>
      <c r="I436" s="133" t="s">
        <v>6022</v>
      </c>
      <c r="J436" s="133" t="s">
        <v>6023</v>
      </c>
      <c r="K436" s="133">
        <v>7127212.3700000001</v>
      </c>
      <c r="L436" s="133">
        <v>926537.63</v>
      </c>
      <c r="M436" s="133">
        <v>926537.63</v>
      </c>
      <c r="N436" s="133" t="s">
        <v>4280</v>
      </c>
      <c r="O436" s="133" t="s">
        <v>4871</v>
      </c>
      <c r="P436" s="133" t="s">
        <v>4281</v>
      </c>
      <c r="Q436" s="133" t="s">
        <v>4872</v>
      </c>
      <c r="R436" s="133" t="s">
        <v>4281</v>
      </c>
      <c r="S436" s="133" t="s">
        <v>4873</v>
      </c>
    </row>
    <row r="437" spans="1:19">
      <c r="A437" s="133" t="s">
        <v>6024</v>
      </c>
      <c r="B437" s="133" t="s">
        <v>4866</v>
      </c>
      <c r="C437" s="133" t="s">
        <v>4279</v>
      </c>
      <c r="D437" s="133" t="s">
        <v>1013</v>
      </c>
      <c r="E437" s="133" t="s">
        <v>6025</v>
      </c>
      <c r="H437" s="133" t="s">
        <v>6026</v>
      </c>
      <c r="I437" s="133" t="s">
        <v>6022</v>
      </c>
      <c r="J437" s="133" t="s">
        <v>6023</v>
      </c>
      <c r="K437" s="133">
        <v>7158346.0199999996</v>
      </c>
      <c r="L437" s="133">
        <v>930584.98</v>
      </c>
      <c r="M437" s="133">
        <v>930584.98</v>
      </c>
      <c r="N437" s="133" t="s">
        <v>4280</v>
      </c>
      <c r="O437" s="133" t="s">
        <v>4871</v>
      </c>
      <c r="P437" s="133" t="s">
        <v>4281</v>
      </c>
      <c r="Q437" s="133" t="s">
        <v>4872</v>
      </c>
      <c r="R437" s="133" t="s">
        <v>4281</v>
      </c>
      <c r="S437" s="133" t="s">
        <v>4873</v>
      </c>
    </row>
    <row r="438" spans="1:19">
      <c r="A438" s="133" t="s">
        <v>6027</v>
      </c>
      <c r="B438" s="133" t="s">
        <v>4866</v>
      </c>
      <c r="C438" s="133" t="s">
        <v>4279</v>
      </c>
      <c r="D438" s="133" t="s">
        <v>1013</v>
      </c>
      <c r="E438" s="133" t="s">
        <v>6028</v>
      </c>
      <c r="H438" s="133" t="s">
        <v>6029</v>
      </c>
      <c r="I438" s="133" t="s">
        <v>6022</v>
      </c>
      <c r="J438" s="133" t="s">
        <v>6023</v>
      </c>
      <c r="K438" s="133">
        <v>5601880.5199999996</v>
      </c>
      <c r="L438" s="133">
        <v>728244.48</v>
      </c>
      <c r="M438" s="133">
        <v>728244.48</v>
      </c>
      <c r="N438" s="133" t="s">
        <v>4280</v>
      </c>
      <c r="O438" s="133" t="s">
        <v>4871</v>
      </c>
      <c r="P438" s="133" t="s">
        <v>4281</v>
      </c>
      <c r="Q438" s="133" t="s">
        <v>4872</v>
      </c>
      <c r="R438" s="133" t="s">
        <v>4281</v>
      </c>
      <c r="S438" s="133" t="s">
        <v>4873</v>
      </c>
    </row>
    <row r="439" spans="1:19">
      <c r="A439" s="133" t="s">
        <v>6030</v>
      </c>
      <c r="B439" s="133" t="s">
        <v>4866</v>
      </c>
      <c r="C439" s="133" t="s">
        <v>4279</v>
      </c>
      <c r="D439" s="133" t="s">
        <v>1013</v>
      </c>
      <c r="E439" s="133" t="s">
        <v>6031</v>
      </c>
      <c r="H439" s="133" t="s">
        <v>6032</v>
      </c>
      <c r="I439" s="133" t="s">
        <v>4486</v>
      </c>
      <c r="J439" s="133" t="s">
        <v>4487</v>
      </c>
      <c r="K439" s="133">
        <v>45757301.75</v>
      </c>
      <c r="L439" s="133">
        <v>5948449.2300000004</v>
      </c>
      <c r="M439" s="133">
        <v>5948449.2300000004</v>
      </c>
      <c r="N439" s="133" t="s">
        <v>4280</v>
      </c>
      <c r="O439" s="133" t="s">
        <v>4871</v>
      </c>
      <c r="P439" s="133" t="s">
        <v>4281</v>
      </c>
      <c r="Q439" s="133" t="s">
        <v>4872</v>
      </c>
      <c r="R439" s="133" t="s">
        <v>4281</v>
      </c>
      <c r="S439" s="133" t="s">
        <v>4873</v>
      </c>
    </row>
    <row r="440" spans="1:19">
      <c r="A440" s="133" t="s">
        <v>6033</v>
      </c>
      <c r="B440" s="133" t="s">
        <v>4866</v>
      </c>
      <c r="C440" s="133" t="s">
        <v>4279</v>
      </c>
      <c r="D440" s="133" t="s">
        <v>1013</v>
      </c>
      <c r="E440" s="133" t="s">
        <v>6034</v>
      </c>
      <c r="H440" s="133" t="s">
        <v>6035</v>
      </c>
      <c r="I440" s="133" t="s">
        <v>4486</v>
      </c>
      <c r="J440" s="133" t="s">
        <v>4487</v>
      </c>
      <c r="K440" s="133">
        <v>45757301.75</v>
      </c>
      <c r="L440" s="133">
        <v>5948449.2300000004</v>
      </c>
      <c r="M440" s="133">
        <v>5948449.2300000004</v>
      </c>
      <c r="N440" s="133" t="s">
        <v>4280</v>
      </c>
      <c r="O440" s="133" t="s">
        <v>4871</v>
      </c>
      <c r="P440" s="133" t="s">
        <v>4281</v>
      </c>
      <c r="Q440" s="133" t="s">
        <v>4872</v>
      </c>
      <c r="R440" s="133" t="s">
        <v>4281</v>
      </c>
      <c r="S440" s="133" t="s">
        <v>4873</v>
      </c>
    </row>
    <row r="441" spans="1:19">
      <c r="A441" s="133" t="s">
        <v>6036</v>
      </c>
      <c r="B441" s="133" t="s">
        <v>4866</v>
      </c>
      <c r="C441" s="133" t="s">
        <v>4279</v>
      </c>
      <c r="D441" s="133" t="s">
        <v>1013</v>
      </c>
      <c r="E441" s="133" t="s">
        <v>6037</v>
      </c>
      <c r="H441" s="133" t="s">
        <v>6038</v>
      </c>
      <c r="I441" s="133" t="s">
        <v>4486</v>
      </c>
      <c r="J441" s="133" t="s">
        <v>4487</v>
      </c>
      <c r="K441" s="133">
        <v>45757301.75</v>
      </c>
      <c r="L441" s="133">
        <v>5948449.2300000004</v>
      </c>
      <c r="M441" s="133">
        <v>5948449.2300000004</v>
      </c>
      <c r="N441" s="133" t="s">
        <v>4280</v>
      </c>
      <c r="O441" s="133" t="s">
        <v>4871</v>
      </c>
      <c r="P441" s="133" t="s">
        <v>4281</v>
      </c>
      <c r="Q441" s="133" t="s">
        <v>4872</v>
      </c>
      <c r="R441" s="133" t="s">
        <v>4281</v>
      </c>
      <c r="S441" s="133" t="s">
        <v>4873</v>
      </c>
    </row>
    <row r="442" spans="1:19">
      <c r="A442" s="133" t="s">
        <v>6039</v>
      </c>
      <c r="B442" s="133" t="s">
        <v>4866</v>
      </c>
      <c r="C442" s="133" t="s">
        <v>4279</v>
      </c>
      <c r="D442" s="133" t="s">
        <v>1013</v>
      </c>
      <c r="E442" s="133" t="s">
        <v>6040</v>
      </c>
      <c r="H442" s="133" t="s">
        <v>6041</v>
      </c>
      <c r="I442" s="133" t="s">
        <v>4486</v>
      </c>
      <c r="J442" s="133" t="s">
        <v>4487</v>
      </c>
      <c r="K442" s="133">
        <v>5309734.51</v>
      </c>
      <c r="L442" s="133">
        <v>690265.49</v>
      </c>
      <c r="M442" s="133">
        <v>690265.49</v>
      </c>
      <c r="N442" s="133" t="s">
        <v>4280</v>
      </c>
      <c r="O442" s="133" t="s">
        <v>4871</v>
      </c>
      <c r="P442" s="133" t="s">
        <v>4281</v>
      </c>
      <c r="Q442" s="133" t="s">
        <v>4872</v>
      </c>
      <c r="R442" s="133" t="s">
        <v>4281</v>
      </c>
      <c r="S442" s="133" t="s">
        <v>4873</v>
      </c>
    </row>
    <row r="443" spans="1:19">
      <c r="A443" s="133" t="s">
        <v>6042</v>
      </c>
      <c r="B443" s="133" t="s">
        <v>4866</v>
      </c>
      <c r="C443" s="133" t="s">
        <v>4279</v>
      </c>
      <c r="D443" s="133" t="s">
        <v>1013</v>
      </c>
      <c r="E443" s="133" t="s">
        <v>6043</v>
      </c>
      <c r="H443" s="133" t="s">
        <v>6044</v>
      </c>
      <c r="I443" s="133" t="s">
        <v>4486</v>
      </c>
      <c r="J443" s="133" t="s">
        <v>4487</v>
      </c>
      <c r="K443" s="133">
        <v>45757301.75</v>
      </c>
      <c r="L443" s="133">
        <v>5948449.2300000004</v>
      </c>
      <c r="M443" s="133">
        <v>5948449.2300000004</v>
      </c>
      <c r="N443" s="133" t="s">
        <v>4280</v>
      </c>
      <c r="O443" s="133" t="s">
        <v>4871</v>
      </c>
      <c r="P443" s="133" t="s">
        <v>4281</v>
      </c>
      <c r="Q443" s="133" t="s">
        <v>4872</v>
      </c>
      <c r="R443" s="133" t="s">
        <v>4281</v>
      </c>
      <c r="S443" s="133" t="s">
        <v>4873</v>
      </c>
    </row>
    <row r="444" spans="1:19">
      <c r="A444" s="133" t="s">
        <v>6045</v>
      </c>
      <c r="B444" s="133" t="s">
        <v>4866</v>
      </c>
      <c r="C444" s="133" t="s">
        <v>4279</v>
      </c>
      <c r="D444" s="133" t="s">
        <v>1013</v>
      </c>
      <c r="E444" s="133" t="s">
        <v>6046</v>
      </c>
      <c r="H444" s="133" t="s">
        <v>6047</v>
      </c>
      <c r="I444" s="133" t="s">
        <v>4486</v>
      </c>
      <c r="J444" s="133" t="s">
        <v>4487</v>
      </c>
      <c r="K444" s="133">
        <v>45757301.75</v>
      </c>
      <c r="L444" s="133">
        <v>5948449.2300000004</v>
      </c>
      <c r="M444" s="133">
        <v>5948449.2300000004</v>
      </c>
      <c r="N444" s="133" t="s">
        <v>4280</v>
      </c>
      <c r="O444" s="133" t="s">
        <v>4871</v>
      </c>
      <c r="P444" s="133" t="s">
        <v>4281</v>
      </c>
      <c r="Q444" s="133" t="s">
        <v>4872</v>
      </c>
      <c r="R444" s="133" t="s">
        <v>4281</v>
      </c>
      <c r="S444" s="133" t="s">
        <v>4873</v>
      </c>
    </row>
    <row r="445" spans="1:19">
      <c r="A445" s="133" t="s">
        <v>6048</v>
      </c>
      <c r="B445" s="133" t="s">
        <v>4866</v>
      </c>
      <c r="C445" s="133" t="s">
        <v>4279</v>
      </c>
      <c r="D445" s="133" t="s">
        <v>1013</v>
      </c>
      <c r="E445" s="133" t="s">
        <v>6049</v>
      </c>
      <c r="H445" s="133" t="s">
        <v>6050</v>
      </c>
      <c r="I445" s="133" t="s">
        <v>4486</v>
      </c>
      <c r="J445" s="133" t="s">
        <v>4487</v>
      </c>
      <c r="K445" s="133">
        <v>45757301.75</v>
      </c>
      <c r="L445" s="133">
        <v>5948449.2300000004</v>
      </c>
      <c r="M445" s="133">
        <v>5948449.2300000004</v>
      </c>
      <c r="N445" s="133" t="s">
        <v>4280</v>
      </c>
      <c r="O445" s="133" t="s">
        <v>4871</v>
      </c>
      <c r="P445" s="133" t="s">
        <v>4281</v>
      </c>
      <c r="Q445" s="133" t="s">
        <v>4872</v>
      </c>
      <c r="R445" s="133" t="s">
        <v>4281</v>
      </c>
      <c r="S445" s="133" t="s">
        <v>4873</v>
      </c>
    </row>
    <row r="446" spans="1:19">
      <c r="A446" s="133" t="s">
        <v>6051</v>
      </c>
      <c r="B446" s="133" t="s">
        <v>4866</v>
      </c>
      <c r="C446" s="133" t="s">
        <v>4279</v>
      </c>
      <c r="D446" s="133" t="s">
        <v>1013</v>
      </c>
      <c r="E446" s="133" t="s">
        <v>6052</v>
      </c>
      <c r="H446" s="133" t="s">
        <v>6053</v>
      </c>
      <c r="I446" s="133" t="s">
        <v>4486</v>
      </c>
      <c r="J446" s="133" t="s">
        <v>4487</v>
      </c>
      <c r="K446" s="133">
        <v>45757301.75</v>
      </c>
      <c r="L446" s="133">
        <v>5948449.2300000004</v>
      </c>
      <c r="M446" s="133">
        <v>5948449.2300000004</v>
      </c>
      <c r="N446" s="133" t="s">
        <v>4280</v>
      </c>
      <c r="O446" s="133" t="s">
        <v>4871</v>
      </c>
      <c r="P446" s="133" t="s">
        <v>4281</v>
      </c>
      <c r="Q446" s="133" t="s">
        <v>4872</v>
      </c>
      <c r="R446" s="133" t="s">
        <v>4281</v>
      </c>
      <c r="S446" s="133" t="s">
        <v>4873</v>
      </c>
    </row>
    <row r="447" spans="1:19">
      <c r="A447" s="133" t="s">
        <v>6054</v>
      </c>
      <c r="B447" s="133" t="s">
        <v>4866</v>
      </c>
      <c r="C447" s="133" t="s">
        <v>4279</v>
      </c>
      <c r="D447" s="133" t="s">
        <v>1013</v>
      </c>
      <c r="E447" s="133" t="s">
        <v>6055</v>
      </c>
      <c r="H447" s="133" t="s">
        <v>6056</v>
      </c>
      <c r="I447" s="133" t="s">
        <v>4486</v>
      </c>
      <c r="J447" s="133" t="s">
        <v>4487</v>
      </c>
      <c r="K447" s="133">
        <v>45757301.75</v>
      </c>
      <c r="L447" s="133">
        <v>5948449.2300000004</v>
      </c>
      <c r="M447" s="133">
        <v>5948449.2300000004</v>
      </c>
      <c r="N447" s="133" t="s">
        <v>4280</v>
      </c>
      <c r="O447" s="133" t="s">
        <v>4871</v>
      </c>
      <c r="P447" s="133" t="s">
        <v>4281</v>
      </c>
      <c r="Q447" s="133" t="s">
        <v>4872</v>
      </c>
      <c r="R447" s="133" t="s">
        <v>4281</v>
      </c>
      <c r="S447" s="133" t="s">
        <v>4873</v>
      </c>
    </row>
    <row r="448" spans="1:19">
      <c r="A448" s="133" t="s">
        <v>6057</v>
      </c>
      <c r="B448" s="133" t="s">
        <v>4866</v>
      </c>
      <c r="C448" s="133" t="s">
        <v>4279</v>
      </c>
      <c r="D448" s="133" t="s">
        <v>1013</v>
      </c>
      <c r="E448" s="133" t="s">
        <v>6058</v>
      </c>
      <c r="H448" s="133" t="s">
        <v>6059</v>
      </c>
      <c r="I448" s="133" t="s">
        <v>4486</v>
      </c>
      <c r="J448" s="133" t="s">
        <v>4487</v>
      </c>
      <c r="K448" s="133">
        <v>45757301.75</v>
      </c>
      <c r="L448" s="133">
        <v>5948449.2300000004</v>
      </c>
      <c r="M448" s="133">
        <v>5948449.2300000004</v>
      </c>
      <c r="N448" s="133" t="s">
        <v>4280</v>
      </c>
      <c r="O448" s="133" t="s">
        <v>4871</v>
      </c>
      <c r="P448" s="133" t="s">
        <v>4281</v>
      </c>
      <c r="Q448" s="133" t="s">
        <v>4872</v>
      </c>
      <c r="R448" s="133" t="s">
        <v>4281</v>
      </c>
      <c r="S448" s="133" t="s">
        <v>4873</v>
      </c>
    </row>
    <row r="449" spans="1:19">
      <c r="A449" s="133" t="s">
        <v>6060</v>
      </c>
      <c r="B449" s="133" t="s">
        <v>4866</v>
      </c>
      <c r="C449" s="133" t="s">
        <v>4279</v>
      </c>
      <c r="D449" s="133" t="s">
        <v>1013</v>
      </c>
      <c r="E449" s="133" t="s">
        <v>6061</v>
      </c>
      <c r="H449" s="133" t="s">
        <v>6062</v>
      </c>
      <c r="I449" s="133" t="s">
        <v>4486</v>
      </c>
      <c r="J449" s="133" t="s">
        <v>4487</v>
      </c>
      <c r="K449" s="133">
        <v>45757301.75</v>
      </c>
      <c r="L449" s="133">
        <v>5948449.2300000004</v>
      </c>
      <c r="M449" s="133">
        <v>5948449.2300000004</v>
      </c>
      <c r="N449" s="133" t="s">
        <v>4280</v>
      </c>
      <c r="O449" s="133" t="s">
        <v>4871</v>
      </c>
      <c r="P449" s="133" t="s">
        <v>4281</v>
      </c>
      <c r="Q449" s="133" t="s">
        <v>4872</v>
      </c>
      <c r="R449" s="133" t="s">
        <v>4281</v>
      </c>
      <c r="S449" s="133" t="s">
        <v>4873</v>
      </c>
    </row>
    <row r="450" spans="1:19">
      <c r="A450" s="133" t="s">
        <v>6063</v>
      </c>
      <c r="B450" s="133" t="s">
        <v>4866</v>
      </c>
      <c r="C450" s="133" t="s">
        <v>4279</v>
      </c>
      <c r="D450" s="133" t="s">
        <v>1013</v>
      </c>
      <c r="E450" s="133" t="s">
        <v>6064</v>
      </c>
      <c r="H450" s="133" t="s">
        <v>6065</v>
      </c>
      <c r="I450" s="133" t="s">
        <v>4486</v>
      </c>
      <c r="J450" s="133" t="s">
        <v>4487</v>
      </c>
      <c r="K450" s="133">
        <v>36605841.390000001</v>
      </c>
      <c r="L450" s="133">
        <v>4758759.3600000003</v>
      </c>
      <c r="M450" s="133">
        <v>4758759.3600000003</v>
      </c>
      <c r="N450" s="133" t="s">
        <v>4280</v>
      </c>
      <c r="O450" s="133" t="s">
        <v>4871</v>
      </c>
      <c r="P450" s="133" t="s">
        <v>4281</v>
      </c>
      <c r="Q450" s="133" t="s">
        <v>4872</v>
      </c>
      <c r="R450" s="133" t="s">
        <v>4281</v>
      </c>
      <c r="S450" s="133" t="s">
        <v>4873</v>
      </c>
    </row>
    <row r="451" spans="1:19">
      <c r="A451" s="133" t="s">
        <v>6066</v>
      </c>
      <c r="B451" s="133" t="s">
        <v>4866</v>
      </c>
      <c r="C451" s="133" t="s">
        <v>4279</v>
      </c>
      <c r="D451" s="133" t="s">
        <v>1013</v>
      </c>
      <c r="E451" s="133" t="s">
        <v>6067</v>
      </c>
      <c r="H451" s="133" t="s">
        <v>6068</v>
      </c>
      <c r="I451" s="133" t="s">
        <v>4486</v>
      </c>
      <c r="J451" s="133" t="s">
        <v>4487</v>
      </c>
      <c r="K451" s="133">
        <v>9249788.7699999996</v>
      </c>
      <c r="L451" s="133">
        <v>1202472.54</v>
      </c>
      <c r="M451" s="133">
        <v>1202472.54</v>
      </c>
      <c r="N451" s="133" t="s">
        <v>4280</v>
      </c>
      <c r="O451" s="133" t="s">
        <v>4871</v>
      </c>
      <c r="P451" s="133" t="s">
        <v>4281</v>
      </c>
      <c r="Q451" s="133" t="s">
        <v>4872</v>
      </c>
      <c r="R451" s="133" t="s">
        <v>4281</v>
      </c>
      <c r="S451" s="133" t="s">
        <v>4873</v>
      </c>
    </row>
    <row r="452" spans="1:19">
      <c r="A452" s="133" t="s">
        <v>6069</v>
      </c>
      <c r="B452" s="133" t="s">
        <v>4866</v>
      </c>
      <c r="C452" s="133" t="s">
        <v>4279</v>
      </c>
      <c r="D452" s="133" t="s">
        <v>1013</v>
      </c>
      <c r="E452" s="133" t="s">
        <v>6070</v>
      </c>
      <c r="H452" s="133" t="s">
        <v>6071</v>
      </c>
      <c r="I452" s="133" t="s">
        <v>4486</v>
      </c>
      <c r="J452" s="133" t="s">
        <v>4487</v>
      </c>
      <c r="K452" s="133">
        <v>9249788.7699999996</v>
      </c>
      <c r="L452" s="133">
        <v>1202472.54</v>
      </c>
      <c r="M452" s="133">
        <v>1202472.54</v>
      </c>
      <c r="N452" s="133" t="s">
        <v>4280</v>
      </c>
      <c r="O452" s="133" t="s">
        <v>4871</v>
      </c>
      <c r="P452" s="133" t="s">
        <v>4281</v>
      </c>
      <c r="Q452" s="133" t="s">
        <v>4872</v>
      </c>
      <c r="R452" s="133" t="s">
        <v>4281</v>
      </c>
      <c r="S452" s="133" t="s">
        <v>4873</v>
      </c>
    </row>
    <row r="453" spans="1:19">
      <c r="A453" s="133" t="s">
        <v>6072</v>
      </c>
      <c r="B453" s="133" t="s">
        <v>4866</v>
      </c>
      <c r="C453" s="133" t="s">
        <v>4279</v>
      </c>
      <c r="D453" s="133" t="s">
        <v>1013</v>
      </c>
      <c r="E453" s="133" t="s">
        <v>6073</v>
      </c>
      <c r="H453" s="133" t="s">
        <v>6074</v>
      </c>
      <c r="I453" s="133" t="s">
        <v>4486</v>
      </c>
      <c r="J453" s="133" t="s">
        <v>4487</v>
      </c>
      <c r="K453" s="133">
        <v>9249788.7699999996</v>
      </c>
      <c r="L453" s="133">
        <v>1202472.54</v>
      </c>
      <c r="M453" s="133">
        <v>1202472.54</v>
      </c>
      <c r="N453" s="133" t="s">
        <v>4280</v>
      </c>
      <c r="O453" s="133" t="s">
        <v>4871</v>
      </c>
      <c r="P453" s="133" t="s">
        <v>4281</v>
      </c>
      <c r="Q453" s="133" t="s">
        <v>4872</v>
      </c>
      <c r="R453" s="133" t="s">
        <v>4281</v>
      </c>
      <c r="S453" s="133" t="s">
        <v>4873</v>
      </c>
    </row>
    <row r="454" spans="1:19">
      <c r="A454" s="133" t="s">
        <v>6075</v>
      </c>
      <c r="B454" s="133" t="s">
        <v>4866</v>
      </c>
      <c r="C454" s="133" t="s">
        <v>4279</v>
      </c>
      <c r="D454" s="133" t="s">
        <v>1013</v>
      </c>
      <c r="E454" s="133" t="s">
        <v>6076</v>
      </c>
      <c r="H454" s="133" t="s">
        <v>6077</v>
      </c>
      <c r="I454" s="133" t="s">
        <v>4486</v>
      </c>
      <c r="J454" s="133" t="s">
        <v>4487</v>
      </c>
      <c r="K454" s="133">
        <v>9249788.7699999996</v>
      </c>
      <c r="L454" s="133">
        <v>1202472.54</v>
      </c>
      <c r="M454" s="133">
        <v>1202472.54</v>
      </c>
      <c r="N454" s="133" t="s">
        <v>4280</v>
      </c>
      <c r="O454" s="133" t="s">
        <v>4871</v>
      </c>
      <c r="P454" s="133" t="s">
        <v>4281</v>
      </c>
      <c r="Q454" s="133" t="s">
        <v>4872</v>
      </c>
      <c r="R454" s="133" t="s">
        <v>4281</v>
      </c>
      <c r="S454" s="133" t="s">
        <v>4873</v>
      </c>
    </row>
    <row r="455" spans="1:19">
      <c r="A455" s="133" t="s">
        <v>6078</v>
      </c>
      <c r="B455" s="133" t="s">
        <v>4866</v>
      </c>
      <c r="C455" s="133" t="s">
        <v>4279</v>
      </c>
      <c r="D455" s="133" t="s">
        <v>1013</v>
      </c>
      <c r="E455" s="133" t="s">
        <v>6079</v>
      </c>
      <c r="H455" s="133" t="s">
        <v>6080</v>
      </c>
      <c r="I455" s="133" t="s">
        <v>4486</v>
      </c>
      <c r="J455" s="133" t="s">
        <v>4487</v>
      </c>
      <c r="K455" s="133">
        <v>9249788.7699999996</v>
      </c>
      <c r="L455" s="133">
        <v>1202472.54</v>
      </c>
      <c r="M455" s="133">
        <v>1202472.54</v>
      </c>
      <c r="N455" s="133" t="s">
        <v>4280</v>
      </c>
      <c r="O455" s="133" t="s">
        <v>4871</v>
      </c>
      <c r="P455" s="133" t="s">
        <v>4281</v>
      </c>
      <c r="Q455" s="133" t="s">
        <v>4872</v>
      </c>
      <c r="R455" s="133" t="s">
        <v>4281</v>
      </c>
      <c r="S455" s="133" t="s">
        <v>4873</v>
      </c>
    </row>
    <row r="456" spans="1:19">
      <c r="A456" s="133" t="s">
        <v>6081</v>
      </c>
      <c r="B456" s="133" t="s">
        <v>4866</v>
      </c>
      <c r="C456" s="133" t="s">
        <v>4279</v>
      </c>
      <c r="D456" s="133" t="s">
        <v>1013</v>
      </c>
      <c r="E456" s="133" t="s">
        <v>6082</v>
      </c>
      <c r="H456" s="133" t="s">
        <v>6083</v>
      </c>
      <c r="I456" s="133" t="s">
        <v>4486</v>
      </c>
      <c r="J456" s="133" t="s">
        <v>4487</v>
      </c>
      <c r="K456" s="133">
        <v>9249788.6799999997</v>
      </c>
      <c r="L456" s="133">
        <v>1202472.53</v>
      </c>
      <c r="M456" s="133">
        <v>1202472.53</v>
      </c>
      <c r="N456" s="133" t="s">
        <v>4280</v>
      </c>
      <c r="O456" s="133" t="s">
        <v>4871</v>
      </c>
      <c r="P456" s="133" t="s">
        <v>4281</v>
      </c>
      <c r="Q456" s="133" t="s">
        <v>4872</v>
      </c>
      <c r="R456" s="133" t="s">
        <v>4281</v>
      </c>
      <c r="S456" s="133" t="s">
        <v>4873</v>
      </c>
    </row>
    <row r="457" spans="1:19">
      <c r="A457" s="133" t="s">
        <v>6084</v>
      </c>
      <c r="B457" s="133" t="s">
        <v>4866</v>
      </c>
      <c r="C457" s="133" t="s">
        <v>4279</v>
      </c>
      <c r="D457" s="133" t="s">
        <v>1013</v>
      </c>
      <c r="E457" s="133" t="s">
        <v>6085</v>
      </c>
      <c r="H457" s="133" t="s">
        <v>6086</v>
      </c>
      <c r="I457" s="133" t="s">
        <v>4486</v>
      </c>
      <c r="J457" s="133" t="s">
        <v>4487</v>
      </c>
      <c r="K457" s="133">
        <v>9249788.7699999996</v>
      </c>
      <c r="L457" s="133">
        <v>1202472.54</v>
      </c>
      <c r="M457" s="133">
        <v>1202472.54</v>
      </c>
      <c r="N457" s="133" t="s">
        <v>4280</v>
      </c>
      <c r="O457" s="133" t="s">
        <v>4871</v>
      </c>
      <c r="P457" s="133" t="s">
        <v>4281</v>
      </c>
      <c r="Q457" s="133" t="s">
        <v>4872</v>
      </c>
      <c r="R457" s="133" t="s">
        <v>4281</v>
      </c>
      <c r="S457" s="133" t="s">
        <v>4873</v>
      </c>
    </row>
    <row r="458" spans="1:19">
      <c r="A458" s="133" t="s">
        <v>6087</v>
      </c>
      <c r="B458" s="133" t="s">
        <v>4866</v>
      </c>
      <c r="C458" s="133" t="s">
        <v>4279</v>
      </c>
      <c r="D458" s="133" t="s">
        <v>1013</v>
      </c>
      <c r="E458" s="133" t="s">
        <v>6088</v>
      </c>
      <c r="H458" s="133" t="s">
        <v>6089</v>
      </c>
      <c r="I458" s="133" t="s">
        <v>4486</v>
      </c>
      <c r="J458" s="133" t="s">
        <v>4487</v>
      </c>
      <c r="K458" s="133">
        <v>9249788.7699999996</v>
      </c>
      <c r="L458" s="133">
        <v>1202472.54</v>
      </c>
      <c r="M458" s="133">
        <v>1202472.54</v>
      </c>
      <c r="N458" s="133" t="s">
        <v>4280</v>
      </c>
      <c r="O458" s="133" t="s">
        <v>4871</v>
      </c>
      <c r="P458" s="133" t="s">
        <v>4281</v>
      </c>
      <c r="Q458" s="133" t="s">
        <v>4872</v>
      </c>
      <c r="R458" s="133" t="s">
        <v>4281</v>
      </c>
      <c r="S458" s="133" t="s">
        <v>4873</v>
      </c>
    </row>
    <row r="459" spans="1:19">
      <c r="A459" s="133" t="s">
        <v>6090</v>
      </c>
      <c r="B459" s="133" t="s">
        <v>4866</v>
      </c>
      <c r="C459" s="133" t="s">
        <v>4279</v>
      </c>
      <c r="D459" s="133" t="s">
        <v>1013</v>
      </c>
      <c r="E459" s="133" t="s">
        <v>6091</v>
      </c>
      <c r="H459" s="133" t="s">
        <v>6092</v>
      </c>
      <c r="I459" s="133" t="s">
        <v>4486</v>
      </c>
      <c r="J459" s="133" t="s">
        <v>4487</v>
      </c>
      <c r="K459" s="133">
        <v>9249788.7699999996</v>
      </c>
      <c r="L459" s="133">
        <v>1202472.54</v>
      </c>
      <c r="M459" s="133">
        <v>1202472.54</v>
      </c>
      <c r="N459" s="133" t="s">
        <v>4280</v>
      </c>
      <c r="O459" s="133" t="s">
        <v>4871</v>
      </c>
      <c r="P459" s="133" t="s">
        <v>4281</v>
      </c>
      <c r="Q459" s="133" t="s">
        <v>4872</v>
      </c>
      <c r="R459" s="133" t="s">
        <v>4281</v>
      </c>
      <c r="S459" s="133" t="s">
        <v>4873</v>
      </c>
    </row>
    <row r="460" spans="1:19">
      <c r="A460" s="133" t="s">
        <v>6093</v>
      </c>
      <c r="B460" s="133" t="s">
        <v>4866</v>
      </c>
      <c r="C460" s="133" t="s">
        <v>4279</v>
      </c>
      <c r="D460" s="133" t="s">
        <v>1013</v>
      </c>
      <c r="E460" s="133" t="s">
        <v>6094</v>
      </c>
      <c r="H460" s="133" t="s">
        <v>6095</v>
      </c>
      <c r="I460" s="133" t="s">
        <v>4486</v>
      </c>
      <c r="J460" s="133" t="s">
        <v>4487</v>
      </c>
      <c r="K460" s="133">
        <v>9249788.7699999996</v>
      </c>
      <c r="L460" s="133">
        <v>1202472.54</v>
      </c>
      <c r="M460" s="133">
        <v>1202472.54</v>
      </c>
      <c r="N460" s="133" t="s">
        <v>4280</v>
      </c>
      <c r="O460" s="133" t="s">
        <v>4871</v>
      </c>
      <c r="P460" s="133" t="s">
        <v>4281</v>
      </c>
      <c r="Q460" s="133" t="s">
        <v>4872</v>
      </c>
      <c r="R460" s="133" t="s">
        <v>4281</v>
      </c>
      <c r="S460" s="133" t="s">
        <v>4873</v>
      </c>
    </row>
    <row r="461" spans="1:19">
      <c r="A461" s="133" t="s">
        <v>6096</v>
      </c>
      <c r="B461" s="133" t="s">
        <v>4866</v>
      </c>
      <c r="C461" s="133" t="s">
        <v>4279</v>
      </c>
      <c r="D461" s="133" t="s">
        <v>1013</v>
      </c>
      <c r="E461" s="133" t="s">
        <v>6097</v>
      </c>
      <c r="H461" s="133" t="s">
        <v>6098</v>
      </c>
      <c r="I461" s="133" t="s">
        <v>4486</v>
      </c>
      <c r="J461" s="133" t="s">
        <v>4487</v>
      </c>
      <c r="K461" s="133">
        <v>9249788.7699999996</v>
      </c>
      <c r="L461" s="133">
        <v>1202472.54</v>
      </c>
      <c r="M461" s="133">
        <v>1202472.54</v>
      </c>
      <c r="N461" s="133" t="s">
        <v>4280</v>
      </c>
      <c r="O461" s="133" t="s">
        <v>4871</v>
      </c>
      <c r="P461" s="133" t="s">
        <v>4281</v>
      </c>
      <c r="Q461" s="133" t="s">
        <v>4872</v>
      </c>
      <c r="R461" s="133" t="s">
        <v>4281</v>
      </c>
      <c r="S461" s="133" t="s">
        <v>4873</v>
      </c>
    </row>
    <row r="462" spans="1:19">
      <c r="A462" s="133" t="s">
        <v>6099</v>
      </c>
      <c r="B462" s="133" t="s">
        <v>4866</v>
      </c>
      <c r="C462" s="133" t="s">
        <v>4279</v>
      </c>
      <c r="D462" s="133" t="s">
        <v>1013</v>
      </c>
      <c r="E462" s="133" t="s">
        <v>6100</v>
      </c>
      <c r="H462" s="133" t="s">
        <v>6101</v>
      </c>
      <c r="I462" s="133" t="s">
        <v>4486</v>
      </c>
      <c r="J462" s="133" t="s">
        <v>4487</v>
      </c>
      <c r="K462" s="133">
        <v>9249788.7699999996</v>
      </c>
      <c r="L462" s="133">
        <v>1202472.54</v>
      </c>
      <c r="M462" s="133">
        <v>1202472.54</v>
      </c>
      <c r="N462" s="133" t="s">
        <v>4280</v>
      </c>
      <c r="O462" s="133" t="s">
        <v>4871</v>
      </c>
      <c r="P462" s="133" t="s">
        <v>4281</v>
      </c>
      <c r="Q462" s="133" t="s">
        <v>4872</v>
      </c>
      <c r="R462" s="133" t="s">
        <v>4281</v>
      </c>
      <c r="S462" s="133" t="s">
        <v>4873</v>
      </c>
    </row>
    <row r="463" spans="1:19">
      <c r="A463" s="133" t="s">
        <v>6102</v>
      </c>
      <c r="B463" s="133" t="s">
        <v>4866</v>
      </c>
      <c r="C463" s="133" t="s">
        <v>4279</v>
      </c>
      <c r="D463" s="133" t="s">
        <v>1013</v>
      </c>
      <c r="E463" s="133" t="s">
        <v>6103</v>
      </c>
      <c r="H463" s="133" t="s">
        <v>6104</v>
      </c>
      <c r="I463" s="133" t="s">
        <v>4486</v>
      </c>
      <c r="J463" s="133" t="s">
        <v>4487</v>
      </c>
      <c r="K463" s="133">
        <v>9249788.7699999996</v>
      </c>
      <c r="L463" s="133">
        <v>1202472.54</v>
      </c>
      <c r="M463" s="133">
        <v>1202472.54</v>
      </c>
      <c r="N463" s="133" t="s">
        <v>4280</v>
      </c>
      <c r="O463" s="133" t="s">
        <v>4871</v>
      </c>
      <c r="P463" s="133" t="s">
        <v>4281</v>
      </c>
      <c r="Q463" s="133" t="s">
        <v>4872</v>
      </c>
      <c r="R463" s="133" t="s">
        <v>4281</v>
      </c>
      <c r="S463" s="133" t="s">
        <v>4873</v>
      </c>
    </row>
    <row r="464" spans="1:19">
      <c r="A464" s="133" t="s">
        <v>6105</v>
      </c>
      <c r="B464" s="133" t="s">
        <v>4866</v>
      </c>
      <c r="C464" s="133" t="s">
        <v>4279</v>
      </c>
      <c r="D464" s="133" t="s">
        <v>1013</v>
      </c>
      <c r="E464" s="133" t="s">
        <v>6106</v>
      </c>
      <c r="H464" s="133" t="s">
        <v>6107</v>
      </c>
      <c r="I464" s="133" t="s">
        <v>4486</v>
      </c>
      <c r="J464" s="133" t="s">
        <v>4487</v>
      </c>
      <c r="K464" s="133">
        <v>9249788.7699999996</v>
      </c>
      <c r="L464" s="133">
        <v>1202472.54</v>
      </c>
      <c r="M464" s="133">
        <v>1202472.54</v>
      </c>
      <c r="N464" s="133" t="s">
        <v>4280</v>
      </c>
      <c r="O464" s="133" t="s">
        <v>4871</v>
      </c>
      <c r="P464" s="133" t="s">
        <v>4281</v>
      </c>
      <c r="Q464" s="133" t="s">
        <v>4872</v>
      </c>
      <c r="R464" s="133" t="s">
        <v>4281</v>
      </c>
      <c r="S464" s="133" t="s">
        <v>4873</v>
      </c>
    </row>
    <row r="465" spans="1:19">
      <c r="A465" s="133" t="s">
        <v>6108</v>
      </c>
      <c r="B465" s="133" t="s">
        <v>4866</v>
      </c>
      <c r="C465" s="133" t="s">
        <v>4279</v>
      </c>
      <c r="D465" s="133" t="s">
        <v>1013</v>
      </c>
      <c r="E465" s="133" t="s">
        <v>6109</v>
      </c>
      <c r="H465" s="133" t="s">
        <v>6110</v>
      </c>
      <c r="I465" s="133" t="s">
        <v>4486</v>
      </c>
      <c r="J465" s="133" t="s">
        <v>4487</v>
      </c>
      <c r="K465" s="133">
        <v>9249788.7699999996</v>
      </c>
      <c r="L465" s="133">
        <v>1202472.54</v>
      </c>
      <c r="M465" s="133">
        <v>1202472.54</v>
      </c>
      <c r="N465" s="133" t="s">
        <v>4280</v>
      </c>
      <c r="O465" s="133" t="s">
        <v>4871</v>
      </c>
      <c r="P465" s="133" t="s">
        <v>4281</v>
      </c>
      <c r="Q465" s="133" t="s">
        <v>4872</v>
      </c>
      <c r="R465" s="133" t="s">
        <v>4281</v>
      </c>
      <c r="S465" s="133" t="s">
        <v>4873</v>
      </c>
    </row>
    <row r="466" spans="1:19">
      <c r="A466" s="133" t="s">
        <v>6111</v>
      </c>
      <c r="B466" s="133" t="s">
        <v>4866</v>
      </c>
      <c r="C466" s="133" t="s">
        <v>4279</v>
      </c>
      <c r="D466" s="133" t="s">
        <v>1013</v>
      </c>
      <c r="E466" s="133" t="s">
        <v>6112</v>
      </c>
      <c r="H466" s="133" t="s">
        <v>6113</v>
      </c>
      <c r="I466" s="133" t="s">
        <v>4486</v>
      </c>
      <c r="J466" s="133" t="s">
        <v>4487</v>
      </c>
      <c r="K466" s="133">
        <v>9249788.7699999996</v>
      </c>
      <c r="L466" s="133">
        <v>1202472.54</v>
      </c>
      <c r="M466" s="133">
        <v>1202472.54</v>
      </c>
      <c r="N466" s="133" t="s">
        <v>4280</v>
      </c>
      <c r="O466" s="133" t="s">
        <v>4871</v>
      </c>
      <c r="P466" s="133" t="s">
        <v>4281</v>
      </c>
      <c r="Q466" s="133" t="s">
        <v>4872</v>
      </c>
      <c r="R466" s="133" t="s">
        <v>4281</v>
      </c>
      <c r="S466" s="133" t="s">
        <v>4873</v>
      </c>
    </row>
    <row r="467" spans="1:19">
      <c r="A467" s="133" t="s">
        <v>6114</v>
      </c>
      <c r="B467" s="133" t="s">
        <v>4866</v>
      </c>
      <c r="C467" s="133" t="s">
        <v>4279</v>
      </c>
      <c r="D467" s="133" t="s">
        <v>1013</v>
      </c>
      <c r="E467" s="133" t="s">
        <v>6115</v>
      </c>
      <c r="H467" s="133" t="s">
        <v>6116</v>
      </c>
      <c r="I467" s="133" t="s">
        <v>4486</v>
      </c>
      <c r="J467" s="133" t="s">
        <v>4487</v>
      </c>
      <c r="K467" s="133">
        <v>9249788.7699999996</v>
      </c>
      <c r="L467" s="133">
        <v>1202472.54</v>
      </c>
      <c r="M467" s="133">
        <v>1202472.54</v>
      </c>
      <c r="N467" s="133" t="s">
        <v>4280</v>
      </c>
      <c r="O467" s="133" t="s">
        <v>4871</v>
      </c>
      <c r="P467" s="133" t="s">
        <v>4281</v>
      </c>
      <c r="Q467" s="133" t="s">
        <v>4872</v>
      </c>
      <c r="R467" s="133" t="s">
        <v>4281</v>
      </c>
      <c r="S467" s="133" t="s">
        <v>4873</v>
      </c>
    </row>
    <row r="468" spans="1:19">
      <c r="A468" s="133" t="s">
        <v>6117</v>
      </c>
      <c r="B468" s="133" t="s">
        <v>4866</v>
      </c>
      <c r="C468" s="133" t="s">
        <v>4279</v>
      </c>
      <c r="D468" s="133" t="s">
        <v>1013</v>
      </c>
      <c r="E468" s="133" t="s">
        <v>6118</v>
      </c>
      <c r="H468" s="133" t="s">
        <v>6119</v>
      </c>
      <c r="I468" s="133" t="s">
        <v>4486</v>
      </c>
      <c r="J468" s="133" t="s">
        <v>4487</v>
      </c>
      <c r="K468" s="133">
        <v>9249788.7699999996</v>
      </c>
      <c r="L468" s="133">
        <v>1202472.54</v>
      </c>
      <c r="M468" s="133">
        <v>1202472.54</v>
      </c>
      <c r="N468" s="133" t="s">
        <v>4280</v>
      </c>
      <c r="O468" s="133" t="s">
        <v>4871</v>
      </c>
      <c r="P468" s="133" t="s">
        <v>4281</v>
      </c>
      <c r="Q468" s="133" t="s">
        <v>4872</v>
      </c>
      <c r="R468" s="133" t="s">
        <v>4281</v>
      </c>
      <c r="S468" s="133" t="s">
        <v>4873</v>
      </c>
    </row>
    <row r="469" spans="1:19">
      <c r="A469" s="133" t="s">
        <v>6120</v>
      </c>
      <c r="B469" s="133" t="s">
        <v>4866</v>
      </c>
      <c r="C469" s="133" t="s">
        <v>4279</v>
      </c>
      <c r="D469" s="133" t="s">
        <v>1013</v>
      </c>
      <c r="E469" s="133" t="s">
        <v>6121</v>
      </c>
      <c r="H469" s="133" t="s">
        <v>6122</v>
      </c>
      <c r="I469" s="133" t="s">
        <v>4486</v>
      </c>
      <c r="J469" s="133" t="s">
        <v>4487</v>
      </c>
      <c r="K469" s="133">
        <v>9249788.7699999996</v>
      </c>
      <c r="L469" s="133">
        <v>1202472.54</v>
      </c>
      <c r="M469" s="133">
        <v>1202472.54</v>
      </c>
      <c r="N469" s="133" t="s">
        <v>4280</v>
      </c>
      <c r="O469" s="133" t="s">
        <v>4871</v>
      </c>
      <c r="P469" s="133" t="s">
        <v>4281</v>
      </c>
      <c r="Q469" s="133" t="s">
        <v>4872</v>
      </c>
      <c r="R469" s="133" t="s">
        <v>4281</v>
      </c>
      <c r="S469" s="133" t="s">
        <v>4873</v>
      </c>
    </row>
    <row r="470" spans="1:19">
      <c r="A470" s="133" t="s">
        <v>6123</v>
      </c>
      <c r="B470" s="133" t="s">
        <v>4866</v>
      </c>
      <c r="C470" s="133" t="s">
        <v>4279</v>
      </c>
      <c r="D470" s="133" t="s">
        <v>1013</v>
      </c>
      <c r="E470" s="133" t="s">
        <v>6124</v>
      </c>
      <c r="H470" s="133" t="s">
        <v>6125</v>
      </c>
      <c r="I470" s="133" t="s">
        <v>4486</v>
      </c>
      <c r="J470" s="133" t="s">
        <v>4487</v>
      </c>
      <c r="K470" s="133">
        <v>9249788.7699999996</v>
      </c>
      <c r="L470" s="133">
        <v>1202472.54</v>
      </c>
      <c r="M470" s="133">
        <v>1202472.54</v>
      </c>
      <c r="N470" s="133" t="s">
        <v>4280</v>
      </c>
      <c r="O470" s="133" t="s">
        <v>4871</v>
      </c>
      <c r="P470" s="133" t="s">
        <v>4281</v>
      </c>
      <c r="Q470" s="133" t="s">
        <v>4872</v>
      </c>
      <c r="R470" s="133" t="s">
        <v>4281</v>
      </c>
      <c r="S470" s="133" t="s">
        <v>4873</v>
      </c>
    </row>
    <row r="471" spans="1:19">
      <c r="A471" s="133" t="s">
        <v>6126</v>
      </c>
      <c r="B471" s="133" t="s">
        <v>4866</v>
      </c>
      <c r="C471" s="133" t="s">
        <v>4279</v>
      </c>
      <c r="D471" s="133" t="s">
        <v>1013</v>
      </c>
      <c r="E471" s="133" t="s">
        <v>6127</v>
      </c>
      <c r="H471" s="133" t="s">
        <v>6128</v>
      </c>
      <c r="I471" s="133" t="s">
        <v>4486</v>
      </c>
      <c r="J471" s="133" t="s">
        <v>4487</v>
      </c>
      <c r="K471" s="133">
        <v>9249788.7699999996</v>
      </c>
      <c r="L471" s="133">
        <v>1202472.54</v>
      </c>
      <c r="M471" s="133">
        <v>1202472.54</v>
      </c>
      <c r="N471" s="133" t="s">
        <v>4280</v>
      </c>
      <c r="O471" s="133" t="s">
        <v>4871</v>
      </c>
      <c r="P471" s="133" t="s">
        <v>4281</v>
      </c>
      <c r="Q471" s="133" t="s">
        <v>4872</v>
      </c>
      <c r="R471" s="133" t="s">
        <v>4281</v>
      </c>
      <c r="S471" s="133" t="s">
        <v>4873</v>
      </c>
    </row>
    <row r="472" spans="1:19">
      <c r="A472" s="133" t="s">
        <v>6129</v>
      </c>
      <c r="B472" s="133" t="s">
        <v>4866</v>
      </c>
      <c r="C472" s="133" t="s">
        <v>4279</v>
      </c>
      <c r="D472" s="133" t="s">
        <v>1013</v>
      </c>
      <c r="E472" s="133" t="s">
        <v>6130</v>
      </c>
      <c r="H472" s="133" t="s">
        <v>6131</v>
      </c>
      <c r="I472" s="133" t="s">
        <v>4486</v>
      </c>
      <c r="J472" s="133" t="s">
        <v>4487</v>
      </c>
      <c r="K472" s="133">
        <v>9249788.7699999996</v>
      </c>
      <c r="L472" s="133">
        <v>1202472.54</v>
      </c>
      <c r="M472" s="133">
        <v>1202472.54</v>
      </c>
      <c r="N472" s="133" t="s">
        <v>4280</v>
      </c>
      <c r="O472" s="133" t="s">
        <v>4871</v>
      </c>
      <c r="P472" s="133" t="s">
        <v>4281</v>
      </c>
      <c r="Q472" s="133" t="s">
        <v>4872</v>
      </c>
      <c r="R472" s="133" t="s">
        <v>4281</v>
      </c>
      <c r="S472" s="133" t="s">
        <v>4873</v>
      </c>
    </row>
    <row r="473" spans="1:19">
      <c r="A473" s="133" t="s">
        <v>6132</v>
      </c>
      <c r="B473" s="133" t="s">
        <v>4866</v>
      </c>
      <c r="C473" s="133" t="s">
        <v>4279</v>
      </c>
      <c r="D473" s="133" t="s">
        <v>1013</v>
      </c>
      <c r="E473" s="133" t="s">
        <v>3046</v>
      </c>
      <c r="H473" s="133" t="s">
        <v>6133</v>
      </c>
      <c r="I473" s="133" t="s">
        <v>6134</v>
      </c>
      <c r="J473" s="133" t="s">
        <v>6135</v>
      </c>
      <c r="K473" s="133">
        <v>19603.96</v>
      </c>
      <c r="L473" s="133">
        <v>196.04</v>
      </c>
      <c r="M473" s="133">
        <v>196.04</v>
      </c>
      <c r="N473" s="133" t="s">
        <v>4280</v>
      </c>
      <c r="O473" s="133" t="s">
        <v>4871</v>
      </c>
      <c r="P473" s="133" t="s">
        <v>4281</v>
      </c>
      <c r="Q473" s="133" t="s">
        <v>4872</v>
      </c>
      <c r="R473" s="133" t="s">
        <v>4281</v>
      </c>
      <c r="S473" s="133" t="s">
        <v>4873</v>
      </c>
    </row>
    <row r="474" spans="1:19">
      <c r="A474" s="133" t="s">
        <v>6136</v>
      </c>
      <c r="B474" s="133" t="s">
        <v>4866</v>
      </c>
      <c r="C474" s="133" t="s">
        <v>4279</v>
      </c>
      <c r="D474" s="133" t="s">
        <v>1013</v>
      </c>
      <c r="E474" s="133" t="s">
        <v>2847</v>
      </c>
      <c r="H474" s="133" t="s">
        <v>6137</v>
      </c>
      <c r="I474" s="133" t="s">
        <v>6138</v>
      </c>
      <c r="J474" s="133" t="s">
        <v>6139</v>
      </c>
      <c r="K474" s="133">
        <v>135849.06</v>
      </c>
      <c r="L474" s="133">
        <v>8150.94</v>
      </c>
      <c r="M474" s="133">
        <v>8150.94</v>
      </c>
      <c r="N474" s="133" t="s">
        <v>4280</v>
      </c>
      <c r="O474" s="133" t="s">
        <v>4871</v>
      </c>
      <c r="P474" s="133" t="s">
        <v>4281</v>
      </c>
      <c r="Q474" s="133" t="s">
        <v>4872</v>
      </c>
      <c r="R474" s="133" t="s">
        <v>4281</v>
      </c>
      <c r="S474" s="133" t="s">
        <v>4873</v>
      </c>
    </row>
    <row r="475" spans="1:19">
      <c r="A475" s="133" t="s">
        <v>6140</v>
      </c>
      <c r="B475" s="133" t="s">
        <v>4866</v>
      </c>
      <c r="C475" s="133" t="s">
        <v>4279</v>
      </c>
      <c r="D475" s="133" t="s">
        <v>1013</v>
      </c>
      <c r="E475" s="133" t="s">
        <v>6141</v>
      </c>
      <c r="H475" s="133" t="s">
        <v>6142</v>
      </c>
      <c r="I475" s="133" t="s">
        <v>6143</v>
      </c>
      <c r="J475" s="133" t="s">
        <v>6144</v>
      </c>
      <c r="K475" s="133">
        <v>1701818.76</v>
      </c>
      <c r="L475" s="133">
        <v>221236.44</v>
      </c>
      <c r="M475" s="133">
        <v>221236.44</v>
      </c>
      <c r="N475" s="133" t="s">
        <v>4280</v>
      </c>
      <c r="O475" s="133" t="s">
        <v>4871</v>
      </c>
      <c r="P475" s="133" t="s">
        <v>4281</v>
      </c>
      <c r="Q475" s="133" t="s">
        <v>4872</v>
      </c>
      <c r="R475" s="133" t="s">
        <v>4281</v>
      </c>
      <c r="S475" s="133" t="s">
        <v>4873</v>
      </c>
    </row>
    <row r="476" spans="1:19">
      <c r="A476" s="133" t="s">
        <v>6145</v>
      </c>
      <c r="B476" s="133" t="s">
        <v>4866</v>
      </c>
      <c r="C476" s="133" t="s">
        <v>4279</v>
      </c>
      <c r="D476" s="133" t="s">
        <v>1013</v>
      </c>
      <c r="E476" s="133" t="s">
        <v>6146</v>
      </c>
      <c r="H476" s="133" t="s">
        <v>6147</v>
      </c>
      <c r="I476" s="133" t="s">
        <v>6143</v>
      </c>
      <c r="J476" s="133" t="s">
        <v>6144</v>
      </c>
      <c r="K476" s="133">
        <v>2003347.13</v>
      </c>
      <c r="L476" s="133">
        <v>260435.14</v>
      </c>
      <c r="M476" s="133">
        <v>260435.14</v>
      </c>
      <c r="N476" s="133" t="s">
        <v>4280</v>
      </c>
      <c r="O476" s="133" t="s">
        <v>4871</v>
      </c>
      <c r="P476" s="133" t="s">
        <v>4281</v>
      </c>
      <c r="Q476" s="133" t="s">
        <v>4872</v>
      </c>
      <c r="R476" s="133" t="s">
        <v>4281</v>
      </c>
      <c r="S476" s="133" t="s">
        <v>4873</v>
      </c>
    </row>
    <row r="477" spans="1:19">
      <c r="A477" s="133" t="s">
        <v>6148</v>
      </c>
      <c r="B477" s="133" t="s">
        <v>4866</v>
      </c>
      <c r="C477" s="133" t="s">
        <v>4279</v>
      </c>
      <c r="D477" s="133" t="s">
        <v>1013</v>
      </c>
      <c r="E477" s="133" t="s">
        <v>6149</v>
      </c>
      <c r="H477" s="133" t="s">
        <v>6150</v>
      </c>
      <c r="I477" s="133" t="s">
        <v>6143</v>
      </c>
      <c r="J477" s="133" t="s">
        <v>6144</v>
      </c>
      <c r="K477" s="133">
        <v>2169811.3199999998</v>
      </c>
      <c r="L477" s="133">
        <v>130188.68</v>
      </c>
      <c r="M477" s="133">
        <v>130188.68</v>
      </c>
      <c r="N477" s="133" t="s">
        <v>4280</v>
      </c>
      <c r="O477" s="133" t="s">
        <v>4871</v>
      </c>
      <c r="P477" s="133" t="s">
        <v>4281</v>
      </c>
      <c r="Q477" s="133" t="s">
        <v>4872</v>
      </c>
      <c r="R477" s="133" t="s">
        <v>4281</v>
      </c>
      <c r="S477" s="133" t="s">
        <v>4873</v>
      </c>
    </row>
    <row r="478" spans="1:19">
      <c r="A478" s="133" t="s">
        <v>6151</v>
      </c>
      <c r="B478" s="133" t="s">
        <v>4866</v>
      </c>
      <c r="C478" s="133" t="s">
        <v>4279</v>
      </c>
      <c r="D478" s="133" t="s">
        <v>1013</v>
      </c>
      <c r="E478" s="133" t="s">
        <v>6152</v>
      </c>
      <c r="H478" s="133" t="s">
        <v>6153</v>
      </c>
      <c r="I478" s="133" t="s">
        <v>6143</v>
      </c>
      <c r="J478" s="133" t="s">
        <v>6144</v>
      </c>
      <c r="K478" s="133">
        <v>924528.3</v>
      </c>
      <c r="L478" s="133">
        <v>55471.7</v>
      </c>
      <c r="M478" s="133">
        <v>55471.7</v>
      </c>
      <c r="N478" s="133" t="s">
        <v>4280</v>
      </c>
      <c r="O478" s="133" t="s">
        <v>4871</v>
      </c>
      <c r="P478" s="133" t="s">
        <v>4281</v>
      </c>
      <c r="Q478" s="133" t="s">
        <v>4872</v>
      </c>
      <c r="R478" s="133" t="s">
        <v>4281</v>
      </c>
      <c r="S478" s="133" t="s">
        <v>4873</v>
      </c>
    </row>
    <row r="479" spans="1:19">
      <c r="A479" s="133" t="s">
        <v>6154</v>
      </c>
      <c r="B479" s="133" t="s">
        <v>4866</v>
      </c>
      <c r="C479" s="133" t="s">
        <v>4279</v>
      </c>
      <c r="D479" s="133" t="s">
        <v>1013</v>
      </c>
      <c r="E479" s="133" t="s">
        <v>6155</v>
      </c>
      <c r="H479" s="133" t="s">
        <v>6156</v>
      </c>
      <c r="I479" s="133" t="s">
        <v>6143</v>
      </c>
      <c r="J479" s="133" t="s">
        <v>6144</v>
      </c>
      <c r="K479" s="133">
        <v>1462264.15</v>
      </c>
      <c r="L479" s="133">
        <v>87735.85</v>
      </c>
      <c r="M479" s="133">
        <v>87735.85</v>
      </c>
      <c r="N479" s="133" t="s">
        <v>4280</v>
      </c>
      <c r="O479" s="133" t="s">
        <v>4871</v>
      </c>
      <c r="P479" s="133" t="s">
        <v>4281</v>
      </c>
      <c r="Q479" s="133" t="s">
        <v>4872</v>
      </c>
      <c r="R479" s="133" t="s">
        <v>4281</v>
      </c>
      <c r="S479" s="133" t="s">
        <v>4873</v>
      </c>
    </row>
    <row r="480" spans="1:19">
      <c r="A480" s="133" t="s">
        <v>6157</v>
      </c>
      <c r="B480" s="133" t="s">
        <v>4866</v>
      </c>
      <c r="C480" s="133" t="s">
        <v>4279</v>
      </c>
      <c r="D480" s="133" t="s">
        <v>1013</v>
      </c>
      <c r="E480" s="133" t="s">
        <v>6158</v>
      </c>
      <c r="H480" s="133" t="s">
        <v>6159</v>
      </c>
      <c r="I480" s="133" t="s">
        <v>6143</v>
      </c>
      <c r="J480" s="133" t="s">
        <v>6144</v>
      </c>
      <c r="K480" s="133">
        <v>707547.17</v>
      </c>
      <c r="L480" s="133">
        <v>42452.83</v>
      </c>
      <c r="M480" s="133">
        <v>42452.83</v>
      </c>
      <c r="N480" s="133" t="s">
        <v>4280</v>
      </c>
      <c r="O480" s="133" t="s">
        <v>4871</v>
      </c>
      <c r="P480" s="133" t="s">
        <v>4281</v>
      </c>
      <c r="Q480" s="133" t="s">
        <v>4872</v>
      </c>
      <c r="R480" s="133" t="s">
        <v>4281</v>
      </c>
      <c r="S480" s="133" t="s">
        <v>4873</v>
      </c>
    </row>
    <row r="481" spans="1:19">
      <c r="A481" s="133" t="s">
        <v>6160</v>
      </c>
      <c r="B481" s="133" t="s">
        <v>4866</v>
      </c>
      <c r="C481" s="133" t="s">
        <v>4279</v>
      </c>
      <c r="D481" s="133" t="s">
        <v>1013</v>
      </c>
      <c r="E481" s="133" t="s">
        <v>6161</v>
      </c>
      <c r="H481" s="133" t="s">
        <v>6162</v>
      </c>
      <c r="I481" s="133" t="s">
        <v>6143</v>
      </c>
      <c r="J481" s="133" t="s">
        <v>6144</v>
      </c>
      <c r="K481" s="133">
        <v>1462264.15</v>
      </c>
      <c r="L481" s="133">
        <v>87735.85</v>
      </c>
      <c r="M481" s="133">
        <v>87735.85</v>
      </c>
      <c r="N481" s="133" t="s">
        <v>4280</v>
      </c>
      <c r="O481" s="133" t="s">
        <v>4871</v>
      </c>
      <c r="P481" s="133" t="s">
        <v>4281</v>
      </c>
      <c r="Q481" s="133" t="s">
        <v>4872</v>
      </c>
      <c r="R481" s="133" t="s">
        <v>4281</v>
      </c>
      <c r="S481" s="133" t="s">
        <v>4873</v>
      </c>
    </row>
    <row r="482" spans="1:19">
      <c r="A482" s="133" t="s">
        <v>6163</v>
      </c>
      <c r="B482" s="133" t="s">
        <v>4866</v>
      </c>
      <c r="C482" s="133" t="s">
        <v>4279</v>
      </c>
      <c r="D482" s="133" t="s">
        <v>1013</v>
      </c>
      <c r="E482" s="133" t="s">
        <v>6164</v>
      </c>
      <c r="H482" s="133" t="s">
        <v>6165</v>
      </c>
      <c r="I482" s="133" t="s">
        <v>6143</v>
      </c>
      <c r="J482" s="133" t="s">
        <v>6144</v>
      </c>
      <c r="K482" s="133">
        <v>550188.68000000005</v>
      </c>
      <c r="L482" s="133">
        <v>33011.32</v>
      </c>
      <c r="M482" s="133">
        <v>33011.32</v>
      </c>
      <c r="N482" s="133" t="s">
        <v>4280</v>
      </c>
      <c r="O482" s="133" t="s">
        <v>4871</v>
      </c>
      <c r="P482" s="133" t="s">
        <v>4281</v>
      </c>
      <c r="Q482" s="133" t="s">
        <v>4872</v>
      </c>
      <c r="R482" s="133" t="s">
        <v>4281</v>
      </c>
      <c r="S482" s="133" t="s">
        <v>4873</v>
      </c>
    </row>
    <row r="483" spans="1:19">
      <c r="A483" s="133" t="s">
        <v>6166</v>
      </c>
      <c r="B483" s="133" t="s">
        <v>4866</v>
      </c>
      <c r="C483" s="133" t="s">
        <v>4279</v>
      </c>
      <c r="D483" s="133" t="s">
        <v>1013</v>
      </c>
      <c r="E483" s="133" t="s">
        <v>6167</v>
      </c>
      <c r="H483" s="133" t="s">
        <v>6168</v>
      </c>
      <c r="I483" s="133" t="s">
        <v>6143</v>
      </c>
      <c r="J483" s="133" t="s">
        <v>6144</v>
      </c>
      <c r="K483" s="133">
        <v>924528.3</v>
      </c>
      <c r="L483" s="133">
        <v>55471.7</v>
      </c>
      <c r="M483" s="133">
        <v>55471.7</v>
      </c>
      <c r="N483" s="133" t="s">
        <v>4280</v>
      </c>
      <c r="O483" s="133" t="s">
        <v>4871</v>
      </c>
      <c r="P483" s="133" t="s">
        <v>4281</v>
      </c>
      <c r="Q483" s="133" t="s">
        <v>4872</v>
      </c>
      <c r="R483" s="133" t="s">
        <v>4281</v>
      </c>
      <c r="S483" s="133" t="s">
        <v>4873</v>
      </c>
    </row>
    <row r="484" spans="1:19">
      <c r="A484" s="133" t="s">
        <v>6169</v>
      </c>
      <c r="B484" s="133" t="s">
        <v>4866</v>
      </c>
      <c r="C484" s="133" t="s">
        <v>4279</v>
      </c>
      <c r="D484" s="133" t="s">
        <v>1013</v>
      </c>
      <c r="E484" s="133" t="s">
        <v>6170</v>
      </c>
      <c r="H484" s="133" t="s">
        <v>6171</v>
      </c>
      <c r="I484" s="133" t="s">
        <v>6143</v>
      </c>
      <c r="J484" s="133" t="s">
        <v>6144</v>
      </c>
      <c r="K484" s="133">
        <v>2461773.0299999998</v>
      </c>
      <c r="L484" s="133">
        <v>320030.49</v>
      </c>
      <c r="M484" s="133">
        <v>320030.49</v>
      </c>
      <c r="N484" s="133" t="s">
        <v>4280</v>
      </c>
      <c r="O484" s="133" t="s">
        <v>4871</v>
      </c>
      <c r="P484" s="133" t="s">
        <v>4281</v>
      </c>
      <c r="Q484" s="133" t="s">
        <v>4872</v>
      </c>
      <c r="R484" s="133" t="s">
        <v>4281</v>
      </c>
      <c r="S484" s="133" t="s">
        <v>4873</v>
      </c>
    </row>
    <row r="485" spans="1:19">
      <c r="A485" s="133" t="s">
        <v>6172</v>
      </c>
      <c r="B485" s="133" t="s">
        <v>4866</v>
      </c>
      <c r="C485" s="133" t="s">
        <v>4279</v>
      </c>
      <c r="D485" s="133" t="s">
        <v>1013</v>
      </c>
      <c r="E485" s="133" t="s">
        <v>6173</v>
      </c>
      <c r="H485" s="133" t="s">
        <v>6174</v>
      </c>
      <c r="I485" s="133" t="s">
        <v>6143</v>
      </c>
      <c r="J485" s="133" t="s">
        <v>6144</v>
      </c>
      <c r="K485" s="133">
        <v>2826033.55</v>
      </c>
      <c r="L485" s="133">
        <v>169562.01</v>
      </c>
      <c r="M485" s="133">
        <v>169562.01</v>
      </c>
      <c r="N485" s="133" t="s">
        <v>4280</v>
      </c>
      <c r="O485" s="133" t="s">
        <v>4871</v>
      </c>
      <c r="P485" s="133" t="s">
        <v>4281</v>
      </c>
      <c r="Q485" s="133" t="s">
        <v>4872</v>
      </c>
      <c r="R485" s="133" t="s">
        <v>4281</v>
      </c>
      <c r="S485" s="133" t="s">
        <v>4873</v>
      </c>
    </row>
    <row r="486" spans="1:19">
      <c r="A486" s="133" t="s">
        <v>6175</v>
      </c>
      <c r="B486" s="133" t="s">
        <v>4866</v>
      </c>
      <c r="C486" s="133" t="s">
        <v>4279</v>
      </c>
      <c r="D486" s="133" t="s">
        <v>1013</v>
      </c>
      <c r="E486" s="133" t="s">
        <v>6176</v>
      </c>
      <c r="H486" s="133" t="s">
        <v>6177</v>
      </c>
      <c r="I486" s="133" t="s">
        <v>6143</v>
      </c>
      <c r="J486" s="133" t="s">
        <v>6144</v>
      </c>
      <c r="K486" s="133">
        <v>18417860.699999999</v>
      </c>
      <c r="L486" s="133">
        <v>2394321.88</v>
      </c>
      <c r="M486" s="133">
        <v>2394321.88</v>
      </c>
      <c r="N486" s="133" t="s">
        <v>4280</v>
      </c>
      <c r="O486" s="133" t="s">
        <v>4871</v>
      </c>
      <c r="P486" s="133" t="s">
        <v>4281</v>
      </c>
      <c r="Q486" s="133" t="s">
        <v>4872</v>
      </c>
      <c r="R486" s="133" t="s">
        <v>4281</v>
      </c>
      <c r="S486" s="133" t="s">
        <v>4873</v>
      </c>
    </row>
    <row r="487" spans="1:19">
      <c r="A487" s="133" t="s">
        <v>6178</v>
      </c>
      <c r="B487" s="133" t="s">
        <v>4866</v>
      </c>
      <c r="C487" s="133" t="s">
        <v>4279</v>
      </c>
      <c r="D487" s="133" t="s">
        <v>1013</v>
      </c>
      <c r="E487" s="133" t="s">
        <v>6179</v>
      </c>
      <c r="H487" s="133" t="s">
        <v>6180</v>
      </c>
      <c r="I487" s="133" t="s">
        <v>6143</v>
      </c>
      <c r="J487" s="133" t="s">
        <v>6144</v>
      </c>
      <c r="K487" s="133">
        <v>849048.24</v>
      </c>
      <c r="L487" s="133">
        <v>50942.89</v>
      </c>
      <c r="M487" s="133">
        <v>50942.89</v>
      </c>
      <c r="N487" s="133" t="s">
        <v>4280</v>
      </c>
      <c r="O487" s="133" t="s">
        <v>4871</v>
      </c>
      <c r="P487" s="133" t="s">
        <v>4281</v>
      </c>
      <c r="Q487" s="133" t="s">
        <v>4872</v>
      </c>
      <c r="R487" s="133" t="s">
        <v>4281</v>
      </c>
      <c r="S487" s="133" t="s">
        <v>4873</v>
      </c>
    </row>
    <row r="488" spans="1:19">
      <c r="A488" s="133" t="s">
        <v>6181</v>
      </c>
      <c r="B488" s="133" t="s">
        <v>4866</v>
      </c>
      <c r="C488" s="133" t="s">
        <v>4279</v>
      </c>
      <c r="D488" s="133" t="s">
        <v>1013</v>
      </c>
      <c r="E488" s="133" t="s">
        <v>6182</v>
      </c>
      <c r="H488" s="133" t="s">
        <v>6183</v>
      </c>
      <c r="I488" s="133" t="s">
        <v>6143</v>
      </c>
      <c r="J488" s="133" t="s">
        <v>6144</v>
      </c>
      <c r="K488" s="133">
        <v>952830.19</v>
      </c>
      <c r="L488" s="133">
        <v>57169.81</v>
      </c>
      <c r="M488" s="133">
        <v>57169.81</v>
      </c>
      <c r="N488" s="133" t="s">
        <v>4280</v>
      </c>
      <c r="O488" s="133" t="s">
        <v>4871</v>
      </c>
      <c r="P488" s="133" t="s">
        <v>4281</v>
      </c>
      <c r="Q488" s="133" t="s">
        <v>4872</v>
      </c>
      <c r="R488" s="133" t="s">
        <v>4281</v>
      </c>
      <c r="S488" s="133" t="s">
        <v>4873</v>
      </c>
    </row>
    <row r="489" spans="1:19">
      <c r="A489" s="133" t="s">
        <v>6184</v>
      </c>
      <c r="B489" s="133" t="s">
        <v>4866</v>
      </c>
      <c r="C489" s="133" t="s">
        <v>4279</v>
      </c>
      <c r="D489" s="133" t="s">
        <v>1013</v>
      </c>
      <c r="E489" s="133" t="s">
        <v>6185</v>
      </c>
      <c r="H489" s="133" t="s">
        <v>6186</v>
      </c>
      <c r="I489" s="133" t="s">
        <v>6143</v>
      </c>
      <c r="J489" s="133" t="s">
        <v>6144</v>
      </c>
      <c r="K489" s="133">
        <v>1018867.37</v>
      </c>
      <c r="L489" s="133">
        <v>61132.04</v>
      </c>
      <c r="M489" s="133">
        <v>61132.04</v>
      </c>
      <c r="N489" s="133" t="s">
        <v>4280</v>
      </c>
      <c r="O489" s="133" t="s">
        <v>4871</v>
      </c>
      <c r="P489" s="133" t="s">
        <v>4281</v>
      </c>
      <c r="Q489" s="133" t="s">
        <v>4872</v>
      </c>
      <c r="R489" s="133" t="s">
        <v>4281</v>
      </c>
      <c r="S489" s="133" t="s">
        <v>4873</v>
      </c>
    </row>
    <row r="490" spans="1:19">
      <c r="A490" s="133" t="s">
        <v>6187</v>
      </c>
      <c r="B490" s="133" t="s">
        <v>4866</v>
      </c>
      <c r="C490" s="133" t="s">
        <v>4279</v>
      </c>
      <c r="D490" s="133" t="s">
        <v>1013</v>
      </c>
      <c r="E490" s="133" t="s">
        <v>2842</v>
      </c>
      <c r="H490" s="133" t="s">
        <v>6188</v>
      </c>
      <c r="I490" s="133" t="s">
        <v>6189</v>
      </c>
      <c r="J490" s="133" t="s">
        <v>6190</v>
      </c>
      <c r="K490" s="133">
        <v>75471.7</v>
      </c>
      <c r="L490" s="133">
        <v>4528.3</v>
      </c>
      <c r="M490" s="133">
        <v>4528.3</v>
      </c>
      <c r="N490" s="133" t="s">
        <v>4280</v>
      </c>
      <c r="O490" s="133" t="s">
        <v>4871</v>
      </c>
      <c r="P490" s="133" t="s">
        <v>4281</v>
      </c>
      <c r="Q490" s="133" t="s">
        <v>4872</v>
      </c>
      <c r="R490" s="133" t="s">
        <v>4281</v>
      </c>
      <c r="S490" s="133" t="s">
        <v>4873</v>
      </c>
    </row>
    <row r="491" spans="1:19">
      <c r="A491" s="133" t="s">
        <v>6191</v>
      </c>
      <c r="B491" s="133" t="s">
        <v>4866</v>
      </c>
      <c r="C491" s="133" t="s">
        <v>4279</v>
      </c>
      <c r="D491" s="133" t="s">
        <v>1013</v>
      </c>
      <c r="E491" s="133" t="s">
        <v>2631</v>
      </c>
      <c r="H491" s="133" t="s">
        <v>6192</v>
      </c>
      <c r="I491" s="133" t="s">
        <v>6193</v>
      </c>
      <c r="J491" s="133" t="s">
        <v>6194</v>
      </c>
      <c r="K491" s="133">
        <v>147029.70000000001</v>
      </c>
      <c r="L491" s="133">
        <v>1470.3</v>
      </c>
      <c r="M491" s="133">
        <v>1470.3</v>
      </c>
      <c r="N491" s="133" t="s">
        <v>4280</v>
      </c>
      <c r="O491" s="133" t="s">
        <v>4871</v>
      </c>
      <c r="P491" s="133" t="s">
        <v>4281</v>
      </c>
      <c r="Q491" s="133" t="s">
        <v>4872</v>
      </c>
      <c r="R491" s="133" t="s">
        <v>4281</v>
      </c>
      <c r="S491" s="133" t="s">
        <v>4873</v>
      </c>
    </row>
    <row r="492" spans="1:19">
      <c r="A492" s="133" t="s">
        <v>6195</v>
      </c>
      <c r="B492" s="133" t="s">
        <v>4866</v>
      </c>
      <c r="C492" s="133" t="s">
        <v>4279</v>
      </c>
      <c r="D492" s="133" t="s">
        <v>1013</v>
      </c>
      <c r="E492" s="133" t="s">
        <v>6196</v>
      </c>
      <c r="H492" s="133" t="s">
        <v>6197</v>
      </c>
      <c r="I492" s="133" t="s">
        <v>6198</v>
      </c>
      <c r="J492" s="133" t="s">
        <v>6199</v>
      </c>
      <c r="K492" s="133">
        <v>1311769.9099999999</v>
      </c>
      <c r="L492" s="133">
        <v>170530.09</v>
      </c>
      <c r="M492" s="133">
        <v>170530.09</v>
      </c>
      <c r="N492" s="133" t="s">
        <v>4280</v>
      </c>
      <c r="O492" s="133" t="s">
        <v>4871</v>
      </c>
      <c r="P492" s="133" t="s">
        <v>4281</v>
      </c>
      <c r="Q492" s="133" t="s">
        <v>4872</v>
      </c>
      <c r="R492" s="133" t="s">
        <v>4281</v>
      </c>
      <c r="S492" s="133" t="s">
        <v>4873</v>
      </c>
    </row>
    <row r="493" spans="1:19">
      <c r="A493" s="133" t="s">
        <v>6200</v>
      </c>
      <c r="B493" s="133" t="s">
        <v>4866</v>
      </c>
      <c r="C493" s="133" t="s">
        <v>4279</v>
      </c>
      <c r="D493" s="133" t="s">
        <v>1013</v>
      </c>
      <c r="E493" s="133" t="s">
        <v>6201</v>
      </c>
      <c r="H493" s="133" t="s">
        <v>6202</v>
      </c>
      <c r="I493" s="133" t="s">
        <v>6198</v>
      </c>
      <c r="J493" s="133" t="s">
        <v>6199</v>
      </c>
      <c r="K493" s="133">
        <v>1276371.68</v>
      </c>
      <c r="L493" s="133">
        <v>165928.32000000001</v>
      </c>
      <c r="M493" s="133">
        <v>165928.32000000001</v>
      </c>
      <c r="N493" s="133" t="s">
        <v>4280</v>
      </c>
      <c r="O493" s="133" t="s">
        <v>4871</v>
      </c>
      <c r="P493" s="133" t="s">
        <v>4281</v>
      </c>
      <c r="Q493" s="133" t="s">
        <v>4872</v>
      </c>
      <c r="R493" s="133" t="s">
        <v>4281</v>
      </c>
      <c r="S493" s="133" t="s">
        <v>4873</v>
      </c>
    </row>
    <row r="494" spans="1:19">
      <c r="A494" s="133" t="s">
        <v>6203</v>
      </c>
      <c r="B494" s="133" t="s">
        <v>4866</v>
      </c>
      <c r="C494" s="133" t="s">
        <v>4279</v>
      </c>
      <c r="D494" s="133" t="s">
        <v>1013</v>
      </c>
      <c r="E494" s="133" t="s">
        <v>6204</v>
      </c>
      <c r="H494" s="133" t="s">
        <v>6205</v>
      </c>
      <c r="I494" s="133" t="s">
        <v>6198</v>
      </c>
      <c r="J494" s="133" t="s">
        <v>6199</v>
      </c>
      <c r="K494" s="133">
        <v>1276371.68</v>
      </c>
      <c r="L494" s="133">
        <v>165928.32000000001</v>
      </c>
      <c r="M494" s="133">
        <v>165928.32000000001</v>
      </c>
      <c r="N494" s="133" t="s">
        <v>4280</v>
      </c>
      <c r="O494" s="133" t="s">
        <v>4871</v>
      </c>
      <c r="P494" s="133" t="s">
        <v>4281</v>
      </c>
      <c r="Q494" s="133" t="s">
        <v>4872</v>
      </c>
      <c r="R494" s="133" t="s">
        <v>4281</v>
      </c>
      <c r="S494" s="133" t="s">
        <v>4873</v>
      </c>
    </row>
    <row r="495" spans="1:19">
      <c r="A495" s="133" t="s">
        <v>6206</v>
      </c>
      <c r="B495" s="133" t="s">
        <v>4866</v>
      </c>
      <c r="C495" s="133" t="s">
        <v>4279</v>
      </c>
      <c r="D495" s="133" t="s">
        <v>1013</v>
      </c>
      <c r="E495" s="133" t="s">
        <v>3256</v>
      </c>
      <c r="H495" s="133" t="s">
        <v>6207</v>
      </c>
      <c r="I495" s="133" t="s">
        <v>6208</v>
      </c>
      <c r="J495" s="133" t="s">
        <v>6209</v>
      </c>
      <c r="K495" s="133">
        <v>104854.37</v>
      </c>
      <c r="L495" s="133">
        <v>3145.63</v>
      </c>
      <c r="M495" s="133">
        <v>3145.63</v>
      </c>
      <c r="N495" s="133" t="s">
        <v>4280</v>
      </c>
      <c r="O495" s="133" t="s">
        <v>4871</v>
      </c>
      <c r="P495" s="133" t="s">
        <v>4281</v>
      </c>
      <c r="Q495" s="133" t="s">
        <v>4872</v>
      </c>
      <c r="R495" s="133" t="s">
        <v>4281</v>
      </c>
      <c r="S495" s="133" t="s">
        <v>4873</v>
      </c>
    </row>
    <row r="496" spans="1:19">
      <c r="A496" s="133" t="s">
        <v>6210</v>
      </c>
      <c r="B496" s="133" t="s">
        <v>4866</v>
      </c>
      <c r="C496" s="133" t="s">
        <v>4279</v>
      </c>
      <c r="D496" s="133" t="s">
        <v>1013</v>
      </c>
      <c r="E496" s="133" t="s">
        <v>3235</v>
      </c>
      <c r="H496" s="133" t="s">
        <v>6211</v>
      </c>
      <c r="I496" s="133" t="s">
        <v>6208</v>
      </c>
      <c r="J496" s="133" t="s">
        <v>6209</v>
      </c>
      <c r="K496" s="133">
        <v>104854.37</v>
      </c>
      <c r="L496" s="133">
        <v>3145.63</v>
      </c>
      <c r="M496" s="133">
        <v>3145.63</v>
      </c>
      <c r="N496" s="133" t="s">
        <v>4280</v>
      </c>
      <c r="O496" s="133" t="s">
        <v>4871</v>
      </c>
      <c r="P496" s="133" t="s">
        <v>4281</v>
      </c>
      <c r="Q496" s="133" t="s">
        <v>4872</v>
      </c>
      <c r="R496" s="133" t="s">
        <v>4281</v>
      </c>
      <c r="S496" s="133" t="s">
        <v>4873</v>
      </c>
    </row>
    <row r="497" spans="1:19">
      <c r="A497" s="133" t="s">
        <v>6212</v>
      </c>
      <c r="B497" s="133" t="s">
        <v>4866</v>
      </c>
      <c r="C497" s="133" t="s">
        <v>4279</v>
      </c>
      <c r="D497" s="133" t="s">
        <v>1013</v>
      </c>
      <c r="E497" s="133" t="s">
        <v>3030</v>
      </c>
      <c r="H497" s="133" t="s">
        <v>6213</v>
      </c>
      <c r="I497" s="133" t="s">
        <v>6214</v>
      </c>
      <c r="J497" s="133" t="s">
        <v>6215</v>
      </c>
      <c r="K497" s="133">
        <v>8097.9</v>
      </c>
      <c r="L497" s="133">
        <v>1052.73</v>
      </c>
      <c r="M497" s="133">
        <v>1052.73</v>
      </c>
      <c r="N497" s="133" t="s">
        <v>4280</v>
      </c>
      <c r="O497" s="133" t="s">
        <v>4871</v>
      </c>
      <c r="P497" s="133" t="s">
        <v>4281</v>
      </c>
      <c r="Q497" s="133" t="s">
        <v>4872</v>
      </c>
      <c r="R497" s="133" t="s">
        <v>4281</v>
      </c>
      <c r="S497" s="133" t="s">
        <v>4873</v>
      </c>
    </row>
    <row r="498" spans="1:19">
      <c r="A498" s="133" t="s">
        <v>6216</v>
      </c>
      <c r="B498" s="133" t="s">
        <v>4866</v>
      </c>
      <c r="C498" s="133" t="s">
        <v>4279</v>
      </c>
      <c r="D498" s="133" t="s">
        <v>1013</v>
      </c>
      <c r="E498" s="133" t="s">
        <v>2679</v>
      </c>
      <c r="H498" s="133" t="s">
        <v>6217</v>
      </c>
      <c r="I498" s="133" t="s">
        <v>6214</v>
      </c>
      <c r="J498" s="133" t="s">
        <v>6215</v>
      </c>
      <c r="K498" s="133">
        <v>25582.7</v>
      </c>
      <c r="L498" s="133">
        <v>3325.75</v>
      </c>
      <c r="M498" s="133">
        <v>3325.75</v>
      </c>
      <c r="N498" s="133" t="s">
        <v>4280</v>
      </c>
      <c r="O498" s="133" t="s">
        <v>4871</v>
      </c>
      <c r="P498" s="133" t="s">
        <v>4281</v>
      </c>
      <c r="Q498" s="133" t="s">
        <v>4872</v>
      </c>
      <c r="R498" s="133" t="s">
        <v>4281</v>
      </c>
      <c r="S498" s="133" t="s">
        <v>4873</v>
      </c>
    </row>
    <row r="499" spans="1:19">
      <c r="A499" s="133" t="s">
        <v>6218</v>
      </c>
      <c r="B499" s="133" t="s">
        <v>4866</v>
      </c>
      <c r="C499" s="133" t="s">
        <v>4279</v>
      </c>
      <c r="D499" s="133" t="s">
        <v>1013</v>
      </c>
      <c r="E499" s="133" t="s">
        <v>2683</v>
      </c>
      <c r="H499" s="133" t="s">
        <v>6219</v>
      </c>
      <c r="I499" s="133" t="s">
        <v>6214</v>
      </c>
      <c r="J499" s="133" t="s">
        <v>6215</v>
      </c>
      <c r="K499" s="133">
        <v>25569.7</v>
      </c>
      <c r="L499" s="133">
        <v>3324.06</v>
      </c>
      <c r="M499" s="133">
        <v>3324.06</v>
      </c>
      <c r="N499" s="133" t="s">
        <v>4280</v>
      </c>
      <c r="O499" s="133" t="s">
        <v>4871</v>
      </c>
      <c r="P499" s="133" t="s">
        <v>4281</v>
      </c>
      <c r="Q499" s="133" t="s">
        <v>4872</v>
      </c>
      <c r="R499" s="133" t="s">
        <v>4281</v>
      </c>
      <c r="S499" s="133" t="s">
        <v>4873</v>
      </c>
    </row>
    <row r="500" spans="1:19">
      <c r="A500" s="133" t="s">
        <v>6220</v>
      </c>
      <c r="B500" s="133" t="s">
        <v>4866</v>
      </c>
      <c r="C500" s="133" t="s">
        <v>4279</v>
      </c>
      <c r="D500" s="133" t="s">
        <v>1013</v>
      </c>
      <c r="E500" s="133" t="s">
        <v>3038</v>
      </c>
      <c r="H500" s="133" t="s">
        <v>6221</v>
      </c>
      <c r="I500" s="133" t="s">
        <v>6214</v>
      </c>
      <c r="J500" s="133" t="s">
        <v>6215</v>
      </c>
      <c r="K500" s="133">
        <v>43807.6</v>
      </c>
      <c r="L500" s="133">
        <v>5694.99</v>
      </c>
      <c r="M500" s="133">
        <v>5694.99</v>
      </c>
      <c r="N500" s="133" t="s">
        <v>4280</v>
      </c>
      <c r="O500" s="133" t="s">
        <v>4871</v>
      </c>
      <c r="P500" s="133" t="s">
        <v>4281</v>
      </c>
      <c r="Q500" s="133" t="s">
        <v>4872</v>
      </c>
      <c r="R500" s="133" t="s">
        <v>4281</v>
      </c>
      <c r="S500" s="133" t="s">
        <v>4873</v>
      </c>
    </row>
    <row r="501" spans="1:19">
      <c r="A501" s="133" t="s">
        <v>6222</v>
      </c>
      <c r="B501" s="133" t="s">
        <v>4866</v>
      </c>
      <c r="C501" s="133" t="s">
        <v>4279</v>
      </c>
      <c r="D501" s="133" t="s">
        <v>1013</v>
      </c>
      <c r="E501" s="133" t="s">
        <v>2907</v>
      </c>
      <c r="H501" s="133" t="s">
        <v>6223</v>
      </c>
      <c r="I501" s="133" t="s">
        <v>6214</v>
      </c>
      <c r="J501" s="133" t="s">
        <v>6215</v>
      </c>
      <c r="K501" s="133">
        <v>25813.9</v>
      </c>
      <c r="L501" s="133">
        <v>3355.81</v>
      </c>
      <c r="M501" s="133">
        <v>3355.81</v>
      </c>
      <c r="N501" s="133" t="s">
        <v>4280</v>
      </c>
      <c r="O501" s="133" t="s">
        <v>4871</v>
      </c>
      <c r="P501" s="133" t="s">
        <v>4281</v>
      </c>
      <c r="Q501" s="133" t="s">
        <v>4872</v>
      </c>
      <c r="R501" s="133" t="s">
        <v>4281</v>
      </c>
      <c r="S501" s="133" t="s">
        <v>4873</v>
      </c>
    </row>
    <row r="502" spans="1:19">
      <c r="A502" s="133" t="s">
        <v>6224</v>
      </c>
      <c r="B502" s="133" t="s">
        <v>4866</v>
      </c>
      <c r="C502" s="133" t="s">
        <v>4279</v>
      </c>
      <c r="D502" s="133" t="s">
        <v>1013</v>
      </c>
      <c r="E502" s="133" t="s">
        <v>2891</v>
      </c>
      <c r="H502" s="133" t="s">
        <v>6225</v>
      </c>
      <c r="I502" s="133" t="s">
        <v>6214</v>
      </c>
      <c r="J502" s="133" t="s">
        <v>6215</v>
      </c>
      <c r="K502" s="133">
        <v>24326.1</v>
      </c>
      <c r="L502" s="133">
        <v>3162.39</v>
      </c>
      <c r="M502" s="133">
        <v>3162.39</v>
      </c>
      <c r="N502" s="133" t="s">
        <v>4280</v>
      </c>
      <c r="O502" s="133" t="s">
        <v>4871</v>
      </c>
      <c r="P502" s="133" t="s">
        <v>4281</v>
      </c>
      <c r="Q502" s="133" t="s">
        <v>4872</v>
      </c>
      <c r="R502" s="133" t="s">
        <v>4281</v>
      </c>
      <c r="S502" s="133" t="s">
        <v>4873</v>
      </c>
    </row>
    <row r="503" spans="1:19">
      <c r="A503" s="133" t="s">
        <v>6226</v>
      </c>
      <c r="B503" s="133" t="s">
        <v>4866</v>
      </c>
      <c r="C503" s="133" t="s">
        <v>4279</v>
      </c>
      <c r="D503" s="133" t="s">
        <v>1013</v>
      </c>
      <c r="E503" s="133" t="s">
        <v>6227</v>
      </c>
      <c r="H503" s="133" t="s">
        <v>6228</v>
      </c>
      <c r="I503" s="133" t="s">
        <v>6229</v>
      </c>
      <c r="J503" s="133" t="s">
        <v>6230</v>
      </c>
      <c r="K503" s="133">
        <v>3199291.31</v>
      </c>
      <c r="L503" s="133">
        <v>415907.87</v>
      </c>
      <c r="M503" s="133">
        <v>415907.87</v>
      </c>
      <c r="N503" s="133" t="s">
        <v>4280</v>
      </c>
      <c r="O503" s="133" t="s">
        <v>4871</v>
      </c>
      <c r="P503" s="133" t="s">
        <v>4281</v>
      </c>
      <c r="Q503" s="133" t="s">
        <v>4872</v>
      </c>
      <c r="R503" s="133" t="s">
        <v>4281</v>
      </c>
      <c r="S503" s="133" t="s">
        <v>4873</v>
      </c>
    </row>
    <row r="504" spans="1:19">
      <c r="A504" s="133" t="s">
        <v>6231</v>
      </c>
      <c r="B504" s="133" t="s">
        <v>4866</v>
      </c>
      <c r="C504" s="133" t="s">
        <v>4279</v>
      </c>
      <c r="D504" s="133" t="s">
        <v>1013</v>
      </c>
      <c r="E504" s="133" t="s">
        <v>6232</v>
      </c>
      <c r="H504" s="133" t="s">
        <v>6233</v>
      </c>
      <c r="I504" s="133" t="s">
        <v>6229</v>
      </c>
      <c r="J504" s="133" t="s">
        <v>6230</v>
      </c>
      <c r="K504" s="133">
        <v>3906119.26</v>
      </c>
      <c r="L504" s="133">
        <v>507795.5</v>
      </c>
      <c r="M504" s="133">
        <v>507795.5</v>
      </c>
      <c r="N504" s="133" t="s">
        <v>4280</v>
      </c>
      <c r="O504" s="133" t="s">
        <v>4871</v>
      </c>
      <c r="P504" s="133" t="s">
        <v>4281</v>
      </c>
      <c r="Q504" s="133" t="s">
        <v>4872</v>
      </c>
      <c r="R504" s="133" t="s">
        <v>4281</v>
      </c>
      <c r="S504" s="133" t="s">
        <v>4873</v>
      </c>
    </row>
    <row r="505" spans="1:19">
      <c r="A505" s="133" t="s">
        <v>6234</v>
      </c>
      <c r="B505" s="133" t="s">
        <v>4866</v>
      </c>
      <c r="C505" s="133" t="s">
        <v>4279</v>
      </c>
      <c r="D505" s="133" t="s">
        <v>1013</v>
      </c>
      <c r="E505" s="133" t="s">
        <v>3653</v>
      </c>
      <c r="H505" s="133" t="s">
        <v>6235</v>
      </c>
      <c r="I505" s="133" t="s">
        <v>6236</v>
      </c>
      <c r="J505" s="133" t="s">
        <v>6237</v>
      </c>
      <c r="K505" s="133">
        <v>2372122.21</v>
      </c>
      <c r="L505" s="133">
        <v>213491</v>
      </c>
      <c r="M505" s="133">
        <v>213491</v>
      </c>
      <c r="N505" s="133" t="s">
        <v>4280</v>
      </c>
      <c r="O505" s="133" t="s">
        <v>4871</v>
      </c>
      <c r="P505" s="133" t="s">
        <v>4281</v>
      </c>
      <c r="Q505" s="133" t="s">
        <v>4872</v>
      </c>
      <c r="R505" s="133" t="s">
        <v>4281</v>
      </c>
      <c r="S505" s="133" t="s">
        <v>4873</v>
      </c>
    </row>
    <row r="506" spans="1:19">
      <c r="A506" s="133" t="s">
        <v>6238</v>
      </c>
      <c r="B506" s="133" t="s">
        <v>4866</v>
      </c>
      <c r="C506" s="133" t="s">
        <v>4279</v>
      </c>
      <c r="D506" s="133" t="s">
        <v>1013</v>
      </c>
      <c r="E506" s="133" t="s">
        <v>3437</v>
      </c>
      <c r="H506" s="133" t="s">
        <v>6239</v>
      </c>
      <c r="I506" s="133" t="s">
        <v>6240</v>
      </c>
      <c r="J506" s="133" t="s">
        <v>6241</v>
      </c>
      <c r="K506" s="133">
        <v>71287.13</v>
      </c>
      <c r="L506" s="133">
        <v>712.87</v>
      </c>
      <c r="M506" s="133">
        <v>712.87</v>
      </c>
      <c r="N506" s="133" t="s">
        <v>4280</v>
      </c>
      <c r="O506" s="133" t="s">
        <v>4871</v>
      </c>
      <c r="P506" s="133" t="s">
        <v>4281</v>
      </c>
      <c r="Q506" s="133" t="s">
        <v>4872</v>
      </c>
      <c r="R506" s="133" t="s">
        <v>4281</v>
      </c>
      <c r="S506" s="133" t="s">
        <v>4873</v>
      </c>
    </row>
    <row r="507" spans="1:19">
      <c r="A507" s="133" t="s">
        <v>6242</v>
      </c>
      <c r="B507" s="133" t="s">
        <v>4866</v>
      </c>
      <c r="C507" s="133" t="s">
        <v>4279</v>
      </c>
      <c r="D507" s="133" t="s">
        <v>1013</v>
      </c>
      <c r="E507" s="133" t="s">
        <v>3441</v>
      </c>
      <c r="H507" s="133" t="s">
        <v>6243</v>
      </c>
      <c r="I507" s="133" t="s">
        <v>6240</v>
      </c>
      <c r="J507" s="133" t="s">
        <v>6241</v>
      </c>
      <c r="K507" s="133">
        <v>71287.13</v>
      </c>
      <c r="L507" s="133">
        <v>712.87</v>
      </c>
      <c r="M507" s="133">
        <v>712.87</v>
      </c>
      <c r="N507" s="133" t="s">
        <v>4280</v>
      </c>
      <c r="O507" s="133" t="s">
        <v>4871</v>
      </c>
      <c r="P507" s="133" t="s">
        <v>4281</v>
      </c>
      <c r="Q507" s="133" t="s">
        <v>4872</v>
      </c>
      <c r="R507" s="133" t="s">
        <v>4281</v>
      </c>
      <c r="S507" s="133" t="s">
        <v>4873</v>
      </c>
    </row>
    <row r="508" spans="1:19">
      <c r="A508" s="133" t="s">
        <v>6244</v>
      </c>
      <c r="B508" s="133" t="s">
        <v>4866</v>
      </c>
      <c r="C508" s="133" t="s">
        <v>4279</v>
      </c>
      <c r="D508" s="133" t="s">
        <v>1013</v>
      </c>
      <c r="E508" s="133" t="s">
        <v>2635</v>
      </c>
      <c r="H508" s="133" t="s">
        <v>6245</v>
      </c>
      <c r="I508" s="133" t="s">
        <v>6246</v>
      </c>
      <c r="J508" s="133" t="s">
        <v>6247</v>
      </c>
      <c r="K508" s="133">
        <v>162844.04</v>
      </c>
      <c r="L508" s="133">
        <v>14655.96</v>
      </c>
      <c r="M508" s="133">
        <v>14655.96</v>
      </c>
      <c r="N508" s="133" t="s">
        <v>4280</v>
      </c>
      <c r="O508" s="133" t="s">
        <v>4871</v>
      </c>
      <c r="P508" s="133" t="s">
        <v>4281</v>
      </c>
      <c r="Q508" s="133" t="s">
        <v>4872</v>
      </c>
      <c r="R508" s="133" t="s">
        <v>4281</v>
      </c>
      <c r="S508" s="133" t="s">
        <v>4873</v>
      </c>
    </row>
    <row r="509" spans="1:19">
      <c r="A509" s="133" t="s">
        <v>6248</v>
      </c>
      <c r="B509" s="133" t="s">
        <v>4866</v>
      </c>
      <c r="C509" s="133" t="s">
        <v>4279</v>
      </c>
      <c r="D509" s="133" t="s">
        <v>1013</v>
      </c>
      <c r="E509" s="133" t="s">
        <v>6249</v>
      </c>
      <c r="H509" s="133" t="s">
        <v>6250</v>
      </c>
      <c r="I509" s="133" t="s">
        <v>6251</v>
      </c>
      <c r="J509" s="133" t="s">
        <v>6252</v>
      </c>
      <c r="K509" s="133">
        <v>79207.92</v>
      </c>
      <c r="L509" s="133">
        <v>792.08</v>
      </c>
      <c r="M509" s="133">
        <v>792.08</v>
      </c>
      <c r="N509" s="133" t="s">
        <v>4280</v>
      </c>
      <c r="O509" s="133" t="s">
        <v>4871</v>
      </c>
      <c r="P509" s="133" t="s">
        <v>4281</v>
      </c>
      <c r="Q509" s="133" t="s">
        <v>4872</v>
      </c>
      <c r="R509" s="133" t="s">
        <v>4281</v>
      </c>
      <c r="S509" s="133" t="s">
        <v>4873</v>
      </c>
    </row>
    <row r="510" spans="1:19">
      <c r="A510" s="133" t="s">
        <v>6253</v>
      </c>
      <c r="B510" s="133" t="s">
        <v>4866</v>
      </c>
      <c r="C510" s="133" t="s">
        <v>4279</v>
      </c>
      <c r="D510" s="133" t="s">
        <v>1013</v>
      </c>
      <c r="E510" s="133" t="s">
        <v>6254</v>
      </c>
      <c r="H510" s="133" t="s">
        <v>6255</v>
      </c>
      <c r="I510" s="133" t="s">
        <v>6251</v>
      </c>
      <c r="J510" s="133" t="s">
        <v>6252</v>
      </c>
      <c r="K510" s="133">
        <v>103960.4</v>
      </c>
      <c r="L510" s="133">
        <v>1039.5999999999999</v>
      </c>
      <c r="M510" s="133">
        <v>1039.5999999999999</v>
      </c>
      <c r="N510" s="133" t="s">
        <v>4280</v>
      </c>
      <c r="O510" s="133" t="s">
        <v>4871</v>
      </c>
      <c r="P510" s="133" t="s">
        <v>4281</v>
      </c>
      <c r="Q510" s="133" t="s">
        <v>4872</v>
      </c>
      <c r="R510" s="133" t="s">
        <v>4281</v>
      </c>
      <c r="S510" s="133" t="s">
        <v>4873</v>
      </c>
    </row>
    <row r="511" spans="1:19">
      <c r="A511" s="133" t="s">
        <v>6256</v>
      </c>
      <c r="B511" s="133" t="s">
        <v>4866</v>
      </c>
      <c r="C511" s="133" t="s">
        <v>4279</v>
      </c>
      <c r="D511" s="133" t="s">
        <v>1013</v>
      </c>
      <c r="E511" s="133" t="s">
        <v>6257</v>
      </c>
      <c r="H511" s="133" t="s">
        <v>6258</v>
      </c>
      <c r="I511" s="133" t="s">
        <v>6251</v>
      </c>
      <c r="J511" s="133" t="s">
        <v>6252</v>
      </c>
      <c r="K511" s="133">
        <v>103960.4</v>
      </c>
      <c r="L511" s="133">
        <v>1039.5999999999999</v>
      </c>
      <c r="M511" s="133">
        <v>1039.5999999999999</v>
      </c>
      <c r="N511" s="133" t="s">
        <v>4280</v>
      </c>
      <c r="O511" s="133" t="s">
        <v>4871</v>
      </c>
      <c r="P511" s="133" t="s">
        <v>4281</v>
      </c>
      <c r="Q511" s="133" t="s">
        <v>4872</v>
      </c>
      <c r="R511" s="133" t="s">
        <v>4281</v>
      </c>
      <c r="S511" s="133" t="s">
        <v>4873</v>
      </c>
    </row>
    <row r="512" spans="1:19">
      <c r="A512" s="133" t="s">
        <v>6259</v>
      </c>
      <c r="B512" s="133" t="s">
        <v>4866</v>
      </c>
      <c r="C512" s="133" t="s">
        <v>4279</v>
      </c>
      <c r="D512" s="133" t="s">
        <v>1013</v>
      </c>
      <c r="E512" s="133" t="s">
        <v>6260</v>
      </c>
      <c r="H512" s="133" t="s">
        <v>6261</v>
      </c>
      <c r="I512" s="133" t="s">
        <v>6262</v>
      </c>
      <c r="J512" s="133" t="s">
        <v>6263</v>
      </c>
      <c r="K512" s="133">
        <v>2400</v>
      </c>
      <c r="L512" s="133">
        <v>72</v>
      </c>
      <c r="M512" s="133">
        <v>72</v>
      </c>
      <c r="N512" s="133" t="s">
        <v>4280</v>
      </c>
      <c r="O512" s="133" t="s">
        <v>4871</v>
      </c>
      <c r="P512" s="133" t="s">
        <v>4281</v>
      </c>
      <c r="Q512" s="133" t="s">
        <v>4872</v>
      </c>
      <c r="R512" s="133" t="s">
        <v>4281</v>
      </c>
      <c r="S512" s="133" t="s">
        <v>4873</v>
      </c>
    </row>
    <row r="513" spans="1:19">
      <c r="A513" s="133" t="s">
        <v>6264</v>
      </c>
      <c r="B513" s="133" t="s">
        <v>4866</v>
      </c>
      <c r="C513" s="133" t="s">
        <v>4279</v>
      </c>
      <c r="D513" s="133" t="s">
        <v>1013</v>
      </c>
      <c r="E513" s="133" t="s">
        <v>3372</v>
      </c>
      <c r="H513" s="133" t="s">
        <v>6265</v>
      </c>
      <c r="I513" s="133" t="s">
        <v>6266</v>
      </c>
      <c r="J513" s="133" t="s">
        <v>6267</v>
      </c>
      <c r="K513" s="133">
        <v>198532.11</v>
      </c>
      <c r="L513" s="133">
        <v>17867.89</v>
      </c>
      <c r="M513" s="133">
        <v>17867.89</v>
      </c>
      <c r="N513" s="133" t="s">
        <v>4280</v>
      </c>
      <c r="O513" s="133" t="s">
        <v>4871</v>
      </c>
      <c r="P513" s="133" t="s">
        <v>4281</v>
      </c>
      <c r="Q513" s="133" t="s">
        <v>4872</v>
      </c>
      <c r="R513" s="133" t="s">
        <v>4281</v>
      </c>
      <c r="S513" s="133" t="s">
        <v>4873</v>
      </c>
    </row>
    <row r="514" spans="1:19">
      <c r="A514" s="133" t="s">
        <v>6268</v>
      </c>
      <c r="B514" s="133" t="s">
        <v>4866</v>
      </c>
      <c r="C514" s="133" t="s">
        <v>4279</v>
      </c>
      <c r="D514" s="133" t="s">
        <v>1013</v>
      </c>
      <c r="E514" s="133" t="s">
        <v>6269</v>
      </c>
      <c r="H514" s="133" t="s">
        <v>6270</v>
      </c>
      <c r="I514" s="133" t="s">
        <v>6271</v>
      </c>
      <c r="J514" s="133" t="s">
        <v>6272</v>
      </c>
      <c r="K514" s="133">
        <v>3419988.07</v>
      </c>
      <c r="L514" s="133">
        <v>307798.93</v>
      </c>
      <c r="M514" s="133">
        <v>307798.93</v>
      </c>
      <c r="N514" s="133" t="s">
        <v>4280</v>
      </c>
      <c r="O514" s="133" t="s">
        <v>4871</v>
      </c>
      <c r="P514" s="133" t="s">
        <v>4281</v>
      </c>
      <c r="Q514" s="133" t="s">
        <v>4872</v>
      </c>
      <c r="R514" s="133" t="s">
        <v>4281</v>
      </c>
      <c r="S514" s="133" t="s">
        <v>4873</v>
      </c>
    </row>
    <row r="515" spans="1:19">
      <c r="A515" s="133" t="s">
        <v>6273</v>
      </c>
      <c r="B515" s="133" t="s">
        <v>4866</v>
      </c>
      <c r="C515" s="133" t="s">
        <v>4279</v>
      </c>
      <c r="D515" s="133" t="s">
        <v>1013</v>
      </c>
      <c r="E515" s="133" t="s">
        <v>6274</v>
      </c>
      <c r="H515" s="133" t="s">
        <v>6275</v>
      </c>
      <c r="I515" s="133" t="s">
        <v>6271</v>
      </c>
      <c r="J515" s="133" t="s">
        <v>6272</v>
      </c>
      <c r="K515" s="133">
        <v>4052382.57</v>
      </c>
      <c r="L515" s="133">
        <v>364714.43</v>
      </c>
      <c r="M515" s="133">
        <v>364714.43</v>
      </c>
      <c r="N515" s="133" t="s">
        <v>4280</v>
      </c>
      <c r="O515" s="133" t="s">
        <v>4871</v>
      </c>
      <c r="P515" s="133" t="s">
        <v>4281</v>
      </c>
      <c r="Q515" s="133" t="s">
        <v>4872</v>
      </c>
      <c r="R515" s="133" t="s">
        <v>4281</v>
      </c>
      <c r="S515" s="133" t="s">
        <v>4873</v>
      </c>
    </row>
    <row r="516" spans="1:19">
      <c r="A516" s="133" t="s">
        <v>6276</v>
      </c>
      <c r="B516" s="133" t="s">
        <v>4866</v>
      </c>
      <c r="C516" s="133" t="s">
        <v>4279</v>
      </c>
      <c r="D516" s="133" t="s">
        <v>1013</v>
      </c>
      <c r="E516" s="133" t="s">
        <v>6277</v>
      </c>
      <c r="H516" s="133" t="s">
        <v>6278</v>
      </c>
      <c r="I516" s="133" t="s">
        <v>6271</v>
      </c>
      <c r="J516" s="133" t="s">
        <v>6272</v>
      </c>
      <c r="K516" s="133">
        <v>317482.27</v>
      </c>
      <c r="L516" s="133">
        <v>28573.4</v>
      </c>
      <c r="M516" s="133">
        <v>28573.4</v>
      </c>
      <c r="N516" s="133" t="s">
        <v>4280</v>
      </c>
      <c r="O516" s="133" t="s">
        <v>4871</v>
      </c>
      <c r="P516" s="133" t="s">
        <v>4281</v>
      </c>
      <c r="Q516" s="133" t="s">
        <v>4872</v>
      </c>
      <c r="R516" s="133" t="s">
        <v>4281</v>
      </c>
      <c r="S516" s="133" t="s">
        <v>4873</v>
      </c>
    </row>
    <row r="517" spans="1:19">
      <c r="A517" s="133" t="s">
        <v>6279</v>
      </c>
      <c r="B517" s="133" t="s">
        <v>4866</v>
      </c>
      <c r="C517" s="133" t="s">
        <v>4279</v>
      </c>
      <c r="D517" s="133" t="s">
        <v>1013</v>
      </c>
      <c r="E517" s="133" t="s">
        <v>6280</v>
      </c>
      <c r="H517" s="133" t="s">
        <v>6281</v>
      </c>
      <c r="I517" s="133" t="s">
        <v>6271</v>
      </c>
      <c r="J517" s="133" t="s">
        <v>6272</v>
      </c>
      <c r="K517" s="133">
        <v>1511478.9</v>
      </c>
      <c r="L517" s="133">
        <v>136033.1</v>
      </c>
      <c r="M517" s="133">
        <v>136033.1</v>
      </c>
      <c r="N517" s="133" t="s">
        <v>4280</v>
      </c>
      <c r="O517" s="133" t="s">
        <v>4871</v>
      </c>
      <c r="P517" s="133" t="s">
        <v>4281</v>
      </c>
      <c r="Q517" s="133" t="s">
        <v>4872</v>
      </c>
      <c r="R517" s="133" t="s">
        <v>4281</v>
      </c>
      <c r="S517" s="133" t="s">
        <v>4873</v>
      </c>
    </row>
    <row r="518" spans="1:19">
      <c r="A518" s="133" t="s">
        <v>6282</v>
      </c>
      <c r="B518" s="133" t="s">
        <v>4866</v>
      </c>
      <c r="C518" s="133" t="s">
        <v>4279</v>
      </c>
      <c r="D518" s="133" t="s">
        <v>1013</v>
      </c>
      <c r="E518" s="133" t="s">
        <v>6283</v>
      </c>
      <c r="H518" s="133" t="s">
        <v>6284</v>
      </c>
      <c r="I518" s="133" t="s">
        <v>6271</v>
      </c>
      <c r="J518" s="133" t="s">
        <v>6272</v>
      </c>
      <c r="K518" s="133">
        <v>305366.96999999997</v>
      </c>
      <c r="L518" s="133">
        <v>27483.03</v>
      </c>
      <c r="M518" s="133">
        <v>27483.03</v>
      </c>
      <c r="N518" s="133" t="s">
        <v>4280</v>
      </c>
      <c r="O518" s="133" t="s">
        <v>4871</v>
      </c>
      <c r="P518" s="133" t="s">
        <v>4281</v>
      </c>
      <c r="Q518" s="133" t="s">
        <v>4872</v>
      </c>
      <c r="R518" s="133" t="s">
        <v>4281</v>
      </c>
      <c r="S518" s="133" t="s">
        <v>4873</v>
      </c>
    </row>
    <row r="519" spans="1:19">
      <c r="A519" s="133" t="s">
        <v>6285</v>
      </c>
      <c r="B519" s="133" t="s">
        <v>4866</v>
      </c>
      <c r="C519" s="133" t="s">
        <v>4279</v>
      </c>
      <c r="D519" s="133" t="s">
        <v>1013</v>
      </c>
      <c r="E519" s="133" t="s">
        <v>6286</v>
      </c>
      <c r="H519" s="133" t="s">
        <v>6287</v>
      </c>
      <c r="I519" s="133" t="s">
        <v>6271</v>
      </c>
      <c r="J519" s="133" t="s">
        <v>6272</v>
      </c>
      <c r="K519" s="133">
        <v>1528577.98</v>
      </c>
      <c r="L519" s="133">
        <v>137572.01999999999</v>
      </c>
      <c r="M519" s="133">
        <v>137572.01999999999</v>
      </c>
      <c r="N519" s="133" t="s">
        <v>4280</v>
      </c>
      <c r="O519" s="133" t="s">
        <v>4871</v>
      </c>
      <c r="P519" s="133" t="s">
        <v>4281</v>
      </c>
      <c r="Q519" s="133" t="s">
        <v>4872</v>
      </c>
      <c r="R519" s="133" t="s">
        <v>4281</v>
      </c>
      <c r="S519" s="133" t="s">
        <v>4873</v>
      </c>
    </row>
    <row r="520" spans="1:19">
      <c r="A520" s="133" t="s">
        <v>6288</v>
      </c>
      <c r="B520" s="133" t="s">
        <v>4866</v>
      </c>
      <c r="C520" s="133" t="s">
        <v>4279</v>
      </c>
      <c r="D520" s="133" t="s">
        <v>1013</v>
      </c>
      <c r="E520" s="133" t="s">
        <v>6289</v>
      </c>
      <c r="H520" s="133" t="s">
        <v>6290</v>
      </c>
      <c r="I520" s="133" t="s">
        <v>6271</v>
      </c>
      <c r="J520" s="133" t="s">
        <v>6272</v>
      </c>
      <c r="K520" s="133">
        <v>6879898.1699999999</v>
      </c>
      <c r="L520" s="133">
        <v>619190.82999999996</v>
      </c>
      <c r="M520" s="133">
        <v>619190.82999999996</v>
      </c>
      <c r="N520" s="133" t="s">
        <v>4280</v>
      </c>
      <c r="O520" s="133" t="s">
        <v>4871</v>
      </c>
      <c r="P520" s="133" t="s">
        <v>4281</v>
      </c>
      <c r="Q520" s="133" t="s">
        <v>4872</v>
      </c>
      <c r="R520" s="133" t="s">
        <v>4281</v>
      </c>
      <c r="S520" s="133" t="s">
        <v>4873</v>
      </c>
    </row>
    <row r="521" spans="1:19">
      <c r="A521" s="133" t="s">
        <v>6291</v>
      </c>
      <c r="B521" s="133" t="s">
        <v>4866</v>
      </c>
      <c r="C521" s="133" t="s">
        <v>4279</v>
      </c>
      <c r="D521" s="133" t="s">
        <v>1013</v>
      </c>
      <c r="E521" s="133" t="s">
        <v>6292</v>
      </c>
      <c r="H521" s="133" t="s">
        <v>6293</v>
      </c>
      <c r="I521" s="133" t="s">
        <v>6271</v>
      </c>
      <c r="J521" s="133" t="s">
        <v>6272</v>
      </c>
      <c r="K521" s="133">
        <v>3438513.76</v>
      </c>
      <c r="L521" s="133">
        <v>309466.23999999999</v>
      </c>
      <c r="M521" s="133">
        <v>309466.23999999999</v>
      </c>
      <c r="N521" s="133" t="s">
        <v>4280</v>
      </c>
      <c r="O521" s="133" t="s">
        <v>4871</v>
      </c>
      <c r="P521" s="133" t="s">
        <v>4281</v>
      </c>
      <c r="Q521" s="133" t="s">
        <v>4872</v>
      </c>
      <c r="R521" s="133" t="s">
        <v>4281</v>
      </c>
      <c r="S521" s="133" t="s">
        <v>4873</v>
      </c>
    </row>
    <row r="522" spans="1:19">
      <c r="A522" s="133" t="s">
        <v>6294</v>
      </c>
      <c r="B522" s="133" t="s">
        <v>4866</v>
      </c>
      <c r="C522" s="133" t="s">
        <v>4279</v>
      </c>
      <c r="D522" s="133" t="s">
        <v>1013</v>
      </c>
      <c r="E522" s="133" t="s">
        <v>6295</v>
      </c>
      <c r="H522" s="133" t="s">
        <v>6296</v>
      </c>
      <c r="I522" s="133" t="s">
        <v>6271</v>
      </c>
      <c r="J522" s="133" t="s">
        <v>6272</v>
      </c>
      <c r="K522" s="133">
        <v>1142941.97</v>
      </c>
      <c r="L522" s="133">
        <v>102864.78</v>
      </c>
      <c r="M522" s="133">
        <v>102864.78</v>
      </c>
      <c r="N522" s="133" t="s">
        <v>4280</v>
      </c>
      <c r="O522" s="133" t="s">
        <v>4871</v>
      </c>
      <c r="P522" s="133" t="s">
        <v>4281</v>
      </c>
      <c r="Q522" s="133" t="s">
        <v>4872</v>
      </c>
      <c r="R522" s="133" t="s">
        <v>4281</v>
      </c>
      <c r="S522" s="133" t="s">
        <v>4873</v>
      </c>
    </row>
    <row r="523" spans="1:19">
      <c r="A523" s="133" t="s">
        <v>6297</v>
      </c>
      <c r="B523" s="133" t="s">
        <v>4866</v>
      </c>
      <c r="C523" s="133" t="s">
        <v>4279</v>
      </c>
      <c r="D523" s="133" t="s">
        <v>1013</v>
      </c>
      <c r="E523" s="133" t="s">
        <v>2665</v>
      </c>
      <c r="H523" s="133" t="s">
        <v>6298</v>
      </c>
      <c r="I523" s="133" t="s">
        <v>6271</v>
      </c>
      <c r="J523" s="133" t="s">
        <v>6272</v>
      </c>
      <c r="K523" s="133">
        <v>157281.54999999999</v>
      </c>
      <c r="L523" s="133">
        <v>4718.45</v>
      </c>
      <c r="M523" s="133">
        <v>4718.45</v>
      </c>
      <c r="N523" s="133" t="s">
        <v>4280</v>
      </c>
      <c r="O523" s="133" t="s">
        <v>4871</v>
      </c>
      <c r="P523" s="133" t="s">
        <v>4281</v>
      </c>
      <c r="Q523" s="133" t="s">
        <v>4872</v>
      </c>
      <c r="R523" s="133" t="s">
        <v>4281</v>
      </c>
      <c r="S523" s="133" t="s">
        <v>4873</v>
      </c>
    </row>
    <row r="524" spans="1:19">
      <c r="A524" s="133" t="s">
        <v>6299</v>
      </c>
      <c r="B524" s="133" t="s">
        <v>4866</v>
      </c>
      <c r="C524" s="133" t="s">
        <v>4279</v>
      </c>
      <c r="D524" s="133" t="s">
        <v>1013</v>
      </c>
      <c r="E524" s="133" t="s">
        <v>6300</v>
      </c>
      <c r="H524" s="133" t="s">
        <v>6301</v>
      </c>
      <c r="I524" s="133" t="s">
        <v>6302</v>
      </c>
      <c r="J524" s="133" t="s">
        <v>6303</v>
      </c>
      <c r="K524" s="133">
        <v>3495295.57</v>
      </c>
      <c r="L524" s="133">
        <v>454388.42</v>
      </c>
      <c r="M524" s="133">
        <v>454388.42</v>
      </c>
      <c r="N524" s="133" t="s">
        <v>4280</v>
      </c>
      <c r="O524" s="133" t="s">
        <v>4871</v>
      </c>
      <c r="P524" s="133" t="s">
        <v>4281</v>
      </c>
      <c r="Q524" s="133" t="s">
        <v>4872</v>
      </c>
      <c r="R524" s="133" t="s">
        <v>4281</v>
      </c>
      <c r="S524" s="133" t="s">
        <v>4873</v>
      </c>
    </row>
    <row r="525" spans="1:19">
      <c r="A525" s="133" t="s">
        <v>6304</v>
      </c>
      <c r="B525" s="133" t="s">
        <v>4866</v>
      </c>
      <c r="C525" s="133" t="s">
        <v>4279</v>
      </c>
      <c r="D525" s="133" t="s">
        <v>1013</v>
      </c>
      <c r="E525" s="133" t="s">
        <v>2497</v>
      </c>
      <c r="H525" s="133" t="s">
        <v>6305</v>
      </c>
      <c r="I525" s="133" t="s">
        <v>6306</v>
      </c>
      <c r="J525" s="133" t="s">
        <v>6307</v>
      </c>
      <c r="K525" s="133">
        <v>343787.18</v>
      </c>
      <c r="L525" s="133">
        <v>10313.620000000001</v>
      </c>
      <c r="M525" s="133">
        <v>10313.620000000001</v>
      </c>
      <c r="N525" s="133" t="s">
        <v>4280</v>
      </c>
      <c r="O525" s="133" t="s">
        <v>4871</v>
      </c>
      <c r="P525" s="133" t="s">
        <v>4281</v>
      </c>
      <c r="Q525" s="133" t="s">
        <v>4872</v>
      </c>
      <c r="R525" s="133" t="s">
        <v>4281</v>
      </c>
      <c r="S525" s="133" t="s">
        <v>4873</v>
      </c>
    </row>
    <row r="526" spans="1:19">
      <c r="A526" s="133" t="s">
        <v>6308</v>
      </c>
      <c r="B526" s="133" t="s">
        <v>4866</v>
      </c>
      <c r="C526" s="133" t="s">
        <v>4279</v>
      </c>
      <c r="D526" s="133" t="s">
        <v>1013</v>
      </c>
      <c r="E526" s="133" t="s">
        <v>6309</v>
      </c>
      <c r="H526" s="133" t="s">
        <v>6310</v>
      </c>
      <c r="I526" s="133" t="s">
        <v>6311</v>
      </c>
      <c r="J526" s="133" t="s">
        <v>6312</v>
      </c>
      <c r="K526" s="133">
        <v>440196.46</v>
      </c>
      <c r="L526" s="133">
        <v>57225.54</v>
      </c>
      <c r="M526" s="133">
        <v>57225.54</v>
      </c>
      <c r="N526" s="133" t="s">
        <v>4280</v>
      </c>
      <c r="O526" s="133" t="s">
        <v>4871</v>
      </c>
      <c r="P526" s="133" t="s">
        <v>4281</v>
      </c>
      <c r="Q526" s="133" t="s">
        <v>4872</v>
      </c>
      <c r="R526" s="133" t="s">
        <v>4281</v>
      </c>
      <c r="S526" s="133" t="s">
        <v>4873</v>
      </c>
    </row>
    <row r="527" spans="1:19">
      <c r="A527" s="133" t="s">
        <v>6313</v>
      </c>
      <c r="B527" s="133" t="s">
        <v>4866</v>
      </c>
      <c r="C527" s="133" t="s">
        <v>4279</v>
      </c>
      <c r="D527" s="133" t="s">
        <v>1013</v>
      </c>
      <c r="E527" s="133" t="s">
        <v>3793</v>
      </c>
      <c r="H527" s="133" t="s">
        <v>6314</v>
      </c>
      <c r="I527" s="133" t="s">
        <v>6315</v>
      </c>
      <c r="J527" s="133" t="s">
        <v>6316</v>
      </c>
      <c r="K527" s="133">
        <v>3944.89</v>
      </c>
      <c r="L527" s="133">
        <v>236.69</v>
      </c>
      <c r="M527" s="133">
        <v>236.69</v>
      </c>
      <c r="N527" s="133" t="s">
        <v>4280</v>
      </c>
      <c r="O527" s="133" t="s">
        <v>4871</v>
      </c>
      <c r="P527" s="133" t="s">
        <v>4281</v>
      </c>
      <c r="Q527" s="133" t="s">
        <v>4872</v>
      </c>
      <c r="R527" s="133" t="s">
        <v>4281</v>
      </c>
      <c r="S527" s="133" t="s">
        <v>4873</v>
      </c>
    </row>
    <row r="528" spans="1:19">
      <c r="A528" s="133" t="s">
        <v>6317</v>
      </c>
      <c r="B528" s="133" t="s">
        <v>4866</v>
      </c>
      <c r="C528" s="133" t="s">
        <v>4279</v>
      </c>
      <c r="D528" s="133" t="s">
        <v>1013</v>
      </c>
      <c r="E528" s="133" t="s">
        <v>3520</v>
      </c>
      <c r="H528" s="133" t="s">
        <v>6318</v>
      </c>
      <c r="I528" s="133" t="s">
        <v>6319</v>
      </c>
      <c r="J528" s="133" t="s">
        <v>6320</v>
      </c>
      <c r="K528" s="133">
        <v>5487.58</v>
      </c>
      <c r="L528" s="133">
        <v>329.25</v>
      </c>
      <c r="M528" s="133">
        <v>329.25</v>
      </c>
      <c r="N528" s="133" t="s">
        <v>4280</v>
      </c>
      <c r="O528" s="133" t="s">
        <v>4871</v>
      </c>
      <c r="P528" s="133" t="s">
        <v>4281</v>
      </c>
      <c r="Q528" s="133" t="s">
        <v>4872</v>
      </c>
      <c r="R528" s="133" t="s">
        <v>4281</v>
      </c>
      <c r="S528" s="133" t="s">
        <v>4873</v>
      </c>
    </row>
    <row r="529" spans="1:19">
      <c r="A529" s="133" t="s">
        <v>6321</v>
      </c>
      <c r="B529" s="133" t="s">
        <v>4866</v>
      </c>
      <c r="C529" s="133" t="s">
        <v>4279</v>
      </c>
      <c r="D529" s="133" t="s">
        <v>1013</v>
      </c>
      <c r="E529" s="133" t="s">
        <v>3777</v>
      </c>
      <c r="H529" s="133" t="s">
        <v>6322</v>
      </c>
      <c r="I529" s="133" t="s">
        <v>6319</v>
      </c>
      <c r="J529" s="133" t="s">
        <v>6320</v>
      </c>
      <c r="K529" s="133">
        <v>3430.17</v>
      </c>
      <c r="L529" s="133">
        <v>205.81</v>
      </c>
      <c r="M529" s="133">
        <v>205.81</v>
      </c>
      <c r="N529" s="133" t="s">
        <v>4280</v>
      </c>
      <c r="O529" s="133" t="s">
        <v>4871</v>
      </c>
      <c r="P529" s="133" t="s">
        <v>4281</v>
      </c>
      <c r="Q529" s="133" t="s">
        <v>4872</v>
      </c>
      <c r="R529" s="133" t="s">
        <v>4281</v>
      </c>
      <c r="S529" s="133" t="s">
        <v>4873</v>
      </c>
    </row>
    <row r="530" spans="1:19">
      <c r="A530" s="133" t="s">
        <v>6323</v>
      </c>
      <c r="B530" s="133" t="s">
        <v>4866</v>
      </c>
      <c r="C530" s="133" t="s">
        <v>4279</v>
      </c>
      <c r="D530" s="133" t="s">
        <v>1013</v>
      </c>
      <c r="E530" s="133" t="s">
        <v>3789</v>
      </c>
      <c r="H530" s="133" t="s">
        <v>6324</v>
      </c>
      <c r="I530" s="133" t="s">
        <v>6319</v>
      </c>
      <c r="J530" s="133" t="s">
        <v>6320</v>
      </c>
      <c r="K530" s="133">
        <v>50206.79</v>
      </c>
      <c r="L530" s="133">
        <v>3012.41</v>
      </c>
      <c r="M530" s="133">
        <v>3012.41</v>
      </c>
      <c r="N530" s="133" t="s">
        <v>4280</v>
      </c>
      <c r="O530" s="133" t="s">
        <v>4871</v>
      </c>
      <c r="P530" s="133" t="s">
        <v>4281</v>
      </c>
      <c r="Q530" s="133" t="s">
        <v>4872</v>
      </c>
      <c r="R530" s="133" t="s">
        <v>4281</v>
      </c>
      <c r="S530" s="133" t="s">
        <v>4873</v>
      </c>
    </row>
    <row r="531" spans="1:19">
      <c r="A531" s="133" t="s">
        <v>6325</v>
      </c>
      <c r="B531" s="133" t="s">
        <v>4866</v>
      </c>
      <c r="C531" s="133" t="s">
        <v>4279</v>
      </c>
      <c r="D531" s="133" t="s">
        <v>1013</v>
      </c>
      <c r="E531" s="133" t="s">
        <v>3171</v>
      </c>
      <c r="H531" s="133" t="s">
        <v>6326</v>
      </c>
      <c r="I531" s="133" t="s">
        <v>6319</v>
      </c>
      <c r="J531" s="133" t="s">
        <v>6320</v>
      </c>
      <c r="K531" s="133">
        <v>9130.4500000000007</v>
      </c>
      <c r="L531" s="133">
        <v>547.83000000000004</v>
      </c>
      <c r="M531" s="133">
        <v>547.83000000000004</v>
      </c>
      <c r="N531" s="133" t="s">
        <v>4280</v>
      </c>
      <c r="O531" s="133" t="s">
        <v>4871</v>
      </c>
      <c r="P531" s="133" t="s">
        <v>4281</v>
      </c>
      <c r="Q531" s="133" t="s">
        <v>4872</v>
      </c>
      <c r="R531" s="133" t="s">
        <v>4281</v>
      </c>
      <c r="S531" s="133" t="s">
        <v>4873</v>
      </c>
    </row>
    <row r="532" spans="1:19">
      <c r="A532" s="133" t="s">
        <v>6327</v>
      </c>
      <c r="B532" s="133" t="s">
        <v>4866</v>
      </c>
      <c r="C532" s="133" t="s">
        <v>4279</v>
      </c>
      <c r="D532" s="133" t="s">
        <v>1013</v>
      </c>
      <c r="E532" s="133" t="s">
        <v>6328</v>
      </c>
      <c r="H532" s="133" t="s">
        <v>6329</v>
      </c>
      <c r="I532" s="133" t="s">
        <v>6330</v>
      </c>
      <c r="J532" s="133" t="s">
        <v>6331</v>
      </c>
      <c r="K532" s="133">
        <v>42949.86</v>
      </c>
      <c r="L532" s="133">
        <v>2576.9899999999998</v>
      </c>
      <c r="M532" s="133">
        <v>2576.9899999999998</v>
      </c>
      <c r="N532" s="133" t="s">
        <v>4280</v>
      </c>
      <c r="O532" s="133" t="s">
        <v>4871</v>
      </c>
      <c r="P532" s="133" t="s">
        <v>4281</v>
      </c>
      <c r="Q532" s="133" t="s">
        <v>4872</v>
      </c>
      <c r="R532" s="133" t="s">
        <v>4281</v>
      </c>
      <c r="S532" s="133" t="s">
        <v>4873</v>
      </c>
    </row>
    <row r="533" spans="1:19">
      <c r="A533" s="133" t="s">
        <v>6332</v>
      </c>
      <c r="B533" s="133" t="s">
        <v>4866</v>
      </c>
      <c r="C533" s="133" t="s">
        <v>4279</v>
      </c>
      <c r="D533" s="133" t="s">
        <v>1013</v>
      </c>
      <c r="E533" s="133" t="s">
        <v>6333</v>
      </c>
      <c r="H533" s="133" t="s">
        <v>6329</v>
      </c>
      <c r="I533" s="133" t="s">
        <v>6330</v>
      </c>
      <c r="J533" s="133" t="s">
        <v>6331</v>
      </c>
      <c r="K533" s="133">
        <v>36063.83</v>
      </c>
      <c r="L533" s="133">
        <v>2163.83</v>
      </c>
      <c r="M533" s="133">
        <v>2163.83</v>
      </c>
      <c r="N533" s="133" t="s">
        <v>4280</v>
      </c>
      <c r="O533" s="133" t="s">
        <v>4871</v>
      </c>
      <c r="P533" s="133" t="s">
        <v>4281</v>
      </c>
      <c r="Q533" s="133" t="s">
        <v>4872</v>
      </c>
      <c r="R533" s="133" t="s">
        <v>4281</v>
      </c>
      <c r="S533" s="133" t="s">
        <v>4873</v>
      </c>
    </row>
    <row r="534" spans="1:19">
      <c r="A534" s="133" t="s">
        <v>6334</v>
      </c>
      <c r="B534" s="133" t="s">
        <v>4866</v>
      </c>
      <c r="C534" s="133" t="s">
        <v>4279</v>
      </c>
      <c r="D534" s="133" t="s">
        <v>1013</v>
      </c>
      <c r="E534" s="133" t="s">
        <v>6335</v>
      </c>
      <c r="H534" s="133" t="s">
        <v>6336</v>
      </c>
      <c r="I534" s="133" t="s">
        <v>6337</v>
      </c>
      <c r="J534" s="133" t="s">
        <v>6338</v>
      </c>
      <c r="K534" s="133">
        <v>127.43</v>
      </c>
      <c r="L534" s="133">
        <v>16.57</v>
      </c>
      <c r="M534" s="133">
        <v>16.57</v>
      </c>
      <c r="N534" s="133" t="s">
        <v>4280</v>
      </c>
      <c r="O534" s="133" t="s">
        <v>4871</v>
      </c>
      <c r="P534" s="133" t="s">
        <v>4281</v>
      </c>
      <c r="Q534" s="133" t="s">
        <v>4872</v>
      </c>
      <c r="R534" s="133" t="s">
        <v>4281</v>
      </c>
      <c r="S534" s="133" t="s">
        <v>4873</v>
      </c>
    </row>
    <row r="535" spans="1:19">
      <c r="A535" s="133" t="s">
        <v>6339</v>
      </c>
      <c r="B535" s="133" t="s">
        <v>4866</v>
      </c>
      <c r="C535" s="133" t="s">
        <v>4279</v>
      </c>
      <c r="D535" s="133" t="s">
        <v>1013</v>
      </c>
      <c r="E535" s="133" t="s">
        <v>6340</v>
      </c>
      <c r="H535" s="133" t="s">
        <v>6341</v>
      </c>
      <c r="I535" s="133" t="s">
        <v>6337</v>
      </c>
      <c r="J535" s="133" t="s">
        <v>6338</v>
      </c>
      <c r="K535" s="133">
        <v>78.849999999999994</v>
      </c>
      <c r="L535" s="133">
        <v>10.25</v>
      </c>
      <c r="M535" s="133">
        <v>10.25</v>
      </c>
      <c r="N535" s="133" t="s">
        <v>4280</v>
      </c>
      <c r="O535" s="133" t="s">
        <v>4871</v>
      </c>
      <c r="P535" s="133" t="s">
        <v>4281</v>
      </c>
      <c r="Q535" s="133" t="s">
        <v>4872</v>
      </c>
      <c r="R535" s="133" t="s">
        <v>4281</v>
      </c>
      <c r="S535" s="133" t="s">
        <v>4873</v>
      </c>
    </row>
    <row r="536" spans="1:19">
      <c r="A536" s="133" t="s">
        <v>6342</v>
      </c>
      <c r="B536" s="133" t="s">
        <v>4866</v>
      </c>
      <c r="C536" s="133" t="s">
        <v>4279</v>
      </c>
      <c r="D536" s="133" t="s">
        <v>1013</v>
      </c>
      <c r="E536" s="133" t="s">
        <v>2493</v>
      </c>
      <c r="H536" s="133" t="s">
        <v>6343</v>
      </c>
      <c r="I536" s="133" t="s">
        <v>6344</v>
      </c>
      <c r="J536" s="133" t="s">
        <v>6345</v>
      </c>
      <c r="K536" s="133">
        <v>566037.74</v>
      </c>
      <c r="L536" s="133">
        <v>33962.26</v>
      </c>
      <c r="M536" s="133">
        <v>33962.26</v>
      </c>
      <c r="N536" s="133" t="s">
        <v>4280</v>
      </c>
      <c r="O536" s="133" t="s">
        <v>4871</v>
      </c>
      <c r="P536" s="133" t="s">
        <v>4281</v>
      </c>
      <c r="Q536" s="133" t="s">
        <v>4872</v>
      </c>
      <c r="R536" s="133" t="s">
        <v>4281</v>
      </c>
      <c r="S536" s="133" t="s">
        <v>4873</v>
      </c>
    </row>
    <row r="537" spans="1:19">
      <c r="A537" s="133" t="s">
        <v>6346</v>
      </c>
      <c r="B537" s="133" t="s">
        <v>4866</v>
      </c>
      <c r="C537" s="133" t="s">
        <v>4279</v>
      </c>
      <c r="D537" s="133" t="s">
        <v>1013</v>
      </c>
      <c r="E537" s="133" t="s">
        <v>2488</v>
      </c>
      <c r="H537" s="133" t="s">
        <v>6347</v>
      </c>
      <c r="I537" s="133" t="s">
        <v>6344</v>
      </c>
      <c r="J537" s="133" t="s">
        <v>6345</v>
      </c>
      <c r="K537" s="133">
        <v>188679.25</v>
      </c>
      <c r="L537" s="133">
        <v>11320.75</v>
      </c>
      <c r="M537" s="133">
        <v>11320.75</v>
      </c>
      <c r="N537" s="133" t="s">
        <v>4280</v>
      </c>
      <c r="O537" s="133" t="s">
        <v>4871</v>
      </c>
      <c r="P537" s="133" t="s">
        <v>4281</v>
      </c>
      <c r="Q537" s="133" t="s">
        <v>4872</v>
      </c>
      <c r="R537" s="133" t="s">
        <v>4281</v>
      </c>
      <c r="S537" s="133" t="s">
        <v>4873</v>
      </c>
    </row>
    <row r="538" spans="1:19">
      <c r="A538" s="133" t="s">
        <v>6348</v>
      </c>
      <c r="B538" s="133" t="s">
        <v>4866</v>
      </c>
      <c r="C538" s="133" t="s">
        <v>4279</v>
      </c>
      <c r="D538" s="133" t="s">
        <v>1013</v>
      </c>
      <c r="E538" s="133" t="s">
        <v>6349</v>
      </c>
      <c r="H538" s="133" t="s">
        <v>6350</v>
      </c>
      <c r="I538" s="133" t="s">
        <v>6351</v>
      </c>
      <c r="J538" s="133" t="s">
        <v>6352</v>
      </c>
      <c r="K538" s="133">
        <v>4466.37</v>
      </c>
      <c r="L538" s="133">
        <v>580.63</v>
      </c>
      <c r="M538" s="133">
        <v>580.63</v>
      </c>
      <c r="N538" s="133" t="s">
        <v>4280</v>
      </c>
      <c r="O538" s="133" t="s">
        <v>4871</v>
      </c>
      <c r="P538" s="133" t="s">
        <v>4281</v>
      </c>
      <c r="Q538" s="133" t="s">
        <v>4872</v>
      </c>
      <c r="R538" s="133" t="s">
        <v>4281</v>
      </c>
      <c r="S538" s="133" t="s">
        <v>4873</v>
      </c>
    </row>
    <row r="539" spans="1:19">
      <c r="A539" s="133" t="s">
        <v>6353</v>
      </c>
      <c r="B539" s="133" t="s">
        <v>4866</v>
      </c>
      <c r="C539" s="133" t="s">
        <v>4279</v>
      </c>
      <c r="D539" s="133" t="s">
        <v>1013</v>
      </c>
      <c r="E539" s="133" t="s">
        <v>6354</v>
      </c>
      <c r="H539" s="133" t="s">
        <v>6350</v>
      </c>
      <c r="I539" s="133" t="s">
        <v>6351</v>
      </c>
      <c r="J539" s="133" t="s">
        <v>6352</v>
      </c>
      <c r="K539" s="133">
        <v>4466.37</v>
      </c>
      <c r="L539" s="133">
        <v>580.63</v>
      </c>
      <c r="M539" s="133">
        <v>580.63</v>
      </c>
      <c r="N539" s="133" t="s">
        <v>4280</v>
      </c>
      <c r="O539" s="133" t="s">
        <v>4871</v>
      </c>
      <c r="P539" s="133" t="s">
        <v>4281</v>
      </c>
      <c r="Q539" s="133" t="s">
        <v>4872</v>
      </c>
      <c r="R539" s="133" t="s">
        <v>4281</v>
      </c>
      <c r="S539" s="133" t="s">
        <v>4873</v>
      </c>
    </row>
    <row r="540" spans="1:19">
      <c r="A540" s="133" t="s">
        <v>6355</v>
      </c>
      <c r="B540" s="133" t="s">
        <v>4866</v>
      </c>
      <c r="C540" s="133" t="s">
        <v>4279</v>
      </c>
      <c r="D540" s="133" t="s">
        <v>1013</v>
      </c>
      <c r="E540" s="133" t="s">
        <v>6356</v>
      </c>
      <c r="H540" s="133" t="s">
        <v>6357</v>
      </c>
      <c r="I540" s="133" t="s">
        <v>6351</v>
      </c>
      <c r="J540" s="133" t="s">
        <v>6352</v>
      </c>
      <c r="K540" s="133">
        <v>3359.29</v>
      </c>
      <c r="L540" s="133">
        <v>436.71</v>
      </c>
      <c r="M540" s="133">
        <v>436.71</v>
      </c>
      <c r="N540" s="133" t="s">
        <v>4280</v>
      </c>
      <c r="O540" s="133" t="s">
        <v>4871</v>
      </c>
      <c r="P540" s="133" t="s">
        <v>4281</v>
      </c>
      <c r="Q540" s="133" t="s">
        <v>4872</v>
      </c>
      <c r="R540" s="133" t="s">
        <v>4281</v>
      </c>
      <c r="S540" s="133" t="s">
        <v>4873</v>
      </c>
    </row>
    <row r="541" spans="1:19">
      <c r="A541" s="133" t="s">
        <v>6358</v>
      </c>
      <c r="B541" s="133" t="s">
        <v>4866</v>
      </c>
      <c r="C541" s="133" t="s">
        <v>4279</v>
      </c>
      <c r="D541" s="133" t="s">
        <v>1013</v>
      </c>
      <c r="E541" s="133" t="s">
        <v>6359</v>
      </c>
      <c r="H541" s="133" t="s">
        <v>6357</v>
      </c>
      <c r="I541" s="133" t="s">
        <v>6351</v>
      </c>
      <c r="J541" s="133" t="s">
        <v>6352</v>
      </c>
      <c r="K541" s="133">
        <v>8028.32</v>
      </c>
      <c r="L541" s="133">
        <v>1043.68</v>
      </c>
      <c r="M541" s="133">
        <v>1043.68</v>
      </c>
      <c r="N541" s="133" t="s">
        <v>4280</v>
      </c>
      <c r="O541" s="133" t="s">
        <v>4871</v>
      </c>
      <c r="P541" s="133" t="s">
        <v>4281</v>
      </c>
      <c r="Q541" s="133" t="s">
        <v>4872</v>
      </c>
      <c r="R541" s="133" t="s">
        <v>4281</v>
      </c>
      <c r="S541" s="133" t="s">
        <v>4873</v>
      </c>
    </row>
    <row r="542" spans="1:19">
      <c r="A542" s="133" t="s">
        <v>6360</v>
      </c>
      <c r="B542" s="133" t="s">
        <v>4866</v>
      </c>
      <c r="C542" s="133" t="s">
        <v>4279</v>
      </c>
      <c r="D542" s="133" t="s">
        <v>1013</v>
      </c>
      <c r="E542" s="133" t="s">
        <v>6361</v>
      </c>
      <c r="H542" s="133" t="s">
        <v>6362</v>
      </c>
      <c r="I542" s="133" t="s">
        <v>6351</v>
      </c>
      <c r="J542" s="133" t="s">
        <v>6352</v>
      </c>
      <c r="K542" s="133">
        <v>4466.37</v>
      </c>
      <c r="L542" s="133">
        <v>580.63</v>
      </c>
      <c r="M542" s="133">
        <v>580.63</v>
      </c>
      <c r="N542" s="133" t="s">
        <v>4280</v>
      </c>
      <c r="O542" s="133" t="s">
        <v>4871</v>
      </c>
      <c r="P542" s="133" t="s">
        <v>4281</v>
      </c>
      <c r="Q542" s="133" t="s">
        <v>4872</v>
      </c>
      <c r="R542" s="133" t="s">
        <v>4281</v>
      </c>
      <c r="S542" s="133" t="s">
        <v>4873</v>
      </c>
    </row>
    <row r="543" spans="1:19">
      <c r="A543" s="133" t="s">
        <v>6363</v>
      </c>
      <c r="B543" s="133" t="s">
        <v>4866</v>
      </c>
      <c r="C543" s="133" t="s">
        <v>4279</v>
      </c>
      <c r="D543" s="133" t="s">
        <v>1013</v>
      </c>
      <c r="E543" s="133" t="s">
        <v>6364</v>
      </c>
      <c r="H543" s="133" t="s">
        <v>6365</v>
      </c>
      <c r="I543" s="133" t="s">
        <v>6351</v>
      </c>
      <c r="J543" s="133" t="s">
        <v>6352</v>
      </c>
      <c r="K543" s="133">
        <v>4459.3</v>
      </c>
      <c r="L543" s="133">
        <v>579.71</v>
      </c>
      <c r="M543" s="133">
        <v>579.71</v>
      </c>
      <c r="N543" s="133" t="s">
        <v>4280</v>
      </c>
      <c r="O543" s="133" t="s">
        <v>4871</v>
      </c>
      <c r="P543" s="133" t="s">
        <v>4281</v>
      </c>
      <c r="Q543" s="133" t="s">
        <v>4872</v>
      </c>
      <c r="R543" s="133" t="s">
        <v>4281</v>
      </c>
      <c r="S543" s="133" t="s">
        <v>4873</v>
      </c>
    </row>
    <row r="544" spans="1:19">
      <c r="A544" s="133" t="s">
        <v>6366</v>
      </c>
      <c r="B544" s="133" t="s">
        <v>4866</v>
      </c>
      <c r="C544" s="133" t="s">
        <v>4279</v>
      </c>
      <c r="D544" s="133" t="s">
        <v>1013</v>
      </c>
      <c r="E544" s="133" t="s">
        <v>6367</v>
      </c>
      <c r="H544" s="133" t="s">
        <v>6368</v>
      </c>
      <c r="I544" s="133" t="s">
        <v>6351</v>
      </c>
      <c r="J544" s="133" t="s">
        <v>6352</v>
      </c>
      <c r="K544" s="133">
        <v>13437.17</v>
      </c>
      <c r="L544" s="133">
        <v>1746.83</v>
      </c>
      <c r="M544" s="133">
        <v>1746.83</v>
      </c>
      <c r="N544" s="133" t="s">
        <v>4280</v>
      </c>
      <c r="O544" s="133" t="s">
        <v>4871</v>
      </c>
      <c r="P544" s="133" t="s">
        <v>4281</v>
      </c>
      <c r="Q544" s="133" t="s">
        <v>4872</v>
      </c>
      <c r="R544" s="133" t="s">
        <v>4281</v>
      </c>
      <c r="S544" s="133" t="s">
        <v>4873</v>
      </c>
    </row>
    <row r="545" spans="1:19">
      <c r="A545" s="133" t="s">
        <v>6369</v>
      </c>
      <c r="B545" s="133" t="s">
        <v>4866</v>
      </c>
      <c r="C545" s="133" t="s">
        <v>4279</v>
      </c>
      <c r="D545" s="133" t="s">
        <v>1013</v>
      </c>
      <c r="E545" s="133" t="s">
        <v>6370</v>
      </c>
      <c r="H545" s="133" t="s">
        <v>6371</v>
      </c>
      <c r="I545" s="133" t="s">
        <v>6351</v>
      </c>
      <c r="J545" s="133" t="s">
        <v>6352</v>
      </c>
      <c r="K545" s="133">
        <v>841.59</v>
      </c>
      <c r="L545" s="133">
        <v>109.41</v>
      </c>
      <c r="M545" s="133">
        <v>109.41</v>
      </c>
      <c r="N545" s="133" t="s">
        <v>4280</v>
      </c>
      <c r="O545" s="133" t="s">
        <v>4871</v>
      </c>
      <c r="P545" s="133" t="s">
        <v>4281</v>
      </c>
      <c r="Q545" s="133" t="s">
        <v>4872</v>
      </c>
      <c r="R545" s="133" t="s">
        <v>4281</v>
      </c>
      <c r="S545" s="133" t="s">
        <v>4873</v>
      </c>
    </row>
    <row r="546" spans="1:19">
      <c r="A546" s="133" t="s">
        <v>6372</v>
      </c>
      <c r="B546" s="133" t="s">
        <v>4866</v>
      </c>
      <c r="C546" s="133" t="s">
        <v>4279</v>
      </c>
      <c r="D546" s="133" t="s">
        <v>1013</v>
      </c>
      <c r="E546" s="133" t="s">
        <v>6373</v>
      </c>
      <c r="H546" s="133" t="s">
        <v>6374</v>
      </c>
      <c r="I546" s="133" t="s">
        <v>6351</v>
      </c>
      <c r="J546" s="133" t="s">
        <v>6352</v>
      </c>
      <c r="K546" s="133">
        <v>4466.37</v>
      </c>
      <c r="L546" s="133">
        <v>580.63</v>
      </c>
      <c r="M546" s="133">
        <v>580.63</v>
      </c>
      <c r="N546" s="133" t="s">
        <v>4280</v>
      </c>
      <c r="O546" s="133" t="s">
        <v>4871</v>
      </c>
      <c r="P546" s="133" t="s">
        <v>4281</v>
      </c>
      <c r="Q546" s="133" t="s">
        <v>4872</v>
      </c>
      <c r="R546" s="133" t="s">
        <v>4281</v>
      </c>
      <c r="S546" s="133" t="s">
        <v>4873</v>
      </c>
    </row>
    <row r="547" spans="1:19">
      <c r="A547" s="133" t="s">
        <v>6375</v>
      </c>
      <c r="B547" s="133" t="s">
        <v>4866</v>
      </c>
      <c r="C547" s="133" t="s">
        <v>4279</v>
      </c>
      <c r="D547" s="133" t="s">
        <v>1013</v>
      </c>
      <c r="E547" s="133" t="s">
        <v>6376</v>
      </c>
      <c r="H547" s="133" t="s">
        <v>6377</v>
      </c>
      <c r="I547" s="133" t="s">
        <v>6351</v>
      </c>
      <c r="J547" s="133" t="s">
        <v>6352</v>
      </c>
      <c r="K547" s="133">
        <v>10032.74</v>
      </c>
      <c r="L547" s="133">
        <v>1304.26</v>
      </c>
      <c r="M547" s="133">
        <v>1304.26</v>
      </c>
      <c r="N547" s="133" t="s">
        <v>4280</v>
      </c>
      <c r="O547" s="133" t="s">
        <v>4871</v>
      </c>
      <c r="P547" s="133" t="s">
        <v>4281</v>
      </c>
      <c r="Q547" s="133" t="s">
        <v>4872</v>
      </c>
      <c r="R547" s="133" t="s">
        <v>4281</v>
      </c>
      <c r="S547" s="133" t="s">
        <v>4873</v>
      </c>
    </row>
    <row r="548" spans="1:19">
      <c r="A548" s="133" t="s">
        <v>6378</v>
      </c>
      <c r="B548" s="133" t="s">
        <v>4866</v>
      </c>
      <c r="C548" s="133" t="s">
        <v>4279</v>
      </c>
      <c r="D548" s="133" t="s">
        <v>1013</v>
      </c>
      <c r="E548" s="133" t="s">
        <v>6379</v>
      </c>
      <c r="H548" s="133" t="s">
        <v>6380</v>
      </c>
      <c r="I548" s="133" t="s">
        <v>6351</v>
      </c>
      <c r="J548" s="133" t="s">
        <v>6352</v>
      </c>
      <c r="K548" s="133">
        <v>875.22</v>
      </c>
      <c r="L548" s="133">
        <v>113.78</v>
      </c>
      <c r="M548" s="133">
        <v>113.78</v>
      </c>
      <c r="N548" s="133" t="s">
        <v>4280</v>
      </c>
      <c r="O548" s="133" t="s">
        <v>4871</v>
      </c>
      <c r="P548" s="133" t="s">
        <v>4281</v>
      </c>
      <c r="Q548" s="133" t="s">
        <v>4872</v>
      </c>
      <c r="R548" s="133" t="s">
        <v>4281</v>
      </c>
      <c r="S548" s="133" t="s">
        <v>4873</v>
      </c>
    </row>
    <row r="549" spans="1:19">
      <c r="A549" s="133" t="s">
        <v>6381</v>
      </c>
      <c r="B549" s="133" t="s">
        <v>4866</v>
      </c>
      <c r="C549" s="133" t="s">
        <v>4279</v>
      </c>
      <c r="D549" s="133" t="s">
        <v>1013</v>
      </c>
      <c r="E549" s="133" t="s">
        <v>6382</v>
      </c>
      <c r="H549" s="133" t="s">
        <v>6383</v>
      </c>
      <c r="I549" s="133" t="s">
        <v>6351</v>
      </c>
      <c r="J549" s="133" t="s">
        <v>6352</v>
      </c>
      <c r="K549" s="133">
        <v>446.02</v>
      </c>
      <c r="L549" s="133">
        <v>57.98</v>
      </c>
      <c r="M549" s="133">
        <v>57.98</v>
      </c>
      <c r="N549" s="133" t="s">
        <v>4280</v>
      </c>
      <c r="O549" s="133" t="s">
        <v>4871</v>
      </c>
      <c r="P549" s="133" t="s">
        <v>4281</v>
      </c>
      <c r="Q549" s="133" t="s">
        <v>4872</v>
      </c>
      <c r="R549" s="133" t="s">
        <v>4281</v>
      </c>
      <c r="S549" s="133" t="s">
        <v>4873</v>
      </c>
    </row>
    <row r="550" spans="1:19">
      <c r="A550" s="133" t="s">
        <v>6384</v>
      </c>
      <c r="B550" s="133" t="s">
        <v>4866</v>
      </c>
      <c r="C550" s="133" t="s">
        <v>4279</v>
      </c>
      <c r="D550" s="133" t="s">
        <v>1013</v>
      </c>
      <c r="E550" s="133" t="s">
        <v>6385</v>
      </c>
      <c r="H550" s="133" t="s">
        <v>6386</v>
      </c>
      <c r="I550" s="133" t="s">
        <v>6351</v>
      </c>
      <c r="J550" s="133" t="s">
        <v>6352</v>
      </c>
      <c r="K550" s="133">
        <v>1877.88</v>
      </c>
      <c r="L550" s="133">
        <v>244.12</v>
      </c>
      <c r="M550" s="133">
        <v>244.12</v>
      </c>
      <c r="N550" s="133" t="s">
        <v>4280</v>
      </c>
      <c r="O550" s="133" t="s">
        <v>4871</v>
      </c>
      <c r="P550" s="133" t="s">
        <v>4281</v>
      </c>
      <c r="Q550" s="133" t="s">
        <v>4872</v>
      </c>
      <c r="R550" s="133" t="s">
        <v>4281</v>
      </c>
      <c r="S550" s="133" t="s">
        <v>4873</v>
      </c>
    </row>
    <row r="551" spans="1:19">
      <c r="A551" s="133" t="s">
        <v>6387</v>
      </c>
      <c r="B551" s="133" t="s">
        <v>4866</v>
      </c>
      <c r="C551" s="133" t="s">
        <v>4279</v>
      </c>
      <c r="D551" s="133" t="s">
        <v>1013</v>
      </c>
      <c r="E551" s="133" t="s">
        <v>6388</v>
      </c>
      <c r="H551" s="133" t="s">
        <v>6389</v>
      </c>
      <c r="I551" s="133" t="s">
        <v>6351</v>
      </c>
      <c r="J551" s="133" t="s">
        <v>6352</v>
      </c>
      <c r="K551" s="133">
        <v>875.22</v>
      </c>
      <c r="L551" s="133">
        <v>113.78</v>
      </c>
      <c r="M551" s="133">
        <v>113.78</v>
      </c>
      <c r="N551" s="133" t="s">
        <v>4280</v>
      </c>
      <c r="O551" s="133" t="s">
        <v>4871</v>
      </c>
      <c r="P551" s="133" t="s">
        <v>4281</v>
      </c>
      <c r="Q551" s="133" t="s">
        <v>4872</v>
      </c>
      <c r="R551" s="133" t="s">
        <v>4281</v>
      </c>
      <c r="S551" s="133" t="s">
        <v>4873</v>
      </c>
    </row>
    <row r="552" spans="1:19">
      <c r="A552" s="133" t="s">
        <v>6390</v>
      </c>
      <c r="B552" s="133" t="s">
        <v>4866</v>
      </c>
      <c r="C552" s="133" t="s">
        <v>4279</v>
      </c>
      <c r="D552" s="133" t="s">
        <v>1013</v>
      </c>
      <c r="E552" s="133" t="s">
        <v>6391</v>
      </c>
      <c r="H552" s="133" t="s">
        <v>6392</v>
      </c>
      <c r="I552" s="133" t="s">
        <v>6351</v>
      </c>
      <c r="J552" s="133" t="s">
        <v>6352</v>
      </c>
      <c r="K552" s="133">
        <v>2176.5100000000002</v>
      </c>
      <c r="L552" s="133">
        <v>282.95</v>
      </c>
      <c r="M552" s="133">
        <v>282.95</v>
      </c>
      <c r="N552" s="133" t="s">
        <v>4280</v>
      </c>
      <c r="O552" s="133" t="s">
        <v>4871</v>
      </c>
      <c r="P552" s="133" t="s">
        <v>4281</v>
      </c>
      <c r="Q552" s="133" t="s">
        <v>4872</v>
      </c>
      <c r="R552" s="133" t="s">
        <v>4281</v>
      </c>
      <c r="S552" s="133" t="s">
        <v>4873</v>
      </c>
    </row>
    <row r="553" spans="1:19">
      <c r="A553" s="133" t="s">
        <v>6393</v>
      </c>
      <c r="B553" s="133" t="s">
        <v>4866</v>
      </c>
      <c r="C553" s="133" t="s">
        <v>4279</v>
      </c>
      <c r="D553" s="133" t="s">
        <v>1013</v>
      </c>
      <c r="E553" s="133" t="s">
        <v>6394</v>
      </c>
      <c r="H553" s="133" t="s">
        <v>6395</v>
      </c>
      <c r="I553" s="133" t="s">
        <v>6351</v>
      </c>
      <c r="J553" s="133" t="s">
        <v>6352</v>
      </c>
      <c r="K553" s="133">
        <v>4754.92</v>
      </c>
      <c r="L553" s="133">
        <v>618.14</v>
      </c>
      <c r="M553" s="133">
        <v>618.14</v>
      </c>
      <c r="N553" s="133" t="s">
        <v>4280</v>
      </c>
      <c r="O553" s="133" t="s">
        <v>4871</v>
      </c>
      <c r="P553" s="133" t="s">
        <v>4281</v>
      </c>
      <c r="Q553" s="133" t="s">
        <v>4872</v>
      </c>
      <c r="R553" s="133" t="s">
        <v>4281</v>
      </c>
      <c r="S553" s="133" t="s">
        <v>4873</v>
      </c>
    </row>
    <row r="554" spans="1:19">
      <c r="A554" s="133" t="s">
        <v>6396</v>
      </c>
      <c r="B554" s="133" t="s">
        <v>4866</v>
      </c>
      <c r="C554" s="133" t="s">
        <v>4279</v>
      </c>
      <c r="D554" s="133" t="s">
        <v>1013</v>
      </c>
      <c r="E554" s="133" t="s">
        <v>6397</v>
      </c>
      <c r="H554" s="133" t="s">
        <v>6398</v>
      </c>
      <c r="I554" s="133" t="s">
        <v>6351</v>
      </c>
      <c r="J554" s="133" t="s">
        <v>6352</v>
      </c>
      <c r="K554" s="133">
        <v>2130.9699999999998</v>
      </c>
      <c r="L554" s="133">
        <v>277.02999999999997</v>
      </c>
      <c r="M554" s="133">
        <v>277.02999999999997</v>
      </c>
      <c r="N554" s="133" t="s">
        <v>4280</v>
      </c>
      <c r="O554" s="133" t="s">
        <v>4871</v>
      </c>
      <c r="P554" s="133" t="s">
        <v>4281</v>
      </c>
      <c r="Q554" s="133" t="s">
        <v>4872</v>
      </c>
      <c r="R554" s="133" t="s">
        <v>4281</v>
      </c>
      <c r="S554" s="133" t="s">
        <v>4873</v>
      </c>
    </row>
    <row r="555" spans="1:19">
      <c r="A555" s="133" t="s">
        <v>6399</v>
      </c>
      <c r="B555" s="133" t="s">
        <v>4866</v>
      </c>
      <c r="C555" s="133" t="s">
        <v>4279</v>
      </c>
      <c r="D555" s="133" t="s">
        <v>1013</v>
      </c>
      <c r="E555" s="133" t="s">
        <v>6400</v>
      </c>
      <c r="H555" s="133" t="s">
        <v>6401</v>
      </c>
      <c r="I555" s="133" t="s">
        <v>6351</v>
      </c>
      <c r="J555" s="133" t="s">
        <v>6352</v>
      </c>
      <c r="K555" s="133">
        <v>3874.21</v>
      </c>
      <c r="L555" s="133">
        <v>503.65</v>
      </c>
      <c r="M555" s="133">
        <v>503.65</v>
      </c>
      <c r="N555" s="133" t="s">
        <v>4280</v>
      </c>
      <c r="O555" s="133" t="s">
        <v>4871</v>
      </c>
      <c r="P555" s="133" t="s">
        <v>4281</v>
      </c>
      <c r="Q555" s="133" t="s">
        <v>4872</v>
      </c>
      <c r="R555" s="133" t="s">
        <v>4281</v>
      </c>
      <c r="S555" s="133" t="s">
        <v>4873</v>
      </c>
    </row>
    <row r="556" spans="1:19">
      <c r="A556" s="133" t="s">
        <v>6402</v>
      </c>
      <c r="B556" s="133" t="s">
        <v>4866</v>
      </c>
      <c r="C556" s="133" t="s">
        <v>4279</v>
      </c>
      <c r="D556" s="133" t="s">
        <v>1013</v>
      </c>
      <c r="E556" s="133" t="s">
        <v>6403</v>
      </c>
      <c r="H556" s="133" t="s">
        <v>6404</v>
      </c>
      <c r="I556" s="133" t="s">
        <v>6351</v>
      </c>
      <c r="J556" s="133" t="s">
        <v>6352</v>
      </c>
      <c r="K556" s="133">
        <v>13437.16</v>
      </c>
      <c r="L556" s="133">
        <v>1746.83</v>
      </c>
      <c r="M556" s="133">
        <v>1746.83</v>
      </c>
      <c r="N556" s="133" t="s">
        <v>4280</v>
      </c>
      <c r="O556" s="133" t="s">
        <v>4871</v>
      </c>
      <c r="P556" s="133" t="s">
        <v>4281</v>
      </c>
      <c r="Q556" s="133" t="s">
        <v>4872</v>
      </c>
      <c r="R556" s="133" t="s">
        <v>4281</v>
      </c>
      <c r="S556" s="133" t="s">
        <v>4873</v>
      </c>
    </row>
    <row r="557" spans="1:19">
      <c r="A557" s="133" t="s">
        <v>6405</v>
      </c>
      <c r="B557" s="133" t="s">
        <v>4866</v>
      </c>
      <c r="C557" s="133" t="s">
        <v>4279</v>
      </c>
      <c r="D557" s="133" t="s">
        <v>1013</v>
      </c>
      <c r="E557" s="133" t="s">
        <v>6406</v>
      </c>
      <c r="H557" s="133" t="s">
        <v>6407</v>
      </c>
      <c r="I557" s="133" t="s">
        <v>6351</v>
      </c>
      <c r="J557" s="133" t="s">
        <v>6352</v>
      </c>
      <c r="K557" s="133">
        <v>7577.81</v>
      </c>
      <c r="L557" s="133">
        <v>985.12</v>
      </c>
      <c r="M557" s="133">
        <v>985.12</v>
      </c>
      <c r="N557" s="133" t="s">
        <v>4280</v>
      </c>
      <c r="O557" s="133" t="s">
        <v>4871</v>
      </c>
      <c r="P557" s="133" t="s">
        <v>4281</v>
      </c>
      <c r="Q557" s="133" t="s">
        <v>4872</v>
      </c>
      <c r="R557" s="133" t="s">
        <v>4281</v>
      </c>
      <c r="S557" s="133" t="s">
        <v>4873</v>
      </c>
    </row>
    <row r="558" spans="1:19">
      <c r="A558" s="133" t="s">
        <v>6408</v>
      </c>
      <c r="B558" s="133" t="s">
        <v>4866</v>
      </c>
      <c r="C558" s="133" t="s">
        <v>4279</v>
      </c>
      <c r="D558" s="133" t="s">
        <v>1013</v>
      </c>
      <c r="E558" s="133" t="s">
        <v>6409</v>
      </c>
      <c r="H558" s="133" t="s">
        <v>6410</v>
      </c>
      <c r="I558" s="133" t="s">
        <v>6351</v>
      </c>
      <c r="J558" s="133" t="s">
        <v>6352</v>
      </c>
      <c r="K558" s="133">
        <v>4466.37</v>
      </c>
      <c r="L558" s="133">
        <v>580.63</v>
      </c>
      <c r="M558" s="133">
        <v>580.63</v>
      </c>
      <c r="N558" s="133" t="s">
        <v>4280</v>
      </c>
      <c r="O558" s="133" t="s">
        <v>4871</v>
      </c>
      <c r="P558" s="133" t="s">
        <v>4281</v>
      </c>
      <c r="Q558" s="133" t="s">
        <v>4872</v>
      </c>
      <c r="R558" s="133" t="s">
        <v>4281</v>
      </c>
      <c r="S558" s="133" t="s">
        <v>4873</v>
      </c>
    </row>
    <row r="559" spans="1:19">
      <c r="A559" s="133" t="s">
        <v>6411</v>
      </c>
      <c r="B559" s="133" t="s">
        <v>4866</v>
      </c>
      <c r="C559" s="133" t="s">
        <v>4279</v>
      </c>
      <c r="D559" s="133" t="s">
        <v>1013</v>
      </c>
      <c r="E559" s="133" t="s">
        <v>6412</v>
      </c>
      <c r="H559" s="133" t="s">
        <v>6413</v>
      </c>
      <c r="I559" s="133" t="s">
        <v>6351</v>
      </c>
      <c r="J559" s="133" t="s">
        <v>6352</v>
      </c>
      <c r="K559" s="133">
        <v>4466.37</v>
      </c>
      <c r="L559" s="133">
        <v>580.63</v>
      </c>
      <c r="M559" s="133">
        <v>580.63</v>
      </c>
      <c r="N559" s="133" t="s">
        <v>4280</v>
      </c>
      <c r="O559" s="133" t="s">
        <v>4871</v>
      </c>
      <c r="P559" s="133" t="s">
        <v>4281</v>
      </c>
      <c r="Q559" s="133" t="s">
        <v>4872</v>
      </c>
      <c r="R559" s="133" t="s">
        <v>4281</v>
      </c>
      <c r="S559" s="133" t="s">
        <v>4873</v>
      </c>
    </row>
    <row r="560" spans="1:19">
      <c r="A560" s="133" t="s">
        <v>6414</v>
      </c>
      <c r="B560" s="133" t="s">
        <v>4866</v>
      </c>
      <c r="C560" s="133" t="s">
        <v>4279</v>
      </c>
      <c r="D560" s="133" t="s">
        <v>1013</v>
      </c>
      <c r="E560" s="133" t="s">
        <v>2690</v>
      </c>
      <c r="H560" s="133" t="s">
        <v>6415</v>
      </c>
      <c r="I560" s="133" t="s">
        <v>6416</v>
      </c>
      <c r="J560" s="133" t="s">
        <v>6417</v>
      </c>
      <c r="K560" s="133">
        <v>37485.85</v>
      </c>
      <c r="L560" s="133">
        <v>2249.15</v>
      </c>
      <c r="M560" s="133">
        <v>2249.15</v>
      </c>
      <c r="N560" s="133" t="s">
        <v>4280</v>
      </c>
      <c r="O560" s="133" t="s">
        <v>4871</v>
      </c>
      <c r="P560" s="133" t="s">
        <v>4281</v>
      </c>
      <c r="Q560" s="133" t="s">
        <v>4872</v>
      </c>
      <c r="R560" s="133" t="s">
        <v>4281</v>
      </c>
      <c r="S560" s="133" t="s">
        <v>4873</v>
      </c>
    </row>
    <row r="561" spans="1:19">
      <c r="A561" s="133" t="s">
        <v>6418</v>
      </c>
      <c r="B561" s="133" t="s">
        <v>4866</v>
      </c>
      <c r="C561" s="133" t="s">
        <v>4279</v>
      </c>
      <c r="D561" s="133" t="s">
        <v>1013</v>
      </c>
      <c r="E561" s="133" t="s">
        <v>6419</v>
      </c>
      <c r="H561" s="133" t="s">
        <v>6420</v>
      </c>
      <c r="I561" s="133" t="s">
        <v>6421</v>
      </c>
      <c r="J561" s="133" t="s">
        <v>6422</v>
      </c>
      <c r="K561" s="133">
        <v>14601769.91</v>
      </c>
      <c r="L561" s="133">
        <v>1898230.09</v>
      </c>
      <c r="M561" s="133">
        <v>1898230.09</v>
      </c>
      <c r="N561" s="133" t="s">
        <v>4280</v>
      </c>
      <c r="O561" s="133" t="s">
        <v>4871</v>
      </c>
      <c r="P561" s="133" t="s">
        <v>4281</v>
      </c>
      <c r="Q561" s="133" t="s">
        <v>4872</v>
      </c>
      <c r="R561" s="133" t="s">
        <v>4281</v>
      </c>
      <c r="S561" s="133" t="s">
        <v>4873</v>
      </c>
    </row>
    <row r="562" spans="1:19">
      <c r="A562" s="133" t="s">
        <v>6423</v>
      </c>
      <c r="B562" s="133" t="s">
        <v>4866</v>
      </c>
      <c r="C562" s="133" t="s">
        <v>4279</v>
      </c>
      <c r="D562" s="133" t="s">
        <v>1013</v>
      </c>
      <c r="E562" s="133" t="s">
        <v>6424</v>
      </c>
      <c r="H562" s="133" t="s">
        <v>6425</v>
      </c>
      <c r="I562" s="133" t="s">
        <v>6426</v>
      </c>
      <c r="J562" s="133" t="s">
        <v>6427</v>
      </c>
      <c r="K562" s="133">
        <v>34403669.719999999</v>
      </c>
      <c r="L562" s="133">
        <v>3096330.28</v>
      </c>
      <c r="M562" s="133">
        <v>3096330.28</v>
      </c>
      <c r="N562" s="133" t="s">
        <v>4280</v>
      </c>
      <c r="O562" s="133" t="s">
        <v>4871</v>
      </c>
      <c r="P562" s="133" t="s">
        <v>4281</v>
      </c>
      <c r="Q562" s="133" t="s">
        <v>4872</v>
      </c>
      <c r="R562" s="133" t="s">
        <v>4281</v>
      </c>
      <c r="S562" s="133" t="s">
        <v>4873</v>
      </c>
    </row>
    <row r="563" spans="1:19">
      <c r="A563" s="133" t="s">
        <v>6428</v>
      </c>
      <c r="B563" s="133" t="s">
        <v>4866</v>
      </c>
      <c r="C563" s="133" t="s">
        <v>4279</v>
      </c>
      <c r="D563" s="133" t="s">
        <v>1013</v>
      </c>
      <c r="E563" s="133" t="s">
        <v>3368</v>
      </c>
      <c r="H563" s="133" t="s">
        <v>6429</v>
      </c>
      <c r="I563" s="133" t="s">
        <v>6430</v>
      </c>
      <c r="J563" s="133" t="s">
        <v>6431</v>
      </c>
      <c r="K563" s="133">
        <v>109936.79</v>
      </c>
      <c r="L563" s="133">
        <v>6596.21</v>
      </c>
      <c r="M563" s="133">
        <v>6596.21</v>
      </c>
      <c r="N563" s="133" t="s">
        <v>4280</v>
      </c>
      <c r="O563" s="133" t="s">
        <v>4871</v>
      </c>
      <c r="P563" s="133" t="s">
        <v>4281</v>
      </c>
      <c r="Q563" s="133" t="s">
        <v>4872</v>
      </c>
      <c r="R563" s="133" t="s">
        <v>4281</v>
      </c>
      <c r="S563" s="133" t="s">
        <v>4873</v>
      </c>
    </row>
    <row r="564" spans="1:19">
      <c r="A564" s="133" t="s">
        <v>6432</v>
      </c>
      <c r="B564" s="133" t="s">
        <v>4866</v>
      </c>
      <c r="C564" s="133" t="s">
        <v>4279</v>
      </c>
      <c r="D564" s="133" t="s">
        <v>1013</v>
      </c>
      <c r="E564" s="133" t="s">
        <v>3433</v>
      </c>
      <c r="H564" s="133" t="s">
        <v>6433</v>
      </c>
      <c r="I564" s="133" t="s">
        <v>6430</v>
      </c>
      <c r="J564" s="133" t="s">
        <v>6431</v>
      </c>
      <c r="K564" s="133">
        <v>94339.62</v>
      </c>
      <c r="L564" s="133">
        <v>5660.38</v>
      </c>
      <c r="M564" s="133">
        <v>5660.38</v>
      </c>
      <c r="N564" s="133" t="s">
        <v>4280</v>
      </c>
      <c r="O564" s="133" t="s">
        <v>4871</v>
      </c>
      <c r="P564" s="133" t="s">
        <v>4281</v>
      </c>
      <c r="Q564" s="133" t="s">
        <v>4872</v>
      </c>
      <c r="R564" s="133" t="s">
        <v>4281</v>
      </c>
      <c r="S564" s="133" t="s">
        <v>4873</v>
      </c>
    </row>
    <row r="565" spans="1:19">
      <c r="A565" s="133" t="s">
        <v>6434</v>
      </c>
      <c r="B565" s="133" t="s">
        <v>4866</v>
      </c>
      <c r="C565" s="133" t="s">
        <v>4279</v>
      </c>
      <c r="D565" s="133" t="s">
        <v>1013</v>
      </c>
      <c r="E565" s="133" t="s">
        <v>2702</v>
      </c>
      <c r="H565" s="133" t="s">
        <v>6435</v>
      </c>
      <c r="I565" s="133" t="s">
        <v>6436</v>
      </c>
      <c r="J565" s="133" t="s">
        <v>6437</v>
      </c>
      <c r="K565" s="133">
        <v>297029.7</v>
      </c>
      <c r="L565" s="133">
        <v>2970.3</v>
      </c>
      <c r="M565" s="133">
        <v>2970.3</v>
      </c>
      <c r="N565" s="133" t="s">
        <v>4280</v>
      </c>
      <c r="O565" s="133" t="s">
        <v>4871</v>
      </c>
      <c r="P565" s="133" t="s">
        <v>4281</v>
      </c>
      <c r="Q565" s="133" t="s">
        <v>4872</v>
      </c>
      <c r="R565" s="133" t="s">
        <v>4281</v>
      </c>
      <c r="S565" s="133" t="s">
        <v>4873</v>
      </c>
    </row>
    <row r="566" spans="1:19">
      <c r="A566" s="133" t="s">
        <v>6438</v>
      </c>
      <c r="B566" s="133" t="s">
        <v>4866</v>
      </c>
      <c r="C566" s="133" t="s">
        <v>4279</v>
      </c>
      <c r="D566" s="133" t="s">
        <v>1013</v>
      </c>
      <c r="E566" s="133" t="s">
        <v>2715</v>
      </c>
      <c r="H566" s="133" t="s">
        <v>6439</v>
      </c>
      <c r="I566" s="133" t="s">
        <v>6436</v>
      </c>
      <c r="J566" s="133" t="s">
        <v>6437</v>
      </c>
      <c r="K566" s="133">
        <v>326732.67</v>
      </c>
      <c r="L566" s="133">
        <v>3267.33</v>
      </c>
      <c r="M566" s="133">
        <v>3267.33</v>
      </c>
      <c r="N566" s="133" t="s">
        <v>4280</v>
      </c>
      <c r="O566" s="133" t="s">
        <v>4871</v>
      </c>
      <c r="P566" s="133" t="s">
        <v>4281</v>
      </c>
      <c r="Q566" s="133" t="s">
        <v>4872</v>
      </c>
      <c r="R566" s="133" t="s">
        <v>4281</v>
      </c>
      <c r="S566" s="133" t="s">
        <v>4873</v>
      </c>
    </row>
    <row r="567" spans="1:19">
      <c r="A567" s="133" t="s">
        <v>6440</v>
      </c>
      <c r="B567" s="133" t="s">
        <v>4866</v>
      </c>
      <c r="C567" s="133" t="s">
        <v>4279</v>
      </c>
      <c r="D567" s="133" t="s">
        <v>1013</v>
      </c>
      <c r="E567" s="133" t="s">
        <v>6441</v>
      </c>
      <c r="H567" s="133" t="s">
        <v>6442</v>
      </c>
      <c r="I567" s="133" t="s">
        <v>6443</v>
      </c>
      <c r="J567" s="133" t="s">
        <v>6444</v>
      </c>
      <c r="K567" s="133">
        <v>16847.28</v>
      </c>
      <c r="L567" s="133">
        <v>1010.84</v>
      </c>
      <c r="M567" s="133">
        <v>1010.84</v>
      </c>
      <c r="N567" s="133" t="s">
        <v>4280</v>
      </c>
      <c r="O567" s="133" t="s">
        <v>4871</v>
      </c>
      <c r="P567" s="133" t="s">
        <v>4281</v>
      </c>
      <c r="Q567" s="133" t="s">
        <v>4872</v>
      </c>
      <c r="R567" s="133" t="s">
        <v>4281</v>
      </c>
      <c r="S567" s="133" t="s">
        <v>4873</v>
      </c>
    </row>
    <row r="568" spans="1:19">
      <c r="A568" s="133" t="s">
        <v>6445</v>
      </c>
      <c r="B568" s="133" t="s">
        <v>4866</v>
      </c>
      <c r="C568" s="133" t="s">
        <v>4279</v>
      </c>
      <c r="D568" s="133" t="s">
        <v>1013</v>
      </c>
      <c r="E568" s="133" t="s">
        <v>3830</v>
      </c>
      <c r="H568" s="133" t="s">
        <v>6446</v>
      </c>
      <c r="I568" s="133" t="s">
        <v>6447</v>
      </c>
      <c r="J568" s="133" t="s">
        <v>6448</v>
      </c>
      <c r="K568" s="133">
        <v>326732.67</v>
      </c>
      <c r="L568" s="133">
        <v>3267.33</v>
      </c>
      <c r="M568" s="133">
        <v>3267.33</v>
      </c>
      <c r="N568" s="133" t="s">
        <v>4280</v>
      </c>
      <c r="O568" s="133" t="s">
        <v>4871</v>
      </c>
      <c r="P568" s="133" t="s">
        <v>4281</v>
      </c>
      <c r="Q568" s="133" t="s">
        <v>4872</v>
      </c>
      <c r="R568" s="133" t="s">
        <v>4281</v>
      </c>
      <c r="S568" s="133" t="s">
        <v>4873</v>
      </c>
    </row>
    <row r="569" spans="1:19">
      <c r="A569" s="133" t="s">
        <v>33</v>
      </c>
      <c r="K569" s="135">
        <v>3289557508.46</v>
      </c>
      <c r="L569" s="135">
        <v>408481008.93000001</v>
      </c>
      <c r="M569" s="135">
        <v>408481008.93000001</v>
      </c>
    </row>
  </sheetData>
  <mergeCells count="1">
    <mergeCell ref="A1:S1"/>
  </mergeCells>
  <phoneticPr fontId="85" type="noConversion"/>
  <pageMargins left="0.7" right="0.7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39997558519241921"/>
  </sheetPr>
  <dimension ref="B1:AB52"/>
  <sheetViews>
    <sheetView zoomScale="70" zoomScaleNormal="70" workbookViewId="0">
      <selection activeCell="D2" sqref="D2"/>
    </sheetView>
  </sheetViews>
  <sheetFormatPr defaultColWidth="9" defaultRowHeight="14.25"/>
  <cols>
    <col min="1" max="1" width="5.625" style="61" customWidth="1"/>
    <col min="2" max="2" width="36.375" style="61" customWidth="1"/>
    <col min="3" max="3" width="17" style="62" customWidth="1"/>
    <col min="4" max="4" width="16.125" style="62" customWidth="1"/>
    <col min="5" max="5" width="15" style="62" customWidth="1"/>
    <col min="6" max="6" width="15.125" style="62" customWidth="1"/>
    <col min="7" max="7" width="12.75" style="61" customWidth="1"/>
    <col min="8" max="8" width="14" style="61" customWidth="1"/>
    <col min="9" max="13" width="9" style="61"/>
    <col min="14" max="14" width="36.25" style="61" customWidth="1"/>
    <col min="15" max="15" width="25.875" style="61" customWidth="1"/>
    <col min="16" max="16" width="39.75" style="61" customWidth="1"/>
    <col min="17" max="17" width="9" style="61"/>
    <col min="18" max="18" width="14.75" style="61" customWidth="1"/>
    <col min="19" max="19" width="13.375" style="61" customWidth="1"/>
    <col min="20" max="20" width="15.625" style="61" customWidth="1"/>
    <col min="21" max="22" width="17.625" style="61" customWidth="1"/>
    <col min="23" max="23" width="17.25" style="61" customWidth="1"/>
    <col min="24" max="24" width="12.375" style="61" customWidth="1"/>
    <col min="25" max="25" width="19" style="61" customWidth="1"/>
    <col min="26" max="26" width="30.375" style="61" customWidth="1"/>
    <col min="27" max="27" width="18.875" style="61" customWidth="1"/>
    <col min="28" max="16384" width="9" style="61"/>
  </cols>
  <sheetData>
    <row r="1" spans="2:28">
      <c r="B1" s="63"/>
      <c r="C1" s="64" t="s">
        <v>6449</v>
      </c>
      <c r="D1" s="64" t="s">
        <v>6450</v>
      </c>
      <c r="E1" s="64" t="s">
        <v>6451</v>
      </c>
      <c r="F1" s="65" t="s">
        <v>33</v>
      </c>
    </row>
    <row r="2" spans="2:28">
      <c r="B2" s="66" t="s">
        <v>6452</v>
      </c>
      <c r="C2" s="67">
        <f>'12月PL'!J366</f>
        <v>2091759362.98437</v>
      </c>
      <c r="D2" s="67">
        <f>'Ref 2_202512增值税销项 （样式）'!L114</f>
        <v>854194844.01999998</v>
      </c>
      <c r="E2" s="68"/>
      <c r="F2" s="69">
        <f>C2+D2+E2</f>
        <v>2945954207.0043702</v>
      </c>
      <c r="H2" s="70"/>
      <c r="I2" s="70"/>
    </row>
    <row r="3" spans="2:28">
      <c r="B3" s="66" t="s">
        <v>6453</v>
      </c>
      <c r="C3" s="71"/>
      <c r="D3" s="72">
        <f>'Ref 2_202512增值税销项 （样式）'!L180</f>
        <v>0</v>
      </c>
      <c r="E3" s="73">
        <v>0</v>
      </c>
      <c r="F3" s="69">
        <f t="shared" ref="F3:F9" si="0">C3+D3+E3</f>
        <v>0</v>
      </c>
      <c r="H3" s="74"/>
      <c r="I3" s="74"/>
    </row>
    <row r="4" spans="2:28">
      <c r="B4" s="66" t="s">
        <v>6454</v>
      </c>
      <c r="C4" s="71">
        <f>'12月PL'!J367</f>
        <v>569791267.49000001</v>
      </c>
      <c r="D4" s="72">
        <f>'Ref 2_202512增值税销项 （样式）'!L115</f>
        <v>220186683.55000001</v>
      </c>
      <c r="E4" s="73"/>
      <c r="F4" s="69">
        <f t="shared" si="0"/>
        <v>789977951.03999996</v>
      </c>
      <c r="H4" s="59"/>
      <c r="I4" s="59"/>
    </row>
    <row r="5" spans="2:28">
      <c r="B5" s="66" t="s">
        <v>6455</v>
      </c>
      <c r="C5" s="75"/>
      <c r="D5" s="72">
        <f>'Ref 2_202512增值税销项 （样式）'!L180</f>
        <v>0</v>
      </c>
      <c r="E5" s="73">
        <v>0</v>
      </c>
      <c r="F5" s="69">
        <f t="shared" si="0"/>
        <v>0</v>
      </c>
      <c r="H5" s="59"/>
      <c r="I5" s="59"/>
    </row>
    <row r="6" spans="2:28">
      <c r="B6" s="66" t="s">
        <v>6456</v>
      </c>
      <c r="C6" s="75">
        <f>'12月PL'!J368</f>
        <v>158525189.66620299</v>
      </c>
      <c r="D6" s="72">
        <f>'Ref 2_202512增值税销项 （样式）'!L113</f>
        <v>20265501.629999999</v>
      </c>
      <c r="E6" s="73"/>
      <c r="F6" s="69">
        <f t="shared" si="0"/>
        <v>178790691.29620299</v>
      </c>
    </row>
    <row r="7" spans="2:28">
      <c r="B7" s="66" t="s">
        <v>6457</v>
      </c>
      <c r="C7" s="75"/>
      <c r="D7" s="72">
        <f>'Ref 2_202512增值税销项 （样式）'!L190</f>
        <v>0</v>
      </c>
      <c r="E7" s="73">
        <v>0</v>
      </c>
      <c r="F7" s="69">
        <f t="shared" si="0"/>
        <v>0</v>
      </c>
      <c r="L7" s="76" t="s">
        <v>4242</v>
      </c>
      <c r="M7" s="76" t="s">
        <v>6458</v>
      </c>
      <c r="N7" s="76" t="s">
        <v>6459</v>
      </c>
      <c r="O7" s="76" t="s">
        <v>6460</v>
      </c>
      <c r="P7" s="76" t="s">
        <v>63</v>
      </c>
      <c r="Q7" s="76" t="s">
        <v>6461</v>
      </c>
      <c r="R7" s="77" t="s">
        <v>6462</v>
      </c>
      <c r="S7" s="77" t="s">
        <v>6463</v>
      </c>
      <c r="T7" s="77" t="s">
        <v>6464</v>
      </c>
      <c r="U7" s="77" t="s">
        <v>6465</v>
      </c>
      <c r="V7" s="77" t="s">
        <v>6466</v>
      </c>
      <c r="W7" s="77" t="s">
        <v>20</v>
      </c>
      <c r="X7" s="77" t="s">
        <v>6467</v>
      </c>
      <c r="Y7" s="77" t="s">
        <v>30</v>
      </c>
    </row>
    <row r="8" spans="2:28" ht="15">
      <c r="B8" s="78" t="s">
        <v>6468</v>
      </c>
      <c r="C8" s="79"/>
      <c r="D8" s="80"/>
      <c r="E8" s="81"/>
      <c r="F8" s="81">
        <f t="shared" si="0"/>
        <v>0</v>
      </c>
      <c r="L8" s="82">
        <v>6</v>
      </c>
      <c r="M8" s="83" t="s">
        <v>6469</v>
      </c>
      <c r="N8" s="83" t="s">
        <v>6470</v>
      </c>
      <c r="O8" s="83" t="s">
        <v>6471</v>
      </c>
      <c r="P8" s="83" t="s">
        <v>44</v>
      </c>
      <c r="Q8" s="83">
        <v>202401</v>
      </c>
      <c r="R8" s="84">
        <v>996000</v>
      </c>
      <c r="S8" s="84">
        <v>667825.56000000006</v>
      </c>
      <c r="T8" s="84"/>
      <c r="U8" s="84">
        <v>12253.68</v>
      </c>
      <c r="V8" s="84"/>
      <c r="W8" s="84">
        <v>12253.68</v>
      </c>
      <c r="X8" s="84">
        <v>1225.3699999999999</v>
      </c>
      <c r="Y8" s="84">
        <v>1225.3679999999999</v>
      </c>
      <c r="Z8" s="85" t="s">
        <v>6472</v>
      </c>
      <c r="AA8" s="85" t="s">
        <v>6473</v>
      </c>
      <c r="AB8"/>
    </row>
    <row r="9" spans="2:28" ht="15">
      <c r="B9" s="78" t="s">
        <v>6474</v>
      </c>
      <c r="C9" s="79"/>
      <c r="D9" s="80"/>
      <c r="E9" s="81"/>
      <c r="F9" s="81">
        <f t="shared" si="0"/>
        <v>0</v>
      </c>
      <c r="H9" s="86"/>
      <c r="I9" s="86"/>
      <c r="L9" s="82">
        <v>7</v>
      </c>
      <c r="M9" s="83" t="s">
        <v>6475</v>
      </c>
      <c r="N9" s="83" t="s">
        <v>6476</v>
      </c>
      <c r="O9" s="83" t="s">
        <v>35</v>
      </c>
      <c r="P9" s="83" t="s">
        <v>6477</v>
      </c>
      <c r="Q9" s="83">
        <v>202404</v>
      </c>
      <c r="R9" s="84">
        <v>32917416.77</v>
      </c>
      <c r="S9" s="84">
        <v>32917416.77</v>
      </c>
      <c r="T9" s="84"/>
      <c r="U9" s="84">
        <v>21943.21</v>
      </c>
      <c r="V9" s="84"/>
      <c r="W9" s="84">
        <v>21943.21</v>
      </c>
      <c r="X9" s="84">
        <f>1097.16+658.3+438.86</f>
        <v>2194.3200000000002</v>
      </c>
      <c r="Y9" s="84">
        <v>60398.929819999998</v>
      </c>
      <c r="Z9" s="85" t="s">
        <v>6472</v>
      </c>
      <c r="AA9" s="85" t="s">
        <v>6473</v>
      </c>
      <c r="AB9"/>
    </row>
    <row r="10" spans="2:28" ht="15">
      <c r="B10" s="66" t="s">
        <v>6478</v>
      </c>
      <c r="C10" s="79"/>
      <c r="D10" s="80"/>
      <c r="E10" s="81"/>
      <c r="F10" s="81"/>
      <c r="H10" s="86"/>
      <c r="I10" s="86"/>
      <c r="L10" s="82"/>
      <c r="M10" s="83"/>
      <c r="N10" s="83"/>
      <c r="O10" s="83"/>
      <c r="P10" s="83"/>
      <c r="Q10" s="83"/>
      <c r="R10" s="84"/>
      <c r="S10" s="84"/>
      <c r="T10" s="84"/>
      <c r="U10" s="84"/>
      <c r="V10" s="84"/>
      <c r="W10" s="84"/>
      <c r="X10" s="84"/>
      <c r="Y10" s="84"/>
      <c r="Z10" s="85"/>
      <c r="AA10" s="85"/>
      <c r="AB10"/>
    </row>
    <row r="11" spans="2:28" ht="15">
      <c r="B11" s="87" t="s">
        <v>6479</v>
      </c>
      <c r="C11" s="79"/>
      <c r="D11" s="80"/>
      <c r="E11" s="81"/>
      <c r="F11" s="81"/>
      <c r="L11" s="82">
        <v>8</v>
      </c>
      <c r="M11" s="83" t="s">
        <v>706</v>
      </c>
      <c r="N11" s="83" t="s">
        <v>6480</v>
      </c>
      <c r="O11" s="83" t="s">
        <v>37</v>
      </c>
      <c r="P11" s="83" t="s">
        <v>6481</v>
      </c>
      <c r="Q11" s="83">
        <v>202405</v>
      </c>
      <c r="R11" s="84">
        <v>208766461</v>
      </c>
      <c r="S11" s="84">
        <v>208766461</v>
      </c>
      <c r="T11" s="84">
        <v>206421528.58000001</v>
      </c>
      <c r="U11" s="84">
        <f>(S11-T11)/1.09*2%</f>
        <v>43026.2829357796</v>
      </c>
      <c r="V11" s="84"/>
      <c r="W11" s="84">
        <v>43026.2829357796</v>
      </c>
      <c r="X11" s="84">
        <f>2151.31+860.53+1290.79</f>
        <v>4302.63</v>
      </c>
      <c r="Y11" s="84">
        <v>383057.73</v>
      </c>
      <c r="Z11" s="85" t="s">
        <v>6472</v>
      </c>
      <c r="AA11" s="85" t="s">
        <v>6473</v>
      </c>
      <c r="AB11"/>
    </row>
    <row r="12" spans="2:28" ht="15">
      <c r="B12" s="66"/>
      <c r="C12" s="79"/>
      <c r="D12" s="80"/>
      <c r="E12" s="81"/>
      <c r="F12" s="81">
        <f t="shared" ref="F12:F19" si="1">C12+D12+E12</f>
        <v>0</v>
      </c>
      <c r="L12" s="82">
        <v>9</v>
      </c>
      <c r="M12" s="83" t="s">
        <v>6482</v>
      </c>
      <c r="N12" s="83" t="s">
        <v>6483</v>
      </c>
      <c r="O12" s="83" t="s">
        <v>39</v>
      </c>
      <c r="P12" s="83" t="s">
        <v>6484</v>
      </c>
      <c r="Q12" s="83">
        <v>202406</v>
      </c>
      <c r="R12" s="84">
        <v>208766461</v>
      </c>
      <c r="S12" s="84">
        <v>88930666.129999995</v>
      </c>
      <c r="T12" s="84">
        <v>86173009.519999996</v>
      </c>
      <c r="U12" s="84">
        <f>(S12-T12)/1.09*2%</f>
        <v>50599.203853211002</v>
      </c>
      <c r="V12" s="84"/>
      <c r="W12" s="84">
        <v>50599.203853211002</v>
      </c>
      <c r="X12" s="84">
        <v>5059.92</v>
      </c>
      <c r="Y12" s="84">
        <v>163175.53418348599</v>
      </c>
      <c r="Z12" s="85" t="s">
        <v>6472</v>
      </c>
      <c r="AA12" s="85" t="s">
        <v>6473</v>
      </c>
      <c r="AB12"/>
    </row>
    <row r="13" spans="2:28" ht="15">
      <c r="B13" s="66" t="s">
        <v>6485</v>
      </c>
      <c r="C13" s="79">
        <f>'12月PL'!K366</f>
        <v>272305004.03725702</v>
      </c>
      <c r="D13" s="80">
        <f>'Ref 2_202512增值税销项 （样式）'!M114</f>
        <v>111045329.72</v>
      </c>
      <c r="E13" s="81"/>
      <c r="F13" s="81">
        <f t="shared" si="1"/>
        <v>383350333.75725698</v>
      </c>
      <c r="H13" s="88"/>
      <c r="I13" s="88"/>
      <c r="L13" s="82"/>
      <c r="M13" s="83"/>
      <c r="N13" s="83"/>
      <c r="O13" s="83"/>
      <c r="P13" s="83"/>
      <c r="Q13" s="83"/>
      <c r="R13" s="84"/>
      <c r="S13" s="84"/>
      <c r="T13" s="84"/>
      <c r="U13" s="84"/>
      <c r="V13" s="84"/>
      <c r="W13" s="84"/>
      <c r="X13" s="84"/>
      <c r="Y13" s="84"/>
      <c r="Z13" s="85"/>
      <c r="AA13" s="85"/>
      <c r="AB13"/>
    </row>
    <row r="14" spans="2:28" ht="15">
      <c r="B14" s="66" t="s">
        <v>6486</v>
      </c>
      <c r="C14" s="69"/>
      <c r="D14" s="69">
        <f>'Ref 2_202512增值税销项 （样式）'!M190</f>
        <v>0</v>
      </c>
      <c r="E14" s="69"/>
      <c r="F14" s="81">
        <f t="shared" si="1"/>
        <v>0</v>
      </c>
      <c r="H14" s="89"/>
      <c r="I14" s="89"/>
      <c r="L14" s="90">
        <v>10</v>
      </c>
      <c r="M14" s="91" t="s">
        <v>6475</v>
      </c>
      <c r="N14" s="91" t="s">
        <v>6476</v>
      </c>
      <c r="O14" s="91" t="s">
        <v>35</v>
      </c>
      <c r="P14" s="91" t="s">
        <v>6487</v>
      </c>
      <c r="Q14" s="91">
        <v>202406</v>
      </c>
      <c r="R14" s="92">
        <v>21145047.34</v>
      </c>
      <c r="S14" s="93">
        <v>21145047.34</v>
      </c>
      <c r="T14" s="93">
        <v>12080329</v>
      </c>
      <c r="U14" s="94">
        <f>(S14-T14)/1.09*2%</f>
        <v>166325.10715596299</v>
      </c>
      <c r="V14" s="94"/>
      <c r="W14" s="95">
        <f>U14</f>
        <v>166325.10715596299</v>
      </c>
      <c r="X14" s="96">
        <f>8316.26+4989.75+3326.5</f>
        <v>16632.509999999998</v>
      </c>
      <c r="Y14" s="94">
        <v>38798.25</v>
      </c>
      <c r="Z14" s="85" t="s">
        <v>6488</v>
      </c>
      <c r="AA14" s="85" t="s">
        <v>6473</v>
      </c>
      <c r="AB14" s="85"/>
    </row>
    <row r="15" spans="2:28" ht="15">
      <c r="B15" s="97" t="s">
        <v>6489</v>
      </c>
      <c r="C15" s="69">
        <f>'12月PL'!K367</f>
        <v>51281214.060000002</v>
      </c>
      <c r="D15" s="69">
        <f>'Ref 2_202512增值税销项 （样式）'!M115</f>
        <v>19816801.550000001</v>
      </c>
      <c r="E15" s="69"/>
      <c r="F15" s="81">
        <f t="shared" si="1"/>
        <v>71098015.609999999</v>
      </c>
      <c r="H15" s="88"/>
      <c r="I15" s="88"/>
      <c r="L15" s="90"/>
      <c r="M15" s="91"/>
      <c r="N15" s="91"/>
      <c r="O15" s="91"/>
      <c r="P15" s="91"/>
      <c r="Q15" s="91"/>
      <c r="R15" s="92"/>
      <c r="S15" s="93"/>
      <c r="T15" s="93"/>
      <c r="U15" s="94"/>
      <c r="V15" s="94"/>
      <c r="W15" s="95"/>
      <c r="X15" s="96"/>
      <c r="Y15" s="94"/>
      <c r="Z15" s="85"/>
      <c r="AA15" s="85"/>
      <c r="AB15" s="85"/>
    </row>
    <row r="16" spans="2:28" ht="12" customHeight="1">
      <c r="B16" s="97" t="s">
        <v>6490</v>
      </c>
      <c r="C16" s="69"/>
      <c r="D16" s="69"/>
      <c r="E16" s="69"/>
      <c r="F16" s="81">
        <f t="shared" si="1"/>
        <v>0</v>
      </c>
      <c r="H16" s="88"/>
      <c r="I16" s="88"/>
      <c r="L16" s="98">
        <v>11</v>
      </c>
      <c r="M16" s="83" t="s">
        <v>6482</v>
      </c>
      <c r="N16" s="83" t="s">
        <v>6491</v>
      </c>
      <c r="O16" s="99" t="s">
        <v>6492</v>
      </c>
      <c r="P16" s="83" t="s">
        <v>6493</v>
      </c>
      <c r="Q16" s="83">
        <v>202407</v>
      </c>
      <c r="R16" s="100">
        <v>10261695.16</v>
      </c>
      <c r="S16" s="100">
        <v>10261695.16</v>
      </c>
      <c r="T16" s="101">
        <v>9970877.9000000004</v>
      </c>
      <c r="U16" s="101">
        <v>5336.1</v>
      </c>
      <c r="V16" s="101"/>
      <c r="W16" s="102">
        <v>5336.1</v>
      </c>
      <c r="X16" s="102">
        <v>533.61</v>
      </c>
      <c r="Y16" s="84">
        <v>18828.8</v>
      </c>
      <c r="Z16" s="85" t="s">
        <v>6488</v>
      </c>
      <c r="AA16" s="103" t="s">
        <v>6494</v>
      </c>
      <c r="AB16"/>
    </row>
    <row r="17" spans="2:28" ht="12" customHeight="1">
      <c r="B17" s="97" t="s">
        <v>6495</v>
      </c>
      <c r="C17" s="69">
        <f>'12月PL'!K368</f>
        <v>18944260.460000001</v>
      </c>
      <c r="D17" s="69">
        <f>'Ref 2_202512增值税销项 （样式）'!M113</f>
        <v>1215930.1200000001</v>
      </c>
      <c r="E17" s="69"/>
      <c r="F17" s="81">
        <f t="shared" si="1"/>
        <v>20160190.579999998</v>
      </c>
      <c r="L17" s="98"/>
      <c r="M17" s="83"/>
      <c r="N17" s="83"/>
      <c r="O17" s="99"/>
      <c r="P17" s="83"/>
      <c r="Q17" s="83"/>
      <c r="R17" s="100"/>
      <c r="S17" s="100"/>
      <c r="T17" s="101"/>
      <c r="U17" s="101"/>
      <c r="V17" s="101"/>
      <c r="W17" s="102"/>
      <c r="X17" s="102"/>
      <c r="Y17" s="84"/>
      <c r="Z17" s="85"/>
      <c r="AA17" s="103"/>
      <c r="AB17"/>
    </row>
    <row r="18" spans="2:28" ht="15">
      <c r="B18" s="97" t="s">
        <v>6496</v>
      </c>
      <c r="C18" s="69"/>
      <c r="D18" s="69">
        <f>'Ref 2_202512增值税销项 （样式）'!M190</f>
        <v>0</v>
      </c>
      <c r="E18" s="69"/>
      <c r="F18" s="81">
        <f t="shared" si="1"/>
        <v>0</v>
      </c>
      <c r="H18" s="88"/>
      <c r="I18" s="88"/>
      <c r="L18" s="98">
        <v>12</v>
      </c>
      <c r="M18" s="83" t="s">
        <v>6475</v>
      </c>
      <c r="N18" s="83" t="s">
        <v>6497</v>
      </c>
      <c r="O18" s="83" t="s">
        <v>6498</v>
      </c>
      <c r="P18" s="83" t="s">
        <v>6499</v>
      </c>
      <c r="Q18" s="83">
        <v>202407</v>
      </c>
      <c r="R18" s="101">
        <v>57238403.57</v>
      </c>
      <c r="S18" s="101">
        <v>57238403.57</v>
      </c>
      <c r="T18" s="101">
        <v>52256733.210000001</v>
      </c>
      <c r="U18" s="101">
        <v>91406.8</v>
      </c>
      <c r="V18" s="101"/>
      <c r="W18" s="102">
        <v>91406.8</v>
      </c>
      <c r="X18" s="104">
        <v>9140.68</v>
      </c>
      <c r="Y18" s="104">
        <v>105024.59</v>
      </c>
      <c r="Z18" s="85" t="s">
        <v>6488</v>
      </c>
      <c r="AA18" s="103" t="s">
        <v>6494</v>
      </c>
      <c r="AB18"/>
    </row>
    <row r="19" spans="2:28" ht="15">
      <c r="B19" s="66" t="s">
        <v>6500</v>
      </c>
      <c r="C19" s="69"/>
      <c r="D19" s="81"/>
      <c r="E19" s="81"/>
      <c r="F19" s="69">
        <f t="shared" si="1"/>
        <v>0</v>
      </c>
      <c r="H19" s="105"/>
      <c r="I19" s="105"/>
      <c r="L19" s="98">
        <v>13</v>
      </c>
      <c r="M19" s="83" t="s">
        <v>6475</v>
      </c>
      <c r="N19" s="83" t="s">
        <v>6501</v>
      </c>
      <c r="O19" s="83" t="s">
        <v>6502</v>
      </c>
      <c r="P19" s="83" t="s">
        <v>6503</v>
      </c>
      <c r="Q19" s="83">
        <v>202407</v>
      </c>
      <c r="R19" s="101">
        <v>118420488.63</v>
      </c>
      <c r="S19" s="101">
        <v>118420488.63</v>
      </c>
      <c r="T19" s="101">
        <v>114620593.95999999</v>
      </c>
      <c r="U19" s="101">
        <v>69722.84</v>
      </c>
      <c r="V19" s="101"/>
      <c r="W19" s="102">
        <v>69722.84</v>
      </c>
      <c r="X19" s="104">
        <v>6972.29</v>
      </c>
      <c r="Y19" s="104">
        <v>217285.3</v>
      </c>
      <c r="Z19" s="85" t="s">
        <v>6488</v>
      </c>
      <c r="AA19" s="103" t="s">
        <v>6494</v>
      </c>
      <c r="AB19"/>
    </row>
    <row r="20" spans="2:28" ht="15">
      <c r="B20" s="78" t="s">
        <v>6504</v>
      </c>
      <c r="C20" s="69"/>
      <c r="D20" s="81"/>
      <c r="E20" s="81"/>
      <c r="F20" s="69">
        <f>'Ref 3_202512增值税进项认证清单'!M569</f>
        <v>408481008.93000001</v>
      </c>
      <c r="L20" s="98">
        <v>14</v>
      </c>
      <c r="M20" s="83" t="s">
        <v>6469</v>
      </c>
      <c r="N20" s="83" t="s">
        <v>6505</v>
      </c>
      <c r="O20" s="83" t="s">
        <v>6506</v>
      </c>
      <c r="P20" s="83" t="s">
        <v>6507</v>
      </c>
      <c r="Q20" s="83">
        <v>202407</v>
      </c>
      <c r="R20" s="101">
        <v>595940703.42999995</v>
      </c>
      <c r="S20" s="101">
        <v>595940703.42999995</v>
      </c>
      <c r="T20" s="101">
        <v>197739642.31999999</v>
      </c>
      <c r="U20" s="102">
        <v>7306441.4900000002</v>
      </c>
      <c r="V20" s="102"/>
      <c r="W20" s="102">
        <v>7306441.4900000002</v>
      </c>
      <c r="X20" s="106">
        <v>730644.14</v>
      </c>
      <c r="Y20" s="104">
        <v>1093469.18</v>
      </c>
      <c r="Z20" s="85" t="s">
        <v>6488</v>
      </c>
      <c r="AA20" s="103" t="s">
        <v>6494</v>
      </c>
      <c r="AB20"/>
    </row>
    <row r="21" spans="2:28">
      <c r="B21" s="78" t="s">
        <v>6508</v>
      </c>
      <c r="C21" s="69"/>
      <c r="D21" s="81"/>
      <c r="E21" s="81"/>
      <c r="F21" s="69">
        <v>603847.64</v>
      </c>
      <c r="H21" s="89"/>
      <c r="I21" s="89"/>
      <c r="L21" s="107">
        <v>15</v>
      </c>
      <c r="M21" s="108" t="s">
        <v>6482</v>
      </c>
      <c r="N21" s="108" t="s">
        <v>60</v>
      </c>
      <c r="O21" s="108" t="s">
        <v>6492</v>
      </c>
      <c r="P21" s="108" t="s">
        <v>6509</v>
      </c>
      <c r="Q21" s="108">
        <v>202411</v>
      </c>
      <c r="R21" s="109">
        <v>2484278.9700000002</v>
      </c>
      <c r="S21" s="109">
        <v>2484278.9700000002</v>
      </c>
      <c r="T21" s="109">
        <v>2405780</v>
      </c>
      <c r="U21" s="110">
        <v>1440.35</v>
      </c>
      <c r="V21" s="110"/>
      <c r="W21" s="110">
        <v>1440.35</v>
      </c>
      <c r="X21" s="111">
        <v>72.02</v>
      </c>
      <c r="Y21" s="112">
        <v>4558.3100000000004</v>
      </c>
      <c r="Z21" s="113" t="s">
        <v>6510</v>
      </c>
      <c r="AA21" s="61" t="s">
        <v>6511</v>
      </c>
    </row>
    <row r="22" spans="2:28">
      <c r="B22" s="78" t="s">
        <v>6512</v>
      </c>
      <c r="C22" s="69"/>
      <c r="D22" s="81"/>
      <c r="E22" s="81"/>
      <c r="F22" s="114">
        <v>1210358</v>
      </c>
      <c r="L22" s="107">
        <v>16</v>
      </c>
      <c r="M22" s="108" t="s">
        <v>6475</v>
      </c>
      <c r="N22" s="108" t="s">
        <v>6513</v>
      </c>
      <c r="O22" s="108" t="s">
        <v>6514</v>
      </c>
      <c r="P22" s="108" t="s">
        <v>6515</v>
      </c>
      <c r="Q22" s="108">
        <v>202411</v>
      </c>
      <c r="R22" s="109">
        <v>346072047.99000001</v>
      </c>
      <c r="S22" s="109">
        <v>346072047.99000001</v>
      </c>
      <c r="T22" s="109">
        <v>131990660.52</v>
      </c>
      <c r="U22" s="110">
        <v>3928098.85</v>
      </c>
      <c r="V22" s="110"/>
      <c r="W22" s="110">
        <v>3928098.85</v>
      </c>
      <c r="X22" s="112">
        <v>392809.89</v>
      </c>
      <c r="Y22" s="112">
        <v>634994.57999999996</v>
      </c>
      <c r="Z22" s="113" t="s">
        <v>6510</v>
      </c>
      <c r="AA22" s="61" t="s">
        <v>6511</v>
      </c>
    </row>
    <row r="23" spans="2:28">
      <c r="B23" s="97" t="s">
        <v>6516</v>
      </c>
      <c r="C23" s="69"/>
      <c r="D23" s="69"/>
      <c r="E23" s="69"/>
      <c r="F23" s="69">
        <f>F20-F21-F13-F14-F15-F16-F17-F18+F22</f>
        <v>-65521020.657256998</v>
      </c>
      <c r="L23" s="107">
        <v>17</v>
      </c>
      <c r="M23" s="108" t="s">
        <v>706</v>
      </c>
      <c r="N23" s="108" t="s">
        <v>6517</v>
      </c>
      <c r="O23" s="108" t="s">
        <v>6518</v>
      </c>
      <c r="P23" s="108" t="s">
        <v>6519</v>
      </c>
      <c r="Q23" s="108">
        <v>202411</v>
      </c>
      <c r="R23" s="109">
        <v>56649417.560000002</v>
      </c>
      <c r="S23" s="109">
        <v>56649417.560000002</v>
      </c>
      <c r="T23" s="109">
        <v>56649417.560000002</v>
      </c>
      <c r="U23" s="109">
        <v>0</v>
      </c>
      <c r="V23" s="109"/>
      <c r="W23" s="109">
        <v>0</v>
      </c>
      <c r="X23" s="111">
        <v>0</v>
      </c>
      <c r="Y23" s="111">
        <v>103943.89</v>
      </c>
      <c r="Z23" s="113" t="s">
        <v>6510</v>
      </c>
      <c r="AA23" s="61" t="s">
        <v>6511</v>
      </c>
    </row>
    <row r="24" spans="2:28">
      <c r="B24" s="78" t="s">
        <v>6520</v>
      </c>
      <c r="C24" s="81"/>
      <c r="D24" s="81"/>
      <c r="E24" s="81"/>
      <c r="F24" s="115">
        <f>IF(F23&gt;0,0,F11+F13+F14+F15+F16+F17+F18+F21-F20-F22)</f>
        <v>65521020.657256998</v>
      </c>
      <c r="L24" s="107">
        <v>18</v>
      </c>
      <c r="M24" s="108" t="s">
        <v>706</v>
      </c>
      <c r="N24" s="108" t="s">
        <v>6521</v>
      </c>
      <c r="O24" s="108" t="s">
        <v>6518</v>
      </c>
      <c r="P24" s="108" t="s">
        <v>137</v>
      </c>
      <c r="Q24" s="108">
        <v>202411</v>
      </c>
      <c r="R24" s="109">
        <v>599127385.15999997</v>
      </c>
      <c r="S24" s="109">
        <v>599127385.15999997</v>
      </c>
      <c r="T24" s="109">
        <v>179078743.71000001</v>
      </c>
      <c r="U24" s="110">
        <v>7707314.5199999996</v>
      </c>
      <c r="V24" s="110"/>
      <c r="W24" s="110">
        <v>7707314.5199999996</v>
      </c>
      <c r="X24" s="112">
        <v>770731.46</v>
      </c>
      <c r="Y24" s="112">
        <v>1099316.3</v>
      </c>
      <c r="Z24" s="113" t="s">
        <v>6510</v>
      </c>
      <c r="AA24" s="61" t="s">
        <v>6511</v>
      </c>
    </row>
    <row r="25" spans="2:28">
      <c r="B25" s="78" t="s">
        <v>6522</v>
      </c>
      <c r="C25" s="81"/>
      <c r="D25" s="81"/>
      <c r="E25" s="81"/>
      <c r="F25" s="116">
        <f>W50</f>
        <v>7694589.4500000002</v>
      </c>
      <c r="G25" s="61">
        <f>F24-F25</f>
        <v>57826431.207256995</v>
      </c>
      <c r="L25" s="107">
        <v>19</v>
      </c>
      <c r="M25" s="108" t="s">
        <v>706</v>
      </c>
      <c r="N25" s="108" t="s">
        <v>6523</v>
      </c>
      <c r="O25" s="108" t="s">
        <v>6518</v>
      </c>
      <c r="P25" s="108" t="s">
        <v>138</v>
      </c>
      <c r="Q25" s="108">
        <v>202411</v>
      </c>
      <c r="R25" s="109">
        <v>144851284.71000001</v>
      </c>
      <c r="S25" s="109">
        <v>144851284.71000001</v>
      </c>
      <c r="T25" s="109">
        <v>144851284.71000001</v>
      </c>
      <c r="U25" s="109">
        <v>0</v>
      </c>
      <c r="V25" s="109"/>
      <c r="W25" s="109">
        <v>0</v>
      </c>
      <c r="X25" s="111">
        <v>0</v>
      </c>
      <c r="Y25" s="112">
        <v>265782.17</v>
      </c>
      <c r="Z25" s="113" t="s">
        <v>6510</v>
      </c>
      <c r="AA25" s="61" t="s">
        <v>6511</v>
      </c>
    </row>
    <row r="26" spans="2:28">
      <c r="B26" s="78" t="s">
        <v>6524</v>
      </c>
      <c r="C26" s="81"/>
      <c r="D26" s="81"/>
      <c r="E26" s="81"/>
      <c r="F26" s="115">
        <f>G25</f>
        <v>57826431.207256995</v>
      </c>
      <c r="L26" s="107">
        <v>20</v>
      </c>
      <c r="M26" s="108" t="s">
        <v>6525</v>
      </c>
      <c r="N26" s="108" t="s">
        <v>6526</v>
      </c>
      <c r="O26" s="108" t="s">
        <v>6527</v>
      </c>
      <c r="P26" s="108" t="s">
        <v>6528</v>
      </c>
      <c r="Q26" s="108">
        <v>202411</v>
      </c>
      <c r="R26" s="109">
        <v>1044000</v>
      </c>
      <c r="S26" s="109">
        <v>1044000</v>
      </c>
      <c r="T26" s="109">
        <v>0</v>
      </c>
      <c r="U26" s="110">
        <v>19155.96</v>
      </c>
      <c r="V26" s="110"/>
      <c r="W26" s="110">
        <v>19155.96</v>
      </c>
      <c r="X26" s="112">
        <v>1149.3599999999999</v>
      </c>
      <c r="Y26" s="112">
        <v>1915.6</v>
      </c>
      <c r="Z26" s="113" t="s">
        <v>6510</v>
      </c>
      <c r="AA26" s="61" t="s">
        <v>6511</v>
      </c>
    </row>
    <row r="27" spans="2:28">
      <c r="L27" s="107">
        <v>21</v>
      </c>
      <c r="M27" s="108" t="s">
        <v>6482</v>
      </c>
      <c r="N27" s="108" t="s">
        <v>6529</v>
      </c>
      <c r="O27" s="108" t="s">
        <v>6530</v>
      </c>
      <c r="P27" s="108" t="s">
        <v>6531</v>
      </c>
      <c r="Q27" s="108">
        <v>202412</v>
      </c>
      <c r="R27" s="109">
        <v>854417470.89999998</v>
      </c>
      <c r="S27" s="109">
        <v>854417470.89999998</v>
      </c>
      <c r="T27" s="109">
        <v>196071464.62</v>
      </c>
      <c r="U27" s="110">
        <v>12079743.23</v>
      </c>
      <c r="V27" s="110"/>
      <c r="W27" s="110">
        <v>12079743.23</v>
      </c>
      <c r="X27" s="111">
        <v>724784.59</v>
      </c>
      <c r="Y27" s="112">
        <v>1567738.48</v>
      </c>
      <c r="Z27" s="113" t="s">
        <v>6510</v>
      </c>
      <c r="AA27" s="61" t="s">
        <v>6511</v>
      </c>
    </row>
    <row r="28" spans="2:28">
      <c r="L28" s="107">
        <v>22</v>
      </c>
      <c r="M28" s="108" t="s">
        <v>6475</v>
      </c>
      <c r="N28" s="108" t="s">
        <v>6497</v>
      </c>
      <c r="O28" s="108" t="s">
        <v>6498</v>
      </c>
      <c r="P28" s="108" t="s">
        <v>6532</v>
      </c>
      <c r="Q28" s="108">
        <v>202501</v>
      </c>
      <c r="R28" s="109">
        <v>245271434.47999999</v>
      </c>
      <c r="S28" s="109">
        <v>245271434.47999999</v>
      </c>
      <c r="T28" s="109">
        <v>0</v>
      </c>
      <c r="U28" s="110">
        <v>4500393.29</v>
      </c>
      <c r="V28" s="110"/>
      <c r="W28" s="110">
        <v>4500393.29</v>
      </c>
      <c r="X28" s="111">
        <v>450039.33</v>
      </c>
      <c r="Y28" s="112">
        <v>450039.33</v>
      </c>
      <c r="Z28" s="113" t="s">
        <v>6533</v>
      </c>
      <c r="AA28" s="61" t="s">
        <v>6534</v>
      </c>
    </row>
    <row r="29" spans="2:28">
      <c r="L29" s="107">
        <v>23</v>
      </c>
      <c r="M29" s="108" t="s">
        <v>6475</v>
      </c>
      <c r="N29" s="108" t="s">
        <v>6501</v>
      </c>
      <c r="O29" s="108" t="s">
        <v>6502</v>
      </c>
      <c r="P29" s="108" t="s">
        <v>6535</v>
      </c>
      <c r="Q29" s="108">
        <v>202501</v>
      </c>
      <c r="R29" s="109">
        <v>400409722.25</v>
      </c>
      <c r="S29" s="109">
        <v>400409722.25</v>
      </c>
      <c r="T29" s="109">
        <v>0</v>
      </c>
      <c r="U29" s="110">
        <v>7346967.3799999999</v>
      </c>
      <c r="V29" s="110"/>
      <c r="W29" s="110">
        <v>7346967.3799999999</v>
      </c>
      <c r="X29" s="111">
        <v>734696.74</v>
      </c>
      <c r="Y29" s="111">
        <v>734696.74</v>
      </c>
      <c r="Z29" s="113" t="s">
        <v>6533</v>
      </c>
      <c r="AA29" s="61" t="s">
        <v>6534</v>
      </c>
    </row>
    <row r="30" spans="2:28" ht="15">
      <c r="L30" s="82">
        <v>24</v>
      </c>
      <c r="M30" s="82" t="s">
        <v>6469</v>
      </c>
      <c r="N30" s="82" t="s">
        <v>6470</v>
      </c>
      <c r="O30" s="82" t="s">
        <v>6471</v>
      </c>
      <c r="P30" s="82" t="s">
        <v>44</v>
      </c>
      <c r="Q30" s="82">
        <v>202503</v>
      </c>
      <c r="R30" s="117">
        <v>996000</v>
      </c>
      <c r="S30" s="118">
        <v>74202.84</v>
      </c>
      <c r="T30" s="119"/>
      <c r="U30" s="119"/>
      <c r="V30" s="119"/>
      <c r="W30" s="120">
        <v>1361.52</v>
      </c>
      <c r="X30" s="119">
        <v>136.16</v>
      </c>
      <c r="Y30" s="119">
        <v>136.15</v>
      </c>
      <c r="Z30" s="85" t="s">
        <v>6536</v>
      </c>
      <c r="AA30" s="61" t="s">
        <v>6534</v>
      </c>
    </row>
    <row r="31" spans="2:28" ht="15">
      <c r="L31" s="121">
        <v>25</v>
      </c>
      <c r="M31" s="122" t="s">
        <v>6475</v>
      </c>
      <c r="N31" s="108" t="s">
        <v>6537</v>
      </c>
      <c r="O31" s="108" t="s">
        <v>45</v>
      </c>
      <c r="P31" s="108" t="s">
        <v>46</v>
      </c>
      <c r="Q31" s="108">
        <v>202503</v>
      </c>
      <c r="R31" s="123">
        <v>33400000</v>
      </c>
      <c r="S31" s="118">
        <v>33777020.829999998</v>
      </c>
      <c r="T31" s="118">
        <v>32228107.079999998</v>
      </c>
      <c r="U31" s="119"/>
      <c r="V31" s="119"/>
      <c r="W31" s="120">
        <v>28420.44</v>
      </c>
      <c r="X31" s="119">
        <v>2842.04</v>
      </c>
      <c r="Y31" s="118">
        <v>61976.18</v>
      </c>
      <c r="Z31" s="85" t="s">
        <v>6536</v>
      </c>
      <c r="AA31" s="61" t="s">
        <v>6534</v>
      </c>
    </row>
    <row r="32" spans="2:28" ht="15">
      <c r="L32" s="121">
        <v>26</v>
      </c>
      <c r="M32" s="122" t="s">
        <v>6475</v>
      </c>
      <c r="N32" s="108" t="s">
        <v>48</v>
      </c>
      <c r="O32" s="108" t="s">
        <v>47</v>
      </c>
      <c r="P32" s="108" t="s">
        <v>6538</v>
      </c>
      <c r="Q32" s="108">
        <v>202504</v>
      </c>
      <c r="R32" s="124">
        <v>334431000</v>
      </c>
      <c r="S32" s="118">
        <v>241459737.90000001</v>
      </c>
      <c r="T32" s="118">
        <v>120586013.66</v>
      </c>
      <c r="U32" s="119"/>
      <c r="V32" s="119"/>
      <c r="W32" s="120">
        <v>2217866.5</v>
      </c>
      <c r="X32" s="118">
        <v>221786.66</v>
      </c>
      <c r="Y32" s="118">
        <v>443045.39</v>
      </c>
      <c r="Z32" s="85" t="s">
        <v>6539</v>
      </c>
      <c r="AA32" s="61" t="s">
        <v>6540</v>
      </c>
    </row>
    <row r="33" spans="12:27" ht="15">
      <c r="L33" s="108"/>
      <c r="M33" s="108"/>
      <c r="N33" s="108" t="s">
        <v>6541</v>
      </c>
      <c r="O33" s="108" t="s">
        <v>51</v>
      </c>
      <c r="P33" s="108" t="s">
        <v>6542</v>
      </c>
      <c r="Q33" s="108">
        <v>2025.05</v>
      </c>
      <c r="R33" s="125"/>
      <c r="S33" s="125">
        <v>94089440</v>
      </c>
      <c r="T33" s="125">
        <v>94089440</v>
      </c>
      <c r="U33" s="125"/>
      <c r="V33" s="125"/>
      <c r="W33" s="126"/>
      <c r="X33" s="125"/>
      <c r="Y33" s="125">
        <v>172641.17</v>
      </c>
      <c r="Z33" s="85"/>
      <c r="AA33" s="61" t="s">
        <v>6540</v>
      </c>
    </row>
    <row r="34" spans="12:27" ht="15">
      <c r="L34" s="108"/>
      <c r="M34" s="108"/>
      <c r="N34" s="108" t="s">
        <v>6543</v>
      </c>
      <c r="O34" s="108"/>
      <c r="P34" s="108" t="s">
        <v>6544</v>
      </c>
      <c r="Q34" s="108">
        <v>2025.05</v>
      </c>
      <c r="R34" s="125"/>
      <c r="S34" s="125">
        <v>52845243.990000002</v>
      </c>
      <c r="T34" s="125">
        <v>17135388.280000001</v>
      </c>
      <c r="U34" s="125"/>
      <c r="V34" s="125"/>
      <c r="W34" s="126">
        <v>655226.71</v>
      </c>
      <c r="X34" s="125">
        <v>78627.199999999997</v>
      </c>
      <c r="Y34" s="125">
        <v>96963.75</v>
      </c>
      <c r="Z34" s="85" t="s">
        <v>6545</v>
      </c>
      <c r="AA34" s="61" t="s">
        <v>6540</v>
      </c>
    </row>
    <row r="35" spans="12:27" ht="15">
      <c r="L35" s="108"/>
      <c r="M35" s="108"/>
      <c r="N35" s="108"/>
      <c r="O35" s="108" t="s">
        <v>53</v>
      </c>
      <c r="P35" s="108" t="s">
        <v>54</v>
      </c>
      <c r="Q35" s="108">
        <v>2025.06</v>
      </c>
      <c r="R35" s="125">
        <v>70000000</v>
      </c>
      <c r="S35" s="125">
        <v>32605568.010000002</v>
      </c>
      <c r="T35" s="125">
        <v>31810310.260000002</v>
      </c>
      <c r="U35" s="125"/>
      <c r="V35" s="125"/>
      <c r="W35" s="126">
        <v>14591.89</v>
      </c>
      <c r="X35" s="125">
        <v>1459.19</v>
      </c>
      <c r="Y35" s="125">
        <v>59826.73</v>
      </c>
      <c r="Z35" s="85" t="s">
        <v>6546</v>
      </c>
      <c r="AA35" s="61" t="s">
        <v>6540</v>
      </c>
    </row>
    <row r="36" spans="12:27" ht="15">
      <c r="L36" s="108"/>
      <c r="M36" s="108"/>
      <c r="N36" s="108"/>
      <c r="O36" s="108" t="s">
        <v>55</v>
      </c>
      <c r="P36" s="108" t="s">
        <v>56</v>
      </c>
      <c r="Q36" s="108">
        <v>2025.06</v>
      </c>
      <c r="R36" s="125">
        <v>56655857.009999998</v>
      </c>
      <c r="S36" s="125">
        <v>33841798.170000002</v>
      </c>
      <c r="T36" s="125">
        <v>13772187.199999999</v>
      </c>
      <c r="U36" s="125"/>
      <c r="V36" s="125"/>
      <c r="W36" s="126">
        <v>368249.74</v>
      </c>
      <c r="X36" s="125">
        <v>36824.97</v>
      </c>
      <c r="Y36" s="125">
        <v>62095.040000000001</v>
      </c>
      <c r="Z36" s="85" t="s">
        <v>6546</v>
      </c>
      <c r="AA36" s="61" t="s">
        <v>6540</v>
      </c>
    </row>
    <row r="37" spans="12:27" ht="15">
      <c r="L37" s="108"/>
      <c r="M37" s="108"/>
      <c r="N37" s="108" t="s">
        <v>6547</v>
      </c>
      <c r="O37" s="108"/>
      <c r="P37" s="108" t="s">
        <v>57</v>
      </c>
      <c r="Q37" s="108">
        <v>2025.7</v>
      </c>
      <c r="R37" s="108"/>
      <c r="S37" s="109">
        <v>53763780.359999999</v>
      </c>
      <c r="T37" s="109">
        <v>53763780.359999999</v>
      </c>
      <c r="U37" s="109"/>
      <c r="V37" s="109"/>
      <c r="W37" s="127"/>
      <c r="X37" s="109"/>
      <c r="Y37" s="109">
        <v>98649.14</v>
      </c>
      <c r="Z37" s="85"/>
      <c r="AA37" s="61" t="s">
        <v>6548</v>
      </c>
    </row>
    <row r="38" spans="12:27" ht="15">
      <c r="L38" s="108">
        <v>2025.8</v>
      </c>
      <c r="M38" s="108"/>
      <c r="N38" s="108" t="s">
        <v>58</v>
      </c>
      <c r="O38" s="108"/>
      <c r="P38" s="108" t="s">
        <v>59</v>
      </c>
      <c r="Q38" s="108">
        <v>2025.8</v>
      </c>
      <c r="R38" s="108"/>
      <c r="S38" s="109">
        <v>198507000</v>
      </c>
      <c r="T38" s="109">
        <v>192131428.52000001</v>
      </c>
      <c r="U38" s="109"/>
      <c r="V38" s="109"/>
      <c r="W38" s="127">
        <v>116982.96</v>
      </c>
      <c r="X38" s="109"/>
      <c r="Y38" s="109">
        <v>364233.03</v>
      </c>
      <c r="Z38" s="85" t="s">
        <v>6549</v>
      </c>
      <c r="AA38" s="61" t="s">
        <v>6548</v>
      </c>
    </row>
    <row r="39" spans="12:27" ht="15">
      <c r="L39" s="108">
        <v>2025.09</v>
      </c>
      <c r="M39" s="108"/>
      <c r="N39" s="108" t="s">
        <v>60</v>
      </c>
      <c r="O39" s="108"/>
      <c r="P39" s="108" t="s">
        <v>6509</v>
      </c>
      <c r="Q39" s="108">
        <v>2025.09</v>
      </c>
      <c r="R39" s="108"/>
      <c r="S39" s="109">
        <v>157503576.91</v>
      </c>
      <c r="T39" s="109">
        <v>6938155.1600000001</v>
      </c>
      <c r="U39" s="109"/>
      <c r="V39" s="109">
        <v>13813.34145</v>
      </c>
      <c r="W39" s="127">
        <v>2762668.29</v>
      </c>
      <c r="X39" s="109">
        <v>276266.83</v>
      </c>
      <c r="Y39" s="109">
        <v>288997.39</v>
      </c>
      <c r="Z39" s="85" t="s">
        <v>6550</v>
      </c>
      <c r="AA39" s="61" t="s">
        <v>6548</v>
      </c>
    </row>
    <row r="40" spans="12:27">
      <c r="L40" s="108"/>
      <c r="M40" s="108"/>
      <c r="N40" s="108" t="s">
        <v>6551</v>
      </c>
      <c r="O40" s="108"/>
      <c r="P40" s="108" t="s">
        <v>6552</v>
      </c>
      <c r="Q40" s="108">
        <v>202512</v>
      </c>
      <c r="R40" s="108"/>
      <c r="S40" s="109">
        <v>3370207.28</v>
      </c>
      <c r="T40" s="109">
        <v>3135076.53</v>
      </c>
      <c r="U40" s="109"/>
      <c r="V40" s="109"/>
      <c r="W40" s="127">
        <v>4314.33</v>
      </c>
      <c r="X40" s="109">
        <v>431.44</v>
      </c>
      <c r="Y40" s="109">
        <v>6183.87</v>
      </c>
    </row>
    <row r="41" spans="12:27">
      <c r="L41" s="108"/>
      <c r="M41" s="108"/>
      <c r="N41" s="108" t="s">
        <v>6553</v>
      </c>
      <c r="O41" s="108"/>
      <c r="P41" s="108" t="s">
        <v>6554</v>
      </c>
      <c r="Q41" s="108">
        <v>202512</v>
      </c>
      <c r="R41" s="108"/>
      <c r="S41" s="109">
        <v>10684188.02</v>
      </c>
      <c r="T41" s="109">
        <v>10231191.92</v>
      </c>
      <c r="U41" s="109"/>
      <c r="V41" s="109"/>
      <c r="W41" s="127">
        <v>8311.86</v>
      </c>
      <c r="X41" s="109">
        <v>831.19</v>
      </c>
      <c r="Y41" s="109">
        <v>19604.009999999998</v>
      </c>
    </row>
    <row r="42" spans="12:27">
      <c r="L42" s="108"/>
      <c r="M42" s="108"/>
      <c r="N42" s="108" t="s">
        <v>6555</v>
      </c>
      <c r="O42" s="108"/>
      <c r="P42" s="108" t="s">
        <v>6556</v>
      </c>
      <c r="Q42" s="108">
        <v>202512</v>
      </c>
      <c r="R42" s="108"/>
      <c r="S42" s="109">
        <v>142644379.30000001</v>
      </c>
      <c r="T42" s="109">
        <v>60075768.350000001</v>
      </c>
      <c r="U42" s="109"/>
      <c r="V42" s="109"/>
      <c r="W42" s="127">
        <v>1515020.38</v>
      </c>
      <c r="X42" s="109">
        <v>151502.04</v>
      </c>
      <c r="Y42" s="109">
        <v>261732.81</v>
      </c>
    </row>
    <row r="43" spans="12:27">
      <c r="L43" s="108"/>
      <c r="M43" s="108"/>
      <c r="N43" s="108" t="s">
        <v>6557</v>
      </c>
      <c r="O43" s="108"/>
      <c r="P43" s="108" t="s">
        <v>6558</v>
      </c>
      <c r="Q43" s="108">
        <v>202512</v>
      </c>
      <c r="R43" s="108"/>
      <c r="S43" s="109">
        <v>6397101.4299999997</v>
      </c>
      <c r="T43" s="109">
        <v>6323584.0700000003</v>
      </c>
      <c r="U43" s="109"/>
      <c r="V43" s="109"/>
      <c r="W43" s="127">
        <v>1348.94</v>
      </c>
      <c r="X43" s="109">
        <v>67.45</v>
      </c>
      <c r="Y43" s="109">
        <v>11737.8</v>
      </c>
    </row>
    <row r="44" spans="12:27">
      <c r="L44" s="108"/>
      <c r="M44" s="108"/>
      <c r="N44" s="108" t="s">
        <v>6557</v>
      </c>
      <c r="O44" s="108"/>
      <c r="P44" s="108" t="s">
        <v>6558</v>
      </c>
      <c r="Q44" s="108">
        <v>202512</v>
      </c>
      <c r="R44" s="108"/>
      <c r="S44" s="109">
        <v>6228102.8799999999</v>
      </c>
      <c r="T44" s="109">
        <v>6215792.0300000003</v>
      </c>
      <c r="U44" s="109"/>
      <c r="V44" s="109"/>
      <c r="W44" s="127">
        <v>225.89</v>
      </c>
      <c r="X44" s="109">
        <v>11.29</v>
      </c>
      <c r="Y44" s="109">
        <v>11427.71</v>
      </c>
    </row>
    <row r="45" spans="12:27" ht="15">
      <c r="W45" s="128"/>
      <c r="Y45" s="129"/>
    </row>
    <row r="46" spans="12:27" ht="15">
      <c r="W46" s="128"/>
      <c r="Y46" s="129"/>
    </row>
    <row r="47" spans="12:27" ht="15">
      <c r="W47" s="128"/>
      <c r="Y47" s="129"/>
    </row>
    <row r="48" spans="12:27" ht="15">
      <c r="W48" s="128"/>
      <c r="Y48" s="129"/>
    </row>
    <row r="49" spans="21:25" ht="15">
      <c r="W49" s="128"/>
      <c r="Y49" s="129"/>
    </row>
    <row r="50" spans="21:25">
      <c r="U50" s="61" t="s">
        <v>6559</v>
      </c>
      <c r="W50" s="130">
        <f>SUM(W30:W44)</f>
        <v>7694589.4500000002</v>
      </c>
      <c r="Y50" s="131">
        <f>SUM(Y40:Y44)</f>
        <v>310686.2</v>
      </c>
    </row>
    <row r="52" spans="21:25">
      <c r="U52" s="61" t="s">
        <v>6560</v>
      </c>
      <c r="W52" s="132">
        <f>SUM(W28:W36)</f>
        <v>15133077.470000001</v>
      </c>
      <c r="Y52" s="132">
        <f>SUM(Y28:Y39)</f>
        <v>2833300.04</v>
      </c>
    </row>
  </sheetData>
  <phoneticPr fontId="85" type="noConversion"/>
  <pageMargins left="0.7" right="0.7" top="0.75" bottom="0.75" header="0.3" footer="0.3"/>
  <pageSetup orientation="portrait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2:P60"/>
  <sheetViews>
    <sheetView topLeftCell="B1" zoomScale="85" zoomScaleNormal="85" workbookViewId="0">
      <pane ySplit="11" topLeftCell="A12" activePane="bottomLeft" state="frozen"/>
      <selection pane="bottomLeft" activeCell="G31" sqref="G31"/>
    </sheetView>
  </sheetViews>
  <sheetFormatPr defaultColWidth="9" defaultRowHeight="14.25"/>
  <cols>
    <col min="1" max="1" width="6.5" customWidth="1"/>
    <col min="2" max="2" width="18.5" customWidth="1"/>
    <col min="3" max="3" width="24.125" customWidth="1"/>
    <col min="4" max="4" width="9.25" customWidth="1"/>
    <col min="5" max="5" width="7.125" customWidth="1"/>
    <col min="6" max="6" width="10.125" customWidth="1"/>
    <col min="7" max="7" width="10.5" customWidth="1"/>
    <col min="8" max="8" width="15.25" customWidth="1"/>
    <col min="9" max="9" width="16.125" customWidth="1"/>
    <col min="10" max="10" width="17.375" customWidth="1"/>
    <col min="11" max="11" width="18.625" customWidth="1"/>
    <col min="12" max="14" width="16.125" customWidth="1"/>
    <col min="15" max="15" width="15.25" customWidth="1"/>
    <col min="16" max="21" width="13.5" customWidth="1"/>
    <col min="22" max="23" width="18.625" customWidth="1"/>
  </cols>
  <sheetData>
    <row r="2" spans="1:16">
      <c r="O2" s="764" t="s">
        <v>6561</v>
      </c>
      <c r="P2" s="764"/>
    </row>
    <row r="3" spans="1:16">
      <c r="A3" s="34" t="s">
        <v>4242</v>
      </c>
      <c r="B3" s="34" t="s">
        <v>744</v>
      </c>
      <c r="C3" s="34" t="s">
        <v>6562</v>
      </c>
      <c r="D3" s="34" t="s">
        <v>6563</v>
      </c>
      <c r="E3" s="34" t="s">
        <v>6564</v>
      </c>
      <c r="F3" s="34" t="s">
        <v>64</v>
      </c>
      <c r="G3" s="34" t="s">
        <v>65</v>
      </c>
      <c r="H3" s="35" t="s">
        <v>6565</v>
      </c>
      <c r="I3" s="35" t="s">
        <v>6566</v>
      </c>
      <c r="J3" s="35" t="s">
        <v>6567</v>
      </c>
      <c r="K3" s="35" t="s">
        <v>6568</v>
      </c>
      <c r="L3" s="35" t="s">
        <v>6569</v>
      </c>
      <c r="M3" s="35" t="s">
        <v>6570</v>
      </c>
      <c r="N3" s="35" t="s">
        <v>6571</v>
      </c>
      <c r="O3" s="33" t="s">
        <v>6572</v>
      </c>
      <c r="P3" s="33" t="s">
        <v>6573</v>
      </c>
    </row>
    <row r="4" spans="1:16">
      <c r="A4" s="36">
        <v>1</v>
      </c>
      <c r="B4" s="36" t="s">
        <v>6574</v>
      </c>
      <c r="C4" s="36" t="s">
        <v>6575</v>
      </c>
      <c r="D4" s="36">
        <v>2025</v>
      </c>
      <c r="E4" s="36">
        <v>8</v>
      </c>
      <c r="F4" s="36" t="s">
        <v>6576</v>
      </c>
      <c r="G4" s="37">
        <v>0.13</v>
      </c>
      <c r="H4" s="38">
        <f>I4+J4</f>
        <v>152393500</v>
      </c>
      <c r="I4" s="38">
        <v>134861504.43000001</v>
      </c>
      <c r="J4" s="38">
        <v>17531995.57</v>
      </c>
      <c r="K4" s="38">
        <f>I17</f>
        <v>134861504.43000001</v>
      </c>
      <c r="L4" s="38">
        <f>J17</f>
        <v>17531995.57</v>
      </c>
      <c r="M4" s="38">
        <f>I4-K4</f>
        <v>0</v>
      </c>
      <c r="N4" s="38">
        <f>J4-L4</f>
        <v>0</v>
      </c>
      <c r="O4" s="39">
        <f t="shared" ref="O4:O9" si="0">M4</f>
        <v>0</v>
      </c>
      <c r="P4" s="39">
        <f>N4</f>
        <v>0</v>
      </c>
    </row>
    <row r="5" spans="1:16">
      <c r="A5" s="766">
        <v>2</v>
      </c>
      <c r="B5" s="766" t="s">
        <v>6577</v>
      </c>
      <c r="C5" s="690" t="s">
        <v>6578</v>
      </c>
      <c r="D5" s="36">
        <v>2025</v>
      </c>
      <c r="E5" s="36">
        <v>8</v>
      </c>
      <c r="F5" s="36" t="s">
        <v>6576</v>
      </c>
      <c r="G5" s="37">
        <v>0.13</v>
      </c>
      <c r="H5" s="38">
        <f t="shared" ref="H5:H9" si="1">I5+J5</f>
        <v>307587.78999999998</v>
      </c>
      <c r="I5" s="38">
        <v>272201.58</v>
      </c>
      <c r="J5" s="38">
        <v>35386.21</v>
      </c>
      <c r="K5" s="38">
        <f t="shared" ref="K5:L7" si="2">I30</f>
        <v>0</v>
      </c>
      <c r="L5" s="38">
        <f t="shared" si="2"/>
        <v>0</v>
      </c>
      <c r="M5" s="38">
        <f t="shared" ref="M5:M7" si="3">I5-K5</f>
        <v>272201.58</v>
      </c>
      <c r="N5" s="38">
        <f t="shared" ref="N5:N7" si="4">J5-L5</f>
        <v>35386.21</v>
      </c>
      <c r="O5" s="39">
        <f t="shared" si="0"/>
        <v>272201.58</v>
      </c>
      <c r="P5" s="39"/>
    </row>
    <row r="6" spans="1:16">
      <c r="A6" s="767"/>
      <c r="B6" s="767"/>
      <c r="C6" s="684"/>
      <c r="D6" s="36">
        <v>2025</v>
      </c>
      <c r="E6" s="36">
        <v>8</v>
      </c>
      <c r="F6" s="36" t="s">
        <v>6579</v>
      </c>
      <c r="G6" s="37">
        <v>0.09</v>
      </c>
      <c r="H6" s="38">
        <f t="shared" si="1"/>
        <v>144108.51</v>
      </c>
      <c r="I6" s="38">
        <v>132209.64000000001</v>
      </c>
      <c r="J6" s="38">
        <v>11898.87</v>
      </c>
      <c r="K6" s="38">
        <f t="shared" si="2"/>
        <v>0</v>
      </c>
      <c r="L6" s="38">
        <f t="shared" si="2"/>
        <v>0</v>
      </c>
      <c r="M6" s="38">
        <f t="shared" si="3"/>
        <v>132209.64000000001</v>
      </c>
      <c r="N6" s="38">
        <f t="shared" si="4"/>
        <v>11898.87</v>
      </c>
      <c r="O6" s="39">
        <f t="shared" si="0"/>
        <v>132209.64000000001</v>
      </c>
      <c r="P6" s="39"/>
    </row>
    <row r="7" spans="1:16">
      <c r="A7" s="768"/>
      <c r="B7" s="768"/>
      <c r="C7" s="685"/>
      <c r="D7" s="36">
        <v>2025</v>
      </c>
      <c r="E7" s="36">
        <v>8</v>
      </c>
      <c r="F7" s="36" t="s">
        <v>6580</v>
      </c>
      <c r="G7" s="37">
        <v>0.06</v>
      </c>
      <c r="H7" s="38">
        <f t="shared" si="1"/>
        <v>67442.210000000006</v>
      </c>
      <c r="I7" s="38">
        <v>63624.73</v>
      </c>
      <c r="J7" s="38">
        <v>3817.48</v>
      </c>
      <c r="K7" s="38">
        <f t="shared" si="2"/>
        <v>0</v>
      </c>
      <c r="L7" s="38">
        <f t="shared" si="2"/>
        <v>0</v>
      </c>
      <c r="M7" s="38">
        <f t="shared" si="3"/>
        <v>63624.73</v>
      </c>
      <c r="N7" s="38">
        <f t="shared" si="4"/>
        <v>3817.48</v>
      </c>
      <c r="O7" s="39">
        <f t="shared" si="0"/>
        <v>63624.73</v>
      </c>
      <c r="P7" s="39"/>
    </row>
    <row r="8" spans="1:16" ht="28.5">
      <c r="A8" s="36">
        <v>3</v>
      </c>
      <c r="B8" s="36" t="s">
        <v>279</v>
      </c>
      <c r="C8" s="40" t="s">
        <v>6578</v>
      </c>
      <c r="D8" s="36">
        <v>2025</v>
      </c>
      <c r="E8" s="36">
        <v>10</v>
      </c>
      <c r="F8" s="36" t="s">
        <v>6579</v>
      </c>
      <c r="G8" s="37">
        <v>0.09</v>
      </c>
      <c r="H8" s="38">
        <f t="shared" si="1"/>
        <v>430663.24</v>
      </c>
      <c r="I8" s="38">
        <f>3109166.81-2714062.92</f>
        <v>395103.89</v>
      </c>
      <c r="J8" s="38">
        <v>35559.35</v>
      </c>
      <c r="K8" s="38">
        <f>I43</f>
        <v>395103.89</v>
      </c>
      <c r="L8" s="38">
        <f>J43</f>
        <v>0</v>
      </c>
      <c r="M8" s="38">
        <f t="shared" ref="M8:M9" si="5">I8-K8</f>
        <v>0</v>
      </c>
      <c r="N8" s="38">
        <f t="shared" ref="N8:N9" si="6">J8-L8</f>
        <v>35559.35</v>
      </c>
      <c r="O8" s="39">
        <f t="shared" si="0"/>
        <v>0</v>
      </c>
      <c r="P8" s="39"/>
    </row>
    <row r="9" spans="1:16">
      <c r="A9" s="36">
        <v>4</v>
      </c>
      <c r="B9" s="36" t="s">
        <v>6581</v>
      </c>
      <c r="C9" s="36" t="s">
        <v>6575</v>
      </c>
      <c r="D9" s="36">
        <v>2025</v>
      </c>
      <c r="E9" s="36">
        <v>10</v>
      </c>
      <c r="F9" s="36" t="s">
        <v>6576</v>
      </c>
      <c r="G9" s="37">
        <v>0.13</v>
      </c>
      <c r="H9" s="38">
        <f t="shared" si="1"/>
        <v>179727404.11000001</v>
      </c>
      <c r="I9" s="38">
        <v>159050800.11000001</v>
      </c>
      <c r="J9" s="38">
        <v>20676604</v>
      </c>
      <c r="K9" s="38">
        <f>I54</f>
        <v>159050800.11000001</v>
      </c>
      <c r="L9" s="38">
        <f>J54</f>
        <v>20676604</v>
      </c>
      <c r="M9" s="38">
        <f t="shared" si="5"/>
        <v>0</v>
      </c>
      <c r="N9" s="38">
        <f t="shared" si="6"/>
        <v>0</v>
      </c>
      <c r="O9" s="39">
        <f t="shared" si="0"/>
        <v>0</v>
      </c>
      <c r="P9" s="39">
        <f>N9</f>
        <v>0</v>
      </c>
    </row>
    <row r="10" spans="1:16">
      <c r="J10" s="41"/>
      <c r="L10" s="42"/>
      <c r="M10" s="42"/>
      <c r="N10" s="42"/>
      <c r="O10" s="42"/>
    </row>
    <row r="11" spans="1:16">
      <c r="L11" s="42"/>
      <c r="M11" s="42"/>
      <c r="N11" s="42" t="s">
        <v>6582</v>
      </c>
      <c r="O11" s="43">
        <f>SUM(O4:O10)</f>
        <v>468035.95</v>
      </c>
      <c r="P11" s="43">
        <f>SUM(P4:P10)</f>
        <v>0</v>
      </c>
    </row>
    <row r="12" spans="1:16">
      <c r="L12" s="42"/>
      <c r="M12" s="42"/>
      <c r="N12" s="42"/>
      <c r="O12" s="42"/>
    </row>
    <row r="13" spans="1:16">
      <c r="L13" s="42"/>
      <c r="M13" s="42"/>
      <c r="N13" s="42"/>
      <c r="O13" s="42"/>
    </row>
    <row r="14" spans="1:16">
      <c r="L14" s="42"/>
      <c r="M14" s="42"/>
      <c r="N14" s="42"/>
      <c r="O14" s="42"/>
    </row>
    <row r="15" spans="1:16">
      <c r="A15" s="34" t="s">
        <v>4242</v>
      </c>
      <c r="B15" s="34" t="s">
        <v>744</v>
      </c>
      <c r="C15" s="44" t="s">
        <v>6562</v>
      </c>
      <c r="D15" s="34" t="s">
        <v>6563</v>
      </c>
      <c r="E15" s="34" t="s">
        <v>6564</v>
      </c>
      <c r="F15" s="34" t="s">
        <v>64</v>
      </c>
      <c r="G15" s="34" t="s">
        <v>65</v>
      </c>
      <c r="H15" s="35" t="s">
        <v>6565</v>
      </c>
      <c r="I15" s="35" t="s">
        <v>6566</v>
      </c>
      <c r="J15" s="35" t="s">
        <v>6567</v>
      </c>
      <c r="L15" s="42"/>
      <c r="M15" s="42"/>
      <c r="N15" s="42"/>
      <c r="O15" s="42"/>
    </row>
    <row r="16" spans="1:16">
      <c r="A16" s="769">
        <v>1</v>
      </c>
      <c r="B16" s="769" t="s">
        <v>6574</v>
      </c>
      <c r="C16" s="45" t="s">
        <v>6583</v>
      </c>
      <c r="D16" s="36">
        <v>2025</v>
      </c>
      <c r="E16" s="36">
        <v>8</v>
      </c>
      <c r="F16" s="36" t="s">
        <v>6576</v>
      </c>
      <c r="G16" s="37">
        <v>0.13</v>
      </c>
      <c r="H16" s="38">
        <f>I16+J16</f>
        <v>152393500</v>
      </c>
      <c r="I16" s="38">
        <v>134861504.43000001</v>
      </c>
      <c r="J16" s="38">
        <v>17531995.57</v>
      </c>
      <c r="K16" s="46">
        <f>J16/I16</f>
        <v>0.129999999956251</v>
      </c>
      <c r="L16" s="42"/>
      <c r="M16" s="42"/>
      <c r="N16" s="42"/>
      <c r="O16" s="42"/>
    </row>
    <row r="17" spans="1:15">
      <c r="A17" s="769"/>
      <c r="B17" s="769"/>
      <c r="C17" s="45" t="s">
        <v>6584</v>
      </c>
      <c r="D17" s="36" t="s">
        <v>4807</v>
      </c>
      <c r="E17" s="36" t="s">
        <v>4807</v>
      </c>
      <c r="F17" s="36" t="s">
        <v>6576</v>
      </c>
      <c r="G17" s="37">
        <v>0.13</v>
      </c>
      <c r="H17" s="38">
        <f>I17+J17</f>
        <v>152393500</v>
      </c>
      <c r="I17" s="38">
        <f>I23</f>
        <v>134861504.43000001</v>
      </c>
      <c r="J17" s="38">
        <f>J23</f>
        <v>17531995.57</v>
      </c>
      <c r="K17" s="46">
        <f>J17/I17</f>
        <v>0.129999999956251</v>
      </c>
      <c r="L17" s="42"/>
      <c r="M17" s="42"/>
      <c r="N17" s="42"/>
      <c r="O17" s="42"/>
    </row>
    <row r="18" spans="1:15">
      <c r="A18" s="769"/>
      <c r="B18" s="769"/>
      <c r="D18" s="42"/>
      <c r="E18" s="42"/>
      <c r="F18" s="42"/>
      <c r="G18" s="42"/>
      <c r="H18" s="29"/>
      <c r="I18" s="29"/>
      <c r="J18" s="29"/>
    </row>
    <row r="19" spans="1:15">
      <c r="A19" s="769"/>
      <c r="B19" s="769"/>
      <c r="C19" s="770" t="s">
        <v>6585</v>
      </c>
      <c r="D19" s="47">
        <v>2025</v>
      </c>
      <c r="E19" s="47">
        <v>10</v>
      </c>
      <c r="F19" s="47"/>
      <c r="G19" s="47"/>
      <c r="H19" s="48">
        <f>I19+J19</f>
        <v>12125498.970000001</v>
      </c>
      <c r="I19" s="48">
        <v>10730530.060000001</v>
      </c>
      <c r="J19" s="49">
        <v>1394968.91</v>
      </c>
      <c r="K19" s="46">
        <f>J19/I19</f>
        <v>0.130000000205022</v>
      </c>
    </row>
    <row r="20" spans="1:15">
      <c r="A20" s="769"/>
      <c r="B20" s="769"/>
      <c r="C20" s="771"/>
      <c r="D20" s="50">
        <v>2025</v>
      </c>
      <c r="E20" s="51">
        <v>11</v>
      </c>
      <c r="F20" s="50"/>
      <c r="G20" s="50"/>
      <c r="H20" s="52">
        <f>I20+J20</f>
        <v>140268001.03</v>
      </c>
      <c r="I20" s="52">
        <v>124130974.37</v>
      </c>
      <c r="J20" s="53">
        <v>16137026.66</v>
      </c>
    </row>
    <row r="21" spans="1:15">
      <c r="A21" s="769"/>
      <c r="B21" s="769"/>
      <c r="C21" s="771"/>
      <c r="D21" s="54"/>
      <c r="E21" s="54"/>
      <c r="F21" s="54"/>
      <c r="G21" s="54"/>
      <c r="H21" s="52"/>
      <c r="I21" s="52"/>
      <c r="J21" s="53"/>
    </row>
    <row r="22" spans="1:15">
      <c r="A22" s="769"/>
      <c r="B22" s="769"/>
      <c r="C22" s="771"/>
      <c r="D22" s="54"/>
      <c r="E22" s="54"/>
      <c r="F22" s="54"/>
      <c r="G22" s="54"/>
      <c r="H22" s="52"/>
      <c r="I22" s="52"/>
      <c r="J22" s="53"/>
    </row>
    <row r="23" spans="1:15">
      <c r="A23" s="769"/>
      <c r="B23" s="769"/>
      <c r="C23" s="772"/>
      <c r="D23" s="765" t="s">
        <v>6586</v>
      </c>
      <c r="E23" s="765"/>
      <c r="F23" s="55"/>
      <c r="G23" s="55"/>
      <c r="H23" s="56">
        <f>SUM(H19:H22)</f>
        <v>152393500</v>
      </c>
      <c r="I23" s="56">
        <f>SUM(I19:I22)</f>
        <v>134861504.43000001</v>
      </c>
      <c r="J23" s="57">
        <f>SUM(J19:J22)</f>
        <v>17531995.57</v>
      </c>
    </row>
    <row r="24" spans="1:15">
      <c r="B24" s="58"/>
      <c r="D24" s="42"/>
      <c r="E24" s="42"/>
      <c r="F24" s="42"/>
      <c r="G24" s="42"/>
      <c r="H24" s="29"/>
      <c r="I24" s="29"/>
      <c r="J24" s="29"/>
    </row>
    <row r="25" spans="1:15">
      <c r="B25" s="58"/>
      <c r="D25" s="42"/>
      <c r="E25" s="42"/>
      <c r="F25" s="42"/>
      <c r="G25" s="42"/>
      <c r="H25" s="29"/>
      <c r="I25" s="29"/>
      <c r="J25" s="29"/>
    </row>
    <row r="26" spans="1:15">
      <c r="A26" s="34" t="s">
        <v>4242</v>
      </c>
      <c r="B26" s="34" t="s">
        <v>744</v>
      </c>
      <c r="C26" s="44" t="s">
        <v>6562</v>
      </c>
      <c r="D26" s="34" t="s">
        <v>6563</v>
      </c>
      <c r="E26" s="34" t="s">
        <v>6564</v>
      </c>
      <c r="F26" s="34" t="s">
        <v>64</v>
      </c>
      <c r="G26" s="34" t="s">
        <v>65</v>
      </c>
      <c r="H26" s="35" t="s">
        <v>6565</v>
      </c>
      <c r="I26" s="35" t="s">
        <v>6566</v>
      </c>
      <c r="J26" s="35" t="s">
        <v>6567</v>
      </c>
      <c r="L26" s="42"/>
      <c r="M26" s="42"/>
      <c r="N26" s="42"/>
      <c r="O26" s="42"/>
    </row>
    <row r="27" spans="1:15">
      <c r="A27" s="769">
        <v>2</v>
      </c>
      <c r="B27" s="769" t="s">
        <v>6577</v>
      </c>
      <c r="C27" s="773" t="s">
        <v>6583</v>
      </c>
      <c r="D27" s="36">
        <v>2025</v>
      </c>
      <c r="E27" s="36">
        <v>8</v>
      </c>
      <c r="F27" s="36" t="s">
        <v>6576</v>
      </c>
      <c r="G27" s="37">
        <v>0.13</v>
      </c>
      <c r="H27" s="38">
        <f t="shared" ref="H27:H32" si="7">I27+J27</f>
        <v>307587.78999999998</v>
      </c>
      <c r="I27" s="38">
        <v>272201.58</v>
      </c>
      <c r="J27" s="38">
        <v>35386.21</v>
      </c>
      <c r="K27" s="59">
        <f>J27/I27</f>
        <v>0.13000001689924101</v>
      </c>
      <c r="L27" s="42"/>
      <c r="M27" s="42"/>
      <c r="N27" s="42"/>
      <c r="O27" s="42"/>
    </row>
    <row r="28" spans="1:15">
      <c r="A28" s="769"/>
      <c r="B28" s="769"/>
      <c r="C28" s="774"/>
      <c r="D28" s="36">
        <v>2025</v>
      </c>
      <c r="E28" s="36">
        <v>8</v>
      </c>
      <c r="F28" s="36" t="s">
        <v>6579</v>
      </c>
      <c r="G28" s="37">
        <v>0.09</v>
      </c>
      <c r="H28" s="38">
        <f t="shared" si="7"/>
        <v>144108.51</v>
      </c>
      <c r="I28" s="38">
        <v>132209.64000000001</v>
      </c>
      <c r="J28" s="38">
        <v>11898.87</v>
      </c>
      <c r="K28" s="59">
        <f>J28/I28</f>
        <v>9.0000018152987901E-2</v>
      </c>
      <c r="L28" s="42"/>
      <c r="M28" s="42"/>
      <c r="N28" s="42"/>
      <c r="O28" s="42"/>
    </row>
    <row r="29" spans="1:15">
      <c r="A29" s="769"/>
      <c r="B29" s="769"/>
      <c r="C29" s="775"/>
      <c r="D29" s="36">
        <v>2025</v>
      </c>
      <c r="E29" s="36">
        <v>8</v>
      </c>
      <c r="F29" s="36" t="s">
        <v>6580</v>
      </c>
      <c r="G29" s="37">
        <v>0.06</v>
      </c>
      <c r="H29" s="38">
        <f t="shared" si="7"/>
        <v>67442.210000000006</v>
      </c>
      <c r="I29" s="38">
        <v>63624.73</v>
      </c>
      <c r="J29" s="38">
        <v>3817.48</v>
      </c>
      <c r="K29" s="59">
        <f>J29/I29</f>
        <v>5.9999940274795702E-2</v>
      </c>
      <c r="L29" s="42"/>
      <c r="M29" s="42"/>
      <c r="N29" s="42"/>
      <c r="O29" s="42"/>
    </row>
    <row r="30" spans="1:15">
      <c r="A30" s="769"/>
      <c r="B30" s="769"/>
      <c r="C30" s="773" t="s">
        <v>6584</v>
      </c>
      <c r="D30" s="36" t="s">
        <v>4807</v>
      </c>
      <c r="E30" s="36" t="s">
        <v>4807</v>
      </c>
      <c r="F30" s="36" t="s">
        <v>6576</v>
      </c>
      <c r="G30" s="37">
        <v>0.13</v>
      </c>
      <c r="H30" s="38">
        <f t="shared" si="7"/>
        <v>0</v>
      </c>
      <c r="I30" s="38"/>
      <c r="J30" s="38"/>
      <c r="L30" s="42"/>
      <c r="M30" s="42"/>
      <c r="N30" s="42"/>
      <c r="O30" s="42"/>
    </row>
    <row r="31" spans="1:15">
      <c r="A31" s="769"/>
      <c r="B31" s="769"/>
      <c r="C31" s="774"/>
      <c r="D31" s="36" t="s">
        <v>4807</v>
      </c>
      <c r="E31" s="36" t="s">
        <v>4807</v>
      </c>
      <c r="F31" s="36" t="s">
        <v>6579</v>
      </c>
      <c r="G31" s="37">
        <v>0.09</v>
      </c>
      <c r="H31" s="38">
        <f t="shared" si="7"/>
        <v>0</v>
      </c>
      <c r="I31" s="38"/>
      <c r="J31" s="38"/>
      <c r="L31" s="42"/>
      <c r="M31" s="42"/>
      <c r="N31" s="42"/>
      <c r="O31" s="42"/>
    </row>
    <row r="32" spans="1:15">
      <c r="A32" s="769"/>
      <c r="B32" s="769"/>
      <c r="C32" s="775"/>
      <c r="D32" s="36" t="s">
        <v>4807</v>
      </c>
      <c r="E32" s="36" t="s">
        <v>4807</v>
      </c>
      <c r="F32" s="36" t="s">
        <v>6580</v>
      </c>
      <c r="G32" s="37">
        <v>0.06</v>
      </c>
      <c r="H32" s="38">
        <f t="shared" si="7"/>
        <v>0</v>
      </c>
      <c r="I32" s="38">
        <f>I38</f>
        <v>0</v>
      </c>
      <c r="J32" s="38">
        <f>J38</f>
        <v>0</v>
      </c>
      <c r="L32" s="42"/>
      <c r="M32" s="42"/>
      <c r="N32" s="42"/>
      <c r="O32" s="42"/>
    </row>
    <row r="33" spans="1:15">
      <c r="A33" s="769"/>
      <c r="B33" s="769"/>
      <c r="D33" s="42"/>
      <c r="E33" s="42"/>
      <c r="F33" s="42"/>
      <c r="G33" s="42"/>
      <c r="H33" s="29"/>
      <c r="I33" s="29"/>
      <c r="J33" s="29"/>
    </row>
    <row r="34" spans="1:15">
      <c r="A34" s="769"/>
      <c r="B34" s="769"/>
      <c r="C34" s="770" t="s">
        <v>6585</v>
      </c>
      <c r="D34" s="47">
        <v>2025</v>
      </c>
      <c r="E34" s="47">
        <v>10</v>
      </c>
      <c r="F34" s="47"/>
      <c r="G34" s="47"/>
      <c r="H34" s="48">
        <f>I34+J34</f>
        <v>0</v>
      </c>
      <c r="I34" s="48"/>
      <c r="J34" s="49"/>
    </row>
    <row r="35" spans="1:15">
      <c r="A35" s="769"/>
      <c r="B35" s="769"/>
      <c r="C35" s="771"/>
      <c r="D35" s="50"/>
      <c r="E35" s="50"/>
      <c r="F35" s="50"/>
      <c r="G35" s="50"/>
      <c r="H35" s="52"/>
      <c r="I35" s="52"/>
      <c r="J35" s="53"/>
      <c r="L35">
        <f>J56+J20</f>
        <v>36813630.659999996</v>
      </c>
    </row>
    <row r="36" spans="1:15">
      <c r="A36" s="769"/>
      <c r="B36" s="769"/>
      <c r="C36" s="771"/>
      <c r="D36" s="54"/>
      <c r="E36" s="54"/>
      <c r="F36" s="54"/>
      <c r="G36" s="54"/>
      <c r="H36" s="52"/>
      <c r="I36" s="52"/>
      <c r="J36" s="53"/>
    </row>
    <row r="37" spans="1:15">
      <c r="A37" s="769"/>
      <c r="B37" s="769"/>
      <c r="C37" s="771"/>
      <c r="D37" s="54"/>
      <c r="E37" s="54"/>
      <c r="F37" s="54"/>
      <c r="G37" s="54"/>
      <c r="H37" s="52"/>
      <c r="I37" s="52"/>
      <c r="J37" s="53"/>
    </row>
    <row r="38" spans="1:15">
      <c r="A38" s="769"/>
      <c r="B38" s="769"/>
      <c r="C38" s="772"/>
      <c r="D38" s="765" t="s">
        <v>6586</v>
      </c>
      <c r="E38" s="765"/>
      <c r="F38" s="55"/>
      <c r="G38" s="55"/>
      <c r="H38" s="56">
        <f>SUM(H34:H37)</f>
        <v>0</v>
      </c>
      <c r="I38" s="56">
        <f>SUM(I34:I37)</f>
        <v>0</v>
      </c>
      <c r="J38" s="57">
        <f>SUM(J34:J37)</f>
        <v>0</v>
      </c>
    </row>
    <row r="41" spans="1:15">
      <c r="A41" s="34" t="s">
        <v>4242</v>
      </c>
      <c r="B41" s="34" t="s">
        <v>744</v>
      </c>
      <c r="C41" s="44" t="s">
        <v>6562</v>
      </c>
      <c r="D41" s="34" t="s">
        <v>6563</v>
      </c>
      <c r="E41" s="34" t="s">
        <v>6564</v>
      </c>
      <c r="F41" s="34" t="s">
        <v>64</v>
      </c>
      <c r="G41" s="34" t="s">
        <v>65</v>
      </c>
      <c r="H41" s="35" t="s">
        <v>6565</v>
      </c>
      <c r="I41" s="35" t="s">
        <v>6566</v>
      </c>
      <c r="J41" s="35" t="s">
        <v>6567</v>
      </c>
      <c r="L41" s="42"/>
      <c r="M41" s="42"/>
      <c r="N41" s="42"/>
      <c r="O41" s="42"/>
    </row>
    <row r="42" spans="1:15">
      <c r="A42" s="769">
        <v>3</v>
      </c>
      <c r="B42" s="769" t="s">
        <v>279</v>
      </c>
      <c r="C42" s="45" t="s">
        <v>6583</v>
      </c>
      <c r="D42" s="36">
        <v>2025</v>
      </c>
      <c r="E42" s="36">
        <v>10</v>
      </c>
      <c r="F42" s="36" t="s">
        <v>6579</v>
      </c>
      <c r="G42" s="37">
        <v>0.09</v>
      </c>
      <c r="H42" s="38">
        <f t="shared" ref="H42:H43" si="8">I42+J42</f>
        <v>430663.24</v>
      </c>
      <c r="I42" s="38">
        <f>3109166.81-2714062.92</f>
        <v>395103.89</v>
      </c>
      <c r="J42" s="38">
        <v>35559.35</v>
      </c>
      <c r="K42" s="59">
        <f>J42/I42</f>
        <v>8.9999999746901996E-2</v>
      </c>
      <c r="L42" s="42"/>
      <c r="M42" s="42"/>
      <c r="N42" s="42"/>
      <c r="O42" s="42"/>
    </row>
    <row r="43" spans="1:15">
      <c r="A43" s="769"/>
      <c r="B43" s="769"/>
      <c r="C43" s="45" t="s">
        <v>6584</v>
      </c>
      <c r="D43" s="36" t="s">
        <v>4807</v>
      </c>
      <c r="E43" s="36" t="s">
        <v>4807</v>
      </c>
      <c r="F43" s="36" t="s">
        <v>6579</v>
      </c>
      <c r="G43" s="37">
        <v>0.09</v>
      </c>
      <c r="H43" s="38">
        <f t="shared" si="8"/>
        <v>395103.89</v>
      </c>
      <c r="I43" s="38">
        <f>I49</f>
        <v>395103.89</v>
      </c>
      <c r="J43" s="38">
        <f>J49</f>
        <v>0</v>
      </c>
      <c r="L43" s="42"/>
      <c r="M43" s="42"/>
      <c r="N43" s="42"/>
      <c r="O43" s="42"/>
    </row>
    <row r="44" spans="1:15">
      <c r="A44" s="769"/>
      <c r="B44" s="769"/>
      <c r="D44" s="42"/>
      <c r="E44" s="42"/>
      <c r="F44" s="42"/>
      <c r="G44" s="42"/>
      <c r="H44" s="29"/>
      <c r="I44" s="29"/>
      <c r="J44" s="29"/>
    </row>
    <row r="45" spans="1:15">
      <c r="A45" s="769"/>
      <c r="B45" s="769"/>
      <c r="C45" s="770" t="s">
        <v>6585</v>
      </c>
      <c r="D45" s="47">
        <v>2025</v>
      </c>
      <c r="E45" s="60">
        <v>11</v>
      </c>
      <c r="F45" s="47"/>
      <c r="G45" s="47"/>
      <c r="H45" s="48">
        <f>I45+J45</f>
        <v>395103.89</v>
      </c>
      <c r="I45" s="48">
        <v>395103.89</v>
      </c>
      <c r="J45" s="49"/>
    </row>
    <row r="46" spans="1:15">
      <c r="A46" s="769"/>
      <c r="B46" s="769"/>
      <c r="C46" s="771"/>
      <c r="D46" s="50"/>
      <c r="E46" s="50"/>
      <c r="F46" s="50"/>
      <c r="G46" s="50"/>
      <c r="H46" s="52"/>
      <c r="I46" s="52"/>
      <c r="J46" s="53"/>
    </row>
    <row r="47" spans="1:15">
      <c r="A47" s="769"/>
      <c r="B47" s="769"/>
      <c r="C47" s="771"/>
      <c r="D47" s="54"/>
      <c r="E47" s="54"/>
      <c r="F47" s="54"/>
      <c r="G47" s="54"/>
      <c r="H47" s="52"/>
      <c r="I47" s="52"/>
      <c r="J47" s="53"/>
    </row>
    <row r="48" spans="1:15">
      <c r="A48" s="769"/>
      <c r="B48" s="769"/>
      <c r="C48" s="771"/>
      <c r="D48" s="54"/>
      <c r="E48" s="54"/>
      <c r="F48" s="54"/>
      <c r="G48" s="54"/>
      <c r="H48" s="52"/>
      <c r="I48" s="52"/>
      <c r="J48" s="53"/>
    </row>
    <row r="49" spans="1:15">
      <c r="A49" s="769"/>
      <c r="B49" s="769"/>
      <c r="C49" s="772"/>
      <c r="D49" s="765" t="s">
        <v>6586</v>
      </c>
      <c r="E49" s="765"/>
      <c r="F49" s="55"/>
      <c r="G49" s="55"/>
      <c r="H49" s="56">
        <f>SUM(H45:H48)</f>
        <v>395103.89</v>
      </c>
      <c r="I49" s="56">
        <f>SUM(I45:I48)</f>
        <v>395103.89</v>
      </c>
      <c r="J49" s="57">
        <f>SUM(J45:J48)</f>
        <v>0</v>
      </c>
    </row>
    <row r="52" spans="1:15">
      <c r="A52" s="34" t="s">
        <v>4242</v>
      </c>
      <c r="B52" s="34" t="s">
        <v>744</v>
      </c>
      <c r="C52" s="44" t="s">
        <v>6562</v>
      </c>
      <c r="D52" s="34" t="s">
        <v>6563</v>
      </c>
      <c r="E52" s="34" t="s">
        <v>6564</v>
      </c>
      <c r="F52" s="34" t="s">
        <v>64</v>
      </c>
      <c r="G52" s="34" t="s">
        <v>65</v>
      </c>
      <c r="H52" s="35" t="s">
        <v>6565</v>
      </c>
      <c r="I52" s="35" t="s">
        <v>6566</v>
      </c>
      <c r="J52" s="35" t="s">
        <v>6567</v>
      </c>
      <c r="L52" s="42"/>
      <c r="M52" s="42"/>
      <c r="N52" s="42"/>
      <c r="O52" s="42"/>
    </row>
    <row r="53" spans="1:15">
      <c r="A53" s="769">
        <v>4</v>
      </c>
      <c r="B53" s="769" t="s">
        <v>6581</v>
      </c>
      <c r="C53" s="45" t="s">
        <v>6583</v>
      </c>
      <c r="D53" s="36">
        <v>2025</v>
      </c>
      <c r="E53" s="36">
        <v>10</v>
      </c>
      <c r="F53" s="36" t="s">
        <v>6576</v>
      </c>
      <c r="G53" s="37">
        <v>0.13</v>
      </c>
      <c r="H53" s="38">
        <f>I53+J53</f>
        <v>179727404.11000001</v>
      </c>
      <c r="I53" s="38">
        <v>159050800.11000001</v>
      </c>
      <c r="J53" s="38">
        <v>20676604</v>
      </c>
      <c r="K53" s="59">
        <f>J53/I53</f>
        <v>0.12999999991009201</v>
      </c>
      <c r="L53" s="42"/>
      <c r="M53" s="42"/>
      <c r="N53" s="42"/>
      <c r="O53" s="42"/>
    </row>
    <row r="54" spans="1:15">
      <c r="A54" s="769"/>
      <c r="B54" s="769"/>
      <c r="C54" s="45" t="s">
        <v>6584</v>
      </c>
      <c r="D54" s="36" t="s">
        <v>4807</v>
      </c>
      <c r="E54" s="36" t="s">
        <v>4807</v>
      </c>
      <c r="F54" s="36" t="s">
        <v>6576</v>
      </c>
      <c r="G54" s="37">
        <v>0.13</v>
      </c>
      <c r="H54" s="38">
        <f>I54+J54</f>
        <v>179727404.11000001</v>
      </c>
      <c r="I54" s="38">
        <f>I60</f>
        <v>159050800.11000001</v>
      </c>
      <c r="J54" s="38">
        <f>J60</f>
        <v>20676604</v>
      </c>
      <c r="L54" s="42"/>
      <c r="M54" s="42"/>
      <c r="N54" s="42"/>
      <c r="O54" s="42"/>
    </row>
    <row r="55" spans="1:15">
      <c r="A55" s="769"/>
      <c r="B55" s="769"/>
      <c r="D55" s="42"/>
      <c r="E55" s="42"/>
      <c r="F55" s="42"/>
      <c r="G55" s="42"/>
      <c r="H55" s="29"/>
      <c r="I55" s="29"/>
      <c r="J55" s="29"/>
    </row>
    <row r="56" spans="1:15">
      <c r="A56" s="769"/>
      <c r="B56" s="769"/>
      <c r="C56" s="770" t="s">
        <v>6585</v>
      </c>
      <c r="D56" s="47">
        <v>2025</v>
      </c>
      <c r="E56" s="60">
        <v>11</v>
      </c>
      <c r="F56" s="47"/>
      <c r="G56" s="47"/>
      <c r="H56" s="48">
        <f>I56+J56</f>
        <v>179727404.11000001</v>
      </c>
      <c r="I56" s="48">
        <v>159050800.11000001</v>
      </c>
      <c r="J56" s="49">
        <v>20676604</v>
      </c>
    </row>
    <row r="57" spans="1:15">
      <c r="A57" s="769"/>
      <c r="B57" s="769"/>
      <c r="C57" s="771"/>
      <c r="D57" s="50"/>
      <c r="E57" s="50"/>
      <c r="F57" s="50"/>
      <c r="G57" s="50"/>
      <c r="H57" s="52"/>
      <c r="I57" s="52"/>
      <c r="J57" s="53"/>
    </row>
    <row r="58" spans="1:15">
      <c r="A58" s="769"/>
      <c r="B58" s="769"/>
      <c r="C58" s="771"/>
      <c r="D58" s="54"/>
      <c r="E58" s="54"/>
      <c r="F58" s="54"/>
      <c r="G58" s="54"/>
      <c r="H58" s="52"/>
      <c r="I58" s="52"/>
      <c r="J58" s="53"/>
    </row>
    <row r="59" spans="1:15">
      <c r="A59" s="769"/>
      <c r="B59" s="769"/>
      <c r="C59" s="771"/>
      <c r="D59" s="54"/>
      <c r="E59" s="54"/>
      <c r="F59" s="54"/>
      <c r="G59" s="54"/>
      <c r="H59" s="52"/>
      <c r="I59" s="52"/>
      <c r="J59" s="53"/>
    </row>
    <row r="60" spans="1:15">
      <c r="A60" s="769"/>
      <c r="B60" s="769"/>
      <c r="C60" s="772"/>
      <c r="D60" s="765" t="s">
        <v>6586</v>
      </c>
      <c r="E60" s="765"/>
      <c r="F60" s="55"/>
      <c r="G60" s="55"/>
      <c r="H60" s="56">
        <f>SUM(H56:H59)</f>
        <v>179727404.11000001</v>
      </c>
      <c r="I60" s="56">
        <f>SUM(I56:I59)</f>
        <v>159050800.11000001</v>
      </c>
      <c r="J60" s="57">
        <f>SUM(J56:J59)</f>
        <v>20676604</v>
      </c>
    </row>
  </sheetData>
  <mergeCells count="22">
    <mergeCell ref="C45:C49"/>
    <mergeCell ref="C56:C60"/>
    <mergeCell ref="C5:C7"/>
    <mergeCell ref="C19:C23"/>
    <mergeCell ref="C27:C29"/>
    <mergeCell ref="C30:C32"/>
    <mergeCell ref="C34:C38"/>
    <mergeCell ref="B5:B7"/>
    <mergeCell ref="B16:B23"/>
    <mergeCell ref="B27:B38"/>
    <mergeCell ref="B42:B49"/>
    <mergeCell ref="B53:B60"/>
    <mergeCell ref="A5:A7"/>
    <mergeCell ref="A16:A23"/>
    <mergeCell ref="A27:A38"/>
    <mergeCell ref="A42:A49"/>
    <mergeCell ref="A53:A60"/>
    <mergeCell ref="O2:P2"/>
    <mergeCell ref="D23:E23"/>
    <mergeCell ref="D38:E38"/>
    <mergeCell ref="D49:E49"/>
    <mergeCell ref="D60:E60"/>
  </mergeCells>
  <phoneticPr fontId="8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5"/>
  <sheetViews>
    <sheetView workbookViewId="0">
      <selection activeCell="E5" sqref="E5"/>
    </sheetView>
  </sheetViews>
  <sheetFormatPr defaultColWidth="9" defaultRowHeight="14.25"/>
  <cols>
    <col min="1" max="1" width="9" style="21"/>
    <col min="2" max="2" width="18.375" style="21" customWidth="1"/>
    <col min="3" max="3" width="9" style="21"/>
    <col min="4" max="4" width="10" style="21" customWidth="1"/>
    <col min="5" max="5" width="18.75" style="21" customWidth="1"/>
    <col min="6" max="6" width="16.875" style="21" customWidth="1"/>
    <col min="7" max="7" width="14.75" style="21" customWidth="1"/>
    <col min="8" max="8" width="18.875" style="21" customWidth="1"/>
    <col min="9" max="9" width="19" style="21" customWidth="1"/>
    <col min="10" max="16384" width="9" style="21"/>
  </cols>
  <sheetData>
    <row r="1" spans="1:9">
      <c r="A1" s="778" t="s">
        <v>721</v>
      </c>
      <c r="B1" s="776" t="s">
        <v>6587</v>
      </c>
      <c r="C1" s="776"/>
      <c r="D1" s="776"/>
      <c r="E1" s="776"/>
      <c r="F1" s="776" t="s">
        <v>6588</v>
      </c>
      <c r="G1" s="776"/>
      <c r="H1" s="776" t="s">
        <v>6589</v>
      </c>
      <c r="I1" s="777"/>
    </row>
    <row r="2" spans="1:9">
      <c r="A2" s="779"/>
      <c r="B2" s="22" t="s">
        <v>6590</v>
      </c>
      <c r="C2" s="22" t="s">
        <v>4205</v>
      </c>
      <c r="D2" s="22" t="s">
        <v>4</v>
      </c>
      <c r="E2" s="22" t="s">
        <v>7</v>
      </c>
      <c r="F2" s="22" t="s">
        <v>6591</v>
      </c>
      <c r="G2" s="22" t="s">
        <v>7</v>
      </c>
      <c r="H2" s="22" t="s">
        <v>6591</v>
      </c>
      <c r="I2" s="23" t="s">
        <v>7</v>
      </c>
    </row>
    <row r="3" spans="1:9">
      <c r="A3" s="24" t="s">
        <v>6592</v>
      </c>
      <c r="B3" s="25">
        <v>431165837.97000003</v>
      </c>
      <c r="C3" s="25"/>
      <c r="D3" s="25"/>
      <c r="E3" s="25">
        <v>54874883.549999997</v>
      </c>
      <c r="F3" s="25">
        <v>780536596.70000005</v>
      </c>
      <c r="G3" s="25">
        <v>88749629.379999995</v>
      </c>
      <c r="H3" s="25">
        <f t="shared" ref="H3:H14" si="0">B3+C3+D3-F3</f>
        <v>-349370758.73000002</v>
      </c>
      <c r="I3" s="26">
        <f t="shared" ref="I3:I14" si="1">E3-G3</f>
        <v>-33874745.829999998</v>
      </c>
    </row>
    <row r="4" spans="1:9">
      <c r="A4" s="27" t="s">
        <v>6593</v>
      </c>
      <c r="B4" s="25">
        <v>355584080.39999998</v>
      </c>
      <c r="C4" s="25"/>
      <c r="D4" s="25"/>
      <c r="E4" s="25">
        <v>45434329.052100003</v>
      </c>
      <c r="F4" s="25">
        <v>526201681.80000001</v>
      </c>
      <c r="G4" s="25">
        <v>64440264.18</v>
      </c>
      <c r="H4" s="25">
        <f t="shared" si="0"/>
        <v>-170617601.40000001</v>
      </c>
      <c r="I4" s="26">
        <f t="shared" si="1"/>
        <v>-19005935.127900001</v>
      </c>
    </row>
    <row r="5" spans="1:9">
      <c r="A5" s="24" t="s">
        <v>6594</v>
      </c>
      <c r="B5" s="25">
        <v>48816137.859999999</v>
      </c>
      <c r="C5" s="25"/>
      <c r="D5" s="25"/>
      <c r="E5" s="25">
        <v>4651212.5268000001</v>
      </c>
      <c r="F5" s="25">
        <v>476086943.89999998</v>
      </c>
      <c r="G5" s="25">
        <v>55703464.079999998</v>
      </c>
      <c r="H5" s="25">
        <f t="shared" si="0"/>
        <v>-427270806.04000002</v>
      </c>
      <c r="I5" s="26">
        <f t="shared" si="1"/>
        <v>-51052251.553199999</v>
      </c>
    </row>
    <row r="6" spans="1:9">
      <c r="A6" s="27" t="s">
        <v>6595</v>
      </c>
      <c r="B6" s="25">
        <v>97382183.185000002</v>
      </c>
      <c r="C6" s="25"/>
      <c r="D6" s="25"/>
      <c r="E6" s="25">
        <v>9372591.2200000007</v>
      </c>
      <c r="F6" s="25">
        <v>78604518.969999999</v>
      </c>
      <c r="G6" s="25">
        <v>7757279.8399999999</v>
      </c>
      <c r="H6" s="25">
        <f t="shared" si="0"/>
        <v>18777664.215</v>
      </c>
      <c r="I6" s="26">
        <f t="shared" si="1"/>
        <v>1615311.38</v>
      </c>
    </row>
    <row r="7" spans="1:9">
      <c r="A7" s="24" t="s">
        <v>6596</v>
      </c>
      <c r="B7" s="25">
        <v>50884269.899999999</v>
      </c>
      <c r="C7" s="25"/>
      <c r="D7" s="25"/>
      <c r="E7" s="25">
        <v>4606639.49</v>
      </c>
      <c r="F7" s="25">
        <v>37974760.670000002</v>
      </c>
      <c r="G7" s="25">
        <v>4706132.17</v>
      </c>
      <c r="H7" s="25">
        <f t="shared" si="0"/>
        <v>12909509.23</v>
      </c>
      <c r="I7" s="26">
        <f t="shared" si="1"/>
        <v>-99492.679999999702</v>
      </c>
    </row>
    <row r="8" spans="1:9">
      <c r="A8" s="27" t="s">
        <v>6597</v>
      </c>
      <c r="B8" s="25">
        <v>121716054.69</v>
      </c>
      <c r="C8" s="25"/>
      <c r="D8" s="25"/>
      <c r="E8" s="25">
        <v>10897954.75</v>
      </c>
      <c r="F8" s="25">
        <v>236840482.66999999</v>
      </c>
      <c r="G8" s="25">
        <v>24373492.16</v>
      </c>
      <c r="H8" s="25">
        <f t="shared" si="0"/>
        <v>-115124427.98</v>
      </c>
      <c r="I8" s="26">
        <f t="shared" si="1"/>
        <v>-13475537.41</v>
      </c>
    </row>
    <row r="9" spans="1:9">
      <c r="A9" s="24" t="s">
        <v>6598</v>
      </c>
      <c r="B9" s="25">
        <v>110819286.25</v>
      </c>
      <c r="C9" s="25"/>
      <c r="D9" s="25"/>
      <c r="E9" s="25">
        <v>9901838.0500000007</v>
      </c>
      <c r="F9" s="25">
        <v>109147812.59999999</v>
      </c>
      <c r="G9" s="25">
        <v>10254083.09</v>
      </c>
      <c r="H9" s="25">
        <f t="shared" si="0"/>
        <v>1671473.6500000099</v>
      </c>
      <c r="I9" s="26">
        <f t="shared" si="1"/>
        <v>-352245.03999999899</v>
      </c>
    </row>
    <row r="10" spans="1:9">
      <c r="A10" s="27" t="s">
        <v>6599</v>
      </c>
      <c r="B10" s="25">
        <v>314913230.89999998</v>
      </c>
      <c r="C10" s="25"/>
      <c r="D10" s="25"/>
      <c r="E10" s="25">
        <v>34511493.549999997</v>
      </c>
      <c r="F10" s="25">
        <v>140167334.72999999</v>
      </c>
      <c r="G10" s="25">
        <v>17987219.120000001</v>
      </c>
      <c r="H10" s="25">
        <f t="shared" si="0"/>
        <v>174745896.16999999</v>
      </c>
      <c r="I10" s="26">
        <f t="shared" si="1"/>
        <v>16524274.43</v>
      </c>
    </row>
    <row r="11" spans="1:9">
      <c r="A11" s="24" t="s">
        <v>6600</v>
      </c>
      <c r="B11" s="25">
        <v>174426163.13999999</v>
      </c>
      <c r="C11" s="25"/>
      <c r="D11" s="25"/>
      <c r="E11" s="25">
        <v>16661163.960000001</v>
      </c>
      <c r="F11" s="25">
        <v>239799327.74000001</v>
      </c>
      <c r="G11" s="25">
        <v>21585484.920000002</v>
      </c>
      <c r="H11" s="25">
        <f t="shared" si="0"/>
        <v>-65373164.600000001</v>
      </c>
      <c r="I11" s="26">
        <f t="shared" si="1"/>
        <v>-4924320.96</v>
      </c>
    </row>
    <row r="12" spans="1:9">
      <c r="A12" s="27" t="s">
        <v>6601</v>
      </c>
      <c r="B12" s="25">
        <v>265809998.38</v>
      </c>
      <c r="C12" s="25"/>
      <c r="D12" s="25"/>
      <c r="E12" s="25">
        <v>31479660.48</v>
      </c>
      <c r="F12" s="25">
        <v>313899048.50999999</v>
      </c>
      <c r="G12" s="25">
        <v>34780115.130000003</v>
      </c>
      <c r="H12" s="25">
        <f t="shared" si="0"/>
        <v>-48089050.130000003</v>
      </c>
      <c r="I12" s="26">
        <f t="shared" si="1"/>
        <v>-3300454.65</v>
      </c>
    </row>
    <row r="13" spans="1:9">
      <c r="A13" s="24" t="s">
        <v>6602</v>
      </c>
      <c r="B13" s="28">
        <v>1455741311.6700001</v>
      </c>
      <c r="C13" s="25"/>
      <c r="D13" s="25"/>
      <c r="E13" s="25">
        <v>185815683.06</v>
      </c>
      <c r="F13" s="25">
        <v>1013212112.96</v>
      </c>
      <c r="G13" s="25">
        <v>133443818.7</v>
      </c>
      <c r="H13" s="25">
        <f t="shared" si="0"/>
        <v>442529198.70999998</v>
      </c>
      <c r="I13" s="26">
        <f t="shared" si="1"/>
        <v>52371864.359999999</v>
      </c>
    </row>
    <row r="14" spans="1:9">
      <c r="A14" s="27" t="s">
        <v>6603</v>
      </c>
      <c r="B14" s="29">
        <v>3914722849.34057</v>
      </c>
      <c r="C14" s="25"/>
      <c r="D14" s="25"/>
      <c r="E14" s="29">
        <v>474608539.94725698</v>
      </c>
      <c r="F14" s="25">
        <v>1094647029.2</v>
      </c>
      <c r="G14" s="25">
        <v>132078061.39</v>
      </c>
      <c r="H14" s="25">
        <f t="shared" si="0"/>
        <v>2820075820.1405702</v>
      </c>
      <c r="I14" s="26">
        <f t="shared" si="1"/>
        <v>342530478.557257</v>
      </c>
    </row>
    <row r="15" spans="1:9">
      <c r="A15" s="30" t="s">
        <v>6604</v>
      </c>
      <c r="B15" s="31">
        <f t="shared" ref="B15:I15" si="2">SUM(B3:B14)</f>
        <v>7341981403.6855698</v>
      </c>
      <c r="C15" s="31">
        <f t="shared" si="2"/>
        <v>0</v>
      </c>
      <c r="D15" s="31">
        <f t="shared" si="2"/>
        <v>0</v>
      </c>
      <c r="E15" s="31">
        <f t="shared" si="2"/>
        <v>882815989.63615704</v>
      </c>
      <c r="F15" s="31">
        <f t="shared" si="2"/>
        <v>5047117650.4499998</v>
      </c>
      <c r="G15" s="31">
        <f t="shared" si="2"/>
        <v>595859044.15999997</v>
      </c>
      <c r="H15" s="31">
        <f t="shared" si="2"/>
        <v>2294863753.23557</v>
      </c>
      <c r="I15" s="32">
        <f t="shared" si="2"/>
        <v>286956945.47615701</v>
      </c>
    </row>
  </sheetData>
  <mergeCells count="4">
    <mergeCell ref="B1:E1"/>
    <mergeCell ref="F1:G1"/>
    <mergeCell ref="H1:I1"/>
    <mergeCell ref="A1:A2"/>
  </mergeCells>
  <phoneticPr fontId="8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P16"/>
  <sheetViews>
    <sheetView zoomScale="85" zoomScaleNormal="85" workbookViewId="0">
      <selection activeCell="F15" sqref="F15"/>
    </sheetView>
  </sheetViews>
  <sheetFormatPr defaultColWidth="8.625" defaultRowHeight="14.25"/>
  <cols>
    <col min="1" max="1" width="4.75" style="2" customWidth="1"/>
    <col min="2" max="2" width="21.375" style="2" customWidth="1"/>
    <col min="3" max="4" width="13.625" style="2" customWidth="1"/>
    <col min="5" max="5" width="13.375" style="2" customWidth="1"/>
    <col min="6" max="6" width="15.625" style="2" customWidth="1"/>
    <col min="7" max="8" width="8.625" style="2"/>
    <col min="9" max="9" width="9" style="2" customWidth="1"/>
    <col min="10" max="10" width="9.75" style="2" customWidth="1"/>
    <col min="11" max="12" width="8.625" style="2"/>
    <col min="13" max="13" width="10.75" style="2" customWidth="1"/>
    <col min="14" max="14" width="11.5" style="2" customWidth="1"/>
    <col min="15" max="15" width="9.75" style="2" customWidth="1"/>
    <col min="16" max="16" width="13.625" style="2" customWidth="1"/>
    <col min="17" max="16384" width="8.625" style="2"/>
  </cols>
  <sheetData>
    <row r="1" spans="2:16">
      <c r="B1" s="780" t="s">
        <v>6605</v>
      </c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</row>
    <row r="2" spans="2:16" ht="16.5">
      <c r="B2" s="781" t="s">
        <v>4269</v>
      </c>
      <c r="C2" s="782"/>
      <c r="D2" s="782"/>
      <c r="E2" s="3"/>
      <c r="F2" s="3"/>
      <c r="G2" s="3"/>
      <c r="H2" s="3"/>
      <c r="I2" s="3"/>
      <c r="J2" s="3"/>
      <c r="K2" s="3"/>
      <c r="L2" s="3"/>
      <c r="M2" s="3" t="s">
        <v>6606</v>
      </c>
      <c r="N2" s="3"/>
      <c r="O2" s="3"/>
      <c r="P2" s="5" t="s">
        <v>6607</v>
      </c>
    </row>
    <row r="3" spans="2:16" ht="16.5">
      <c r="B3" s="6" t="s">
        <v>721</v>
      </c>
      <c r="C3" s="6" t="s">
        <v>6608</v>
      </c>
      <c r="D3" s="7" t="s">
        <v>20</v>
      </c>
      <c r="E3" s="7" t="s">
        <v>6609</v>
      </c>
      <c r="F3" s="7" t="s">
        <v>21</v>
      </c>
      <c r="G3" s="7" t="s">
        <v>6610</v>
      </c>
      <c r="H3" s="7" t="s">
        <v>28</v>
      </c>
      <c r="I3" s="7" t="s">
        <v>4236</v>
      </c>
      <c r="J3" s="7" t="s">
        <v>6611</v>
      </c>
      <c r="K3" s="7" t="s">
        <v>6612</v>
      </c>
      <c r="L3" s="7" t="s">
        <v>6613</v>
      </c>
      <c r="M3" s="7" t="s">
        <v>6614</v>
      </c>
      <c r="N3" s="7" t="s">
        <v>6615</v>
      </c>
      <c r="O3" s="7" t="s">
        <v>6616</v>
      </c>
      <c r="P3" s="8" t="s">
        <v>6617</v>
      </c>
    </row>
    <row r="4" spans="2:16" ht="16.5">
      <c r="B4" s="11">
        <v>45658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>
        <f t="shared" ref="P4:P16" si="0">SUM(C4:O4)</f>
        <v>0</v>
      </c>
    </row>
    <row r="5" spans="2:16" ht="16.5">
      <c r="B5" s="11">
        <v>45689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f t="shared" si="0"/>
        <v>0</v>
      </c>
    </row>
    <row r="6" spans="2:16" ht="16.5">
      <c r="B6" s="11">
        <v>45717</v>
      </c>
      <c r="C6" s="15"/>
      <c r="D6" s="12"/>
      <c r="E6" s="12"/>
      <c r="F6" s="12">
        <v>241059.07</v>
      </c>
      <c r="G6" s="12"/>
      <c r="H6" s="12"/>
      <c r="I6" s="12"/>
      <c r="J6" s="12"/>
      <c r="K6" s="12"/>
      <c r="L6" s="12"/>
      <c r="M6" s="12"/>
      <c r="O6" s="12"/>
      <c r="P6" s="12">
        <f t="shared" si="0"/>
        <v>241059.07</v>
      </c>
    </row>
    <row r="7" spans="2:16" ht="16.5">
      <c r="B7" s="11">
        <v>45748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f t="shared" si="0"/>
        <v>0</v>
      </c>
    </row>
    <row r="8" spans="2:16" ht="16.5">
      <c r="B8" s="11">
        <v>45778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 t="shared" si="0"/>
        <v>0</v>
      </c>
    </row>
    <row r="9" spans="2:16" ht="16.5">
      <c r="B9" s="11">
        <v>45809</v>
      </c>
      <c r="C9" s="12">
        <v>29332501.690000001</v>
      </c>
      <c r="D9" s="12"/>
      <c r="E9" s="12"/>
      <c r="F9" s="12">
        <v>330365.58</v>
      </c>
      <c r="G9" s="12"/>
      <c r="H9" s="12"/>
      <c r="I9" s="12"/>
      <c r="J9" s="12"/>
      <c r="K9" s="12"/>
      <c r="L9" s="12"/>
      <c r="M9" s="12"/>
      <c r="N9" s="12"/>
      <c r="O9" s="12"/>
      <c r="P9" s="12">
        <f t="shared" si="0"/>
        <v>29662867.27</v>
      </c>
    </row>
    <row r="10" spans="2:16" ht="16.5">
      <c r="B10" s="11">
        <v>45839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>
        <v>181635.35</v>
      </c>
      <c r="N10" s="12"/>
      <c r="O10" s="12"/>
      <c r="P10" s="12">
        <f t="shared" si="0"/>
        <v>181635.35</v>
      </c>
    </row>
    <row r="11" spans="2:16" ht="16.5">
      <c r="B11" s="11">
        <v>45870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f t="shared" si="0"/>
        <v>0</v>
      </c>
    </row>
    <row r="12" spans="2:16" ht="16.5">
      <c r="B12" s="11">
        <v>45901</v>
      </c>
      <c r="C12" s="12">
        <v>25579908.920000002</v>
      </c>
      <c r="D12" s="12"/>
      <c r="E12" s="12"/>
      <c r="F12" s="12">
        <v>344819.57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f t="shared" si="0"/>
        <v>25924728.489999998</v>
      </c>
    </row>
    <row r="13" spans="2:16" ht="16.5">
      <c r="B13" s="11">
        <v>45931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f t="shared" si="0"/>
        <v>0</v>
      </c>
    </row>
    <row r="14" spans="2:16" ht="16.5">
      <c r="B14" s="11">
        <v>45962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f t="shared" si="0"/>
        <v>0</v>
      </c>
    </row>
    <row r="15" spans="2:16" ht="16.5">
      <c r="B15" s="11">
        <v>45992</v>
      </c>
      <c r="C15" s="12"/>
      <c r="D15" s="12"/>
      <c r="E15" s="12"/>
      <c r="F15" s="12">
        <v>3068830.66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f t="shared" si="0"/>
        <v>3068830.66</v>
      </c>
    </row>
    <row r="16" spans="2:16" ht="16.5">
      <c r="B16" s="19" t="s">
        <v>33</v>
      </c>
      <c r="C16" s="12">
        <f t="shared" ref="C16:O16" si="1">SUM(C4:C15)</f>
        <v>54912410.609999999</v>
      </c>
      <c r="D16" s="12">
        <f t="shared" si="1"/>
        <v>0</v>
      </c>
      <c r="E16" s="12">
        <f t="shared" si="1"/>
        <v>0</v>
      </c>
      <c r="F16" s="12">
        <f t="shared" si="1"/>
        <v>3985074.88</v>
      </c>
      <c r="G16" s="12">
        <f t="shared" si="1"/>
        <v>0</v>
      </c>
      <c r="H16" s="12">
        <f t="shared" si="1"/>
        <v>0</v>
      </c>
      <c r="I16" s="12">
        <f t="shared" si="1"/>
        <v>0</v>
      </c>
      <c r="J16" s="12">
        <f t="shared" si="1"/>
        <v>0</v>
      </c>
      <c r="K16" s="12">
        <f t="shared" si="1"/>
        <v>0</v>
      </c>
      <c r="L16" s="12">
        <f t="shared" si="1"/>
        <v>0</v>
      </c>
      <c r="M16" s="12">
        <f t="shared" si="1"/>
        <v>181635.35</v>
      </c>
      <c r="N16" s="12">
        <f t="shared" si="1"/>
        <v>0</v>
      </c>
      <c r="O16" s="12">
        <f t="shared" si="1"/>
        <v>0</v>
      </c>
      <c r="P16" s="12">
        <f t="shared" si="0"/>
        <v>59079120.840000004</v>
      </c>
    </row>
  </sheetData>
  <mergeCells count="2">
    <mergeCell ref="B1:P1"/>
    <mergeCell ref="B2:D2"/>
  </mergeCells>
  <phoneticPr fontId="85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S16"/>
  <sheetViews>
    <sheetView zoomScale="70" zoomScaleNormal="70" workbookViewId="0">
      <selection activeCell="F21" sqref="F21"/>
    </sheetView>
  </sheetViews>
  <sheetFormatPr defaultColWidth="8.625" defaultRowHeight="14.25"/>
  <cols>
    <col min="1" max="1" width="4.75" style="2" customWidth="1"/>
    <col min="2" max="2" width="19.125" style="2" customWidth="1"/>
    <col min="3" max="3" width="15.375" style="2" customWidth="1"/>
    <col min="4" max="4" width="12.875" style="2" customWidth="1"/>
    <col min="5" max="5" width="11.5" style="2" customWidth="1"/>
    <col min="6" max="6" width="13.5" style="2" customWidth="1"/>
    <col min="7" max="8" width="8.75" style="2" customWidth="1"/>
    <col min="9" max="9" width="10" style="2" customWidth="1"/>
    <col min="10" max="11" width="10.75" style="2" customWidth="1"/>
    <col min="12" max="12" width="11.75" style="2" customWidth="1"/>
    <col min="13" max="13" width="11.625" style="2" customWidth="1"/>
    <col min="14" max="14" width="8.75" style="2" customWidth="1"/>
    <col min="15" max="15" width="9.75" style="2" customWidth="1"/>
    <col min="16" max="18" width="14.125" style="2" customWidth="1"/>
    <col min="19" max="19" width="51.375" style="2" customWidth="1"/>
    <col min="20" max="16384" width="8.625" style="2"/>
  </cols>
  <sheetData>
    <row r="1" spans="2:19" s="1" customFormat="1" ht="22.5" customHeight="1">
      <c r="B1" s="780" t="s">
        <v>6618</v>
      </c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S1" s="4"/>
    </row>
    <row r="2" spans="2:19" s="1" customFormat="1" ht="18" customHeight="1">
      <c r="B2" s="781" t="s">
        <v>4269</v>
      </c>
      <c r="C2" s="782"/>
      <c r="D2" s="782"/>
      <c r="E2" s="3"/>
      <c r="F2" s="3"/>
      <c r="G2" s="3"/>
      <c r="H2" s="3"/>
      <c r="I2" s="3"/>
      <c r="J2" s="3"/>
      <c r="K2" s="3"/>
      <c r="L2" s="3"/>
      <c r="M2" s="3" t="s">
        <v>6606</v>
      </c>
      <c r="N2" s="3"/>
      <c r="O2" s="3"/>
      <c r="P2" s="5" t="s">
        <v>6607</v>
      </c>
      <c r="S2" s="4"/>
    </row>
    <row r="3" spans="2:19" s="1" customFormat="1" ht="31.5" customHeight="1">
      <c r="B3" s="6" t="s">
        <v>6619</v>
      </c>
      <c r="C3" s="6" t="s">
        <v>6608</v>
      </c>
      <c r="D3" s="7" t="s">
        <v>20</v>
      </c>
      <c r="E3" s="7" t="s">
        <v>6609</v>
      </c>
      <c r="F3" s="7" t="s">
        <v>21</v>
      </c>
      <c r="G3" s="7" t="s">
        <v>6610</v>
      </c>
      <c r="H3" s="7" t="s">
        <v>28</v>
      </c>
      <c r="I3" s="7" t="s">
        <v>4236</v>
      </c>
      <c r="J3" s="7" t="s">
        <v>6611</v>
      </c>
      <c r="K3" s="7" t="s">
        <v>6612</v>
      </c>
      <c r="L3" s="7" t="s">
        <v>6613</v>
      </c>
      <c r="M3" s="7" t="s">
        <v>6620</v>
      </c>
      <c r="N3" s="7" t="s">
        <v>6615</v>
      </c>
      <c r="O3" s="7" t="s">
        <v>6616</v>
      </c>
      <c r="P3" s="8" t="s">
        <v>6621</v>
      </c>
      <c r="Q3" s="9" t="s">
        <v>6622</v>
      </c>
      <c r="R3" s="9" t="s">
        <v>306</v>
      </c>
      <c r="S3" s="10" t="s">
        <v>6623</v>
      </c>
    </row>
    <row r="4" spans="2:19" s="1" customFormat="1" ht="16.5">
      <c r="B4" s="11">
        <v>45658</v>
      </c>
      <c r="C4" s="12">
        <v>380017882.54000002</v>
      </c>
      <c r="D4" s="12">
        <v>77264493.590000004</v>
      </c>
      <c r="E4" s="13" t="s">
        <v>6624</v>
      </c>
      <c r="F4" s="12">
        <v>1051983.42</v>
      </c>
      <c r="G4" s="12"/>
      <c r="H4" s="12"/>
      <c r="I4" s="12"/>
      <c r="J4" s="12"/>
      <c r="K4" s="12"/>
      <c r="L4" s="12"/>
      <c r="M4" s="12"/>
      <c r="N4" s="12"/>
      <c r="O4" s="12"/>
      <c r="P4" s="12">
        <f t="shared" ref="P4:P16" si="0">SUM(C4:O4)</f>
        <v>458334359.55000001</v>
      </c>
      <c r="Q4" s="12">
        <v>0</v>
      </c>
      <c r="R4" s="12">
        <f t="shared" ref="R4:R15" si="1">P4-Q4</f>
        <v>458334359.55000001</v>
      </c>
      <c r="S4" s="14"/>
    </row>
    <row r="5" spans="2:19" ht="16.5">
      <c r="B5" s="11">
        <v>45689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f t="shared" si="0"/>
        <v>0</v>
      </c>
      <c r="Q5" s="12">
        <v>0</v>
      </c>
      <c r="R5" s="12">
        <f t="shared" si="1"/>
        <v>0</v>
      </c>
      <c r="S5" s="14"/>
    </row>
    <row r="6" spans="2:19" ht="16.5">
      <c r="B6" s="11">
        <v>45717</v>
      </c>
      <c r="C6" s="15"/>
      <c r="D6" s="12"/>
      <c r="E6" s="12"/>
      <c r="F6" s="12"/>
      <c r="G6" s="12"/>
      <c r="H6" s="12"/>
      <c r="I6" s="12"/>
      <c r="J6" s="12"/>
      <c r="K6" s="12"/>
      <c r="L6" s="12"/>
      <c r="M6" s="12"/>
      <c r="O6" s="12"/>
      <c r="P6" s="12">
        <f t="shared" si="0"/>
        <v>0</v>
      </c>
      <c r="Q6" s="12">
        <v>241059.07</v>
      </c>
      <c r="R6" s="12"/>
      <c r="S6" s="14"/>
    </row>
    <row r="7" spans="2:19" ht="16.5">
      <c r="B7" s="11">
        <v>45748</v>
      </c>
      <c r="C7" s="12"/>
      <c r="D7" s="12"/>
      <c r="E7" s="12"/>
      <c r="F7" s="12">
        <v>241059.07</v>
      </c>
      <c r="G7" s="12"/>
      <c r="H7" s="12"/>
      <c r="I7" s="12"/>
      <c r="J7" s="12"/>
      <c r="K7" s="12"/>
      <c r="L7" s="12"/>
      <c r="M7" s="12"/>
      <c r="N7" s="12"/>
      <c r="O7" s="12"/>
      <c r="P7" s="12">
        <f t="shared" si="0"/>
        <v>241059.07</v>
      </c>
      <c r="Q7" s="12">
        <v>0</v>
      </c>
      <c r="R7" s="12">
        <f>P7-Q6</f>
        <v>0</v>
      </c>
      <c r="S7" s="14"/>
    </row>
    <row r="8" spans="2:19" ht="16.5">
      <c r="B8" s="11">
        <v>45778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 t="shared" si="0"/>
        <v>0</v>
      </c>
      <c r="Q8" s="12">
        <v>0</v>
      </c>
      <c r="R8" s="12">
        <f t="shared" si="1"/>
        <v>0</v>
      </c>
      <c r="S8" s="14"/>
    </row>
    <row r="9" spans="2:19" ht="16.5">
      <c r="B9" s="11">
        <v>45809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f t="shared" si="0"/>
        <v>0</v>
      </c>
      <c r="Q9" s="12">
        <f>睿景项目累计申报!P9</f>
        <v>29662867.27</v>
      </c>
      <c r="R9" s="12">
        <f>P9-Q8</f>
        <v>0</v>
      </c>
      <c r="S9" s="16"/>
    </row>
    <row r="10" spans="2:19" ht="16.5">
      <c r="B10" s="11">
        <v>45839</v>
      </c>
      <c r="C10" s="12">
        <v>29332501.690000001</v>
      </c>
      <c r="D10" s="12"/>
      <c r="E10" s="12"/>
      <c r="F10" s="12">
        <v>330365.58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f t="shared" si="0"/>
        <v>29662867.27</v>
      </c>
      <c r="Q10" s="12">
        <v>0</v>
      </c>
      <c r="R10" s="12">
        <f>P10-Q9</f>
        <v>0</v>
      </c>
      <c r="S10" s="16"/>
    </row>
    <row r="11" spans="2:19" ht="16.5">
      <c r="B11" s="11">
        <v>45870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f t="shared" si="0"/>
        <v>0</v>
      </c>
      <c r="Q11" s="12">
        <v>0</v>
      </c>
      <c r="R11" s="12">
        <f t="shared" si="1"/>
        <v>0</v>
      </c>
      <c r="S11" s="16"/>
    </row>
    <row r="12" spans="2:19" ht="16.5">
      <c r="B12" s="11">
        <v>45901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f t="shared" si="0"/>
        <v>0</v>
      </c>
      <c r="Q12" s="12">
        <f>睿景项目累计申报!P12</f>
        <v>25924728.489999998</v>
      </c>
      <c r="R12" s="12">
        <f>P12-Q11</f>
        <v>0</v>
      </c>
      <c r="S12" s="16"/>
    </row>
    <row r="13" spans="2:19" ht="16.5">
      <c r="B13" s="11">
        <v>45931</v>
      </c>
      <c r="C13" s="12">
        <v>25579908.920000002</v>
      </c>
      <c r="D13" s="17"/>
      <c r="E13" s="17"/>
      <c r="F13" s="12">
        <v>344819.57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f t="shared" si="0"/>
        <v>25924728.489999998</v>
      </c>
      <c r="Q13" s="12">
        <v>0</v>
      </c>
      <c r="R13" s="12">
        <f>P13-Q12</f>
        <v>0</v>
      </c>
      <c r="S13" s="16"/>
    </row>
    <row r="14" spans="2:19" ht="16.5">
      <c r="B14" s="11">
        <v>45962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f t="shared" si="0"/>
        <v>0</v>
      </c>
      <c r="Q14" s="12">
        <v>0</v>
      </c>
      <c r="R14" s="12">
        <f t="shared" si="1"/>
        <v>0</v>
      </c>
      <c r="S14" s="16"/>
    </row>
    <row r="15" spans="2:19" ht="16.5">
      <c r="B15" s="11">
        <v>45992</v>
      </c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f t="shared" si="0"/>
        <v>0</v>
      </c>
      <c r="Q15" s="12">
        <v>0</v>
      </c>
      <c r="R15" s="12">
        <f t="shared" si="1"/>
        <v>0</v>
      </c>
      <c r="S15" s="16"/>
    </row>
    <row r="16" spans="2:19" ht="16.5">
      <c r="B16" s="19" t="s">
        <v>33</v>
      </c>
      <c r="C16" s="12">
        <f t="shared" ref="C16:O16" si="2">SUM(C4:C15)</f>
        <v>434930293.14999998</v>
      </c>
      <c r="D16" s="12">
        <f t="shared" si="2"/>
        <v>77264493.590000004</v>
      </c>
      <c r="E16" s="12">
        <f t="shared" si="2"/>
        <v>0</v>
      </c>
      <c r="F16" s="12">
        <f t="shared" si="2"/>
        <v>1968227.64</v>
      </c>
      <c r="G16" s="12">
        <f t="shared" si="2"/>
        <v>0</v>
      </c>
      <c r="H16" s="12">
        <f t="shared" si="2"/>
        <v>0</v>
      </c>
      <c r="I16" s="12">
        <f t="shared" si="2"/>
        <v>0</v>
      </c>
      <c r="J16" s="12">
        <f t="shared" si="2"/>
        <v>0</v>
      </c>
      <c r="K16" s="12">
        <f t="shared" si="2"/>
        <v>0</v>
      </c>
      <c r="L16" s="12">
        <f t="shared" si="2"/>
        <v>0</v>
      </c>
      <c r="M16" s="12">
        <f t="shared" si="2"/>
        <v>0</v>
      </c>
      <c r="N16" s="12">
        <f t="shared" si="2"/>
        <v>0</v>
      </c>
      <c r="O16" s="12">
        <f t="shared" si="2"/>
        <v>0</v>
      </c>
      <c r="P16" s="12">
        <f t="shared" si="0"/>
        <v>514163014.38</v>
      </c>
      <c r="Q16" s="12">
        <f>SUM(Q4:Q15)</f>
        <v>55828654.829999998</v>
      </c>
      <c r="R16" s="12">
        <f>SUM(R4:R15)</f>
        <v>458334359.55000001</v>
      </c>
      <c r="S16" s="20"/>
    </row>
  </sheetData>
  <mergeCells count="2">
    <mergeCell ref="B1:P1"/>
    <mergeCell ref="B2:D2"/>
  </mergeCells>
  <phoneticPr fontId="8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007B1F87F050D4280D540DC98917B2D" ma:contentTypeVersion="16" ma:contentTypeDescription="新建文档。" ma:contentTypeScope="" ma:versionID="cf35255e3fecd5b5b7c6b62ee1051507">
  <xsd:schema xmlns:xsd="http://www.w3.org/2001/XMLSchema" xmlns:xs="http://www.w3.org/2001/XMLSchema" xmlns:p="http://schemas.microsoft.com/office/2006/metadata/properties" xmlns:ns2="2127debb-5501-4c11-a919-df9e9feeca80" xmlns:ns3="d82c1480-f73a-4ffe-acd4-6edf35a84d7c" targetNamespace="http://schemas.microsoft.com/office/2006/metadata/properties" ma:root="true" ma:fieldsID="25a1df482be236d65f3f05f91bf3584f" ns2:_="" ns3:_="">
    <xsd:import namespace="2127debb-5501-4c11-a919-df9e9feeca80"/>
    <xsd:import namespace="d82c1480-f73a-4ffe-acd4-6edf35a84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7debb-5501-4c11-a919-df9e9feec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图像标记" ma:readOnly="false" ma:fieldId="{5cf76f15-5ced-4ddc-b409-7134ff3c332f}" ma:taxonomyMulti="true" ma:sspId="c1edd845-7f0e-45a5-a31e-296826f11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c1480-f73a-4ffe-acd4-6edf35a84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219111-dd13-4513-8340-227a95982bce}" ma:internalName="TaxCatchAll" ma:showField="CatchAllData" ma:web="d82c1480-f73a-4ffe-acd4-6edf35a84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2c1480-f73a-4ffe-acd4-6edf35a84d7c" xsi:nil="true"/>
    <lcf76f155ced4ddcb4097134ff3c332f xmlns="2127debb-5501-4c11-a919-df9e9feeca8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7102A9-D666-4563-A67B-BC1E5E29C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7debb-5501-4c11-a919-df9e9feeca80"/>
    <ds:schemaRef ds:uri="d82c1480-f73a-4ffe-acd4-6edf35a84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7D2DC6-B96A-4C3E-A572-AFFE2C6D768A}">
  <ds:schemaRefs/>
</ds:datastoreItem>
</file>

<file path=customXml/itemProps3.xml><?xml version="1.0" encoding="utf-8"?>
<ds:datastoreItem xmlns:ds="http://schemas.openxmlformats.org/officeDocument/2006/customXml" ds:itemID="{13651A74-428F-4AE2-BC3F-4C10D3F02A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1</vt:i4>
      </vt:variant>
    </vt:vector>
  </HeadingPairs>
  <TitlesOfParts>
    <vt:vector size="22" baseType="lpstr">
      <vt:lpstr>累计税金汇总表</vt:lpstr>
      <vt:lpstr>累计项目税收明细表202512</vt:lpstr>
      <vt:lpstr>累计项目税收明细表2017-202302</vt:lpstr>
      <vt:lpstr>增值税表一 累计销项</vt:lpstr>
      <vt:lpstr>账税差异监控</vt:lpstr>
      <vt:lpstr>12月BS</vt:lpstr>
      <vt:lpstr>12月PL</vt:lpstr>
      <vt:lpstr>09月CL</vt:lpstr>
      <vt:lpstr>收入</vt:lpstr>
      <vt:lpstr>销项明细</vt:lpstr>
      <vt:lpstr>进项明细</vt:lpstr>
      <vt:lpstr>所得税明细</vt:lpstr>
      <vt:lpstr>印花税明细</vt:lpstr>
      <vt:lpstr>Ref 1_202512_Summary</vt:lpstr>
      <vt:lpstr>Ref 2_202512增值税销项 （样式）</vt:lpstr>
      <vt:lpstr>Ref 3_202512增值税进项认证清单</vt:lpstr>
      <vt:lpstr>Ref 4_202512增值税变动表</vt:lpstr>
      <vt:lpstr>预开票收入计提及冲回统计（导入）</vt:lpstr>
      <vt:lpstr>未开票数监控</vt:lpstr>
      <vt:lpstr>睿景项目累计申报</vt:lpstr>
      <vt:lpstr>睿景项目累计缴纳</vt:lpstr>
      <vt:lpstr>'12月PL'!Print_Area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 Xie</dc:creator>
  <cp:lastModifiedBy>Gangxiang Guan(Outsourcing)</cp:lastModifiedBy>
  <cp:lastPrinted>2025-01-22T07:31:00Z</cp:lastPrinted>
  <dcterms:created xsi:type="dcterms:W3CDTF">2018-09-12T00:37:00Z</dcterms:created>
  <dcterms:modified xsi:type="dcterms:W3CDTF">2026-04-20T06:50:17Z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B5E048B9CBE248BA8AD07C6270007658_13</vt:lpwstr>
  </property>
  <property fmtid="{D5CDD505-2E9C-101B-9397-08002B2CF9AE}" pid="4" name="ContentTypeId">
    <vt:lpwstr>0x010100E007B1F87F050D4280D540DC98917B2D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